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13" activeTab="14"/>
  </bookViews>
  <sheets>
    <sheet name="Информация МЗ" sheetId="1" r:id="rId1"/>
    <sheet name="Информация МЗ+ИЦ+ПД" sheetId="2" r:id="rId2"/>
    <sheet name="Прогноз" sheetId="3" state="hidden" r:id="rId3"/>
    <sheet name="ПП1" sheetId="4" state="hidden" r:id="rId4"/>
    <sheet name="ПП2" sheetId="5" state="hidden" r:id="rId5"/>
    <sheet name="ПП3" sheetId="6" state="hidden" r:id="rId6"/>
    <sheet name="ПП4 " sheetId="7" state="hidden" r:id="rId7"/>
    <sheet name="ГП-прил.2" sheetId="8" r:id="rId8"/>
    <sheet name="ПП 1" sheetId="9" r:id="rId9"/>
    <sheet name="ПП 2" sheetId="10" r:id="rId10"/>
    <sheet name="ПП 3" sheetId="11" r:id="rId11"/>
    <sheet name="ПП 4" sheetId="12" r:id="rId12"/>
    <sheet name="ПР" sheetId="13" r:id="rId13"/>
    <sheet name="ПР2ПП1" sheetId="14" r:id="rId14"/>
    <sheet name="ПР2ПП2" sheetId="15" r:id="rId15"/>
    <sheet name="ПР2ПП3" sheetId="16" r:id="rId16"/>
    <sheet name="ПР.2ПП4" sheetId="17" r:id="rId17"/>
    <sheet name="Лист1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4">'ПП2'!$6:$7</definedName>
    <definedName name="кат">#REF!</definedName>
    <definedName name="М1">'[7]ПРОГНОЗ_1'!#REF!</definedName>
    <definedName name="Мониторинг1">'[8]Гр5(о)'!#REF!</definedName>
    <definedName name="_xlnm.Print_Area" localSheetId="0">'Информация МЗ'!$A$1:$W$25</definedName>
    <definedName name="_xlnm.Print_Area" localSheetId="1">'Информация МЗ+ИЦ+ПД'!$A$1:$Q$44</definedName>
    <definedName name="_xlnm.Print_Area" localSheetId="17">'Лист1'!$A$1:$X$48</definedName>
    <definedName name="_xlnm.Print_Area" localSheetId="8">'ПП 1'!$A$1:$Q$66</definedName>
    <definedName name="_xlnm.Print_Area" localSheetId="9">'ПП 2'!$A$1:$Q$17</definedName>
    <definedName name="_xlnm.Print_Area" localSheetId="10">'ПП 3'!$A$1:$S$15</definedName>
    <definedName name="_xlnm.Print_Area" localSheetId="11">'ПП 4'!$A$1:$Q$11</definedName>
    <definedName name="_xlnm.Print_Area" localSheetId="3">'ПП1'!$A$1:$K$20</definedName>
    <definedName name="_xlnm.Print_Area" localSheetId="4">'ПП2'!$A$1:$L$18</definedName>
    <definedName name="_xlnm.Print_Area" localSheetId="5">'ПП3'!$A$1:$K$17</definedName>
    <definedName name="_xlnm.Print_Area" localSheetId="6">'ПП4 '!$A$1:$K$12</definedName>
    <definedName name="_xlnm.Print_Area" localSheetId="12">'ПР'!$A$1:$AB$187</definedName>
    <definedName name="_xlnm.Print_Area" localSheetId="16">'ПР.2ПП4'!$A$1:$X$24</definedName>
    <definedName name="_xlnm.Print_Area" localSheetId="13">'ПР2ПП1'!$A$1:$W$97</definedName>
    <definedName name="_xlnm.Print_Area" localSheetId="14">'ПР2ПП2'!$A$1:$X$63</definedName>
    <definedName name="_xlnm.Print_Area" localSheetId="15">'ПР2ПП3'!$A$1:$W$41</definedName>
    <definedName name="_xlnm.Print_Area" localSheetId="2">'Прогноз'!$A$1:$Q$92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<sst xmlns="http://schemas.openxmlformats.org/spreadsheetml/2006/main" count="2611" uniqueCount="629">
  <si>
    <t>Ведомственная отчетность</t>
  </si>
  <si>
    <t>чел.</t>
  </si>
  <si>
    <t>%</t>
  </si>
  <si>
    <t>5</t>
  </si>
  <si>
    <t>4</t>
  </si>
  <si>
    <t>3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</si>
  <si>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</si>
  <si>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2</t>
  </si>
  <si>
    <t>1</t>
  </si>
  <si>
    <t xml:space="preserve">Цель подпрограммы </t>
  </si>
  <si>
    <t>текущий год</t>
  </si>
  <si>
    <t xml:space="preserve">2016 год </t>
  </si>
  <si>
    <t xml:space="preserve">2015 год </t>
  </si>
  <si>
    <t xml:space="preserve">2014 год </t>
  </si>
  <si>
    <t>Источник информации</t>
  </si>
  <si>
    <t>Единица измерения</t>
  </si>
  <si>
    <t>Цель,
целевые индикаторы</t>
  </si>
  <si>
    <t>№
п/п</t>
  </si>
  <si>
    <t>ведомственная отчетсность</t>
  </si>
  <si>
    <t>ед.</t>
  </si>
  <si>
    <t>количество поддержанных социально-экономических проектов, реализуемых молодежью  на территории города Дивногорска</t>
  </si>
  <si>
    <t>ведомственная отчетность</t>
  </si>
  <si>
    <t>количество созданных рабочих мест для несовершеннолетних граждан, проживающих в городе Дивногорске</t>
  </si>
  <si>
    <t>Целевые индикаторы</t>
  </si>
  <si>
    <t>Цель:</t>
  </si>
  <si>
    <t xml:space="preserve">Вес показателя результативности </t>
  </si>
  <si>
    <t>Цели, задачи, показатели результатов</t>
  </si>
  <si>
    <t>№ п/п</t>
  </si>
  <si>
    <t xml:space="preserve"> Постановление администрации города Дивногорска от 24.12.2012 №264п "Об утверждении Положения о порядке и условиях
формирования муниципального задания  
в отношении муниципальных учреждений, 
финансового обеспечения
и оценки выполнения муниципального задания"
</t>
  </si>
  <si>
    <t>баллы</t>
  </si>
  <si>
    <t>Нормативные правовые акты</t>
  </si>
  <si>
    <t>2016 год</t>
  </si>
  <si>
    <t>2015 год</t>
  </si>
  <si>
    <t>2014 год</t>
  </si>
  <si>
    <t>Единица  изме-рения</t>
  </si>
  <si>
    <t>Цели, задачи, показатели</t>
  </si>
  <si>
    <t>№</t>
  </si>
  <si>
    <t>Перечень целевых индикаторов подпрограммы «Обеспечение реализации муниципальной программы и прочие мероприятия»</t>
  </si>
  <si>
    <t>Цель: создание условий для устойчивого развития отрасли «физическая культура, спорт и молодежная политика»</t>
  </si>
  <si>
    <t>в том числе:</t>
  </si>
  <si>
    <t>Итого  по задаче 1</t>
  </si>
  <si>
    <t>Обеспечение реализации муниципальной программы на 100%</t>
  </si>
  <si>
    <t>Цель. Создание условий для устойчивого развития отрасли «физическая культура, спорт и молоджная политика»</t>
  </si>
  <si>
    <t>ВР</t>
  </si>
  <si>
    <t>ЦСР</t>
  </si>
  <si>
    <t>РзПр</t>
  </si>
  <si>
    <t>Ожидаемый результат от реализации подпрограммного мероприятия
 (в натуральном выражении)</t>
  </si>
  <si>
    <t>Расходы (тыс. руб.), годы</t>
  </si>
  <si>
    <t>Код бюджетной классификации</t>
  </si>
  <si>
    <t>Наименование  программы, подпрограммы</t>
  </si>
  <si>
    <t>Доля граждан, систематически занимающихся физической  культурой и спортом, в общей численности населения МО г. Дивногорск</t>
  </si>
  <si>
    <t xml:space="preserve">Численность занимающихся в муниципальных образовательных учреждениях дополнительного образования детей  физкультурно-спортивной направленности </t>
  </si>
  <si>
    <t>Статус (государственная программа, подпрограмма)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</si>
  <si>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</si>
  <si>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</si>
  <si>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</si>
  <si>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</si>
  <si>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Подпрограмма 1</t>
  </si>
  <si>
    <t>всего расходные обязательства по подпрограмме</t>
  </si>
  <si>
    <t>Подпрограмма 2</t>
  </si>
  <si>
    <t>Молодежь Дивногорья</t>
  </si>
  <si>
    <t>Подпрограмма 3</t>
  </si>
  <si>
    <t>Обеспечение реализации муниципальной программы и прочие мероприятия</t>
  </si>
  <si>
    <t>Начальник отдела физической культуры,спорта и молодежной политики администрации города Дивногорска</t>
  </si>
  <si>
    <t>Первый заместитель министра культуры  Красноярского края</t>
  </si>
  <si>
    <t>Т.В. Веселина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</si>
  <si>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</si>
  <si>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</si>
  <si>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</si>
  <si>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</si>
  <si>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</si>
  <si>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</si>
  <si>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федеральный бюджет</t>
  </si>
  <si>
    <t>краевой бюджет</t>
  </si>
  <si>
    <t>внебюджетные источники</t>
  </si>
  <si>
    <t>юридические лица</t>
  </si>
  <si>
    <t>-</t>
  </si>
  <si>
    <t>Обеспечение условий реализации муниципальной программы и прочие мероприятия</t>
  </si>
  <si>
    <t>Наименование  подпрограммы, задачи, мероприятий</t>
  </si>
  <si>
    <t>Расходы, (тыс. руб.), годы</t>
  </si>
  <si>
    <t>Ожидаемый результат от реализации подпрограммного мероприятия (в натуральном выражении)</t>
  </si>
  <si>
    <t>«Развитие физической культуры и спорта»</t>
  </si>
  <si>
    <t>отдел физической культуры, спорта и молодежной политики администрации города Дивногорска</t>
  </si>
  <si>
    <t>х</t>
  </si>
  <si>
    <t>Задача 1 Обеспечение развития массовой физической культуры на территории муниципального образования г. Дивногорск.</t>
  </si>
  <si>
    <t xml:space="preserve">Ежегодное проведение не менее 78  физкультурных, спортивных мероприятий, в том числе в клубах по месту жительства, с общим количеством участников не менее 9 тыс. чел. </t>
  </si>
  <si>
    <t>ежегодно посещение гражданами бассейна не менее 6500 чел.</t>
  </si>
  <si>
    <t>Обеспечение деятельности (оказание услуг) подведомственных учреждений</t>
  </si>
  <si>
    <t>Наименование  подпрограммы, задачи, мероприятия</t>
  </si>
  <si>
    <t>всего расходные обязательства</t>
  </si>
  <si>
    <t>Реализация мероприятий по трудовому воспитанию несовершеннолетних</t>
  </si>
  <si>
    <t>Итого по подпрограмме</t>
  </si>
  <si>
    <t>Отдел спорта</t>
  </si>
  <si>
    <t>Наименование услуги, показателя объема услуги (работы), подпрограммы/ВЦП</t>
  </si>
  <si>
    <t>Значение показателя объема услуги (работы)</t>
  </si>
  <si>
    <t>Расходы местного бюджета на оказание муниципальной услуги (работы), тыс. руб.</t>
  </si>
  <si>
    <t>Наименование услуги (работы) и ее содержание:</t>
  </si>
  <si>
    <t>Показатель объема услуги (работы):</t>
  </si>
  <si>
    <t>Количество соревнований</t>
  </si>
  <si>
    <t>Количество мероприятий</t>
  </si>
  <si>
    <t>07 07</t>
  </si>
  <si>
    <t>11 02</t>
  </si>
  <si>
    <t>11 01</t>
  </si>
  <si>
    <t>07 02</t>
  </si>
  <si>
    <t>11 05</t>
  </si>
  <si>
    <t>тыс. чел.</t>
  </si>
  <si>
    <t>1.2.</t>
  </si>
  <si>
    <t>1.1.</t>
  </si>
  <si>
    <t>2024 год</t>
  </si>
  <si>
    <t>2023 год</t>
  </si>
  <si>
    <t>2022 год</t>
  </si>
  <si>
    <t>2021 год</t>
  </si>
  <si>
    <t>2020 год</t>
  </si>
  <si>
    <t>2019 год</t>
  </si>
  <si>
    <t>2018 год</t>
  </si>
  <si>
    <t>2017 год</t>
  </si>
  <si>
    <t>Долгосрочный период</t>
  </si>
  <si>
    <t>Плановый период</t>
  </si>
  <si>
    <t>Значения целевых показателей на долгосрочный период</t>
  </si>
  <si>
    <t>964</t>
  </si>
  <si>
    <t>x</t>
  </si>
  <si>
    <t>621</t>
  </si>
  <si>
    <t>611</t>
  </si>
  <si>
    <t>622</t>
  </si>
  <si>
    <t>244</t>
  </si>
  <si>
    <t>Реализация мероприятий по трудовому воспитанию несовершеннолетних (МАУ МЦ "Дивный")</t>
  </si>
  <si>
    <t>Обеспечение деятельности (оказание услуг) подведомственных учреждений(МАУ МЦ "Дивный")</t>
  </si>
  <si>
    <t>Обеспечение  доступа к спортивным объектам (МФОАУ "Дельфин")</t>
  </si>
  <si>
    <t xml:space="preserve">
Организация    спортивно-массовых мероприятий и акций(МАУ МЦ"Дивный")</t>
  </si>
  <si>
    <t>Руководство и управление в сфере установленных функций органов  местного самоуправления</t>
  </si>
  <si>
    <t>1.1</t>
  </si>
  <si>
    <t>122</t>
  </si>
  <si>
    <t>Подпрограмма 4</t>
  </si>
  <si>
    <t>бюджеты муниципального образования</t>
  </si>
  <si>
    <t>Перечень целевых индикаторов подпрограммы «Дополнительное  образование  детей в учреждении физкультурно-спортивной направленности»</t>
  </si>
  <si>
    <t>реализация образовательных программ дополнительного образования детей</t>
  </si>
  <si>
    <t xml:space="preserve">«Дополнительное образование детей в учреждении физкультурно-спортивной направленности» </t>
  </si>
  <si>
    <t>Дополнительное образование детей в учреждении физкультурно-спортивной направленности</t>
  </si>
  <si>
    <t>Физическая культура,спорт и молодежная политика в муниципальном образовании город Дивногорск"</t>
  </si>
  <si>
    <t>6</t>
  </si>
  <si>
    <t>7</t>
  </si>
  <si>
    <t>Физическая культура,спорт и молодежная политика в муниципальном образовании город Дивногорск</t>
  </si>
  <si>
    <t>"Дополнительное образование детей в учреждении физкультурно-спортивной направленности"</t>
  </si>
  <si>
    <t xml:space="preserve">Своевременность утверждения муниципальных заданий подведомственным распорядителю учреждениям на текущий финансовый год и плановый период </t>
  </si>
  <si>
    <t xml:space="preserve">Годовая бюхгалтерская отчетность
</t>
  </si>
  <si>
    <t>0448021</t>
  </si>
  <si>
    <t>04</t>
  </si>
  <si>
    <t xml:space="preserve">Создание условий для развития потенциала молодежи и его реализации в интересах муниципального образования г. Дивногорск
</t>
  </si>
  <si>
    <t>отдел физической культуры спорта,и молодежной политики администрации г.Дивногорска</t>
  </si>
  <si>
    <t>Субсидии  на поддержку деятельности молодежных центров из краевого бюджета</t>
  </si>
  <si>
    <t xml:space="preserve">Выплаты,обеспечивающие уровень заработной платы работников учреждений (МАУ МЦ "Дивный") </t>
  </si>
  <si>
    <t>Мероприятия по молодежной политике</t>
  </si>
  <si>
    <t>Выплаты молодым специалистам (МАУ МЦ "Дивный")</t>
  </si>
  <si>
    <t>Расходы на поддержку действующих и вновь создаваемых спортивных клубов по месту жительства граждан</t>
  </si>
  <si>
    <t>612</t>
  </si>
  <si>
    <t>Софинансирование расходов на поддержку действующих и вновьсоздаваемых спортивных клубов по месту жительства граждан</t>
  </si>
  <si>
    <t>Субсидии автономным учреждениям на иные цели</t>
  </si>
  <si>
    <t>Субсидии  бюджетным учреждениям на иные цели</t>
  </si>
  <si>
    <t>852</t>
  </si>
  <si>
    <t>РБС</t>
  </si>
  <si>
    <t xml:space="preserve">РБС </t>
  </si>
  <si>
    <t>Наименование РБС</t>
  </si>
  <si>
    <t>в том числе по РБС:</t>
  </si>
  <si>
    <t xml:space="preserve">2017 год </t>
  </si>
  <si>
    <t xml:space="preserve">Перечень целевых индикаторов подпрограммы ««Молодежь Дивногорья» </t>
  </si>
  <si>
    <t>Приложение № 1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муниципальном образовании город Дивногорск »</t>
  </si>
  <si>
    <t>муниципальными учреждениями по муниципальной программе «Физическая культура,спорт и молодежная политика в муниципальном образовании город Дивногорск"</t>
  </si>
  <si>
    <t xml:space="preserve">"Молодежь Дивногорья" </t>
  </si>
  <si>
    <t>"Молодежь Дивногорья"</t>
  </si>
  <si>
    <t xml:space="preserve">«Молодежь Дивногорья» </t>
  </si>
  <si>
    <t>Перечень целевых индикаторов подпрограммы «Массовая физическая культура и спорт»</t>
  </si>
  <si>
    <t>Перечень мероприятий подпрограммы  "Массовая физическая культура и спорт"</t>
  </si>
  <si>
    <t>Массовая физическая культура и спорт</t>
  </si>
  <si>
    <t xml:space="preserve"> Массовая физическая культура и спорт</t>
  </si>
  <si>
    <t>"Массовая физическая культура и спорт"</t>
  </si>
  <si>
    <t xml:space="preserve">Прогноз сводных показателей муниципальных заданий на оказание муниципальных  услуг (выполнение работ) </t>
  </si>
  <si>
    <t>Средства субсидии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01 октября 2014 года на 10%, в рамках подпрограммы "Молодежь Дивногорья" муниципальной программы города Дивногорска "Физическая культура, спорт и молодежная политика в муниципальном образовании город Дивногорск "</t>
  </si>
  <si>
    <t>1022</t>
  </si>
  <si>
    <t>0080520</t>
  </si>
  <si>
    <t>0080610</t>
  </si>
  <si>
    <t>Обеспечение  доступа к закрытым  спортивным объектам</t>
  </si>
  <si>
    <t>0080710</t>
  </si>
  <si>
    <t>00S031М</t>
  </si>
  <si>
    <t>0074560</t>
  </si>
  <si>
    <t>0088100</t>
  </si>
  <si>
    <t>Мероприятия в области спорта, физической культуры</t>
  </si>
  <si>
    <t>Н.В.Калинин</t>
  </si>
  <si>
    <t>0080620</t>
  </si>
  <si>
    <t>Персональные выплаты,устанавливаемые в целях повышения оплаты труда молодым специалистам,первональные выплаты,устанавливаемые с учетом опыта работы при наличии ученой степени,почетного звания,нагрудного знака (значка).</t>
  </si>
  <si>
    <t>00S031Р</t>
  </si>
  <si>
    <t>Организация и проведение официальных спортивных мероприятий</t>
  </si>
  <si>
    <t>Количество участников</t>
  </si>
  <si>
    <t>Количество публикаций с упоминанием о мероприятии</t>
  </si>
  <si>
    <t>Удовлетворенность участников организацией мероприятий</t>
  </si>
  <si>
    <t>Число посетителей закрытых спортивных объектов в год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</si>
  <si>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</t>
  </si>
  <si>
    <t>Организация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 культурных и нравственных ценностей среди молодежи</t>
  </si>
  <si>
    <t>Организация и проведение официальных физкультурных (физкультурно-спортивных)мероприятий</t>
  </si>
  <si>
    <t>Количество занятий</t>
  </si>
  <si>
    <t>Реализация дополнительных предпрофессиональных программ в области физической культуры и спорта</t>
  </si>
  <si>
    <t>Количество человек</t>
  </si>
  <si>
    <t>Спортивная подготовка по олимпийским видам спорта</t>
  </si>
  <si>
    <t>Число лиц, прошедшие споривную подготовку на этапах спортвной подготовки</t>
  </si>
  <si>
    <t>Реализация дополнительных общеразвивающих программ</t>
  </si>
  <si>
    <t>Количество участников соревнований</t>
  </si>
  <si>
    <t>Обеспечение участие лиц,проходящих спортивную подготовку,в спортивных соревнованиях</t>
  </si>
  <si>
    <t>Расходы на повышение размеров оплаты труда отдельным категориям работникам бюджетной сферы</t>
  </si>
  <si>
    <t>0010430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</si>
  <si>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спорта.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</si>
  <si>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</si>
  <si>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0074370</t>
  </si>
  <si>
    <t xml:space="preserve">Расходы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"Готов к труду и обороне" (ГТО) </t>
  </si>
  <si>
    <t>0074040</t>
  </si>
  <si>
    <t>00S4040</t>
  </si>
  <si>
    <t>Субсидии бюджетным учреждениям на иные цели</t>
  </si>
  <si>
    <t>0074360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</si>
  <si>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</t>
  </si>
  <si>
    <t>00S4360</t>
  </si>
  <si>
    <t>2018   год</t>
  </si>
  <si>
    <t>2015   год</t>
  </si>
  <si>
    <t>2019     год</t>
  </si>
  <si>
    <t>2018     год</t>
  </si>
  <si>
    <t>2017  год</t>
  </si>
  <si>
    <t>8061</t>
  </si>
  <si>
    <t>8071</t>
  </si>
  <si>
    <t>8081</t>
  </si>
  <si>
    <t>7456</t>
  </si>
  <si>
    <t>8810</t>
  </si>
  <si>
    <t>Обеспечение деятельности (оказание услуг) подведомственных учреждений (МБОУ ДО"ДЮСШ")</t>
  </si>
  <si>
    <t>8062</t>
  </si>
  <si>
    <t>8072</t>
  </si>
  <si>
    <t xml:space="preserve">Выплаты,обеспечивающие уровень заработной платы работников учреждений дополнительного образования детей(МБОУ ДО"ДЮСШ") </t>
  </si>
  <si>
    <t>8082</t>
  </si>
  <si>
    <t>Выплаты молодым специалистам учреждений дополнительного образования детей(МБОУ ДО"ДЮСШ")</t>
  </si>
  <si>
    <t>Расходы на оснащение муниципальных учреждений физкультурно-спортивеной направленнности спортивным инвентарем,оборудованием,спортивной одеждой и обувью</t>
  </si>
  <si>
    <t>7703</t>
  </si>
  <si>
    <t>2654</t>
  </si>
  <si>
    <t>Софинансирование расходов на оснащение муниципальных учреждений физкультурно-спортивеной направленнности спортивным инвентарем,оборудованием,спортивной одеждой и обувью</t>
  </si>
  <si>
    <t>44821</t>
  </si>
  <si>
    <t xml:space="preserve">2018 год </t>
  </si>
  <si>
    <t xml:space="preserve">2019 год </t>
  </si>
  <si>
    <t>Доля граждан, систематически занимающихся физической культурой и спортом, в общей численности населения МО г. Дивногорск</t>
  </si>
  <si>
    <t>Численность занимающихся в муниципальных образовательных учреждениях дополнительного образования детей  физкультурно-спортивной направленности</t>
  </si>
  <si>
    <t xml:space="preserve">Количество спортсменов  в составе  спортивных сборных команд Красноярского края по видам спорта </t>
  </si>
  <si>
    <t>Доля обучающихся, на этапах спортивной подготовки, от общего числа обучающихся в МБОУ ДО «ДЮСШ»</t>
  </si>
  <si>
    <t>Количество специалистов, обучающихся на курсах повышения квалификации и семинарах</t>
  </si>
  <si>
    <t>Начальник отдела физической культуры,                    спорта и молодежной политики                администрации г. Дивногорска</t>
  </si>
  <si>
    <t>Н.В. Калинин</t>
  </si>
  <si>
    <t>Начальник отдела физической культуры,спорта и молодежной политики администрации г. Дивногорска</t>
  </si>
  <si>
    <t>2025 год</t>
  </si>
  <si>
    <t>Количество спортсменов  в составе  сборных команд Красноярского края по видам спорта</t>
  </si>
  <si>
    <t>Приложение № 6 к паспорту муниципальной программы                                   «Физическая культура,спорт и молодежная политика                                                             в муниципальном образовании город Дивногорск»</t>
  </si>
  <si>
    <t>Начальник отдела физической культуры,                                                          спорта и молодежной политики                                                              администрации г. Дивногорска</t>
  </si>
  <si>
    <t>Расходы субсидии бюджетам муниципальных 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краяд Дивногорск»</t>
  </si>
  <si>
    <t>0026540</t>
  </si>
  <si>
    <t>120</t>
  </si>
  <si>
    <t>0080530</t>
  </si>
  <si>
    <t>Внедрение спортивного комплекса "Готов к труду и обороне"</t>
  </si>
  <si>
    <t>1101</t>
  </si>
  <si>
    <t>00S4370</t>
  </si>
  <si>
    <t>07 03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</si>
  <si>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</t>
  </si>
  <si>
    <t>0010420</t>
  </si>
  <si>
    <t>8</t>
  </si>
  <si>
    <t>9</t>
  </si>
  <si>
    <t>10</t>
  </si>
  <si>
    <t>11</t>
  </si>
  <si>
    <t>12</t>
  </si>
  <si>
    <t>0074540</t>
  </si>
  <si>
    <t>00S4540</t>
  </si>
  <si>
    <t>Расходы на устройство плоскостных спортивных сооружений в сельской местности</t>
  </si>
  <si>
    <t>1102</t>
  </si>
  <si>
    <t>0074200</t>
  </si>
  <si>
    <t>00S4200</t>
  </si>
  <si>
    <t>Расходы на создание новых и поддержку действующих спортивных клубов по месту жительства</t>
  </si>
  <si>
    <t>0074180</t>
  </si>
  <si>
    <t>00S4180</t>
  </si>
  <si>
    <t>Приложение № 1
к  подпрограмме 1 «Массовая физическая культура и спорт»</t>
  </si>
  <si>
    <t>Приложение № 1                                                                        к  подпрограмме 2 «Молодежь Дивногорья"</t>
  </si>
  <si>
    <t xml:space="preserve">Приложение № 1 к подпрограмме 3 "Дополнительное  образование  детей в учреждении физкультурно-спортивной направленности"
</t>
  </si>
  <si>
    <t xml:space="preserve">2020 год </t>
  </si>
  <si>
    <t>Расходы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</t>
  </si>
  <si>
    <t>0703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</si>
  <si>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</t>
  </si>
  <si>
    <t>13</t>
  </si>
  <si>
    <t xml:space="preserve"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</t>
  </si>
  <si>
    <t>0077440</t>
  </si>
  <si>
    <t xml:space="preserve">Расходы на повышение размеров оплаты труда работников бюджетной сферы с 1 января 2018 года на 4 процента </t>
  </si>
  <si>
    <t>001047А</t>
  </si>
  <si>
    <t>001047Б</t>
  </si>
  <si>
    <t xml:space="preserve">Расходы на повышение размеров оплаты труда работников муниципальных учреждений дополнительного образования, реализующих программы дополнительного образования детей, о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подготовки. </t>
  </si>
  <si>
    <t>0010480</t>
  </si>
  <si>
    <t>Выплаты, обеспечивающие уровень заработной платы работников учреждений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</si>
  <si>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</si>
  <si>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00S031M</t>
  </si>
  <si>
    <t>14</t>
  </si>
  <si>
    <t xml:space="preserve">Софинансирование расходов на 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</t>
  </si>
  <si>
    <t>15</t>
  </si>
  <si>
    <t>Расходы на повышение размеров оплаты труда работников бюджетной сферы с 1 января 2018 года на 4 процента</t>
  </si>
  <si>
    <t>001047A</t>
  </si>
  <si>
    <t>1.2</t>
  </si>
  <si>
    <t>16</t>
  </si>
  <si>
    <t>Организация мероприятий в сфере молодежной политики,направленных на вовлечение молодежи в инновационную,предпринимательскую,а также на развитие гражданской активности молодежи и формирование здорового образа жизни</t>
  </si>
  <si>
    <t>Количество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молодежи</t>
  </si>
  <si>
    <t>Количество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</si>
  <si>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 xml:space="preserve">Количество молодых людей, являющихся членами проектной команды по реализации социально проектов </t>
  </si>
  <si>
    <t>Количество созданных рабочих мест для несовершеннолетних граждан, проживающих в городе Дивногорске</t>
  </si>
  <si>
    <t xml:space="preserve">Количество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молодежи
</t>
  </si>
  <si>
    <t>Число лиц прошедших спортивную подготовку на этапах спортивной подготовки</t>
  </si>
  <si>
    <t>Программа 1</t>
  </si>
  <si>
    <t>Организация мероприятий по подготовке спортивных сборных команд</t>
  </si>
  <si>
    <t>Организация и обеспечение подготовки спортивного резерва</t>
  </si>
  <si>
    <t>Количество лиц</t>
  </si>
  <si>
    <t>Обеспечение участия спортивных сборных команд в официальных спортивных мероприятиях</t>
  </si>
  <si>
    <t>Обеспечение доступа к объектам спорта (хоккейная коробка)</t>
  </si>
  <si>
    <t>Проведение тестирования выполнения нормативов испытаний (тестов) комплекса "Готов к труду и обороне"</t>
  </si>
  <si>
    <t>Обеспечение доступа к  объектам спорта (плавательный бассейн)</t>
  </si>
  <si>
    <t>Проведение занятий физкультурно-спортивной направленности по месту проживания граждан</t>
  </si>
  <si>
    <t>31,16</t>
  </si>
  <si>
    <t>34, 74</t>
  </si>
  <si>
    <t>36, 74</t>
  </si>
  <si>
    <t>38, 74</t>
  </si>
  <si>
    <t>40, 74</t>
  </si>
  <si>
    <t xml:space="preserve"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МО г. Дивногорск </t>
  </si>
  <si>
    <t>0</t>
  </si>
  <si>
    <t>0,64</t>
  </si>
  <si>
    <t xml:space="preserve">Доля обучающихся общеобразовательных организаций, систематически занимающихся физической культурой и спортом, в общей численности обучающихся общеобразовательных организаций МО г.Дивногорск </t>
  </si>
  <si>
    <t>61,5</t>
  </si>
  <si>
    <t>62</t>
  </si>
  <si>
    <t>62,5</t>
  </si>
  <si>
    <t xml:space="preserve"> Доля лиц, прошедших спортивную подготовку на тренировочном этапе (этапе спортивной специализации) и зачисленных на этап совершенствования спортивного мастерства, в общем количестве прошедших спортивную подготовку на тренировочном этапе </t>
  </si>
  <si>
    <t xml:space="preserve">Количество организованных мероприятий по подготовке спортивных сборных команд </t>
  </si>
  <si>
    <t>шт.</t>
  </si>
  <si>
    <t xml:space="preserve">Доля спортсменов, выполнивших требования спортивной программы в их общей численности </t>
  </si>
  <si>
    <t xml:space="preserve">Удельный вес спортсменов, принявших участие в официальных спортивных соревнованиях, в их общей численности </t>
  </si>
  <si>
    <t xml:space="preserve">Количество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</si>
  <si>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</si>
  <si>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</si>
  <si>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</si>
  <si>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</si>
  <si>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</si>
  <si>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</si>
  <si>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</si>
  <si>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</si>
  <si>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</si>
  <si>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2"/>
        <color indexed="8"/>
        <rFont val="Times New Roman"/>
        <family val="1"/>
      </rPr>
      <t>Задачи:</t>
    </r>
    <r>
      <rPr>
        <sz val="12"/>
        <color indexed="8"/>
        <rFont val="Times New Roman"/>
        <family val="1"/>
      </rPr>
      <t xml:space="preserve">1 Развитие и совершенствование инфраструктуры физической культуры, спорта и молодежной политики.
2.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
</t>
    </r>
  </si>
  <si>
    <r>
      <t>Задачи:</t>
    </r>
    <r>
      <rPr>
        <sz val="12"/>
        <rFont val="Times New Roman"/>
        <family val="1"/>
      </rPr>
      <t>1.Осуществление физкультурно-оздоровительной и воспитательной работы среди детей и подростков, направленной на укрепление их здоровья и всестороннее физическое развитие.
2. Формирование спортивного резерва города.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
</t>
    </r>
  </si>
  <si>
    <t>Создание доступных условий для занятости населения муниципального образования города Дивногорска различных возрастных,профессиональных и социальных групп физической культурой и спортом, и развитие системы подготовки спортивного резерва города</t>
  </si>
  <si>
    <t>Наименование  подпрограммы, задач, мероприятий</t>
  </si>
  <si>
    <t xml:space="preserve">Своевременность  представления уточненного фрагмента реестра расходных обязательств распорядителя </t>
  </si>
  <si>
    <t>Своевременность утверждения муниципальных заданий подведомственным  распорядителю учреждениям на текущий финансовый год и плановый период;</t>
  </si>
  <si>
    <t xml:space="preserve"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МО г.Дивногорск </t>
  </si>
  <si>
    <t>0,66</t>
  </si>
  <si>
    <t>0,68</t>
  </si>
  <si>
    <t xml:space="preserve">Доля обучающихся общеобразовательных организаций, систематически занимающихся физической культурой и спортом, в общей численности обучающихся общеобразовательных организаций МО г. Дивногорск </t>
  </si>
  <si>
    <r>
      <rPr>
        <b/>
        <sz val="12"/>
        <color indexed="8"/>
        <rFont val="Times New Roman"/>
        <family val="1"/>
      </rPr>
      <t>Цели программы:</t>
    </r>
    <r>
      <rPr>
        <sz val="12"/>
        <color indexed="8"/>
        <rFont val="Times New Roman"/>
        <family val="1"/>
      </rPr>
      <t xml:space="preserve">1. Создание условий, обеспечивающих возможность гражданам систематически заниматься физической культурой и спортом, повышение конкурентоспособности спортсменов г. Дивногорска на различных спортивных аренах Красноярского края, РФ, развитие системы подготовки спортивного резерва города. 
</t>
    </r>
    <r>
      <rPr>
        <b/>
        <sz val="12"/>
        <color indexed="8"/>
        <rFont val="Times New Roman"/>
        <family val="1"/>
      </rPr>
      <t>Задачи:</t>
    </r>
    <r>
      <rPr>
        <sz val="12"/>
        <color indexed="8"/>
        <rFont val="Times New Roman"/>
        <family val="1"/>
      </rPr>
      <t>1.Развитие и совершенствование инфраструктуры; физической культуры и спорта в «шаговой» доступности;
2.Развитие устойчивой потребности всех категорий населения к здоровому образу жизни, формирование мотивации к регулярным занятиям физической культурой и спортом посредством проведения официальных физкультурных и спортивных мероприятий, в том числе мероприятий по реализации Всероссийского физкультурно – спортивного комплекса «Готов к труду и обороне» (далее ВФСК «ГТО») на территории МО г. Дивногорск;
3.Выявление и поддержка успешного опыта по организации массовой физкультурно-спортивной работы среди населения;
4. Совершенствование системы мероприятий, направленных на поиск и поддержку талантливых, одаренных детей;
5. Развитие кадровой политики подготовки спортивного резерва;
6. Совершенствование системы подготовки спортивного резерва;
7. Формирование спортивного резерва города.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</si>
  <si>
    <t>2.1.</t>
  </si>
  <si>
    <t>2.2.</t>
  </si>
  <si>
    <t>2.3.</t>
  </si>
  <si>
    <t>2.4.</t>
  </si>
  <si>
    <t>2.5.</t>
  </si>
  <si>
    <t>2.6.</t>
  </si>
  <si>
    <t>3.1.</t>
  </si>
  <si>
    <t>3.2.</t>
  </si>
  <si>
    <t>3.4.</t>
  </si>
  <si>
    <t>3.3.</t>
  </si>
  <si>
    <t>4.1.</t>
  </si>
  <si>
    <t>4.2.</t>
  </si>
  <si>
    <t>4.3.</t>
  </si>
  <si>
    <t>Балл</t>
  </si>
  <si>
    <t>Соблюдение сроков представления распорядителем годовой бюджетной отчетности.</t>
  </si>
  <si>
    <t>Приложение № 9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55п</t>
  </si>
  <si>
    <t>Приложение № 10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55п</t>
  </si>
  <si>
    <t>Приложение № 11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26п</t>
  </si>
  <si>
    <t>Приложение № 12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55п</t>
  </si>
  <si>
    <t>Приложение № 13 к постановлению                                                                                                                                                                                             администрации г. Дивногорска
от _26.04.2018 № 55п</t>
  </si>
  <si>
    <t>04401047О</t>
  </si>
  <si>
    <t>00S4560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</si>
  <si>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</si>
  <si>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краевые</t>
  </si>
  <si>
    <t>бюджет</t>
  </si>
  <si>
    <t>044010440</t>
  </si>
  <si>
    <t>Расходы на повышение размеров оплаты труда отдельным категориям работников бюджетной сферы в рамках подпрограммы "Обеспечение условий реализации программы и прочие мероприятия" муниципальной программы "Физическая культура, спорт и молодежная политика в муниципальном образовании город Дивногорск"</t>
  </si>
  <si>
    <t>008071</t>
  </si>
  <si>
    <t>00S6540</t>
  </si>
  <si>
    <t>1.3</t>
  </si>
  <si>
    <t>1.4</t>
  </si>
  <si>
    <t>Расходы на повышение размеров оплаты труда отдельным категориям работников бюджетной сферы в рамках подпрограммы «Обеспечение условий реализации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</si>
  <si>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044010390</t>
  </si>
  <si>
    <t>00S031N(P)</t>
  </si>
  <si>
    <t>0026500</t>
  </si>
  <si>
    <t>00S6500</t>
  </si>
  <si>
    <t>0010370</t>
  </si>
  <si>
    <t>внебюджет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</si>
  <si>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 </t>
  </si>
  <si>
    <t>Количество договоров</t>
  </si>
  <si>
    <t>Спортивная подготовка по олимпийским видам спорта (Плавание, тренировочный этап)</t>
  </si>
  <si>
    <t xml:space="preserve">Спортивная подготовка по олимпийским видам спорта (Спортивная борьба, тренировочный этап) </t>
  </si>
  <si>
    <t xml:space="preserve">Организация и обеспечение подготовки спортивного резерва    </t>
  </si>
  <si>
    <t>человек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</si>
  <si>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   </t>
  </si>
  <si>
    <t xml:space="preserve">Расходы на повышение размеров оплаты труда работников бюджетной сферы с 1 октября 2019 года на 4,3 процента </t>
  </si>
  <si>
    <t>001038А</t>
  </si>
  <si>
    <t>Расходы на повышение размеров оплаты труда работников бюджетной сферы с 1 октября 2019 года на 4,3 процента</t>
  </si>
  <si>
    <t>001038A</t>
  </si>
  <si>
    <t>04401038А</t>
  </si>
  <si>
    <t>0010230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</si>
  <si>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труда.</t>
  </si>
  <si>
    <t>пп1</t>
  </si>
  <si>
    <t>пп2</t>
  </si>
  <si>
    <t>ИТОГО</t>
  </si>
  <si>
    <t>С ВНЕБЮДЖЕТОМ</t>
  </si>
  <si>
    <t>БЕЗ ВНЕБЮДЖЕТА</t>
  </si>
  <si>
    <t>0010490</t>
  </si>
  <si>
    <t>всего расходные обязательства  по подпрограмме</t>
  </si>
  <si>
    <t>Спортивная подготовка по олимпийским видам спорта (Плавание, этап начальной подготовки)</t>
  </si>
  <si>
    <t>Спортивная подготовка по олимпийским видам спорта (Лыжные гонки, этап начальной подготовки )</t>
  </si>
  <si>
    <t xml:space="preserve">Спортивная подготовка по олимпийским видам спорта (Дзюдо, этап начальной подготвки)  </t>
  </si>
  <si>
    <t xml:space="preserve">Спортивная подготовка по олимпийским видам спорта (Дзюдо, тренировочный этап )  </t>
  </si>
  <si>
    <t xml:space="preserve">Спортивная подготовка по олимпийским видам спорта (Триатлон, тренировочный этап)  </t>
  </si>
  <si>
    <t xml:space="preserve">Спортивная подготовка по олимпийским видам спорта (Полиатлон, тренировочный этап)  </t>
  </si>
  <si>
    <t>2020  год</t>
  </si>
  <si>
    <t>2019  год</t>
  </si>
  <si>
    <t>1.5</t>
  </si>
  <si>
    <t>пп4</t>
  </si>
  <si>
    <t>001036U</t>
  </si>
  <si>
    <t>1.6</t>
  </si>
  <si>
    <t>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условий реализации программы и прочие мероприятия"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</si>
  <si>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04401036Z</t>
  </si>
  <si>
    <t>00S4650</t>
  </si>
  <si>
    <t>0074650</t>
  </si>
  <si>
    <t>Спортивная подготовка по олимпийским видам спорта (Лыжные гонки, тренировочный этап )</t>
  </si>
  <si>
    <t xml:space="preserve">Спортивная подготовка по олимпийским видам спорта (Дзюдо, этап совершенствования спортивного мастерства)     </t>
  </si>
  <si>
    <t>0010350</t>
  </si>
  <si>
    <t>Частичное финансирование (возмещение) расходов на повышение с 1 октября 2020 года размеров оплаты труда отдельным категориям работников бюджетной сферы.</t>
  </si>
  <si>
    <t>Частичное финансирование (возмещение) расходов на повышение с 1 июня 2020 года размеров оплаты труда отдельным категориям работников бюджетной сферы.</t>
  </si>
  <si>
    <t>Средства субсидии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01 октября 2014 года на 10%.</t>
  </si>
  <si>
    <t>008061Т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</si>
  <si>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</si>
  <si>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008061Z</t>
  </si>
  <si>
    <t>008062Т</t>
  </si>
  <si>
    <t>008062Z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</si>
  <si>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</si>
  <si>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17</t>
  </si>
  <si>
    <t>18</t>
  </si>
  <si>
    <t>19</t>
  </si>
  <si>
    <t>20</t>
  </si>
  <si>
    <t>21</t>
  </si>
  <si>
    <t>22</t>
  </si>
  <si>
    <t>23</t>
  </si>
  <si>
    <t>24</t>
  </si>
  <si>
    <t>008061T</t>
  </si>
  <si>
    <t>Городской молодежный бал (мероприятие)</t>
  </si>
  <si>
    <t>Городская именная премия Главы города "Признание молодых" (мероприятие)</t>
  </si>
  <si>
    <r>
      <t>Задачи:</t>
    </r>
    <r>
      <rPr>
        <sz val="14"/>
        <rFont val="Times New Roman"/>
        <family val="1"/>
      </rPr>
      <t xml:space="preserve"> 1. Вовлечение молодежи в общественную деятельность.
2. Создание условий успешной социализации и эффективной самореализации молодежи
3. Поддержка одаренной и талантливой молодежи 
4. Создание условий для получения молодыми гражданами, проживающими на территории городского округа г. Дивногорска, информации о мероприятиях молодежной политики.</t>
    </r>
    <r>
      <rPr>
        <b/>
        <sz val="14"/>
        <rFont val="Times New Roman"/>
        <family val="1"/>
      </rPr>
      <t xml:space="preserve">
</t>
    </r>
  </si>
  <si>
    <t>008061Z(0)</t>
  </si>
  <si>
    <t>43,07</t>
  </si>
  <si>
    <t>45,07</t>
  </si>
  <si>
    <t>25</t>
  </si>
  <si>
    <t>26</t>
  </si>
  <si>
    <t>27</t>
  </si>
  <si>
    <t>0074570</t>
  </si>
  <si>
    <t>00S4570</t>
  </si>
  <si>
    <t>49,01</t>
  </si>
  <si>
    <t>88,5</t>
  </si>
  <si>
    <t>0,77</t>
  </si>
  <si>
    <t>Субсидия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</si>
  <si>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Расходы на повышение размеров оплаты труда работников муниципальных учреждений дополнительного образования, реализующих программы дополнительного образования детей, о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подготовки.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</si>
  <si>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труда и мер социальной защиты и поддержки, повышение качества межведомственного взаимодействия </t>
  </si>
  <si>
    <t xml:space="preserve">Субсидия на выполнение требований федеральных стандартов спортивной подготовки </t>
  </si>
  <si>
    <t xml:space="preserve">Субсидия на развитие детско-юношеского
 спорта. </t>
  </si>
  <si>
    <t>Субсидия на развитие системы патриотического воспитания в рамках деятельности муниципальных молодежных центров</t>
  </si>
  <si>
    <t>Субсидия на реализацию отдельных мероприятий муниципальных программ (Городской молодежный бал (мероприятие)</t>
  </si>
  <si>
    <t>Субсидия на организационную и материально-техническую модернизацию муниципальных молодежных центров.</t>
  </si>
  <si>
    <t>Софинансирование расходов на поддержку добровольчества (волонтерства) .</t>
  </si>
  <si>
    <t>Капитальный ремонт здания МАУ МЦ Дивный (1ед.)</t>
  </si>
  <si>
    <t>Повышение эффективности реализации молодежной политики и качества реализации мероприятий и поектов</t>
  </si>
  <si>
    <t>Реализация мероприятий молодежной политики на качественном уровне</t>
  </si>
  <si>
    <t>Реализация мероприятия (Городской молодежный бал) молодежной политики на качественно новый уровень</t>
  </si>
  <si>
    <t>Развитие патриотический объединений на территории города и укрепление их материально-технической базы</t>
  </si>
  <si>
    <t>Позиционирование волонтерского движения на территории г. Дивногорска, вовлечение жителей в волонтерскую деятельность, методическое сопровождение волонтерских обьединений</t>
  </si>
  <si>
    <t xml:space="preserve">Приобретение спортивного инвентаря, оборудования и экипировки для прохождения спортивной подготовки, в соответствии с федеральными стандартами. Обеспечение проезда, питания и проживания лиц, проходящих спортивную подготовку в период проведения спортивных и тренировочных мероприятий.
</t>
  </si>
  <si>
    <t xml:space="preserve">Приобретние спортивного инвентаря, оборудования и экипировки для спортсменов муниципального округа г. Дивногорск, входящих в состав сборной Красноярского края. Организация участия в спротивных и тренировочных мероприятиях
</t>
  </si>
  <si>
    <t>Приобретение силовых тренажеров</t>
  </si>
  <si>
    <t xml:space="preserve">Устройство комплесных спортивных площадок </t>
  </si>
  <si>
    <t>Приобретение силовых тренажеров и спортивного инвентаря</t>
  </si>
  <si>
    <t>Приобретение спортивного инвентаря, оборудования для занятий физической культурой и спортом лиц с ограниченными возможностями</t>
  </si>
  <si>
    <t>Е876620</t>
  </si>
  <si>
    <t xml:space="preserve">Спортивная подготовка по олимпийским видам спорта (Баскетбол этап начальной подготовки)  </t>
  </si>
  <si>
    <t xml:space="preserve">Спортивная подготовка по олимпийским видам спорта (Конькобежный спорт, этап начальной подготовки (тренировочный этап спортивной специализации)  </t>
  </si>
  <si>
    <t>2023г.</t>
  </si>
  <si>
    <t>2022г.</t>
  </si>
  <si>
    <t xml:space="preserve">Спортивная подготовка по олимпийским видам спорта (Конькобежный спорт, тренировочный этап)  </t>
  </si>
  <si>
    <t>Спортивная подготовка по олимпийским видам спорта (Бокс, тренировочный этап)</t>
  </si>
  <si>
    <t>Количество спортсменов</t>
  </si>
  <si>
    <t>0078450</t>
  </si>
  <si>
    <t>00S8450</t>
  </si>
  <si>
    <t>Расходы на поддержку добровольчества (волонтерства) .</t>
  </si>
  <si>
    <t>Устройство спортивной площадки (1 ед.)</t>
  </si>
  <si>
    <t>Произведен 2 раза капитальный ремонт в здании плавательного бассейна "МФОАУ ДЕЛЬФИН" и капитальный ремонт спортивного зала в здании МАУ МЦ Дивный                     (3ед.).Временный объеткт (спортивный павильон) (1ед.)</t>
  </si>
  <si>
    <t>0420076630</t>
  </si>
  <si>
    <t>Расходы на развитие экстремальных видов спорта в рамках деятельности муниципальных молодежных центров</t>
  </si>
  <si>
    <t>04200S6630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</si>
  <si>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</si>
  <si>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Развитие экстремальных видов спорта  (изгтовление комплексных фигур)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</si>
  <si>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"Массовая физическая культура и спорт"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</si>
  <si>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Капитальный ремонт спортивного зала для занятий боксом МБУ СШ г. Дивногорска, расположенного по адресу ул. Чкалова, д.74, корп.1, пом.3</t>
  </si>
  <si>
    <t>Капитальный ремонт спортивного зала для занятий боксом МБУ СШ г. Дивногорска, расположенного по адресу ул. Чкалова, д.74, корп.1, пом.4</t>
  </si>
  <si>
    <t>0010340</t>
  </si>
  <si>
    <t>Расходы, связанные с увеличением с 1 июня 2022 года региональных выплат, в рамках подпрограммы "Массовая физическая культура и спорт" муниципальой программы города Дивногорска "Физическая культура, спорт и молодежная политика в муниципальном образовании город Дивногорск"</t>
  </si>
  <si>
    <t>0707</t>
  </si>
  <si>
    <t>11 03</t>
  </si>
  <si>
    <t xml:space="preserve">04 </t>
  </si>
  <si>
    <t>008062T</t>
  </si>
  <si>
    <t>Количество участников официальных спортивных и физкультурных (физкультурно-оздоровительных) мероприятий ГО г. Дивногорск</t>
  </si>
  <si>
    <t>51,31</t>
  </si>
  <si>
    <t>57,46</t>
  </si>
  <si>
    <t>58,22</t>
  </si>
  <si>
    <t>Количество занятий физкультурно-спортивной направленности по месту жительства граждан в ГО г. Дивногорск</t>
  </si>
  <si>
    <t>2816</t>
  </si>
  <si>
    <t>1,65</t>
  </si>
  <si>
    <t>1,66</t>
  </si>
  <si>
    <t>1,67</t>
  </si>
  <si>
    <t>1,68</t>
  </si>
  <si>
    <t>78,69</t>
  </si>
  <si>
    <t>78,70</t>
  </si>
  <si>
    <t>78,71</t>
  </si>
  <si>
    <t>78,72</t>
  </si>
  <si>
    <t>1.7</t>
  </si>
  <si>
    <t>Число лиц, прошедших спортивную подготовку на этапах спортивной подготовки</t>
  </si>
  <si>
    <t>1.8</t>
  </si>
  <si>
    <t>84</t>
  </si>
  <si>
    <t>87</t>
  </si>
  <si>
    <t>537</t>
  </si>
  <si>
    <t>Муниципальный Слет добровольческих отрядов г. Дивногорска (мероприятие)</t>
  </si>
  <si>
    <t>СШ работа объемный показатель 194 раздел 1102</t>
  </si>
  <si>
    <t>Проведение тестирования выполнения нормативов испытаний (тестов) Всероссийского физкультурно-спортивного комплекса "Готов к труду и обороне" (ГТО)</t>
  </si>
  <si>
    <t>СШ работа объемный показатель 2 раздел 1102</t>
  </si>
  <si>
    <t>СШ работа объемный показатель 26 раздел 1102</t>
  </si>
  <si>
    <t>Дельфин</t>
  </si>
  <si>
    <t>Обеспечение доступа к объектам спорта</t>
  </si>
  <si>
    <t>СШ работа объемный показатель 6 раздел 1102</t>
  </si>
  <si>
    <t xml:space="preserve">Организация и проведение официальных спортивных физкультурных (физкультурно-оздоровительных) мероприятий (муниципальные) </t>
  </si>
  <si>
    <t>СШ работа объемный показатель 20 раздел 1102</t>
  </si>
  <si>
    <t>Проведение занятий физкультурно-спортивной направленности по месту жительства</t>
  </si>
  <si>
    <t>СШ работа объемный показатель 2816 раздел 1102</t>
  </si>
  <si>
    <t>СШ услуга объемный показатель 16 раздел 1103</t>
  </si>
  <si>
    <t>СШ услуга объемный показатель 50 раздел 1103</t>
  </si>
  <si>
    <t>СШ услуга объемный показатель 107 раздел 1103</t>
  </si>
  <si>
    <t>СШ услуга объемный показатель 54 раздел 1103</t>
  </si>
  <si>
    <t>СШ услуга объемный показатель 28 раздел 1103</t>
  </si>
  <si>
    <t>СШ услуга объемный показатель 10 раздел 1103</t>
  </si>
  <si>
    <t xml:space="preserve">Спортивная подготовка по олимпийским видам спорта (Спортивная борьба, начальный этап) </t>
  </si>
  <si>
    <t>СШ услуга объемный показатель 2 раздел 1103</t>
  </si>
  <si>
    <t>СШ услуга объемный показатель 24 раздел 1103</t>
  </si>
  <si>
    <t>СШ услуга объемный показатель 45 раздел 1103</t>
  </si>
  <si>
    <t xml:space="preserve">Спортивная подготовка по олимпийским видам спорта (Баскетбол тренировочный этап)  </t>
  </si>
  <si>
    <t xml:space="preserve">Спортивная подготовка по неолимпийским видам спорта (Полиатлон, этап начальной подготовки)  </t>
  </si>
  <si>
    <t>СШ слуга объемный показатель 24 раздел 1103</t>
  </si>
  <si>
    <t>СШ услуга объемный показатель 9 раздел 1103</t>
  </si>
  <si>
    <t>Спортивная подготовка по адаптивным видам спорта: Спорт лиц с поражением ОДА (тренировочный этап)</t>
  </si>
  <si>
    <t>СШ услуга объемный показатель 8 раздел 1103</t>
  </si>
  <si>
    <t>Организация мероприятий по подготовке спортивных сборных команд (Спортсмены, находящиеся в трудовых отношениях с организацией)</t>
  </si>
  <si>
    <t>СШ работа объемный показатель 500 раздел 1103</t>
  </si>
  <si>
    <t>СШ работа объемный показатель 17 раздел 1103</t>
  </si>
  <si>
    <t>Дивный работа объемный показатель 13</t>
  </si>
  <si>
    <t>Организация мероприятий в сфере молодежной политики,направленных на вовлечение молодежи в инновационную,предпринимательскую,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</si>
  <si>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Дивный работа объемный показатель 12</t>
  </si>
  <si>
    <t>Организация досуга подростков и молодежи</t>
  </si>
  <si>
    <t>Дивный работа объемный показатель 8</t>
  </si>
  <si>
    <t>Размещение материалов с целью гражданско-патриотического воспитания населения</t>
  </si>
  <si>
    <t>Количество материалов</t>
  </si>
  <si>
    <t>1103</t>
  </si>
  <si>
    <t>Спортивная подготовка по олимпийским видам спорта (Бокс, этап начальной подготовки)</t>
  </si>
  <si>
    <t xml:space="preserve">Спортивная подготовка по неолимпийским видам спорта (Полиатлон, этап совершенствования спортивного мастерства)  </t>
  </si>
  <si>
    <t>Расходы на устройство быстровозводимых крытых конструкций</t>
  </si>
  <si>
    <t>СШ работа объемный показатель 1 раздел 1103</t>
  </si>
  <si>
    <t>2026 год</t>
  </si>
  <si>
    <t>Итого на 2014-2026 годы</t>
  </si>
  <si>
    <t>Итого на                   2014-2026 годы</t>
  </si>
  <si>
    <t>Итого на 2014 -2026 годы</t>
  </si>
  <si>
    <t>Итого на  
2014-2026 годы</t>
  </si>
  <si>
    <t>Расходы на устройство быстровозводимых крытых конструкций за счет средств местного бюджета в рамках подпрограммы "Массовая физическая культура и спорт"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</si>
  <si>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0084050</t>
  </si>
  <si>
    <t>60,48</t>
  </si>
  <si>
    <t>1,69</t>
  </si>
  <si>
    <t>79,00</t>
  </si>
  <si>
    <t>88</t>
  </si>
  <si>
    <t>3697</t>
  </si>
  <si>
    <t xml:space="preserve">
</t>
  </si>
  <si>
    <t xml:space="preserve">
</t>
  </si>
  <si>
    <t xml:space="preserve">Информация о ресурсном обеспечении и прогнозной оценке расходов на реализацию целей 
муниципальной программы муниципального образования г.Дивногорск «Физическая культура,спорт и молодежная политика в городском округе город Дивногорск" с учетом источников финансирования, 
в том числе средств федерального бюджета </t>
  </si>
  <si>
    <t>Информация о распределении планируемых расходов   по отдельным мероприятиям программы, подпрограммам муниципальной программы городского округа г. Дивногорск «Физическая культура,спорт и молодежная политика в городском округе город Дивногорск"</t>
  </si>
  <si>
    <r>
      <t xml:space="preserve">Задачи: </t>
    </r>
    <r>
      <rPr>
        <sz val="16"/>
        <rFont val="Times New Roman"/>
        <family val="1"/>
      </rPr>
      <t xml:space="preserve">1.Развитие и совершенствование инфраструктуры физической культуры и спорта в «шаговой» доступности;
2.Развитие устойчивой потребности всех категорий населения к здоровому образу жизни, формирование мотивации к регулярным занятиям физической культурой и спортом посредством проведения официальных физкультурных и спортивных мероприятий, в том числе мероприятий по реализации Всероссийского физкультурно – спортивного комплекса «Готов к труду и обороне» (далее ВФСК «ГТО») на территории МО г. Дивногорск;
3.Выявление и поддержка успешного опыта по организации массовой физкультурно-спортивной работы среди населения.
4. Осуществление воспитания и физического развития личности, формирование у обучающихся знаний, умений и навыков в области физической культуры и спорта;
5. Отбор наиболее одаренных детей и подростков, создание условий для прохождения спортивной подготовки;
6. Совершенствование спортивного мастерства обучающихся посредством организации их систематического участия в спортивных мероприятиях.
</t>
    </r>
    <r>
      <rPr>
        <b/>
        <sz val="16"/>
        <rFont val="Times New Roman"/>
        <family val="1"/>
      </rPr>
      <t xml:space="preserve">
</t>
    </r>
  </si>
  <si>
    <t xml:space="preserve">Приложение № 2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городском округе город Дивногорск»   </t>
  </si>
  <si>
    <t>2027 год</t>
  </si>
  <si>
    <t>2028 год</t>
  </si>
  <si>
    <t>2029 год</t>
  </si>
  <si>
    <t>2030 год</t>
  </si>
  <si>
    <r>
      <rPr>
        <b/>
        <sz val="12"/>
        <rFont val="Times New Roman"/>
        <family val="1"/>
      </rPr>
      <t xml:space="preserve">Цели программы: </t>
    </r>
    <r>
      <rPr>
        <sz val="12"/>
        <rFont val="Times New Roman"/>
        <family val="1"/>
      </rPr>
      <t xml:space="preserve">2.Создание условий для развития потенциала молодежи и его реализации в интересах муниципального образования  г. Дивногорск.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Задачи:</t>
    </r>
    <r>
      <rPr>
        <sz val="12"/>
        <rFont val="Times New Roman"/>
        <family val="1"/>
      </rPr>
      <t xml:space="preserve"> 1. Вовлечение молодежи в общественную деятельность.
2. Создание условий успешной социализации и эффективной самореализации молодежи
3. Поддержка одаренной и талантливой молодежи 
4. Создание условий для получения молодыми гражданами, проживающими на территории городского округа г. Дивногорска, информации о мероприятиях молодежной политики.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</si>
  <si>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Цели программы:</t>
    </r>
    <r>
      <rPr>
        <sz val="12"/>
        <rFont val="Times New Roman"/>
        <family val="1"/>
      </rPr>
      <t xml:space="preserve"> 3.Реализация образовательных программ дополнительного образования детей.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Задачи:</t>
    </r>
    <r>
      <rPr>
        <sz val="12"/>
        <rFont val="Times New Roman"/>
        <family val="1"/>
      </rPr>
      <t xml:space="preserve"> 1.Осуществление физкультурно-оздоровительной и воспитательной работы среди детей и подростков, направленной на укрепление их здоровья и всестороннее физическое развитие;
2. Формирование спортивного резерва города.
</t>
    </r>
  </si>
  <si>
    <r>
      <rPr>
        <b/>
        <sz val="12"/>
        <color indexed="8"/>
        <rFont val="Times New Roman"/>
        <family val="1"/>
      </rPr>
      <t>Цели программы:</t>
    </r>
    <r>
      <rPr>
        <sz val="12"/>
        <color indexed="8"/>
        <rFont val="Times New Roman"/>
        <family val="1"/>
      </rPr>
      <t xml:space="preserve"> 4.Создание условий для устойчивого развития отрасли «Физическая культура, спорт и молодежная политика» в муниципальном образовании г. Дивногорск.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Задачи:</t>
    </r>
    <r>
      <rPr>
        <sz val="12"/>
        <color indexed="8"/>
        <rFont val="Times New Roman"/>
        <family val="1"/>
      </rPr>
      <t xml:space="preserve"> 1 Развитие и совершенствование инфраструктуры физической культуры, спорта и молодежной политики;
2.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
</t>
    </r>
  </si>
  <si>
    <t>Приложение № 2
к паспорту муниципальной программы                      «Физическая культура,спорт и молодежная политика                        в городском округе город Дивногорск»</t>
  </si>
  <si>
    <t xml:space="preserve">Приложение № 1 к паспорту муниципальной программы «Физическая культура,спорт и молодежная политика в городском округе город Дивногорск» </t>
  </si>
  <si>
    <t xml:space="preserve">Перечень целевых показателей и показателей результативности </t>
  </si>
  <si>
    <t xml:space="preserve">Приложение № 1
к 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«Физическая культура,спорт и молодежная политика в городском округе город Дивногорск»  </t>
  </si>
  <si>
    <t xml:space="preserve">Приложение № 3 к муниципальной программе «Физическая культура,спорт и молодежная политика в городском округе город Дивногорск» </t>
  </si>
  <si>
    <t>Перечень целевых показателей и показателей результативности подпрограмма 1 "Массовая физическая культура и спорт"</t>
  </si>
  <si>
    <t>Доля граждан, систематически занимающихся физической  культурой и спортом, в общей численности населения ГО г. Дивногорск</t>
  </si>
  <si>
    <t>Количество поддержанных социально-экономических проектов, реализуемых молодежью  на территории города Дивногорска</t>
  </si>
  <si>
    <t>Перечень целевых показателей и показателей результативности подпрограммы 4 «Обеспечение реализации муниципальной программы и прочие мероприятия»</t>
  </si>
  <si>
    <t>Цель программы</t>
  </si>
  <si>
    <t xml:space="preserve">                                                                                                                    Приложение № 2
                                                                                                                    к  муниципальной программе   «Физическая культура,спорт и молодежная политика в городском округе город Дивногорск»   </t>
  </si>
  <si>
    <t xml:space="preserve">Приложение № 1 к подпрограмме 1 "Массовая физическая культура и спорт" муниципальной программы «Физическая культура,спорт и молодежная политика в городском округе город Дивногорск» </t>
  </si>
  <si>
    <t>Приложение № 2
к  подпрограмме 1 «Массовая физическая культура и спорт", реализуемой в рамках муниципальной     программы «Физическая культура, спорт и молодежная политика в муниципальном образовании город Дивногорск»</t>
  </si>
  <si>
    <t xml:space="preserve">Приложение № 1 к подпрограмме № 2 "Молодежь Дивногорья" муниципальной программы «Физическая культура,спорт и молодежная политика в городском округе город Дивногорск»  </t>
  </si>
  <si>
    <t>Перечень целевых показателей и показателей результативности подпрограмма № 2 "Молодежь Дивногорья"</t>
  </si>
  <si>
    <t>Перечень мероприятий подпрограммы 2  «Молодежь Дивногорья»</t>
  </si>
  <si>
    <t xml:space="preserve">Приложение № 1 к подпрограмме 3 "Дополнительное образование детей в учреждении физкультурно-спортивной направленности" муниципальной программы «Физическая культура,спорт и молодежная политика в городском округе город Дивногорск» </t>
  </si>
  <si>
    <t>Перечень целевых показателей и показателей результативности подрограмма 3 «Дополнительное  образование  детей в учреждении физкультурно-спортивной направленности»</t>
  </si>
  <si>
    <t xml:space="preserve">Приложение № 2  к подпрограмме 2 "Молодежь Дивногорья" муниципальной  программы «Физическая культура, спорт и молодежная политика в муниципальном образовании город Дивногорск»
</t>
  </si>
  <si>
    <t>Приложение № 2
к  подпрограмме 3 «Дополнительное образование детей в учреждении физкультурно-спортивной направленности" муниципальной  программы «Физическая культура, спорт и молодежная политика в муниципальном образовании город Дивногорск»</t>
  </si>
  <si>
    <t>Перечень мероприятий подпрограммы 3 "Дополнительное образование детей в учреждении физкультурно-спортивной направленности"</t>
  </si>
  <si>
    <t xml:space="preserve">Приложение № 1 к подпрограмме 4 "Обеспечение реализации муниципальной программы и прочие мероприятия" муниципальной программы «Физическая культура,спорт и молодежная политика в городском округе город Дивногорск» </t>
  </si>
  <si>
    <t>Перечень мероприятий подпрограммы 4 «Обеспечение условий реализации муниципальной программы и прочие мероприятия»
с указанием объема средств на их реализацию и ожидаемых результатов</t>
  </si>
  <si>
    <t xml:space="preserve"> Подпрограмма 2 "Молодежь Дивногорья"</t>
  </si>
  <si>
    <t>Подпрограмма 1 "Массовая физическая культура и спорт"</t>
  </si>
  <si>
    <t>Подпрограмма 3 «Дополнительное  образование  детей в учреждении физкультурно-спортивной направленности»</t>
  </si>
  <si>
    <t>Подпрограмма 4 «Обеспечение реализации муниципальной программы и прочие мероприятия»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</si>
</sst>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_р_._-;_-@_-"/>
    <numFmt numFmtId="168" formatCode="?"/>
    <numFmt numFmtId="169" formatCode="_-* #,##0.00_р_._-;\-* #,##0.00_р_._-;_-* &quot;-&quot;?_р_._-;_-@_-"/>
    <numFmt numFmtId="170" formatCode="#,##0.0_ ;\-#,##0.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sz val="18"/>
      <name val="Times New Roman"/>
      <family val="1"/>
    </font>
    <font>
      <sz val="30"/>
      <name val="Arial"/>
      <family val="2"/>
    </font>
    <font>
      <b/>
      <sz val="14"/>
      <color indexed="10"/>
      <name val="Times New Roman"/>
      <family val="1"/>
    </font>
    <font>
      <sz val="12"/>
      <color indexed="44"/>
      <name val="Arial"/>
      <family val="2"/>
    </font>
    <font>
      <sz val="25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30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8"/>
      <color indexed="10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25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30"/>
      <color theme="1"/>
      <name val="Arial"/>
      <family val="2"/>
    </font>
    <font>
      <sz val="12"/>
      <color theme="3" tint="0.5999900102615356"/>
      <name val="Arial"/>
      <family val="2"/>
    </font>
    <font>
      <b/>
      <i/>
      <sz val="11"/>
      <color theme="1"/>
      <name val="Calibri"/>
      <family val="2"/>
    </font>
    <font>
      <sz val="18"/>
      <color rgb="FFFF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/>
      <bottom/>
    </border>
    <border>
      <left style="thin"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/>
      <bottom style="thin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hair"/>
      <right style="hair"/>
      <top style="hair"/>
      <bottom/>
    </border>
    <border>
      <left/>
      <right/>
      <top style="thin"/>
      <bottom style="thin"/>
    </border>
    <border>
      <left style="thin"/>
      <right style="thin"/>
      <top style="thin">
        <color indexed="63"/>
      </top>
      <bottom style="thin"/>
    </border>
    <border>
      <left/>
      <right style="thin">
        <color indexed="63"/>
      </right>
      <top style="thin"/>
      <bottom style="thin">
        <color indexed="63"/>
      </bottom>
    </border>
    <border>
      <left/>
      <right style="thin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>
        <color indexed="63"/>
      </right>
      <top style="thin">
        <color indexed="63"/>
      </top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14" fillId="0" borderId="0">
      <alignment/>
      <protection/>
    </xf>
    <xf numFmtId="0" fontId="8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15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Fill="1" applyAlignment="1">
      <alignment horizontal="right" vertical="center"/>
      <protection/>
    </xf>
    <xf numFmtId="0" fontId="5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/>
      <protection/>
    </xf>
    <xf numFmtId="0" fontId="6" fillId="33" borderId="10" xfId="52" applyFont="1" applyFill="1" applyBorder="1" applyAlignment="1">
      <alignment horizontal="left" vertical="top" wrapText="1"/>
      <protection/>
    </xf>
    <xf numFmtId="49" fontId="6" fillId="0" borderId="10" xfId="52" applyNumberFormat="1" applyFont="1" applyBorder="1" applyAlignment="1">
      <alignment horizontal="center" vertical="top"/>
      <protection/>
    </xf>
    <xf numFmtId="0" fontId="6" fillId="0" borderId="0" xfId="52" applyFont="1" applyAlignment="1">
      <alignment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vertical="top" wrapText="1"/>
      <protection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left" vertical="top" wrapText="1"/>
      <protection/>
    </xf>
    <xf numFmtId="0" fontId="6" fillId="33" borderId="10" xfId="52" applyFont="1" applyFill="1" applyBorder="1" applyAlignment="1">
      <alignment horizontal="center" vertical="top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left" vertical="top"/>
      <protection/>
    </xf>
    <xf numFmtId="0" fontId="3" fillId="0" borderId="0" xfId="52" applyFont="1" applyAlignment="1">
      <alignment wrapText="1"/>
      <protection/>
    </xf>
    <xf numFmtId="0" fontId="9" fillId="33" borderId="0" xfId="53" applyFill="1">
      <alignment/>
      <protection/>
    </xf>
    <xf numFmtId="165" fontId="9" fillId="33" borderId="0" xfId="53" applyNumberFormat="1" applyFont="1" applyFill="1">
      <alignment/>
      <protection/>
    </xf>
    <xf numFmtId="0" fontId="10" fillId="33" borderId="0" xfId="53" applyFont="1" applyFill="1">
      <alignment/>
      <protection/>
    </xf>
    <xf numFmtId="165" fontId="10" fillId="33" borderId="0" xfId="53" applyNumberFormat="1" applyFont="1" applyFill="1">
      <alignment/>
      <protection/>
    </xf>
    <xf numFmtId="3" fontId="10" fillId="33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49" fontId="10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3" applyFont="1" applyFill="1" applyBorder="1" applyAlignment="1">
      <alignment vertical="top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vertical="center" wrapText="1"/>
      <protection/>
    </xf>
    <xf numFmtId="0" fontId="9" fillId="33" borderId="0" xfId="53" applyFill="1" applyAlignment="1">
      <alignment horizontal="center" vertical="center" wrapText="1"/>
      <protection/>
    </xf>
    <xf numFmtId="165" fontId="11" fillId="33" borderId="10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9" fillId="33" borderId="10" xfId="53" applyFill="1" applyBorder="1" applyAlignment="1">
      <alignment horizontal="center" vertical="center" wrapText="1"/>
      <protection/>
    </xf>
    <xf numFmtId="0" fontId="10" fillId="33" borderId="0" xfId="53" applyFont="1" applyFill="1" applyAlignment="1">
      <alignment vertical="top"/>
      <protection/>
    </xf>
    <xf numFmtId="0" fontId="10" fillId="33" borderId="0" xfId="53" applyFont="1" applyFill="1" applyBorder="1" applyAlignment="1">
      <alignment horizontal="left" vertical="top" wrapText="1"/>
      <protection/>
    </xf>
    <xf numFmtId="0" fontId="13" fillId="0" borderId="0" xfId="55" applyFont="1" applyAlignment="1">
      <alignment vertical="top" wrapText="1"/>
      <protection/>
    </xf>
    <xf numFmtId="0" fontId="13" fillId="0" borderId="0" xfId="55" applyFont="1" applyFill="1" applyAlignment="1">
      <alignment vertical="top" wrapText="1"/>
      <protection/>
    </xf>
    <xf numFmtId="166" fontId="13" fillId="0" borderId="0" xfId="55" applyNumberFormat="1" applyFont="1" applyFill="1" applyAlignment="1">
      <alignment vertical="top" wrapText="1"/>
      <protection/>
    </xf>
    <xf numFmtId="1" fontId="13" fillId="0" borderId="0" xfId="55" applyNumberFormat="1" applyFont="1" applyFill="1" applyBorder="1" applyAlignment="1">
      <alignment horizontal="right" vertical="top" wrapText="1"/>
      <protection/>
    </xf>
    <xf numFmtId="2" fontId="13" fillId="0" borderId="0" xfId="55" applyNumberFormat="1" applyFont="1" applyFill="1" applyBorder="1" applyAlignment="1">
      <alignment horizontal="center" vertical="top" wrapText="1"/>
      <protection/>
    </xf>
    <xf numFmtId="0" fontId="13" fillId="0" borderId="0" xfId="55" applyFont="1" applyBorder="1" applyAlignment="1">
      <alignment horizontal="center" vertical="top" wrapText="1"/>
      <protection/>
    </xf>
    <xf numFmtId="0" fontId="13" fillId="0" borderId="0" xfId="55" applyFont="1" applyBorder="1" applyAlignment="1">
      <alignment vertical="top" wrapText="1"/>
      <protection/>
    </xf>
    <xf numFmtId="1" fontId="13" fillId="0" borderId="10" xfId="55" applyNumberFormat="1" applyFont="1" applyFill="1" applyBorder="1" applyAlignment="1">
      <alignment horizontal="right" vertical="top" wrapText="1"/>
      <protection/>
    </xf>
    <xf numFmtId="2" fontId="13" fillId="0" borderId="10" xfId="55" applyNumberFormat="1" applyFont="1" applyFill="1" applyBorder="1" applyAlignment="1">
      <alignment horizontal="center" vertical="top" wrapText="1"/>
      <protection/>
    </xf>
    <xf numFmtId="0" fontId="13" fillId="0" borderId="10" xfId="55" applyFont="1" applyBorder="1" applyAlignment="1">
      <alignment horizontal="center" vertical="top" wrapText="1"/>
      <protection/>
    </xf>
    <xf numFmtId="0" fontId="13" fillId="0" borderId="10" xfId="55" applyFont="1" applyFill="1" applyBorder="1" applyAlignment="1">
      <alignment vertical="top" wrapText="1"/>
      <protection/>
    </xf>
    <xf numFmtId="0" fontId="13" fillId="0" borderId="10" xfId="55" applyFont="1" applyFill="1" applyBorder="1" applyAlignment="1">
      <alignment horizontal="center" vertical="top" wrapText="1"/>
      <protection/>
    </xf>
    <xf numFmtId="166" fontId="6" fillId="0" borderId="10" xfId="52" applyNumberFormat="1" applyFont="1" applyBorder="1" applyAlignment="1">
      <alignment horizontal="center" vertical="top"/>
      <protection/>
    </xf>
    <xf numFmtId="3" fontId="6" fillId="0" borderId="10" xfId="52" applyNumberFormat="1" applyFont="1" applyFill="1" applyBorder="1" applyAlignment="1">
      <alignment horizontal="center" vertical="top"/>
      <protection/>
    </xf>
    <xf numFmtId="0" fontId="3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horizontal="left" vertical="top"/>
      <protection/>
    </xf>
    <xf numFmtId="0" fontId="27" fillId="0" borderId="10" xfId="54" applyFont="1" applyFill="1" applyBorder="1" applyAlignment="1">
      <alignment horizontal="left" vertical="center" wrapText="1"/>
      <protection/>
    </xf>
    <xf numFmtId="0" fontId="28" fillId="0" borderId="0" xfId="54" applyFont="1" applyFill="1">
      <alignment/>
      <protection/>
    </xf>
    <xf numFmtId="0" fontId="27" fillId="0" borderId="10" xfId="54" applyFont="1" applyFill="1" applyBorder="1" applyAlignment="1">
      <alignment horizontal="left" vertical="top" wrapText="1"/>
      <protection/>
    </xf>
    <xf numFmtId="0" fontId="8" fillId="0" borderId="0" xfId="54" applyFont="1" applyFill="1">
      <alignment/>
      <protection/>
    </xf>
    <xf numFmtId="0" fontId="4" fillId="0" borderId="0" xfId="57" applyFont="1" applyFill="1" applyAlignment="1">
      <alignment vertical="top" wrapText="1"/>
      <protection/>
    </xf>
    <xf numFmtId="166" fontId="4" fillId="0" borderId="0" xfId="57" applyNumberFormat="1" applyFont="1" applyFill="1" applyAlignment="1">
      <alignment vertical="top" wrapText="1"/>
      <protection/>
    </xf>
    <xf numFmtId="3" fontId="6" fillId="0" borderId="11" xfId="54" applyNumberFormat="1" applyFont="1" applyFill="1" applyBorder="1" applyAlignment="1">
      <alignment horizontal="center" vertical="top" wrapText="1"/>
      <protection/>
    </xf>
    <xf numFmtId="4" fontId="6" fillId="0" borderId="0" xfId="54" applyNumberFormat="1" applyFont="1" applyFill="1">
      <alignment/>
      <protection/>
    </xf>
    <xf numFmtId="4" fontId="28" fillId="0" borderId="0" xfId="54" applyNumberFormat="1" applyFont="1" applyFill="1">
      <alignment/>
      <protection/>
    </xf>
    <xf numFmtId="0" fontId="29" fillId="0" borderId="0" xfId="0" applyFont="1" applyAlignment="1">
      <alignment vertical="top" wrapText="1"/>
    </xf>
    <xf numFmtId="165" fontId="9" fillId="33" borderId="0" xfId="53" applyNumberFormat="1" applyFont="1" applyFill="1" applyAlignment="1">
      <alignment/>
      <protection/>
    </xf>
    <xf numFmtId="0" fontId="15" fillId="0" borderId="0" xfId="0" applyFont="1" applyAlignment="1">
      <alignment vertical="top" wrapText="1"/>
    </xf>
    <xf numFmtId="0" fontId="13" fillId="0" borderId="0" xfId="64" applyFont="1" applyFill="1" applyAlignment="1">
      <alignment vertical="top" wrapText="1"/>
      <protection/>
    </xf>
    <xf numFmtId="4" fontId="3" fillId="0" borderId="0" xfId="54" applyNumberFormat="1" applyFont="1" applyFill="1">
      <alignment/>
      <protection/>
    </xf>
    <xf numFmtId="165" fontId="10" fillId="33" borderId="10" xfId="53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2" fontId="6" fillId="0" borderId="0" xfId="54" applyNumberFormat="1" applyFont="1" applyFill="1">
      <alignment/>
      <protection/>
    </xf>
    <xf numFmtId="0" fontId="15" fillId="34" borderId="10" xfId="52" applyFont="1" applyFill="1" applyBorder="1" applyAlignment="1">
      <alignment vertical="top" wrapText="1"/>
      <protection/>
    </xf>
    <xf numFmtId="167" fontId="17" fillId="34" borderId="10" xfId="0" applyNumberFormat="1" applyFont="1" applyFill="1" applyBorder="1" applyAlignment="1">
      <alignment horizontal="right" vertical="top" wrapText="1"/>
    </xf>
    <xf numFmtId="167" fontId="15" fillId="34" borderId="10" xfId="0" applyNumberFormat="1" applyFont="1" applyFill="1" applyBorder="1" applyAlignment="1">
      <alignment horizontal="right" vertical="top" wrapText="1"/>
    </xf>
    <xf numFmtId="165" fontId="11" fillId="33" borderId="12" xfId="53" applyNumberFormat="1" applyFont="1" applyFill="1" applyBorder="1" applyAlignment="1">
      <alignment horizontal="left" vertical="center" wrapText="1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center" vertical="top"/>
      <protection/>
    </xf>
    <xf numFmtId="4" fontId="6" fillId="0" borderId="0" xfId="54" applyNumberFormat="1" applyFont="1" applyFill="1" applyBorder="1" applyAlignment="1">
      <alignment horizontal="center" vertical="center"/>
      <protection/>
    </xf>
    <xf numFmtId="3" fontId="6" fillId="0" borderId="10" xfId="54" applyNumberFormat="1" applyFont="1" applyFill="1" applyBorder="1" applyAlignment="1">
      <alignment horizontal="center" vertical="top" wrapText="1"/>
      <protection/>
    </xf>
    <xf numFmtId="4" fontId="6" fillId="0" borderId="14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top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>
      <alignment/>
      <protection/>
    </xf>
    <xf numFmtId="4" fontId="27" fillId="0" borderId="0" xfId="54" applyNumberFormat="1" applyFont="1" applyFill="1" applyBorder="1" applyAlignment="1">
      <alignment horizontal="left" vertical="top"/>
      <protection/>
    </xf>
    <xf numFmtId="0" fontId="6" fillId="0" borderId="10" xfId="52" applyFont="1" applyBorder="1">
      <alignment/>
      <protection/>
    </xf>
    <xf numFmtId="165" fontId="6" fillId="0" borderId="10" xfId="52" applyNumberFormat="1" applyFont="1" applyBorder="1" applyAlignment="1">
      <alignment horizontal="center" vertical="top"/>
      <protection/>
    </xf>
    <xf numFmtId="165" fontId="11" fillId="33" borderId="15" xfId="53" applyNumberFormat="1" applyFont="1" applyFill="1" applyBorder="1" applyAlignment="1">
      <alignment horizontal="left" vertical="center" wrapText="1"/>
      <protection/>
    </xf>
    <xf numFmtId="3" fontId="10" fillId="0" borderId="16" xfId="53" applyNumberFormat="1" applyFont="1" applyFill="1" applyBorder="1" applyAlignment="1">
      <alignment horizontal="center" vertical="center" wrapText="1"/>
      <protection/>
    </xf>
    <xf numFmtId="3" fontId="10" fillId="33" borderId="16" xfId="53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86" fillId="0" borderId="0" xfId="0" applyFont="1" applyAlignment="1">
      <alignment vertical="top" wrapText="1"/>
    </xf>
    <xf numFmtId="0" fontId="13" fillId="0" borderId="16" xfId="55" applyFont="1" applyFill="1" applyBorder="1" applyAlignment="1">
      <alignment horizontal="center" vertical="top" wrapText="1"/>
      <protection/>
    </xf>
    <xf numFmtId="1" fontId="13" fillId="0" borderId="16" xfId="55" applyNumberFormat="1" applyFont="1" applyFill="1" applyBorder="1" applyAlignment="1">
      <alignment horizontal="right" vertical="top" wrapText="1"/>
      <protection/>
    </xf>
    <xf numFmtId="0" fontId="13" fillId="0" borderId="10" xfId="55" applyFont="1" applyBorder="1" applyAlignment="1">
      <alignment vertical="top" wrapText="1"/>
      <protection/>
    </xf>
    <xf numFmtId="0" fontId="15" fillId="0" borderId="10" xfId="57" applyFont="1" applyBorder="1" applyAlignment="1">
      <alignment horizontal="center" vertical="top" wrapText="1"/>
      <protection/>
    </xf>
    <xf numFmtId="0" fontId="15" fillId="0" borderId="10" xfId="57" applyFont="1" applyBorder="1" applyAlignment="1">
      <alignment vertical="top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right" vertical="justify" wrapText="1"/>
      <protection/>
    </xf>
    <xf numFmtId="0" fontId="6" fillId="0" borderId="10" xfId="54" applyFont="1" applyFill="1" applyBorder="1" applyAlignment="1">
      <alignment horizontal="right" vertical="top"/>
      <protection/>
    </xf>
    <xf numFmtId="0" fontId="6" fillId="0" borderId="14" xfId="54" applyFont="1" applyFill="1" applyBorder="1" applyAlignment="1">
      <alignment vertical="top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3" fillId="0" borderId="17" xfId="54" applyFont="1" applyFill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>
      <alignment horizontal="right" vertical="top" wrapText="1"/>
      <protection/>
    </xf>
    <xf numFmtId="4" fontId="15" fillId="0" borderId="0" xfId="0" applyNumberFormat="1" applyFont="1" applyFill="1" applyAlignment="1">
      <alignment vertical="top" wrapText="1"/>
    </xf>
    <xf numFmtId="166" fontId="8" fillId="34" borderId="10" xfId="56" applyNumberFormat="1" applyFont="1" applyFill="1" applyBorder="1" applyAlignment="1">
      <alignment horizontal="right" vertical="center"/>
      <protection/>
    </xf>
    <xf numFmtId="166" fontId="8" fillId="34" borderId="10" xfId="56" applyNumberFormat="1" applyFont="1" applyFill="1" applyBorder="1" applyAlignment="1">
      <alignment vertical="center"/>
      <protection/>
    </xf>
    <xf numFmtId="166" fontId="24" fillId="34" borderId="10" xfId="56" applyNumberFormat="1" applyFont="1" applyFill="1" applyBorder="1" applyAlignment="1">
      <alignment horizontal="right" vertical="center"/>
      <protection/>
    </xf>
    <xf numFmtId="0" fontId="15" fillId="0" borderId="0" xfId="55" applyFont="1" applyFill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4" fontId="6" fillId="0" borderId="16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>
      <alignment/>
      <protection/>
    </xf>
    <xf numFmtId="0" fontId="87" fillId="0" borderId="0" xfId="54" applyFont="1" applyFill="1">
      <alignment/>
      <protection/>
    </xf>
    <xf numFmtId="0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6" xfId="53" applyNumberFormat="1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left" vertical="center" wrapText="1"/>
      <protection/>
    </xf>
    <xf numFmtId="0" fontId="3" fillId="0" borderId="14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top" wrapText="1"/>
      <protection/>
    </xf>
    <xf numFmtId="0" fontId="32" fillId="0" borderId="10" xfId="54" applyFont="1" applyFill="1" applyBorder="1" applyAlignment="1">
      <alignment horizontal="left" vertical="center" wrapText="1"/>
      <protection/>
    </xf>
    <xf numFmtId="0" fontId="6" fillId="0" borderId="18" xfId="54" applyFont="1" applyFill="1" applyBorder="1" applyAlignment="1">
      <alignment vertical="top" wrapText="1"/>
      <protection/>
    </xf>
    <xf numFmtId="0" fontId="26" fillId="0" borderId="10" xfId="54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center" vertical="center" wrapText="1"/>
      <protection/>
    </xf>
    <xf numFmtId="0" fontId="86" fillId="0" borderId="10" xfId="0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4" fontId="6" fillId="0" borderId="19" xfId="54" applyNumberFormat="1" applyFont="1" applyFill="1" applyBorder="1" applyAlignment="1">
      <alignment horizontal="center" vertical="center"/>
      <protection/>
    </xf>
    <xf numFmtId="4" fontId="6" fillId="0" borderId="11" xfId="54" applyNumberFormat="1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14" xfId="54" applyNumberFormat="1" applyFont="1" applyFill="1" applyBorder="1" applyAlignment="1">
      <alignment horizontal="center" vertical="center"/>
      <protection/>
    </xf>
    <xf numFmtId="4" fontId="6" fillId="0" borderId="20" xfId="54" applyNumberFormat="1" applyFont="1" applyFill="1" applyBorder="1" applyAlignment="1">
      <alignment horizontal="center" vertical="center"/>
      <protection/>
    </xf>
    <xf numFmtId="4" fontId="6" fillId="0" borderId="17" xfId="54" applyNumberFormat="1" applyFont="1" applyFill="1" applyBorder="1" applyAlignment="1">
      <alignment horizontal="center" vertical="center"/>
      <protection/>
    </xf>
    <xf numFmtId="0" fontId="13" fillId="0" borderId="0" xfId="57" applyFont="1" applyAlignment="1">
      <alignment vertical="top" wrapText="1"/>
      <protection/>
    </xf>
    <xf numFmtId="0" fontId="13" fillId="0" borderId="0" xfId="57" applyFont="1" applyAlignment="1">
      <alignment horizontal="center" vertical="top" wrapText="1"/>
      <protection/>
    </xf>
    <xf numFmtId="0" fontId="15" fillId="34" borderId="10" xfId="57" applyFont="1" applyFill="1" applyBorder="1" applyAlignment="1">
      <alignment vertical="top" wrapText="1"/>
      <protection/>
    </xf>
    <xf numFmtId="49" fontId="6" fillId="34" borderId="10" xfId="52" applyNumberFormat="1" applyFont="1" applyFill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vertical="top" wrapText="1"/>
      <protection/>
    </xf>
    <xf numFmtId="0" fontId="6" fillId="34" borderId="10" xfId="52" applyFont="1" applyFill="1" applyBorder="1" applyAlignment="1">
      <alignment horizontal="left" vertical="top" wrapText="1"/>
      <protection/>
    </xf>
    <xf numFmtId="166" fontId="6" fillId="34" borderId="10" xfId="52" applyNumberFormat="1" applyFont="1" applyFill="1" applyBorder="1" applyAlignment="1">
      <alignment horizontal="center" vertical="top"/>
      <protection/>
    </xf>
    <xf numFmtId="0" fontId="86" fillId="34" borderId="10" xfId="0" applyFont="1" applyFill="1" applyBorder="1" applyAlignment="1">
      <alignment horizontal="left" vertical="center" wrapText="1"/>
    </xf>
    <xf numFmtId="2" fontId="6" fillId="0" borderId="10" xfId="52" applyNumberFormat="1" applyFont="1" applyBorder="1" applyAlignment="1">
      <alignment horizontal="center" vertical="top" wrapText="1"/>
      <protection/>
    </xf>
    <xf numFmtId="2" fontId="6" fillId="0" borderId="16" xfId="52" applyNumberFormat="1" applyFont="1" applyBorder="1" applyAlignment="1">
      <alignment horizontal="center" vertical="top" wrapText="1"/>
      <protection/>
    </xf>
    <xf numFmtId="0" fontId="8" fillId="34" borderId="10" xfId="52" applyFont="1" applyFill="1" applyBorder="1" applyAlignment="1">
      <alignment horizontal="left" vertical="top" wrapText="1"/>
      <protection/>
    </xf>
    <xf numFmtId="2" fontId="6" fillId="0" borderId="16" xfId="52" applyNumberFormat="1" applyFont="1" applyFill="1" applyBorder="1" applyAlignment="1">
      <alignment horizontal="center" vertical="top"/>
      <protection/>
    </xf>
    <xf numFmtId="0" fontId="8" fillId="33" borderId="10" xfId="57" applyFont="1" applyFill="1" applyBorder="1" applyAlignment="1">
      <alignment horizontal="left" vertical="top" wrapText="1"/>
      <protection/>
    </xf>
    <xf numFmtId="0" fontId="86" fillId="0" borderId="10" xfId="0" applyFont="1" applyBorder="1" applyAlignment="1">
      <alignment wrapText="1"/>
    </xf>
    <xf numFmtId="0" fontId="3" fillId="33" borderId="0" xfId="52" applyFont="1" applyFill="1" applyBorder="1" applyAlignment="1">
      <alignment horizontal="left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88" fillId="0" borderId="10" xfId="0" applyFont="1" applyBorder="1" applyAlignment="1">
      <alignment horizontal="left" vertical="center" wrapText="1"/>
    </xf>
    <xf numFmtId="0" fontId="88" fillId="0" borderId="10" xfId="0" applyFont="1" applyBorder="1" applyAlignment="1">
      <alignment vertical="top" wrapText="1"/>
    </xf>
    <xf numFmtId="2" fontId="6" fillId="0" borderId="10" xfId="52" applyNumberFormat="1" applyFont="1" applyBorder="1" applyAlignment="1">
      <alignment horizontal="center" vertical="top"/>
      <protection/>
    </xf>
    <xf numFmtId="0" fontId="29" fillId="0" borderId="0" xfId="0" applyFont="1" applyAlignment="1">
      <alignment horizontal="left" wrapText="1"/>
    </xf>
    <xf numFmtId="0" fontId="3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24" fillId="0" borderId="0" xfId="52" applyFont="1" applyFill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6" xfId="52" applyFont="1" applyFill="1" applyBorder="1" applyAlignment="1">
      <alignment horizontal="center" vertical="top"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center" vertical="top" wrapText="1"/>
      <protection/>
    </xf>
    <xf numFmtId="3" fontId="6" fillId="0" borderId="10" xfId="52" applyNumberFormat="1" applyFont="1" applyFill="1" applyBorder="1" applyAlignment="1">
      <alignment horizontal="center" vertical="top" wrapText="1"/>
      <protection/>
    </xf>
    <xf numFmtId="3" fontId="6" fillId="0" borderId="16" xfId="52" applyNumberFormat="1" applyFont="1" applyFill="1" applyBorder="1" applyAlignment="1">
      <alignment horizontal="center" vertical="top" wrapText="1"/>
      <protection/>
    </xf>
    <xf numFmtId="165" fontId="6" fillId="0" borderId="10" xfId="52" applyNumberFormat="1" applyFont="1" applyFill="1" applyBorder="1" applyAlignment="1">
      <alignment horizontal="center" vertical="top" wrapText="1"/>
      <protection/>
    </xf>
    <xf numFmtId="0" fontId="6" fillId="0" borderId="20" xfId="54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0" xfId="54" applyFont="1" applyFill="1" applyBorder="1">
      <alignment/>
      <protection/>
    </xf>
    <xf numFmtId="0" fontId="6" fillId="0" borderId="21" xfId="54" applyFont="1" applyFill="1" applyBorder="1" applyAlignment="1">
      <alignment horizontal="center" vertical="top" wrapText="1"/>
      <protection/>
    </xf>
    <xf numFmtId="0" fontId="6" fillId="0" borderId="22" xfId="54" applyFont="1" applyFill="1" applyBorder="1" applyAlignment="1">
      <alignment horizontal="center" vertical="top" wrapText="1"/>
      <protection/>
    </xf>
    <xf numFmtId="0" fontId="6" fillId="0" borderId="23" xfId="54" applyFont="1" applyFill="1" applyBorder="1" applyAlignment="1">
      <alignment horizontal="center" vertical="top" wrapText="1"/>
      <protection/>
    </xf>
    <xf numFmtId="0" fontId="6" fillId="0" borderId="24" xfId="54" applyFont="1" applyFill="1" applyBorder="1" applyAlignment="1">
      <alignment horizontal="left" vertical="center" wrapText="1"/>
      <protection/>
    </xf>
    <xf numFmtId="0" fontId="27" fillId="0" borderId="24" xfId="54" applyFont="1" applyFill="1" applyBorder="1" applyAlignment="1">
      <alignment horizontal="left" vertical="top" wrapText="1"/>
      <protection/>
    </xf>
    <xf numFmtId="0" fontId="6" fillId="0" borderId="25" xfId="54" applyFont="1" applyFill="1" applyBorder="1" applyAlignment="1">
      <alignment horizontal="right" vertical="top"/>
      <protection/>
    </xf>
    <xf numFmtId="0" fontId="6" fillId="0" borderId="25" xfId="54" applyFont="1" applyFill="1" applyBorder="1" applyAlignment="1">
      <alignment horizontal="center" vertical="center"/>
      <protection/>
    </xf>
    <xf numFmtId="4" fontId="6" fillId="0" borderId="25" xfId="54" applyNumberFormat="1" applyFont="1" applyFill="1" applyBorder="1" applyAlignment="1">
      <alignment horizontal="center" vertical="center"/>
      <protection/>
    </xf>
    <xf numFmtId="4" fontId="6" fillId="0" borderId="23" xfId="54" applyNumberFormat="1" applyFont="1" applyFill="1" applyBorder="1" applyAlignment="1">
      <alignment horizontal="center" vertical="center"/>
      <protection/>
    </xf>
    <xf numFmtId="0" fontId="26" fillId="0" borderId="10" xfId="54" applyFont="1" applyFill="1" applyBorder="1" applyAlignment="1">
      <alignment vertical="top" wrapText="1"/>
      <protection/>
    </xf>
    <xf numFmtId="0" fontId="6" fillId="0" borderId="20" xfId="54" applyFont="1" applyFill="1" applyBorder="1" applyAlignment="1">
      <alignment horizontal="right" vertical="center" wrapText="1"/>
      <protection/>
    </xf>
    <xf numFmtId="0" fontId="6" fillId="0" borderId="20" xfId="54" applyFont="1" applyFill="1" applyBorder="1" applyAlignment="1">
      <alignment horizontal="right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165" fontId="6" fillId="0" borderId="20" xfId="54" applyNumberFormat="1" applyFont="1" applyFill="1" applyBorder="1" applyAlignment="1">
      <alignment horizontal="center" vertical="center" wrapText="1"/>
      <protection/>
    </xf>
    <xf numFmtId="165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vertical="top" wrapText="1"/>
      <protection/>
    </xf>
    <xf numFmtId="0" fontId="3" fillId="0" borderId="26" xfId="54" applyFont="1" applyFill="1" applyBorder="1" applyAlignment="1">
      <alignment horizontal="left" vertical="center" wrapText="1"/>
      <protection/>
    </xf>
    <xf numFmtId="3" fontId="6" fillId="0" borderId="23" xfId="54" applyNumberFormat="1" applyFont="1" applyFill="1" applyBorder="1" applyAlignment="1">
      <alignment horizontal="right" vertical="top" wrapText="1"/>
      <protection/>
    </xf>
    <xf numFmtId="3" fontId="6" fillId="0" borderId="23" xfId="54" applyNumberFormat="1" applyFont="1" applyFill="1" applyBorder="1" applyAlignment="1">
      <alignment horizontal="center" vertical="center" wrapText="1"/>
      <protection/>
    </xf>
    <xf numFmtId="3" fontId="6" fillId="0" borderId="20" xfId="54" applyNumberFormat="1" applyFont="1" applyFill="1" applyBorder="1" applyAlignment="1">
      <alignment horizontal="center" vertical="center" wrapText="1"/>
      <protection/>
    </xf>
    <xf numFmtId="0" fontId="26" fillId="0" borderId="24" xfId="54" applyFont="1" applyFill="1" applyBorder="1" applyAlignment="1">
      <alignment horizontal="left" vertical="center" wrapText="1"/>
      <protection/>
    </xf>
    <xf numFmtId="0" fontId="6" fillId="0" borderId="27" xfId="54" applyFont="1" applyFill="1" applyBorder="1" applyAlignment="1">
      <alignment horizontal="center" vertical="top"/>
      <protection/>
    </xf>
    <xf numFmtId="0" fontId="6" fillId="0" borderId="14" xfId="54" applyFont="1" applyFill="1" applyBorder="1" applyAlignment="1">
      <alignment horizontal="center" vertical="top"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26" fillId="0" borderId="10" xfId="54" applyFont="1" applyFill="1" applyBorder="1" applyAlignment="1">
      <alignment horizontal="left" vertical="top" wrapText="1"/>
      <protection/>
    </xf>
    <xf numFmtId="0" fontId="6" fillId="0" borderId="28" xfId="54" applyFont="1" applyFill="1" applyBorder="1" applyAlignment="1">
      <alignment horizontal="center" vertical="top" wrapText="1"/>
      <protection/>
    </xf>
    <xf numFmtId="0" fontId="6" fillId="0" borderId="26" xfId="54" applyFont="1" applyFill="1" applyBorder="1" applyAlignment="1">
      <alignment horizontal="center" vertical="center"/>
      <protection/>
    </xf>
    <xf numFmtId="0" fontId="6" fillId="0" borderId="25" xfId="54" applyFont="1" applyFill="1" applyBorder="1" applyAlignment="1">
      <alignment horizontal="center" vertical="top"/>
      <protection/>
    </xf>
    <xf numFmtId="0" fontId="6" fillId="35" borderId="0" xfId="52" applyFont="1" applyFill="1" applyAlignment="1">
      <alignment wrapText="1"/>
      <protection/>
    </xf>
    <xf numFmtId="0" fontId="3" fillId="35" borderId="0" xfId="52" applyFont="1" applyFill="1">
      <alignment/>
      <protection/>
    </xf>
    <xf numFmtId="0" fontId="6" fillId="34" borderId="10" xfId="52" applyFont="1" applyFill="1" applyBorder="1" applyAlignment="1">
      <alignment horizontal="center" vertical="top"/>
      <protection/>
    </xf>
    <xf numFmtId="0" fontId="6" fillId="34" borderId="10" xfId="52" applyFont="1" applyFill="1" applyBorder="1" applyAlignment="1">
      <alignment horizontal="center" vertical="top" wrapText="1"/>
      <protection/>
    </xf>
    <xf numFmtId="0" fontId="88" fillId="34" borderId="10" xfId="0" applyFont="1" applyFill="1" applyBorder="1" applyAlignment="1">
      <alignment horizontal="left" vertical="center" wrapText="1"/>
    </xf>
    <xf numFmtId="0" fontId="6" fillId="34" borderId="10" xfId="52" applyFont="1" applyFill="1" applyBorder="1" applyAlignment="1">
      <alignment horizontal="center" vertical="center"/>
      <protection/>
    </xf>
    <xf numFmtId="2" fontId="6" fillId="34" borderId="10" xfId="52" applyNumberFormat="1" applyFont="1" applyFill="1" applyBorder="1" applyAlignment="1">
      <alignment horizontal="center" vertical="top" wrapText="1"/>
      <protection/>
    </xf>
    <xf numFmtId="16" fontId="15" fillId="0" borderId="10" xfId="57" applyNumberFormat="1" applyFont="1" applyBorder="1" applyAlignment="1">
      <alignment horizontal="right" vertical="top" wrapText="1"/>
      <protection/>
    </xf>
    <xf numFmtId="0" fontId="15" fillId="0" borderId="10" xfId="57" applyFont="1" applyBorder="1" applyAlignment="1">
      <alignment horizontal="right" vertical="top" wrapText="1"/>
      <protection/>
    </xf>
    <xf numFmtId="0" fontId="88" fillId="0" borderId="0" xfId="57" applyFont="1" applyBorder="1" applyAlignment="1">
      <alignment horizontal="right"/>
      <protection/>
    </xf>
    <xf numFmtId="0" fontId="88" fillId="0" borderId="10" xfId="57" applyFont="1" applyBorder="1" applyAlignment="1">
      <alignment horizontal="right" vertical="top"/>
      <protection/>
    </xf>
    <xf numFmtId="0" fontId="13" fillId="34" borderId="10" xfId="55" applyFont="1" applyFill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13" fillId="34" borderId="10" xfId="55" applyFont="1" applyFill="1" applyBorder="1" applyAlignment="1">
      <alignment horizontal="center" vertical="top" wrapText="1"/>
      <protection/>
    </xf>
    <xf numFmtId="2" fontId="13" fillId="34" borderId="10" xfId="55" applyNumberFormat="1" applyFont="1" applyFill="1" applyBorder="1" applyAlignment="1">
      <alignment horizontal="center" vertical="top" wrapText="1"/>
      <protection/>
    </xf>
    <xf numFmtId="1" fontId="13" fillId="34" borderId="10" xfId="55" applyNumberFormat="1" applyFont="1" applyFill="1" applyBorder="1" applyAlignment="1">
      <alignment horizontal="right" vertical="top" wrapText="1"/>
      <protection/>
    </xf>
    <xf numFmtId="1" fontId="13" fillId="34" borderId="16" xfId="55" applyNumberFormat="1" applyFont="1" applyFill="1" applyBorder="1" applyAlignment="1">
      <alignment horizontal="right" vertical="top" wrapText="1"/>
      <protection/>
    </xf>
    <xf numFmtId="0" fontId="13" fillId="34" borderId="0" xfId="55" applyFont="1" applyFill="1" applyAlignment="1">
      <alignment vertical="top" wrapText="1"/>
      <protection/>
    </xf>
    <xf numFmtId="0" fontId="5" fillId="34" borderId="0" xfId="56" applyFont="1" applyFill="1">
      <alignment/>
      <protection/>
    </xf>
    <xf numFmtId="49" fontId="5" fillId="34" borderId="0" xfId="56" applyNumberFormat="1" applyFont="1" applyFill="1">
      <alignment/>
      <protection/>
    </xf>
    <xf numFmtId="0" fontId="8" fillId="34" borderId="0" xfId="56" applyFont="1" applyFill="1">
      <alignment/>
      <protection/>
    </xf>
    <xf numFmtId="0" fontId="22" fillId="34" borderId="0" xfId="56" applyFont="1" applyFill="1">
      <alignment/>
      <protection/>
    </xf>
    <xf numFmtId="49" fontId="22" fillId="34" borderId="0" xfId="56" applyNumberFormat="1" applyFont="1" applyFill="1">
      <alignment/>
      <protection/>
    </xf>
    <xf numFmtId="0" fontId="8" fillId="34" borderId="0" xfId="56" applyFont="1" applyFill="1" applyAlignment="1">
      <alignment horizontal="center" wrapText="1"/>
      <protection/>
    </xf>
    <xf numFmtId="0" fontId="5" fillId="34" borderId="0" xfId="56" applyFont="1" applyFill="1" applyAlignment="1">
      <alignment horizontal="center" vertical="center" wrapText="1"/>
      <protection/>
    </xf>
    <xf numFmtId="0" fontId="24" fillId="34" borderId="10" xfId="56" applyFont="1" applyFill="1" applyBorder="1" applyAlignment="1">
      <alignment horizontal="left" vertical="center" wrapText="1"/>
      <protection/>
    </xf>
    <xf numFmtId="0" fontId="24" fillId="34" borderId="10" xfId="56" applyFont="1" applyFill="1" applyBorder="1" applyAlignment="1">
      <alignment horizontal="center" vertical="center"/>
      <protection/>
    </xf>
    <xf numFmtId="49" fontId="24" fillId="34" borderId="10" xfId="56" applyNumberFormat="1" applyFont="1" applyFill="1" applyBorder="1" applyAlignment="1">
      <alignment horizontal="center" vertical="center"/>
      <protection/>
    </xf>
    <xf numFmtId="0" fontId="8" fillId="34" borderId="10" xfId="56" applyFont="1" applyFill="1" applyBorder="1" applyAlignment="1">
      <alignment vertical="top" wrapText="1"/>
      <protection/>
    </xf>
    <xf numFmtId="3" fontId="8" fillId="34" borderId="10" xfId="56" applyNumberFormat="1" applyFont="1" applyFill="1" applyBorder="1" applyAlignment="1">
      <alignment horizontal="center" vertical="center"/>
      <protection/>
    </xf>
    <xf numFmtId="166" fontId="8" fillId="34" borderId="10" xfId="56" applyNumberFormat="1" applyFont="1" applyFill="1" applyBorder="1" applyAlignment="1">
      <alignment horizontal="center" vertical="center"/>
      <protection/>
    </xf>
    <xf numFmtId="49" fontId="8" fillId="34" borderId="10" xfId="56" applyNumberFormat="1" applyFont="1" applyFill="1" applyBorder="1" applyAlignment="1">
      <alignment horizontal="center" vertical="center"/>
      <protection/>
    </xf>
    <xf numFmtId="166" fontId="8" fillId="34" borderId="10" xfId="56" applyNumberFormat="1" applyFont="1" applyFill="1" applyBorder="1" applyAlignment="1">
      <alignment vertical="top" wrapText="1"/>
      <protection/>
    </xf>
    <xf numFmtId="166" fontId="5" fillId="34" borderId="0" xfId="56" applyNumberFormat="1" applyFont="1" applyFill="1">
      <alignment/>
      <protection/>
    </xf>
    <xf numFmtId="0" fontId="24" fillId="34" borderId="10" xfId="56" applyFont="1" applyFill="1" applyBorder="1" applyAlignment="1">
      <alignment vertical="top" wrapText="1"/>
      <protection/>
    </xf>
    <xf numFmtId="49" fontId="6" fillId="34" borderId="10" xfId="56" applyNumberFormat="1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wrapText="1"/>
    </xf>
    <xf numFmtId="3" fontId="8" fillId="34" borderId="10" xfId="56" applyNumberFormat="1" applyFont="1" applyFill="1" applyBorder="1" applyAlignment="1">
      <alignment horizontal="left" vertical="top" wrapText="1"/>
      <protection/>
    </xf>
    <xf numFmtId="0" fontId="8" fillId="34" borderId="10" xfId="56" applyFont="1" applyFill="1" applyBorder="1">
      <alignment/>
      <protection/>
    </xf>
    <xf numFmtId="166" fontId="8" fillId="34" borderId="10" xfId="56" applyNumberFormat="1" applyFont="1" applyFill="1" applyBorder="1">
      <alignment/>
      <protection/>
    </xf>
    <xf numFmtId="168" fontId="8" fillId="34" borderId="10" xfId="0" applyNumberFormat="1" applyFont="1" applyFill="1" applyBorder="1" applyAlignment="1">
      <alignment horizontal="left" vertical="center" wrapText="1"/>
    </xf>
    <xf numFmtId="1" fontId="8" fillId="34" borderId="10" xfId="56" applyNumberFormat="1" applyFont="1" applyFill="1" applyBorder="1" applyAlignment="1">
      <alignment horizontal="center" vertical="center"/>
      <protection/>
    </xf>
    <xf numFmtId="2" fontId="8" fillId="34" borderId="10" xfId="0" applyNumberFormat="1" applyFont="1" applyFill="1" applyBorder="1" applyAlignment="1">
      <alignment wrapText="1"/>
    </xf>
    <xf numFmtId="0" fontId="8" fillId="34" borderId="0" xfId="56" applyFont="1" applyFill="1" applyBorder="1">
      <alignment/>
      <protection/>
    </xf>
    <xf numFmtId="3" fontId="8" fillId="34" borderId="0" xfId="56" applyNumberFormat="1" applyFont="1" applyFill="1" applyBorder="1" applyAlignment="1">
      <alignment horizontal="center" vertical="center"/>
      <protection/>
    </xf>
    <xf numFmtId="166" fontId="8" fillId="34" borderId="0" xfId="56" applyNumberFormat="1" applyFont="1" applyFill="1" applyBorder="1" applyAlignment="1">
      <alignment horizontal="center" vertical="center"/>
      <protection/>
    </xf>
    <xf numFmtId="49" fontId="8" fillId="34" borderId="0" xfId="56" applyNumberFormat="1" applyFont="1" applyFill="1" applyBorder="1" applyAlignment="1">
      <alignment horizontal="center" vertical="center"/>
      <protection/>
    </xf>
    <xf numFmtId="166" fontId="8" fillId="34" borderId="0" xfId="56" applyNumberFormat="1" applyFont="1" applyFill="1" applyBorder="1" applyAlignment="1">
      <alignment horizontal="right" vertical="center"/>
      <protection/>
    </xf>
    <xf numFmtId="166" fontId="8" fillId="34" borderId="0" xfId="56" applyNumberFormat="1" applyFont="1" applyFill="1" applyBorder="1">
      <alignment/>
      <protection/>
    </xf>
    <xf numFmtId="0" fontId="31" fillId="34" borderId="0" xfId="0" applyFont="1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49" fontId="15" fillId="34" borderId="0" xfId="52" applyNumberFormat="1" applyFont="1" applyFill="1" applyAlignment="1">
      <alignment horizontal="center" vertical="top" wrapText="1"/>
      <protection/>
    </xf>
    <xf numFmtId="0" fontId="15" fillId="34" borderId="0" xfId="52" applyFont="1" applyFill="1" applyAlignment="1">
      <alignment vertical="top" wrapText="1"/>
      <protection/>
    </xf>
    <xf numFmtId="0" fontId="16" fillId="34" borderId="0" xfId="52" applyFont="1" applyFill="1" applyAlignment="1">
      <alignment vertical="top" wrapText="1"/>
      <protection/>
    </xf>
    <xf numFmtId="49" fontId="16" fillId="34" borderId="0" xfId="52" applyNumberFormat="1" applyFont="1" applyFill="1" applyAlignment="1">
      <alignment horizontal="center" vertical="top" wrapText="1"/>
      <protection/>
    </xf>
    <xf numFmtId="49" fontId="15" fillId="34" borderId="14" xfId="52" applyNumberFormat="1" applyFont="1" applyFill="1" applyBorder="1" applyAlignment="1">
      <alignment horizontal="left" vertical="top" wrapText="1"/>
      <protection/>
    </xf>
    <xf numFmtId="0" fontId="15" fillId="34" borderId="0" xfId="52" applyFont="1" applyFill="1" applyAlignment="1">
      <alignment wrapText="1"/>
      <protection/>
    </xf>
    <xf numFmtId="0" fontId="15" fillId="34" borderId="12" xfId="52" applyFont="1" applyFill="1" applyBorder="1" applyAlignment="1">
      <alignment horizontal="left" vertical="top" wrapText="1"/>
      <protection/>
    </xf>
    <xf numFmtId="0" fontId="15" fillId="34" borderId="10" xfId="52" applyFont="1" applyFill="1" applyBorder="1" applyAlignment="1">
      <alignment horizontal="left" vertical="top" wrapText="1"/>
      <protection/>
    </xf>
    <xf numFmtId="167" fontId="15" fillId="34" borderId="10" xfId="52" applyNumberFormat="1" applyFont="1" applyFill="1" applyBorder="1" applyAlignment="1">
      <alignment horizontal="left" vertical="top" wrapText="1"/>
      <protection/>
    </xf>
    <xf numFmtId="166" fontId="15" fillId="34" borderId="0" xfId="52" applyNumberFormat="1" applyFont="1" applyFill="1" applyAlignment="1">
      <alignment vertical="top" wrapText="1"/>
      <protection/>
    </xf>
    <xf numFmtId="49" fontId="13" fillId="34" borderId="0" xfId="52" applyNumberFormat="1" applyFont="1" applyFill="1" applyAlignment="1">
      <alignment horizontal="center" vertical="top" wrapText="1"/>
      <protection/>
    </xf>
    <xf numFmtId="0" fontId="13" fillId="34" borderId="0" xfId="52" applyFont="1" applyFill="1" applyAlignment="1">
      <alignment vertical="top" wrapText="1"/>
      <protection/>
    </xf>
    <xf numFmtId="167" fontId="13" fillId="34" borderId="0" xfId="52" applyNumberFormat="1" applyFont="1" applyFill="1" applyAlignment="1">
      <alignment vertical="top" wrapText="1"/>
      <protection/>
    </xf>
    <xf numFmtId="166" fontId="13" fillId="34" borderId="0" xfId="0" applyNumberFormat="1" applyFont="1" applyFill="1" applyAlignment="1">
      <alignment vertical="top" wrapText="1"/>
    </xf>
    <xf numFmtId="166" fontId="13" fillId="34" borderId="0" xfId="52" applyNumberFormat="1" applyFont="1" applyFill="1" applyAlignment="1">
      <alignment vertical="top" wrapText="1"/>
      <protection/>
    </xf>
    <xf numFmtId="0" fontId="21" fillId="34" borderId="0" xfId="0" applyFont="1" applyFill="1" applyAlignment="1">
      <alignment/>
    </xf>
    <xf numFmtId="0" fontId="29" fillId="34" borderId="0" xfId="0" applyFont="1" applyFill="1" applyAlignment="1">
      <alignment vertical="top"/>
    </xf>
    <xf numFmtId="0" fontId="15" fillId="34" borderId="0" xfId="0" applyFont="1" applyFill="1" applyAlignment="1">
      <alignment wrapText="1"/>
    </xf>
    <xf numFmtId="169" fontId="21" fillId="34" borderId="0" xfId="0" applyNumberFormat="1" applyFont="1" applyFill="1" applyAlignment="1">
      <alignment/>
    </xf>
    <xf numFmtId="167" fontId="21" fillId="34" borderId="0" xfId="0" applyNumberFormat="1" applyFont="1" applyFill="1" applyAlignment="1">
      <alignment/>
    </xf>
    <xf numFmtId="0" fontId="15" fillId="34" borderId="10" xfId="0" applyFont="1" applyFill="1" applyBorder="1" applyAlignment="1">
      <alignment horizontal="left" vertical="top" wrapText="1" indent="3"/>
    </xf>
    <xf numFmtId="167" fontId="18" fillId="34" borderId="0" xfId="0" applyNumberFormat="1" applyFont="1" applyFill="1" applyAlignment="1">
      <alignment/>
    </xf>
    <xf numFmtId="164" fontId="21" fillId="34" borderId="0" xfId="0" applyNumberFormat="1" applyFont="1" applyFill="1" applyAlignment="1">
      <alignment/>
    </xf>
    <xf numFmtId="0" fontId="15" fillId="34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 indent="3"/>
    </xf>
    <xf numFmtId="167" fontId="15" fillId="34" borderId="0" xfId="0" applyNumberFormat="1" applyFont="1" applyFill="1" applyBorder="1" applyAlignment="1">
      <alignment horizontal="right" vertical="top" wrapText="1"/>
    </xf>
    <xf numFmtId="0" fontId="16" fillId="34" borderId="0" xfId="0" applyFont="1" applyFill="1" applyAlignment="1">
      <alignment wrapText="1"/>
    </xf>
    <xf numFmtId="167" fontId="15" fillId="34" borderId="0" xfId="0" applyNumberFormat="1" applyFont="1" applyFill="1" applyAlignment="1">
      <alignment wrapText="1"/>
    </xf>
    <xf numFmtId="169" fontId="15" fillId="34" borderId="0" xfId="0" applyNumberFormat="1" applyFont="1" applyFill="1" applyAlignment="1">
      <alignment wrapText="1"/>
    </xf>
    <xf numFmtId="49" fontId="15" fillId="34" borderId="10" xfId="0" applyNumberFormat="1" applyFont="1" applyFill="1" applyBorder="1" applyAlignment="1">
      <alignment horizontal="center" vertical="top" wrapText="1"/>
    </xf>
    <xf numFmtId="49" fontId="15" fillId="34" borderId="14" xfId="0" applyNumberFormat="1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vertical="top" wrapText="1"/>
    </xf>
    <xf numFmtId="49" fontId="15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49" fontId="15" fillId="34" borderId="0" xfId="0" applyNumberFormat="1" applyFont="1" applyFill="1" applyAlignment="1">
      <alignment wrapText="1"/>
    </xf>
    <xf numFmtId="166" fontId="15" fillId="34" borderId="0" xfId="0" applyNumberFormat="1" applyFont="1" applyFill="1" applyAlignment="1">
      <alignment vertical="top" wrapText="1"/>
    </xf>
    <xf numFmtId="0" fontId="15" fillId="34" borderId="0" xfId="0" applyFont="1" applyFill="1" applyAlignment="1">
      <alignment vertical="top" wrapText="1"/>
    </xf>
    <xf numFmtId="0" fontId="4" fillId="34" borderId="0" xfId="56" applyFont="1" applyFill="1" applyAlignment="1">
      <alignment horizontal="center" wrapText="1"/>
      <protection/>
    </xf>
    <xf numFmtId="0" fontId="22" fillId="34" borderId="0" xfId="56" applyFont="1" applyFill="1" applyAlignment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0" fontId="11" fillId="34" borderId="10" xfId="56" applyFont="1" applyFill="1" applyBorder="1" applyAlignment="1">
      <alignment horizontal="center" vertical="center"/>
      <protection/>
    </xf>
    <xf numFmtId="49" fontId="11" fillId="34" borderId="10" xfId="56" applyNumberFormat="1" applyFont="1" applyFill="1" applyBorder="1" applyAlignment="1">
      <alignment horizontal="center" vertical="center"/>
      <protection/>
    </xf>
    <xf numFmtId="166" fontId="11" fillId="34" borderId="10" xfId="56" applyNumberFormat="1" applyFont="1" applyFill="1" applyBorder="1" applyAlignment="1">
      <alignment horizontal="center" vertical="center"/>
      <protection/>
    </xf>
    <xf numFmtId="166" fontId="22" fillId="34" borderId="0" xfId="56" applyNumberFormat="1" applyFont="1" applyFill="1">
      <alignment/>
      <protection/>
    </xf>
    <xf numFmtId="3" fontId="10" fillId="34" borderId="29" xfId="56" applyNumberFormat="1" applyFont="1" applyFill="1" applyBorder="1" applyAlignment="1">
      <alignment horizontal="center" vertical="center"/>
      <protection/>
    </xf>
    <xf numFmtId="49" fontId="10" fillId="34" borderId="10" xfId="56" applyNumberFormat="1" applyFont="1" applyFill="1" applyBorder="1" applyAlignment="1">
      <alignment horizontal="center" vertical="center"/>
      <protection/>
    </xf>
    <xf numFmtId="3" fontId="10" fillId="34" borderId="30" xfId="56" applyNumberFormat="1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56" applyNumberFormat="1" applyFont="1" applyFill="1" applyBorder="1" applyAlignment="1">
      <alignment horizontal="center" vertical="center"/>
      <protection/>
    </xf>
    <xf numFmtId="0" fontId="10" fillId="34" borderId="10" xfId="56" applyFont="1" applyFill="1" applyBorder="1" applyAlignment="1">
      <alignment vertical="top" wrapText="1"/>
      <protection/>
    </xf>
    <xf numFmtId="168" fontId="10" fillId="34" borderId="10" xfId="0" applyNumberFormat="1" applyFont="1" applyFill="1" applyBorder="1" applyAlignment="1">
      <alignment horizontal="left" vertical="center" wrapText="1"/>
    </xf>
    <xf numFmtId="0" fontId="11" fillId="34" borderId="0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>
      <alignment/>
      <protection/>
    </xf>
    <xf numFmtId="49" fontId="10" fillId="34" borderId="0" xfId="56" applyNumberFormat="1" applyFont="1" applyFill="1" applyBorder="1">
      <alignment/>
      <protection/>
    </xf>
    <xf numFmtId="166" fontId="10" fillId="34" borderId="0" xfId="56" applyNumberFormat="1" applyFont="1" applyFill="1" applyBorder="1" applyAlignment="1">
      <alignment vertical="center"/>
      <protection/>
    </xf>
    <xf numFmtId="166" fontId="34" fillId="34" borderId="0" xfId="56" applyNumberFormat="1" applyFont="1" applyFill="1">
      <alignment/>
      <protection/>
    </xf>
    <xf numFmtId="165" fontId="22" fillId="34" borderId="0" xfId="56" applyNumberFormat="1" applyFont="1" applyFill="1">
      <alignment/>
      <protection/>
    </xf>
    <xf numFmtId="165" fontId="10" fillId="34" borderId="0" xfId="56" applyNumberFormat="1" applyFont="1" applyFill="1" applyBorder="1" applyAlignment="1">
      <alignment vertical="center"/>
      <protection/>
    </xf>
    <xf numFmtId="165" fontId="31" fillId="34" borderId="0" xfId="0" applyNumberFormat="1" applyFont="1" applyFill="1" applyAlignment="1">
      <alignment vertical="top" wrapText="1"/>
    </xf>
    <xf numFmtId="165" fontId="13" fillId="34" borderId="0" xfId="0" applyNumberFormat="1" applyFont="1" applyFill="1" applyAlignment="1">
      <alignment vertical="top" wrapText="1"/>
    </xf>
    <xf numFmtId="166" fontId="35" fillId="34" borderId="10" xfId="56" applyNumberFormat="1" applyFont="1" applyFill="1" applyBorder="1" applyAlignment="1">
      <alignment horizontal="center" vertical="center"/>
      <protection/>
    </xf>
    <xf numFmtId="49" fontId="35" fillId="34" borderId="10" xfId="56" applyNumberFormat="1" applyFont="1" applyFill="1" applyBorder="1" applyAlignment="1">
      <alignment horizontal="center" vertical="center"/>
      <protection/>
    </xf>
    <xf numFmtId="49" fontId="35" fillId="34" borderId="14" xfId="56" applyNumberFormat="1" applyFont="1" applyFill="1" applyBorder="1" applyAlignment="1">
      <alignment horizontal="center" vertical="center"/>
      <protection/>
    </xf>
    <xf numFmtId="0" fontId="35" fillId="34" borderId="14" xfId="56" applyNumberFormat="1" applyFont="1" applyFill="1" applyBorder="1" applyAlignment="1">
      <alignment horizontal="center" vertical="center"/>
      <protection/>
    </xf>
    <xf numFmtId="166" fontId="35" fillId="34" borderId="14" xfId="56" applyNumberFormat="1" applyFont="1" applyFill="1" applyBorder="1" applyAlignment="1">
      <alignment horizontal="center" vertical="center"/>
      <protection/>
    </xf>
    <xf numFmtId="49" fontId="13" fillId="34" borderId="10" xfId="52" applyNumberFormat="1" applyFont="1" applyFill="1" applyBorder="1" applyAlignment="1">
      <alignment horizontal="center" vertical="top" wrapText="1"/>
      <protection/>
    </xf>
    <xf numFmtId="0" fontId="13" fillId="34" borderId="10" xfId="52" applyFont="1" applyFill="1" applyBorder="1" applyAlignment="1">
      <alignment vertical="top" wrapText="1"/>
      <protection/>
    </xf>
    <xf numFmtId="0" fontId="10" fillId="34" borderId="12" xfId="56" applyFont="1" applyFill="1" applyBorder="1" applyAlignment="1">
      <alignment vertical="top" wrapText="1"/>
      <protection/>
    </xf>
    <xf numFmtId="0" fontId="34" fillId="34" borderId="0" xfId="56" applyFont="1" applyFill="1">
      <alignment/>
      <protection/>
    </xf>
    <xf numFmtId="0" fontId="10" fillId="34" borderId="20" xfId="56" applyFont="1" applyFill="1" applyBorder="1" applyAlignment="1">
      <alignment vertical="top" wrapText="1"/>
      <protection/>
    </xf>
    <xf numFmtId="2" fontId="34" fillId="34" borderId="0" xfId="56" applyNumberFormat="1" applyFont="1" applyFill="1">
      <alignment/>
      <protection/>
    </xf>
    <xf numFmtId="0" fontId="0" fillId="34" borderId="0" xfId="0" applyFill="1" applyAlignment="1">
      <alignment/>
    </xf>
    <xf numFmtId="0" fontId="6" fillId="34" borderId="14" xfId="54" applyFont="1" applyFill="1" applyBorder="1" applyAlignment="1">
      <alignment horizontal="left" vertical="top" wrapText="1"/>
      <protection/>
    </xf>
    <xf numFmtId="0" fontId="27" fillId="34" borderId="10" xfId="54" applyFont="1" applyFill="1" applyBorder="1" applyAlignment="1">
      <alignment horizontal="left" vertical="top" wrapText="1"/>
      <protection/>
    </xf>
    <xf numFmtId="0" fontId="6" fillId="34" borderId="10" xfId="54" applyFont="1" applyFill="1" applyBorder="1" applyAlignment="1">
      <alignment horizontal="center" vertical="center"/>
      <protection/>
    </xf>
    <xf numFmtId="0" fontId="26" fillId="34" borderId="10" xfId="54" applyFont="1" applyFill="1" applyBorder="1" applyAlignment="1">
      <alignment vertical="top" wrapText="1"/>
      <protection/>
    </xf>
    <xf numFmtId="0" fontId="6" fillId="34" borderId="10" xfId="54" applyFont="1" applyFill="1" applyBorder="1" applyAlignment="1">
      <alignment vertical="center" wrapText="1"/>
      <protection/>
    </xf>
    <xf numFmtId="0" fontId="6" fillId="34" borderId="0" xfId="54" applyFont="1" applyFill="1">
      <alignment/>
      <protection/>
    </xf>
    <xf numFmtId="0" fontId="6" fillId="34" borderId="10" xfId="54" applyFont="1" applyFill="1" applyBorder="1" applyAlignment="1">
      <alignment horizontal="center" vertical="top" wrapText="1"/>
      <protection/>
    </xf>
    <xf numFmtId="0" fontId="6" fillId="34" borderId="28" xfId="54" applyFont="1" applyFill="1" applyBorder="1" applyAlignment="1">
      <alignment horizontal="center" vertical="top" wrapText="1"/>
      <protection/>
    </xf>
    <xf numFmtId="0" fontId="6" fillId="34" borderId="21" xfId="54" applyFont="1" applyFill="1" applyBorder="1" applyAlignment="1">
      <alignment horizontal="center" vertical="top" wrapText="1"/>
      <protection/>
    </xf>
    <xf numFmtId="0" fontId="6" fillId="34" borderId="22" xfId="54" applyFont="1" applyFill="1" applyBorder="1" applyAlignment="1">
      <alignment horizontal="center" vertical="top" wrapText="1"/>
      <protection/>
    </xf>
    <xf numFmtId="0" fontId="6" fillId="34" borderId="26" xfId="54" applyFont="1" applyFill="1" applyBorder="1" applyAlignment="1">
      <alignment horizontal="center" vertical="center"/>
      <protection/>
    </xf>
    <xf numFmtId="0" fontId="6" fillId="34" borderId="25" xfId="54" applyFont="1" applyFill="1" applyBorder="1" applyAlignment="1">
      <alignment horizontal="center" vertical="top"/>
      <protection/>
    </xf>
    <xf numFmtId="3" fontId="6" fillId="34" borderId="10" xfId="54" applyNumberFormat="1" applyFont="1" applyFill="1" applyBorder="1" applyAlignment="1">
      <alignment horizontal="center" vertical="center" wrapText="1"/>
      <protection/>
    </xf>
    <xf numFmtId="166" fontId="6" fillId="34" borderId="10" xfId="54" applyNumberFormat="1" applyFont="1" applyFill="1" applyBorder="1" applyAlignment="1">
      <alignment horizontal="center" vertical="center" wrapText="1"/>
      <protection/>
    </xf>
    <xf numFmtId="0" fontId="6" fillId="34" borderId="18" xfId="54" applyFont="1" applyFill="1" applyBorder="1" applyAlignment="1">
      <alignment vertical="top" wrapText="1"/>
      <protection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9" xfId="54" applyNumberFormat="1" applyFont="1" applyFill="1" applyBorder="1" applyAlignment="1">
      <alignment horizontal="center" vertical="center"/>
      <protection/>
    </xf>
    <xf numFmtId="166" fontId="6" fillId="34" borderId="11" xfId="54" applyNumberFormat="1" applyFont="1" applyFill="1" applyBorder="1" applyAlignment="1">
      <alignment horizontal="center" vertical="center"/>
      <protection/>
    </xf>
    <xf numFmtId="0" fontId="26" fillId="34" borderId="10" xfId="54" applyFont="1" applyFill="1" applyBorder="1" applyAlignment="1">
      <alignment vertical="center" wrapText="1"/>
      <protection/>
    </xf>
    <xf numFmtId="0" fontId="6" fillId="34" borderId="14" xfId="54" applyFont="1" applyFill="1" applyBorder="1" applyAlignment="1">
      <alignment vertical="top" wrapText="1"/>
      <protection/>
    </xf>
    <xf numFmtId="0" fontId="6" fillId="34" borderId="20" xfId="54" applyFont="1" applyFill="1" applyBorder="1" applyAlignment="1">
      <alignment horizontal="right" vertical="center" wrapText="1"/>
      <protection/>
    </xf>
    <xf numFmtId="0" fontId="6" fillId="34" borderId="20" xfId="54" applyFont="1" applyFill="1" applyBorder="1" applyAlignment="1">
      <alignment horizontal="right" vertical="center"/>
      <protection/>
    </xf>
    <xf numFmtId="0" fontId="6" fillId="34" borderId="20" xfId="54" applyFont="1" applyFill="1" applyBorder="1" applyAlignment="1">
      <alignment horizontal="center" vertical="center" wrapText="1"/>
      <protection/>
    </xf>
    <xf numFmtId="165" fontId="6" fillId="34" borderId="20" xfId="54" applyNumberFormat="1" applyFont="1" applyFill="1" applyBorder="1" applyAlignment="1">
      <alignment horizontal="center" vertical="center" wrapText="1"/>
      <protection/>
    </xf>
    <xf numFmtId="165" fontId="6" fillId="34" borderId="17" xfId="54" applyNumberFormat="1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vertical="top" wrapText="1"/>
      <protection/>
    </xf>
    <xf numFmtId="0" fontId="6" fillId="34" borderId="25" xfId="54" applyFont="1" applyFill="1" applyBorder="1" applyAlignment="1">
      <alignment horizontal="center" vertical="center"/>
      <protection/>
    </xf>
    <xf numFmtId="166" fontId="6" fillId="34" borderId="25" xfId="54" applyNumberFormat="1" applyFont="1" applyFill="1" applyBorder="1" applyAlignment="1">
      <alignment horizontal="center" vertical="center"/>
      <protection/>
    </xf>
    <xf numFmtId="166" fontId="6" fillId="34" borderId="23" xfId="54" applyNumberFormat="1" applyFont="1" applyFill="1" applyBorder="1" applyAlignment="1">
      <alignment horizontal="center" vertical="center"/>
      <protection/>
    </xf>
    <xf numFmtId="166" fontId="6" fillId="34" borderId="17" xfId="54" applyNumberFormat="1" applyFont="1" applyFill="1" applyBorder="1" applyAlignment="1">
      <alignment horizontal="center" vertical="center"/>
      <protection/>
    </xf>
    <xf numFmtId="3" fontId="6" fillId="34" borderId="23" xfId="54" applyNumberFormat="1" applyFont="1" applyFill="1" applyBorder="1" applyAlignment="1">
      <alignment horizontal="center" vertical="center" wrapText="1"/>
      <protection/>
    </xf>
    <xf numFmtId="167" fontId="15" fillId="34" borderId="0" xfId="52" applyNumberFormat="1" applyFont="1" applyFill="1" applyAlignment="1">
      <alignment wrapText="1"/>
      <protection/>
    </xf>
    <xf numFmtId="0" fontId="36" fillId="34" borderId="0" xfId="56" applyFont="1" applyFill="1">
      <alignment/>
      <protection/>
    </xf>
    <xf numFmtId="0" fontId="36" fillId="34" borderId="0" xfId="56" applyFont="1" applyFill="1" applyAlignment="1">
      <alignment horizontal="center" vertical="center"/>
      <protection/>
    </xf>
    <xf numFmtId="165" fontId="89" fillId="34" borderId="0" xfId="56" applyNumberFormat="1" applyFont="1" applyFill="1">
      <alignment/>
      <protection/>
    </xf>
    <xf numFmtId="2" fontId="90" fillId="34" borderId="0" xfId="56" applyNumberFormat="1" applyFont="1" applyFill="1">
      <alignment/>
      <protection/>
    </xf>
    <xf numFmtId="0" fontId="90" fillId="34" borderId="0" xfId="56" applyFont="1" applyFill="1">
      <alignment/>
      <protection/>
    </xf>
    <xf numFmtId="166" fontId="91" fillId="34" borderId="0" xfId="56" applyNumberFormat="1" applyFont="1" applyFill="1">
      <alignment/>
      <protection/>
    </xf>
    <xf numFmtId="0" fontId="91" fillId="34" borderId="0" xfId="56" applyFont="1" applyFill="1">
      <alignment/>
      <protection/>
    </xf>
    <xf numFmtId="2" fontId="92" fillId="34" borderId="0" xfId="56" applyNumberFormat="1" applyFont="1" applyFill="1">
      <alignment/>
      <protection/>
    </xf>
    <xf numFmtId="166" fontId="89" fillId="34" borderId="0" xfId="56" applyNumberFormat="1" applyFont="1" applyFill="1">
      <alignment/>
      <protection/>
    </xf>
    <xf numFmtId="165" fontId="90" fillId="34" borderId="0" xfId="56" applyNumberFormat="1" applyFont="1" applyFill="1">
      <alignment/>
      <protection/>
    </xf>
    <xf numFmtId="165" fontId="92" fillId="34" borderId="0" xfId="56" applyNumberFormat="1" applyFont="1" applyFill="1">
      <alignment/>
      <protection/>
    </xf>
    <xf numFmtId="0" fontId="6" fillId="34" borderId="26" xfId="54" applyFont="1" applyFill="1" applyBorder="1" applyAlignment="1">
      <alignment vertical="top" wrapText="1"/>
      <protection/>
    </xf>
    <xf numFmtId="0" fontId="6" fillId="34" borderId="14" xfId="54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166" fontId="6" fillId="34" borderId="31" xfId="54" applyNumberFormat="1" applyFont="1" applyFill="1" applyBorder="1" applyAlignment="1">
      <alignment horizontal="center" vertical="center"/>
      <protection/>
    </xf>
    <xf numFmtId="166" fontId="6" fillId="34" borderId="27" xfId="54" applyNumberFormat="1" applyFont="1" applyFill="1" applyBorder="1" applyAlignment="1">
      <alignment horizontal="center" vertical="center"/>
      <protection/>
    </xf>
    <xf numFmtId="3" fontId="6" fillId="34" borderId="22" xfId="54" applyNumberFormat="1" applyFont="1" applyFill="1" applyBorder="1" applyAlignment="1">
      <alignment horizontal="center" vertical="center" wrapText="1"/>
      <protection/>
    </xf>
    <xf numFmtId="49" fontId="15" fillId="0" borderId="10" xfId="57" applyNumberFormat="1" applyFont="1" applyBorder="1" applyAlignment="1">
      <alignment horizontal="right" vertical="top" wrapText="1"/>
      <protection/>
    </xf>
    <xf numFmtId="4" fontId="90" fillId="34" borderId="0" xfId="56" applyNumberFormat="1" applyFont="1" applyFill="1">
      <alignment/>
      <protection/>
    </xf>
    <xf numFmtId="0" fontId="23" fillId="34" borderId="10" xfId="56" applyFont="1" applyFill="1" applyBorder="1" applyAlignment="1">
      <alignment horizontal="left" vertical="center" wrapText="1"/>
      <protection/>
    </xf>
    <xf numFmtId="0" fontId="4" fillId="34" borderId="10" xfId="56" applyFont="1" applyFill="1" applyBorder="1" applyAlignment="1">
      <alignment horizontal="left" vertical="center" wrapText="1"/>
      <protection/>
    </xf>
    <xf numFmtId="166" fontId="10" fillId="34" borderId="10" xfId="56" applyNumberFormat="1" applyFont="1" applyFill="1" applyBorder="1" applyAlignment="1">
      <alignment horizontal="center" vertical="center"/>
      <protection/>
    </xf>
    <xf numFmtId="49" fontId="33" fillId="34" borderId="10" xfId="56" applyNumberFormat="1" applyFont="1" applyFill="1" applyBorder="1" applyAlignment="1">
      <alignment horizontal="center" vertical="center"/>
      <protection/>
    </xf>
    <xf numFmtId="166" fontId="11" fillId="34" borderId="10" xfId="56" applyNumberFormat="1" applyFont="1" applyFill="1" applyBorder="1" applyAlignment="1">
      <alignment vertical="center"/>
      <protection/>
    </xf>
    <xf numFmtId="0" fontId="23" fillId="34" borderId="10" xfId="56" applyFont="1" applyFill="1" applyBorder="1" applyAlignment="1">
      <alignment horizontal="left" vertical="top" wrapText="1"/>
      <protection/>
    </xf>
    <xf numFmtId="0" fontId="4" fillId="34" borderId="10" xfId="56" applyFont="1" applyFill="1" applyBorder="1" applyAlignment="1">
      <alignment vertical="top" wrapText="1"/>
      <protection/>
    </xf>
    <xf numFmtId="166" fontId="10" fillId="34" borderId="10" xfId="56" applyNumberFormat="1" applyFont="1" applyFill="1" applyBorder="1" applyAlignment="1">
      <alignment horizontal="center" vertical="top"/>
      <protection/>
    </xf>
    <xf numFmtId="49" fontId="10" fillId="34" borderId="10" xfId="56" applyNumberFormat="1" applyFont="1" applyFill="1" applyBorder="1" applyAlignment="1">
      <alignment horizontal="center" vertical="top"/>
      <protection/>
    </xf>
    <xf numFmtId="0" fontId="4" fillId="34" borderId="10" xfId="56" applyFont="1" applyFill="1" applyBorder="1" applyAlignment="1">
      <alignment horizontal="left" vertical="top" wrapText="1"/>
      <protection/>
    </xf>
    <xf numFmtId="166" fontId="10" fillId="34" borderId="10" xfId="56" applyNumberFormat="1" applyFont="1" applyFill="1" applyBorder="1" applyAlignment="1">
      <alignment vertical="center"/>
      <protection/>
    </xf>
    <xf numFmtId="0" fontId="93" fillId="34" borderId="0" xfId="56" applyFont="1" applyFill="1">
      <alignment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0" fontId="22" fillId="34" borderId="0" xfId="56" applyFont="1" applyFill="1" applyAlignment="1">
      <alignment/>
      <protection/>
    </xf>
    <xf numFmtId="2" fontId="4" fillId="34" borderId="10" xfId="0" applyNumberFormat="1" applyFont="1" applyFill="1" applyBorder="1" applyAlignment="1">
      <alignment vertical="center" wrapText="1"/>
    </xf>
    <xf numFmtId="168" fontId="4" fillId="34" borderId="32" xfId="0" applyNumberFormat="1" applyFont="1" applyFill="1" applyBorder="1" applyAlignment="1">
      <alignment horizontal="left" vertical="center" wrapText="1"/>
    </xf>
    <xf numFmtId="1" fontId="10" fillId="34" borderId="14" xfId="56" applyNumberFormat="1" applyFont="1" applyFill="1" applyBorder="1" applyAlignment="1">
      <alignment horizontal="center" vertical="center"/>
      <protection/>
    </xf>
    <xf numFmtId="166" fontId="22" fillId="34" borderId="10" xfId="56" applyNumberFormat="1" applyFont="1" applyFill="1" applyBorder="1" applyAlignment="1">
      <alignment horizontal="left" wrapText="1"/>
      <protection/>
    </xf>
    <xf numFmtId="0" fontId="4" fillId="34" borderId="0" xfId="0" applyFont="1" applyFill="1" applyBorder="1" applyAlignment="1">
      <alignment wrapText="1"/>
    </xf>
    <xf numFmtId="0" fontId="25" fillId="34" borderId="0" xfId="56" applyFont="1" applyFill="1" applyBorder="1" applyAlignment="1">
      <alignment/>
      <protection/>
    </xf>
    <xf numFmtId="3" fontId="4" fillId="34" borderId="0" xfId="56" applyNumberFormat="1" applyFont="1" applyFill="1" applyBorder="1" applyAlignment="1">
      <alignment horizontal="center" vertical="center"/>
      <protection/>
    </xf>
    <xf numFmtId="166" fontId="4" fillId="34" borderId="0" xfId="56" applyNumberFormat="1" applyFont="1" applyFill="1" applyBorder="1" applyAlignment="1">
      <alignment horizontal="center" vertical="center"/>
      <protection/>
    </xf>
    <xf numFmtId="49" fontId="4" fillId="34" borderId="0" xfId="66" applyNumberFormat="1" applyFont="1" applyFill="1" applyBorder="1" applyAlignment="1">
      <alignment horizontal="center" vertical="center"/>
    </xf>
    <xf numFmtId="49" fontId="4" fillId="34" borderId="0" xfId="56" applyNumberFormat="1" applyFont="1" applyFill="1" applyBorder="1" applyAlignment="1">
      <alignment horizontal="center" vertical="center"/>
      <protection/>
    </xf>
    <xf numFmtId="49" fontId="5" fillId="34" borderId="0" xfId="56" applyNumberFormat="1" applyFont="1" applyFill="1" applyBorder="1" applyAlignment="1">
      <alignment horizontal="center" vertical="center"/>
      <protection/>
    </xf>
    <xf numFmtId="166" fontId="23" fillId="34" borderId="0" xfId="56" applyNumberFormat="1" applyFont="1" applyFill="1" applyBorder="1" applyAlignment="1">
      <alignment horizontal="right"/>
      <protection/>
    </xf>
    <xf numFmtId="166" fontId="4" fillId="34" borderId="0" xfId="56" applyNumberFormat="1" applyFont="1" applyFill="1" applyBorder="1" applyAlignment="1">
      <alignment horizontal="right"/>
      <protection/>
    </xf>
    <xf numFmtId="165" fontId="4" fillId="34" borderId="0" xfId="56" applyNumberFormat="1" applyFont="1" applyFill="1" applyBorder="1" applyAlignment="1">
      <alignment horizontal="right"/>
      <protection/>
    </xf>
    <xf numFmtId="166" fontId="22" fillId="34" borderId="0" xfId="56" applyNumberFormat="1" applyFont="1" applyFill="1" applyBorder="1" applyAlignment="1">
      <alignment horizontal="left" wrapText="1"/>
      <protection/>
    </xf>
    <xf numFmtId="166" fontId="6" fillId="34" borderId="16" xfId="54" applyNumberFormat="1" applyFont="1" applyFill="1" applyBorder="1" applyAlignment="1">
      <alignment horizontal="center" vertical="center"/>
      <protection/>
    </xf>
    <xf numFmtId="166" fontId="35" fillId="34" borderId="10" xfId="56" applyNumberFormat="1" applyFont="1" applyFill="1" applyBorder="1" applyAlignment="1">
      <alignment vertical="center"/>
      <protection/>
    </xf>
    <xf numFmtId="166" fontId="12" fillId="34" borderId="10" xfId="56" applyNumberFormat="1" applyFont="1" applyFill="1" applyBorder="1" applyAlignment="1">
      <alignment vertical="center"/>
      <protection/>
    </xf>
    <xf numFmtId="166" fontId="35" fillId="34" borderId="14" xfId="56" applyNumberFormat="1" applyFont="1" applyFill="1" applyBorder="1" applyAlignment="1">
      <alignment vertical="center"/>
      <protection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 wrapText="1"/>
    </xf>
    <xf numFmtId="0" fontId="13" fillId="34" borderId="0" xfId="0" applyFont="1" applyFill="1" applyAlignment="1">
      <alignment horizontal="center" vertical="top" wrapText="1"/>
    </xf>
    <xf numFmtId="0" fontId="15" fillId="34" borderId="14" xfId="0" applyFont="1" applyFill="1" applyBorder="1" applyAlignment="1">
      <alignment horizontal="left" vertical="top" wrapText="1"/>
    </xf>
    <xf numFmtId="0" fontId="8" fillId="34" borderId="0" xfId="56" applyFont="1" applyFill="1" applyBorder="1" applyAlignment="1">
      <alignment horizontal="left" vertical="top" wrapText="1"/>
      <protection/>
    </xf>
    <xf numFmtId="0" fontId="8" fillId="34" borderId="10" xfId="56" applyFont="1" applyFill="1" applyBorder="1" applyAlignment="1">
      <alignment horizontal="left" vertical="top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166" fontId="8" fillId="34" borderId="10" xfId="56" applyNumberFormat="1" applyFont="1" applyFill="1" applyBorder="1" applyAlignment="1">
      <alignment horizontal="left" vertical="top" wrapText="1"/>
      <protection/>
    </xf>
    <xf numFmtId="0" fontId="15" fillId="34" borderId="0" xfId="52" applyFont="1" applyFill="1" applyBorder="1" applyAlignment="1">
      <alignment horizontal="left" vertical="top" wrapText="1"/>
      <protection/>
    </xf>
    <xf numFmtId="0" fontId="4" fillId="34" borderId="10" xfId="58" applyFont="1" applyFill="1" applyBorder="1" applyAlignment="1">
      <alignment horizontal="left" wrapText="1"/>
      <protection/>
    </xf>
    <xf numFmtId="0" fontId="8" fillId="34" borderId="0" xfId="56" applyFont="1" applyFill="1" applyAlignment="1">
      <alignment vertical="top"/>
      <protection/>
    </xf>
    <xf numFmtId="3" fontId="6" fillId="34" borderId="10" xfId="54" applyNumberFormat="1" applyFont="1" applyFill="1" applyBorder="1" applyAlignment="1">
      <alignment horizontal="center" vertical="top" wrapText="1"/>
      <protection/>
    </xf>
    <xf numFmtId="2" fontId="6" fillId="0" borderId="10" xfId="52" applyNumberFormat="1" applyFont="1" applyFill="1" applyBorder="1" applyAlignment="1">
      <alignment horizontal="center" vertical="center"/>
      <protection/>
    </xf>
    <xf numFmtId="2" fontId="6" fillId="0" borderId="16" xfId="52" applyNumberFormat="1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3" fontId="8" fillId="0" borderId="10" xfId="52" applyNumberFormat="1" applyFont="1" applyBorder="1" applyAlignment="1">
      <alignment horizontal="center" vertical="center" wrapText="1"/>
      <protection/>
    </xf>
    <xf numFmtId="3" fontId="8" fillId="34" borderId="16" xfId="52" applyNumberFormat="1" applyFont="1" applyFill="1" applyBorder="1" applyAlignment="1">
      <alignment horizontal="center" vertical="center" wrapText="1"/>
      <protection/>
    </xf>
    <xf numFmtId="165" fontId="6" fillId="0" borderId="10" xfId="52" applyNumberFormat="1" applyFont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13" fillId="0" borderId="16" xfId="55" applyFont="1" applyFill="1" applyBorder="1" applyAlignment="1">
      <alignment horizontal="center" vertical="top" wrapText="1"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34" borderId="0" xfId="57" applyFont="1" applyFill="1">
      <alignment/>
      <protection/>
    </xf>
    <xf numFmtId="0" fontId="0" fillId="0" borderId="0" xfId="57" applyFont="1" applyBorder="1" applyAlignment="1">
      <alignment horizontal="left"/>
      <protection/>
    </xf>
    <xf numFmtId="0" fontId="6" fillId="34" borderId="0" xfId="52" applyFont="1" applyFill="1" applyAlignment="1">
      <alignment wrapText="1"/>
      <protection/>
    </xf>
    <xf numFmtId="0" fontId="3" fillId="34" borderId="0" xfId="52" applyFont="1" applyFill="1">
      <alignment/>
      <protection/>
    </xf>
    <xf numFmtId="166" fontId="33" fillId="34" borderId="0" xfId="56" applyNumberFormat="1" applyFont="1" applyFill="1">
      <alignment/>
      <protection/>
    </xf>
    <xf numFmtId="0" fontId="22" fillId="34" borderId="0" xfId="56" applyFont="1" applyFill="1" applyAlignment="1">
      <alignment horizontal="center" vertical="center"/>
      <protection/>
    </xf>
    <xf numFmtId="0" fontId="5" fillId="34" borderId="0" xfId="56" applyFont="1" applyFill="1" applyAlignment="1">
      <alignment horizontal="center" vertical="center"/>
      <protection/>
    </xf>
    <xf numFmtId="49" fontId="4" fillId="34" borderId="0" xfId="56" applyNumberFormat="1" applyFont="1" applyFill="1" applyAlignment="1">
      <alignment horizontal="center" vertical="center"/>
      <protection/>
    </xf>
    <xf numFmtId="49" fontId="23" fillId="34" borderId="10" xfId="56" applyNumberFormat="1" applyFont="1" applyFill="1" applyBorder="1" applyAlignment="1">
      <alignment horizontal="center" vertical="center"/>
      <protection/>
    </xf>
    <xf numFmtId="49" fontId="4" fillId="34" borderId="10" xfId="56" applyNumberFormat="1" applyFont="1" applyFill="1" applyBorder="1" applyAlignment="1">
      <alignment horizontal="center" vertical="center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20" xfId="56" applyFont="1" applyFill="1" applyBorder="1" applyAlignment="1">
      <alignment vertical="top" wrapText="1"/>
      <protection/>
    </xf>
    <xf numFmtId="0" fontId="4" fillId="34" borderId="12" xfId="56" applyFont="1" applyFill="1" applyBorder="1" applyAlignment="1">
      <alignment vertical="top" wrapText="1"/>
      <protection/>
    </xf>
    <xf numFmtId="166" fontId="4" fillId="34" borderId="10" xfId="56" applyNumberFormat="1" applyFont="1" applyFill="1" applyBorder="1" applyAlignment="1">
      <alignment horizontal="center" vertical="center"/>
      <protection/>
    </xf>
    <xf numFmtId="49" fontId="4" fillId="34" borderId="10" xfId="66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/>
      <protection/>
    </xf>
    <xf numFmtId="2" fontId="4" fillId="34" borderId="10" xfId="56" applyNumberFormat="1" applyFont="1" applyFill="1" applyBorder="1" applyAlignment="1">
      <alignment horizontal="center" vertical="center"/>
      <protection/>
    </xf>
    <xf numFmtId="2" fontId="4" fillId="34" borderId="10" xfId="66" applyNumberFormat="1" applyFont="1" applyFill="1" applyBorder="1" applyAlignment="1">
      <alignment horizontal="center" vertical="center"/>
    </xf>
    <xf numFmtId="1" fontId="4" fillId="34" borderId="10" xfId="56" applyNumberFormat="1" applyFont="1" applyFill="1" applyBorder="1" applyAlignment="1">
      <alignment horizontal="center" vertical="center"/>
      <protection/>
    </xf>
    <xf numFmtId="2" fontId="5" fillId="34" borderId="10" xfId="56" applyNumberFormat="1" applyFont="1" applyFill="1" applyBorder="1" applyAlignment="1">
      <alignment horizontal="center" vertical="center"/>
      <protection/>
    </xf>
    <xf numFmtId="2" fontId="4" fillId="34" borderId="14" xfId="56" applyNumberFormat="1" applyFont="1" applyFill="1" applyBorder="1" applyAlignment="1">
      <alignment horizontal="center" vertical="center"/>
      <protection/>
    </xf>
    <xf numFmtId="2" fontId="4" fillId="34" borderId="14" xfId="66" applyNumberFormat="1" applyFont="1" applyFill="1" applyBorder="1" applyAlignment="1">
      <alignment horizontal="center" vertical="center"/>
    </xf>
    <xf numFmtId="1" fontId="4" fillId="34" borderId="14" xfId="56" applyNumberFormat="1" applyFont="1" applyFill="1" applyBorder="1" applyAlignment="1">
      <alignment horizontal="center" vertical="center"/>
      <protection/>
    </xf>
    <xf numFmtId="2" fontId="5" fillId="34" borderId="14" xfId="56" applyNumberFormat="1" applyFont="1" applyFill="1" applyBorder="1" applyAlignment="1">
      <alignment horizontal="center" vertical="center"/>
      <protection/>
    </xf>
    <xf numFmtId="0" fontId="4" fillId="34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49" fontId="5" fillId="34" borderId="10" xfId="56" applyNumberFormat="1" applyFont="1" applyFill="1" applyBorder="1">
      <alignment/>
      <protection/>
    </xf>
    <xf numFmtId="0" fontId="5" fillId="34" borderId="10" xfId="56" applyFont="1" applyFill="1" applyBorder="1">
      <alignment/>
      <protection/>
    </xf>
    <xf numFmtId="166" fontId="4" fillId="34" borderId="14" xfId="56" applyNumberFormat="1" applyFont="1" applyFill="1" applyBorder="1" applyAlignment="1">
      <alignment horizontal="center" vertical="center"/>
      <protection/>
    </xf>
    <xf numFmtId="49" fontId="4" fillId="34" borderId="14" xfId="66" applyNumberFormat="1" applyFont="1" applyFill="1" applyBorder="1" applyAlignment="1">
      <alignment horizontal="center" vertical="center"/>
    </xf>
    <xf numFmtId="49" fontId="5" fillId="34" borderId="14" xfId="56" applyNumberFormat="1" applyFont="1" applyFill="1" applyBorder="1" applyAlignment="1">
      <alignment horizontal="center" vertical="center"/>
      <protection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34" borderId="10" xfId="56" applyFont="1" applyFill="1" applyBorder="1" applyAlignment="1">
      <alignment horizontal="left" vertical="center"/>
      <protection/>
    </xf>
    <xf numFmtId="0" fontId="4" fillId="34" borderId="10" xfId="58" applyFont="1" applyFill="1" applyBorder="1" applyAlignment="1">
      <alignment horizontal="left" vertical="center" wrapText="1"/>
      <protection/>
    </xf>
    <xf numFmtId="0" fontId="6" fillId="34" borderId="0" xfId="54" applyFont="1" applyFill="1" applyBorder="1">
      <alignment/>
      <protection/>
    </xf>
    <xf numFmtId="166" fontId="4" fillId="34" borderId="10" xfId="56" applyNumberFormat="1" applyFont="1" applyFill="1" applyBorder="1" applyAlignment="1">
      <alignment horizontal="left" wrapText="1"/>
      <protection/>
    </xf>
    <xf numFmtId="166" fontId="4" fillId="34" borderId="10" xfId="56" applyNumberFormat="1" applyFont="1" applyFill="1" applyBorder="1" applyAlignment="1">
      <alignment horizontal="center" vertical="center" wrapText="1"/>
      <protection/>
    </xf>
    <xf numFmtId="0" fontId="88" fillId="34" borderId="33" xfId="0" applyFont="1" applyFill="1" applyBorder="1" applyAlignment="1">
      <alignment horizontal="center" vertical="top"/>
    </xf>
    <xf numFmtId="166" fontId="22" fillId="34" borderId="0" xfId="56" applyNumberFormat="1" applyFont="1" applyFill="1" applyAlignment="1">
      <alignment horizontal="left"/>
      <protection/>
    </xf>
    <xf numFmtId="165" fontId="22" fillId="34" borderId="0" xfId="56" applyNumberFormat="1" applyFont="1" applyFill="1" applyAlignment="1">
      <alignment horizontal="left"/>
      <protection/>
    </xf>
    <xf numFmtId="2" fontId="88" fillId="34" borderId="0" xfId="0" applyNumberFormat="1" applyFont="1" applyFill="1" applyAlignment="1">
      <alignment horizontal="center" vertical="center"/>
    </xf>
    <xf numFmtId="1" fontId="6" fillId="34" borderId="10" xfId="54" applyNumberFormat="1" applyFont="1" applyFill="1" applyBorder="1" applyAlignment="1">
      <alignment horizontal="center" vertical="top" wrapText="1"/>
      <protection/>
    </xf>
    <xf numFmtId="165" fontId="6" fillId="34" borderId="10" xfId="0" applyNumberFormat="1" applyFont="1" applyFill="1" applyBorder="1" applyAlignment="1">
      <alignment horizontal="center" vertical="center" wrapText="1"/>
    </xf>
    <xf numFmtId="2" fontId="6" fillId="34" borderId="10" xfId="54" applyNumberFormat="1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top" wrapText="1"/>
      <protection/>
    </xf>
    <xf numFmtId="0" fontId="15" fillId="35" borderId="0" xfId="0" applyFont="1" applyFill="1" applyAlignment="1">
      <alignment wrapText="1"/>
    </xf>
    <xf numFmtId="167" fontId="15" fillId="35" borderId="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4" fillId="34" borderId="12" xfId="56" applyFont="1" applyFill="1" applyBorder="1" applyAlignment="1">
      <alignment horizontal="center" vertical="center" wrapText="1"/>
      <protection/>
    </xf>
    <xf numFmtId="168" fontId="10" fillId="34" borderId="20" xfId="0" applyNumberFormat="1" applyFont="1" applyFill="1" applyBorder="1" applyAlignment="1">
      <alignment horizontal="left" vertical="top" wrapText="1"/>
    </xf>
    <xf numFmtId="0" fontId="4" fillId="34" borderId="10" xfId="58" applyFont="1" applyFill="1" applyBorder="1" applyAlignment="1">
      <alignment horizontal="left" vertical="top" wrapText="1"/>
      <protection/>
    </xf>
    <xf numFmtId="0" fontId="15" fillId="35" borderId="0" xfId="0" applyFont="1" applyFill="1" applyAlignment="1">
      <alignment vertical="top" wrapText="1"/>
    </xf>
    <xf numFmtId="0" fontId="6" fillId="34" borderId="23" xfId="54" applyFont="1" applyFill="1" applyBorder="1" applyAlignment="1">
      <alignment horizontal="center" vertical="top"/>
      <protection/>
    </xf>
    <xf numFmtId="0" fontId="6" fillId="34" borderId="10" xfId="54" applyFont="1" applyFill="1" applyBorder="1" applyAlignment="1">
      <alignment horizontal="center" vertical="top"/>
      <protection/>
    </xf>
    <xf numFmtId="0" fontId="15" fillId="34" borderId="10" xfId="0" applyFont="1" applyFill="1" applyBorder="1" applyAlignment="1">
      <alignment horizontal="center" vertical="top" wrapText="1"/>
    </xf>
    <xf numFmtId="166" fontId="45" fillId="34" borderId="10" xfId="56" applyNumberFormat="1" applyFont="1" applyFill="1" applyBorder="1" applyAlignment="1">
      <alignment vertical="center"/>
      <protection/>
    </xf>
    <xf numFmtId="166" fontId="45" fillId="34" borderId="10" xfId="56" applyNumberFormat="1" applyFont="1" applyFill="1" applyBorder="1" applyAlignment="1">
      <alignment horizontal="right" vertical="center"/>
      <protection/>
    </xf>
    <xf numFmtId="166" fontId="45" fillId="34" borderId="14" xfId="56" applyNumberFormat="1" applyFont="1" applyFill="1" applyBorder="1" applyAlignment="1">
      <alignment horizontal="right" vertical="center"/>
      <protection/>
    </xf>
    <xf numFmtId="166" fontId="46" fillId="34" borderId="10" xfId="56" applyNumberFormat="1" applyFont="1" applyFill="1" applyBorder="1" applyAlignment="1">
      <alignment horizontal="right" vertical="center"/>
      <protection/>
    </xf>
    <xf numFmtId="166" fontId="47" fillId="34" borderId="10" xfId="56" applyNumberFormat="1" applyFont="1" applyFill="1" applyBorder="1">
      <alignment/>
      <protection/>
    </xf>
    <xf numFmtId="166" fontId="46" fillId="34" borderId="10" xfId="56" applyNumberFormat="1" applyFont="1" applyFill="1" applyBorder="1">
      <alignment/>
      <protection/>
    </xf>
    <xf numFmtId="170" fontId="13" fillId="34" borderId="10" xfId="52" applyNumberFormat="1" applyFont="1" applyFill="1" applyBorder="1" applyAlignment="1">
      <alignment horizontal="right" vertical="top" wrapText="1"/>
      <protection/>
    </xf>
    <xf numFmtId="170" fontId="4" fillId="34" borderId="10" xfId="52" applyNumberFormat="1" applyFont="1" applyFill="1" applyBorder="1" applyAlignment="1">
      <alignment horizontal="right" vertical="top" wrapText="1"/>
      <protection/>
    </xf>
    <xf numFmtId="2" fontId="6" fillId="34" borderId="0" xfId="0" applyNumberFormat="1" applyFont="1" applyFill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 vertical="center" wrapText="1"/>
    </xf>
    <xf numFmtId="166" fontId="6" fillId="34" borderId="14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top"/>
    </xf>
    <xf numFmtId="0" fontId="8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center" vertical="top" wrapText="1"/>
    </xf>
    <xf numFmtId="167" fontId="24" fillId="34" borderId="10" xfId="0" applyNumberFormat="1" applyFont="1" applyFill="1" applyBorder="1" applyAlignment="1">
      <alignment horizontal="right" vertical="top" wrapText="1"/>
    </xf>
    <xf numFmtId="167" fontId="8" fillId="34" borderId="10" xfId="0" applyNumberFormat="1" applyFont="1" applyFill="1" applyBorder="1" applyAlignment="1">
      <alignment horizontal="right" vertical="top" wrapText="1"/>
    </xf>
    <xf numFmtId="167" fontId="8" fillId="34" borderId="0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/>
    </xf>
    <xf numFmtId="49" fontId="6" fillId="33" borderId="10" xfId="52" applyNumberFormat="1" applyFont="1" applyFill="1" applyBorder="1" applyAlignment="1">
      <alignment horizontal="center" vertical="top"/>
      <protection/>
    </xf>
    <xf numFmtId="0" fontId="6" fillId="0" borderId="12" xfId="52" applyFont="1" applyBorder="1" applyAlignment="1">
      <alignment horizontal="center" vertical="top"/>
      <protection/>
    </xf>
    <xf numFmtId="0" fontId="6" fillId="0" borderId="12" xfId="52" applyFont="1" applyBorder="1">
      <alignment/>
      <protection/>
    </xf>
    <xf numFmtId="0" fontId="6" fillId="0" borderId="15" xfId="52" applyFont="1" applyBorder="1">
      <alignment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26" fillId="34" borderId="10" xfId="54" applyFont="1" applyFill="1" applyBorder="1" applyAlignment="1">
      <alignment horizontal="left" vertical="center" wrapText="1"/>
      <protection/>
    </xf>
    <xf numFmtId="0" fontId="27" fillId="34" borderId="10" xfId="54" applyFont="1" applyFill="1" applyBorder="1" applyAlignment="1">
      <alignment horizontal="left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7" fillId="34" borderId="34" xfId="54" applyFont="1" applyFill="1" applyBorder="1" applyAlignment="1">
      <alignment horizontal="left" vertical="center" wrapText="1"/>
      <protection/>
    </xf>
    <xf numFmtId="0" fontId="27" fillId="34" borderId="10" xfId="54" applyFont="1" applyFill="1" applyBorder="1" applyAlignment="1">
      <alignment vertical="top" wrapText="1"/>
      <protection/>
    </xf>
    <xf numFmtId="0" fontId="94" fillId="34" borderId="0" xfId="0" applyFont="1" applyFill="1" applyAlignment="1">
      <alignment/>
    </xf>
    <xf numFmtId="0" fontId="6" fillId="34" borderId="17" xfId="54" applyFont="1" applyFill="1" applyBorder="1" applyAlignment="1">
      <alignment vertical="top" wrapText="1"/>
      <protection/>
    </xf>
    <xf numFmtId="0" fontId="6" fillId="34" borderId="12" xfId="54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27" fillId="34" borderId="34" xfId="54" applyFont="1" applyFill="1" applyBorder="1" applyAlignment="1">
      <alignment vertical="center" wrapText="1"/>
      <protection/>
    </xf>
    <xf numFmtId="0" fontId="0" fillId="34" borderId="0" xfId="0" applyFont="1" applyFill="1" applyAlignment="1">
      <alignment vertical="center"/>
    </xf>
    <xf numFmtId="0" fontId="6" fillId="34" borderId="26" xfId="54" applyFont="1" applyFill="1" applyBorder="1" applyAlignment="1">
      <alignment horizontal="left" vertical="center" wrapText="1"/>
      <protection/>
    </xf>
    <xf numFmtId="0" fontId="6" fillId="34" borderId="17" xfId="54" applyFont="1" applyFill="1" applyBorder="1" applyAlignment="1">
      <alignment horizontal="left" vertical="center" wrapText="1"/>
      <protection/>
    </xf>
    <xf numFmtId="0" fontId="6" fillId="34" borderId="1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2" fillId="35" borderId="0" xfId="56" applyFont="1" applyFill="1">
      <alignment/>
      <protection/>
    </xf>
    <xf numFmtId="166" fontId="88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top" wrapText="1"/>
    </xf>
    <xf numFmtId="165" fontId="22" fillId="35" borderId="0" xfId="56" applyNumberFormat="1" applyFont="1" applyFill="1">
      <alignment/>
      <protection/>
    </xf>
    <xf numFmtId="0" fontId="4" fillId="34" borderId="14" xfId="56" applyFont="1" applyFill="1" applyBorder="1" applyAlignment="1">
      <alignment vertical="top" wrapText="1"/>
      <protection/>
    </xf>
    <xf numFmtId="2" fontId="6" fillId="35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6" fillId="34" borderId="35" xfId="54" applyFont="1" applyFill="1" applyBorder="1" applyAlignment="1">
      <alignment horizontal="center" vertical="top" wrapText="1"/>
      <protection/>
    </xf>
    <xf numFmtId="0" fontId="6" fillId="34" borderId="36" xfId="54" applyFont="1" applyFill="1" applyBorder="1" applyAlignment="1">
      <alignment horizontal="center" vertical="top"/>
      <protection/>
    </xf>
    <xf numFmtId="166" fontId="6" fillId="34" borderId="37" xfId="54" applyNumberFormat="1" applyFont="1" applyFill="1" applyBorder="1" applyAlignment="1">
      <alignment horizontal="center" vertical="center"/>
      <protection/>
    </xf>
    <xf numFmtId="0" fontId="8" fillId="35" borderId="0" xfId="52" applyFont="1" applyFill="1" applyAlignment="1">
      <alignment vertical="top" wrapText="1"/>
      <protection/>
    </xf>
    <xf numFmtId="0" fontId="4" fillId="35" borderId="0" xfId="52" applyFont="1" applyFill="1" applyAlignment="1">
      <alignment vertical="top" wrapText="1"/>
      <protection/>
    </xf>
    <xf numFmtId="167" fontId="4" fillId="35" borderId="0" xfId="52" applyNumberFormat="1" applyFont="1" applyFill="1" applyAlignment="1">
      <alignment vertical="top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top" wrapText="1"/>
      <protection/>
    </xf>
    <xf numFmtId="165" fontId="6" fillId="0" borderId="10" xfId="52" applyNumberFormat="1" applyFont="1" applyFill="1" applyBorder="1" applyAlignment="1">
      <alignment horizontal="center" vertical="top"/>
      <protection/>
    </xf>
    <xf numFmtId="49" fontId="6" fillId="0" borderId="10" xfId="52" applyNumberFormat="1" applyFont="1" applyFill="1" applyBorder="1" applyAlignment="1">
      <alignment horizontal="center" vertical="top"/>
      <protection/>
    </xf>
    <xf numFmtId="0" fontId="26" fillId="34" borderId="38" xfId="54" applyFont="1" applyFill="1" applyBorder="1" applyAlignment="1">
      <alignment horizontal="left" vertical="center" wrapText="1"/>
      <protection/>
    </xf>
    <xf numFmtId="166" fontId="6" fillId="34" borderId="39" xfId="54" applyNumberFormat="1" applyFont="1" applyFill="1" applyBorder="1" applyAlignment="1">
      <alignment horizontal="center" vertical="center"/>
      <protection/>
    </xf>
    <xf numFmtId="0" fontId="17" fillId="0" borderId="10" xfId="57" applyFont="1" applyBorder="1" applyAlignment="1">
      <alignment horizontal="center"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3" fillId="0" borderId="16" xfId="55" applyFont="1" applyFill="1" applyBorder="1" applyAlignment="1">
      <alignment vertical="top" wrapText="1"/>
      <protection/>
    </xf>
    <xf numFmtId="0" fontId="13" fillId="0" borderId="16" xfId="55" applyFont="1" applyBorder="1" applyAlignment="1">
      <alignment vertical="top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34" borderId="10" xfId="52" applyFont="1" applyFill="1" applyBorder="1">
      <alignment/>
      <protection/>
    </xf>
    <xf numFmtId="3" fontId="6" fillId="34" borderId="10" xfId="52" applyNumberFormat="1" applyFont="1" applyFill="1" applyBorder="1" applyAlignment="1">
      <alignment horizontal="center" vertical="top" wrapText="1"/>
      <protection/>
    </xf>
    <xf numFmtId="165" fontId="6" fillId="34" borderId="10" xfId="52" applyNumberFormat="1" applyFont="1" applyFill="1" applyBorder="1" applyAlignment="1">
      <alignment horizontal="center" vertical="top" wrapText="1"/>
      <protection/>
    </xf>
    <xf numFmtId="3" fontId="6" fillId="34" borderId="10" xfId="52" applyNumberFormat="1" applyFont="1" applyFill="1" applyBorder="1" applyAlignment="1">
      <alignment horizontal="center" vertical="top"/>
      <protection/>
    </xf>
    <xf numFmtId="49" fontId="6" fillId="34" borderId="10" xfId="52" applyNumberFormat="1" applyFont="1" applyFill="1" applyBorder="1" applyAlignment="1">
      <alignment horizontal="center" vertical="top" wrapText="1"/>
      <protection/>
    </xf>
    <xf numFmtId="165" fontId="6" fillId="34" borderId="10" xfId="52" applyNumberFormat="1" applyFont="1" applyFill="1" applyBorder="1" applyAlignment="1">
      <alignment horizontal="center" vertical="top"/>
      <protection/>
    </xf>
    <xf numFmtId="0" fontId="27" fillId="34" borderId="14" xfId="54" applyFont="1" applyFill="1" applyBorder="1" applyAlignment="1">
      <alignment horizontal="left" vertical="center" wrapText="1"/>
      <protection/>
    </xf>
    <xf numFmtId="166" fontId="6" fillId="34" borderId="14" xfId="54" applyNumberFormat="1" applyFont="1" applyFill="1" applyBorder="1" applyAlignment="1">
      <alignment horizontal="center" vertical="center"/>
      <protection/>
    </xf>
    <xf numFmtId="166" fontId="6" fillId="34" borderId="20" xfId="54" applyNumberFormat="1" applyFont="1" applyFill="1" applyBorder="1" applyAlignment="1">
      <alignment horizontal="center" vertical="center"/>
      <protection/>
    </xf>
    <xf numFmtId="166" fontId="6" fillId="34" borderId="12" xfId="54" applyNumberFormat="1" applyFont="1" applyFill="1" applyBorder="1" applyAlignment="1">
      <alignment horizontal="center"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0" xfId="54" applyFont="1" applyFill="1" applyBorder="1" applyAlignment="1">
      <alignment horizontal="left" vertical="center" wrapText="1"/>
      <protection/>
    </xf>
    <xf numFmtId="0" fontId="6" fillId="34" borderId="0" xfId="54" applyFont="1" applyFill="1" applyBorder="1" applyAlignment="1">
      <alignment horizontal="center" vertical="center"/>
      <protection/>
    </xf>
    <xf numFmtId="0" fontId="6" fillId="34" borderId="0" xfId="54" applyFont="1" applyFill="1" applyBorder="1" applyAlignment="1">
      <alignment horizontal="center" vertical="center" wrapText="1"/>
      <protection/>
    </xf>
    <xf numFmtId="0" fontId="6" fillId="34" borderId="33" xfId="54" applyFont="1" applyFill="1" applyBorder="1" applyAlignment="1">
      <alignment horizontal="center" vertical="center" wrapText="1"/>
      <protection/>
    </xf>
    <xf numFmtId="3" fontId="6" fillId="34" borderId="14" xfId="54" applyNumberFormat="1" applyFont="1" applyFill="1" applyBorder="1" applyAlignment="1">
      <alignment horizontal="center" vertical="center" wrapText="1"/>
      <protection/>
    </xf>
    <xf numFmtId="3" fontId="6" fillId="34" borderId="20" xfId="54" applyNumberFormat="1" applyFont="1" applyFill="1" applyBorder="1" applyAlignment="1">
      <alignment horizontal="center" vertical="center" wrapText="1"/>
      <protection/>
    </xf>
    <xf numFmtId="0" fontId="6" fillId="34" borderId="14" xfId="54" applyFont="1" applyFill="1" applyBorder="1" applyAlignment="1">
      <alignment horizontal="left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166" fontId="6" fillId="34" borderId="10" xfId="54" applyNumberFormat="1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horizontal="left" vertical="center" wrapText="1"/>
      <protection/>
    </xf>
    <xf numFmtId="166" fontId="6" fillId="34" borderId="40" xfId="54" applyNumberFormat="1" applyFont="1" applyFill="1" applyBorder="1" applyAlignment="1">
      <alignment horizontal="center" vertical="center"/>
      <protection/>
    </xf>
    <xf numFmtId="166" fontId="6" fillId="34" borderId="15" xfId="54" applyNumberFormat="1" applyFont="1" applyFill="1" applyBorder="1" applyAlignment="1">
      <alignment horizontal="center" vertical="center"/>
      <protection/>
    </xf>
    <xf numFmtId="0" fontId="4" fillId="34" borderId="20" xfId="56" applyFont="1" applyFill="1" applyBorder="1" applyAlignment="1">
      <alignment horizontal="center" vertical="top" wrapText="1"/>
      <protection/>
    </xf>
    <xf numFmtId="0" fontId="4" fillId="34" borderId="12" xfId="56" applyFont="1" applyFill="1" applyBorder="1" applyAlignment="1">
      <alignment horizontal="center" vertical="top" wrapText="1"/>
      <protection/>
    </xf>
    <xf numFmtId="0" fontId="4" fillId="34" borderId="20" xfId="56" applyFont="1" applyFill="1" applyBorder="1" applyAlignment="1">
      <alignment horizontal="center" vertical="center" wrapText="1"/>
      <protection/>
    </xf>
    <xf numFmtId="168" fontId="10" fillId="34" borderId="12" xfId="0" applyNumberFormat="1" applyFont="1" applyFill="1" applyBorder="1" applyAlignment="1">
      <alignment horizontal="left" vertical="center" wrapText="1"/>
    </xf>
    <xf numFmtId="49" fontId="4" fillId="34" borderId="14" xfId="56" applyNumberFormat="1" applyFont="1" applyFill="1" applyBorder="1" applyAlignment="1">
      <alignment horizontal="center" vertical="center"/>
      <protection/>
    </xf>
    <xf numFmtId="0" fontId="15" fillId="34" borderId="14" xfId="52" applyFont="1" applyFill="1" applyBorder="1" applyAlignment="1">
      <alignment horizontal="center" vertical="top" wrapText="1"/>
      <protection/>
    </xf>
    <xf numFmtId="49" fontId="15" fillId="34" borderId="10" xfId="52" applyNumberFormat="1" applyFont="1" applyFill="1" applyBorder="1" applyAlignment="1">
      <alignment horizontal="center" vertical="top" wrapText="1"/>
      <protection/>
    </xf>
    <xf numFmtId="0" fontId="15" fillId="34" borderId="10" xfId="52" applyFont="1" applyFill="1" applyBorder="1" applyAlignment="1">
      <alignment horizontal="center" vertical="top" wrapText="1"/>
      <protection/>
    </xf>
    <xf numFmtId="49" fontId="15" fillId="34" borderId="12" xfId="52" applyNumberFormat="1" applyFont="1" applyFill="1" applyBorder="1" applyAlignment="1">
      <alignment horizontal="center" vertical="top" wrapText="1"/>
      <protection/>
    </xf>
    <xf numFmtId="0" fontId="3" fillId="34" borderId="12" xfId="56" applyFont="1" applyFill="1" applyBorder="1" applyAlignment="1">
      <alignment horizontal="center" vertical="top" wrapText="1"/>
      <protection/>
    </xf>
    <xf numFmtId="0" fontId="15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 vertical="top" wrapText="1"/>
    </xf>
    <xf numFmtId="167" fontId="17" fillId="0" borderId="10" xfId="0" applyNumberFormat="1" applyFont="1" applyFill="1" applyBorder="1" applyAlignment="1">
      <alignment horizontal="right" vertical="top" wrapText="1"/>
    </xf>
    <xf numFmtId="167" fontId="15" fillId="0" borderId="10" xfId="0" applyNumberFormat="1" applyFont="1" applyFill="1" applyBorder="1" applyAlignment="1">
      <alignment horizontal="right" vertical="top" wrapText="1"/>
    </xf>
    <xf numFmtId="167" fontId="15" fillId="0" borderId="0" xfId="0" applyNumberFormat="1" applyFont="1" applyFill="1" applyBorder="1" applyAlignment="1">
      <alignment horizontal="right" vertical="top" wrapText="1"/>
    </xf>
    <xf numFmtId="166" fontId="13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67" fontId="8" fillId="0" borderId="10" xfId="0" applyNumberFormat="1" applyFont="1" applyFill="1" applyBorder="1" applyAlignment="1">
      <alignment horizontal="right" vertical="top" wrapText="1"/>
    </xf>
    <xf numFmtId="167" fontId="24" fillId="0" borderId="10" xfId="0" applyNumberFormat="1" applyFont="1" applyFill="1" applyBorder="1" applyAlignment="1">
      <alignment horizontal="right" vertical="top" wrapText="1"/>
    </xf>
    <xf numFmtId="0" fontId="86" fillId="0" borderId="12" xfId="57" applyFont="1" applyFill="1" applyBorder="1" applyAlignment="1">
      <alignment horizontal="left" vertical="top" wrapText="1"/>
      <protection/>
    </xf>
    <xf numFmtId="0" fontId="88" fillId="0" borderId="12" xfId="57" applyFont="1" applyFill="1" applyBorder="1" applyAlignment="1">
      <alignment horizontal="center" vertical="center" wrapText="1"/>
      <protection/>
    </xf>
    <xf numFmtId="0" fontId="86" fillId="0" borderId="10" xfId="57" applyFont="1" applyFill="1" applyBorder="1" applyAlignment="1">
      <alignment horizontal="left" vertical="top" wrapText="1"/>
      <protection/>
    </xf>
    <xf numFmtId="0" fontId="8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top" wrapText="1"/>
      <protection/>
    </xf>
    <xf numFmtId="0" fontId="17" fillId="0" borderId="29" xfId="57" applyFont="1" applyBorder="1" applyAlignment="1">
      <alignment horizontal="center" vertical="top" wrapText="1"/>
      <protection/>
    </xf>
    <xf numFmtId="166" fontId="6" fillId="34" borderId="16" xfId="54" applyNumberFormat="1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66" fontId="6" fillId="34" borderId="16" xfId="0" applyNumberFormat="1" applyFont="1" applyFill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center" vertical="center" wrapText="1"/>
    </xf>
    <xf numFmtId="166" fontId="6" fillId="34" borderId="4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65" fontId="6" fillId="34" borderId="16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 horizontal="center" vertical="center" wrapText="1"/>
    </xf>
    <xf numFmtId="166" fontId="10" fillId="34" borderId="0" xfId="0" applyNumberFormat="1" applyFont="1" applyFill="1" applyAlignment="1">
      <alignment vertical="top" wrapText="1"/>
    </xf>
    <xf numFmtId="3" fontId="10" fillId="34" borderId="38" xfId="56" applyNumberFormat="1" applyFont="1" applyFill="1" applyBorder="1" applyAlignment="1">
      <alignment horizontal="center" vertical="center"/>
      <protection/>
    </xf>
    <xf numFmtId="166" fontId="35" fillId="34" borderId="20" xfId="56" applyNumberFormat="1" applyFont="1" applyFill="1" applyBorder="1" applyAlignment="1">
      <alignment horizontal="center" vertical="center"/>
      <protection/>
    </xf>
    <xf numFmtId="49" fontId="35" fillId="34" borderId="20" xfId="56" applyNumberFormat="1" applyFont="1" applyFill="1" applyBorder="1" applyAlignment="1">
      <alignment horizontal="center" vertical="center"/>
      <protection/>
    </xf>
    <xf numFmtId="166" fontId="35" fillId="34" borderId="20" xfId="56" applyNumberFormat="1" applyFont="1" applyFill="1" applyBorder="1" applyAlignment="1">
      <alignment vertical="center"/>
      <protection/>
    </xf>
    <xf numFmtId="166" fontId="35" fillId="34" borderId="12" xfId="56" applyNumberFormat="1" applyFont="1" applyFill="1" applyBorder="1" applyAlignment="1">
      <alignment vertical="center"/>
      <protection/>
    </xf>
    <xf numFmtId="166" fontId="12" fillId="34" borderId="12" xfId="56" applyNumberFormat="1" applyFont="1" applyFill="1" applyBorder="1" applyAlignment="1">
      <alignment vertical="center"/>
      <protection/>
    </xf>
    <xf numFmtId="0" fontId="6" fillId="34" borderId="33" xfId="0" applyFont="1" applyFill="1" applyBorder="1" applyAlignment="1">
      <alignment horizontal="center" vertical="center" wrapText="1"/>
    </xf>
    <xf numFmtId="166" fontId="6" fillId="34" borderId="29" xfId="54" applyNumberFormat="1" applyFont="1" applyFill="1" applyBorder="1" applyAlignment="1">
      <alignment horizontal="center" vertical="center"/>
      <protection/>
    </xf>
    <xf numFmtId="0" fontId="8" fillId="34" borderId="0" xfId="52" applyFont="1" applyFill="1" applyAlignment="1">
      <alignment vertical="top" wrapText="1"/>
      <protection/>
    </xf>
    <xf numFmtId="0" fontId="8" fillId="34" borderId="10" xfId="52" applyFont="1" applyFill="1" applyBorder="1" applyAlignment="1">
      <alignment horizontal="center" vertical="top" wrapText="1"/>
      <protection/>
    </xf>
    <xf numFmtId="0" fontId="4" fillId="34" borderId="0" xfId="52" applyFont="1" applyFill="1" applyAlignment="1">
      <alignment vertical="top" wrapText="1"/>
      <protection/>
    </xf>
    <xf numFmtId="49" fontId="6" fillId="0" borderId="16" xfId="52" applyNumberFormat="1" applyFont="1" applyBorder="1" applyAlignment="1">
      <alignment horizontal="center" vertical="top" wrapText="1"/>
      <protection/>
    </xf>
    <xf numFmtId="165" fontId="6" fillId="0" borderId="16" xfId="52" applyNumberFormat="1" applyFont="1" applyBorder="1" applyAlignment="1">
      <alignment horizontal="center" vertical="top"/>
      <protection/>
    </xf>
    <xf numFmtId="49" fontId="6" fillId="0" borderId="16" xfId="52" applyNumberFormat="1" applyFont="1" applyBorder="1" applyAlignment="1">
      <alignment horizontal="center" vertical="top"/>
      <protection/>
    </xf>
    <xf numFmtId="0" fontId="6" fillId="33" borderId="16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8" fillId="0" borderId="15" xfId="57" applyFont="1" applyFill="1" applyBorder="1" applyAlignment="1">
      <alignment horizontal="center" vertical="center" wrapText="1"/>
      <protection/>
    </xf>
    <xf numFmtId="0" fontId="88" fillId="0" borderId="16" xfId="57" applyFont="1" applyFill="1" applyBorder="1" applyAlignment="1">
      <alignment horizontal="center" vertical="center" wrapText="1"/>
      <protection/>
    </xf>
    <xf numFmtId="49" fontId="6" fillId="0" borderId="29" xfId="52" applyNumberFormat="1" applyFont="1" applyFill="1" applyBorder="1" applyAlignment="1">
      <alignment horizontal="center" vertical="top" wrapText="1"/>
      <protection/>
    </xf>
    <xf numFmtId="165" fontId="6" fillId="0" borderId="29" xfId="52" applyNumberFormat="1" applyFont="1" applyFill="1" applyBorder="1" applyAlignment="1">
      <alignment horizontal="center" vertical="top"/>
      <protection/>
    </xf>
    <xf numFmtId="49" fontId="6" fillId="0" borderId="29" xfId="52" applyNumberFormat="1" applyFont="1" applyFill="1" applyBorder="1" applyAlignment="1">
      <alignment horizontal="center" vertical="top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33" borderId="29" xfId="53" applyFont="1" applyFill="1" applyBorder="1" applyAlignment="1">
      <alignment horizontal="center" vertical="center"/>
      <protection/>
    </xf>
    <xf numFmtId="2" fontId="6" fillId="0" borderId="33" xfId="52" applyNumberFormat="1" applyFont="1" applyFill="1" applyBorder="1" applyAlignment="1">
      <alignment horizontal="center" vertical="center"/>
      <protection/>
    </xf>
    <xf numFmtId="0" fontId="8" fillId="0" borderId="29" xfId="52" applyFont="1" applyBorder="1" applyAlignment="1">
      <alignment horizontal="center" vertical="center" wrapText="1"/>
      <protection/>
    </xf>
    <xf numFmtId="0" fontId="88" fillId="0" borderId="41" xfId="57" applyFont="1" applyFill="1" applyBorder="1" applyAlignment="1">
      <alignment horizontal="center" vertical="center" wrapText="1"/>
      <protection/>
    </xf>
    <xf numFmtId="0" fontId="88" fillId="0" borderId="29" xfId="57" applyFont="1" applyFill="1" applyBorder="1" applyAlignment="1">
      <alignment horizontal="center" vertical="center" wrapText="1"/>
      <protection/>
    </xf>
    <xf numFmtId="49" fontId="6" fillId="0" borderId="16" xfId="52" applyNumberFormat="1" applyFont="1" applyFill="1" applyBorder="1" applyAlignment="1">
      <alignment horizontal="center" vertical="top" wrapText="1"/>
      <protection/>
    </xf>
    <xf numFmtId="165" fontId="6" fillId="0" borderId="16" xfId="52" applyNumberFormat="1" applyFont="1" applyFill="1" applyBorder="1" applyAlignment="1">
      <alignment horizontal="center" vertical="top"/>
      <protection/>
    </xf>
    <xf numFmtId="49" fontId="6" fillId="0" borderId="16" xfId="52" applyNumberFormat="1" applyFont="1" applyFill="1" applyBorder="1" applyAlignment="1">
      <alignment horizontal="center" vertical="top"/>
      <protection/>
    </xf>
    <xf numFmtId="0" fontId="6" fillId="0" borderId="10" xfId="52" applyFont="1" applyBorder="1" applyAlignment="1">
      <alignment horizontal="center" vertical="top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8" fillId="0" borderId="16" xfId="52" applyFont="1" applyBorder="1" applyAlignment="1">
      <alignment horizontal="center" vertical="center"/>
      <protection/>
    </xf>
    <xf numFmtId="0" fontId="88" fillId="0" borderId="15" xfId="57" applyFont="1" applyFill="1" applyBorder="1" applyAlignment="1">
      <alignment horizontal="center" vertical="center"/>
      <protection/>
    </xf>
    <xf numFmtId="0" fontId="88" fillId="0" borderId="16" xfId="57" applyFont="1" applyFill="1" applyBorder="1" applyAlignment="1">
      <alignment horizontal="center" vertical="center"/>
      <protection/>
    </xf>
    <xf numFmtId="0" fontId="51" fillId="33" borderId="10" xfId="53" applyFont="1" applyFill="1" applyBorder="1" applyAlignment="1">
      <alignment horizontal="center" vertical="center" wrapText="1"/>
      <protection/>
    </xf>
    <xf numFmtId="165" fontId="26" fillId="33" borderId="10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165" fontId="26" fillId="34" borderId="10" xfId="53" applyNumberFormat="1" applyFont="1" applyFill="1" applyBorder="1" applyAlignment="1">
      <alignment horizontal="left" vertical="center" wrapText="1"/>
      <protection/>
    </xf>
    <xf numFmtId="0" fontId="51" fillId="34" borderId="10" xfId="53" applyFont="1" applyFill="1" applyBorder="1" applyAlignment="1">
      <alignment horizontal="center" vertical="center" wrapText="1"/>
      <protection/>
    </xf>
    <xf numFmtId="0" fontId="51" fillId="34" borderId="16" xfId="53" applyFont="1" applyFill="1" applyBorder="1" applyAlignment="1">
      <alignment horizontal="center" vertical="center" wrapText="1"/>
      <protection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22" fillId="33" borderId="10" xfId="53" applyFont="1" applyFill="1" applyBorder="1" applyAlignment="1">
      <alignment horizontal="center" vertical="center" wrapText="1"/>
      <protection/>
    </xf>
    <xf numFmtId="165" fontId="8" fillId="33" borderId="10" xfId="53" applyNumberFormat="1" applyFont="1" applyFill="1" applyBorder="1" applyAlignment="1">
      <alignment horizontal="center" vertical="center" wrapText="1"/>
      <protection/>
    </xf>
    <xf numFmtId="165" fontId="24" fillId="33" borderId="10" xfId="53" applyNumberFormat="1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165" fontId="24" fillId="34" borderId="10" xfId="53" applyNumberFormat="1" applyFont="1" applyFill="1" applyBorder="1" applyAlignment="1">
      <alignment horizontal="left" vertical="center" wrapText="1"/>
      <protection/>
    </xf>
    <xf numFmtId="0" fontId="22" fillId="34" borderId="10" xfId="53" applyFont="1" applyFill="1" applyBorder="1" applyAlignment="1">
      <alignment horizontal="center" vertical="center" wrapText="1"/>
      <protection/>
    </xf>
    <xf numFmtId="0" fontId="22" fillId="34" borderId="16" xfId="53" applyFont="1" applyFill="1" applyBorder="1" applyAlignment="1">
      <alignment horizontal="center" vertical="center" wrapText="1"/>
      <protection/>
    </xf>
    <xf numFmtId="49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3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3" fontId="8" fillId="34" borderId="10" xfId="53" applyNumberFormat="1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8" fillId="34" borderId="16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vertical="top" wrapText="1"/>
      <protection/>
    </xf>
    <xf numFmtId="0" fontId="8" fillId="34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7" fillId="34" borderId="10" xfId="57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horizontal="center" vertical="top" wrapText="1"/>
      <protection/>
    </xf>
    <xf numFmtId="3" fontId="6" fillId="34" borderId="10" xfId="53" applyNumberFormat="1" applyFont="1" applyFill="1" applyBorder="1" applyAlignment="1">
      <alignment horizontal="center" vertical="top" wrapText="1"/>
      <protection/>
    </xf>
    <xf numFmtId="0" fontId="6" fillId="34" borderId="10" xfId="53" applyFont="1" applyFill="1" applyBorder="1" applyAlignment="1">
      <alignment horizontal="center" vertical="top"/>
      <protection/>
    </xf>
    <xf numFmtId="0" fontId="6" fillId="34" borderId="16" xfId="53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1" fontId="7" fillId="0" borderId="10" xfId="55" applyNumberFormat="1" applyFont="1" applyFill="1" applyBorder="1" applyAlignment="1">
      <alignment horizontal="right" vertical="top" wrapText="1"/>
      <protection/>
    </xf>
    <xf numFmtId="1" fontId="7" fillId="0" borderId="16" xfId="55" applyNumberFormat="1" applyFont="1" applyFill="1" applyBorder="1" applyAlignment="1">
      <alignment horizontal="right"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34" borderId="10" xfId="55" applyFont="1" applyFill="1" applyBorder="1" applyAlignment="1">
      <alignment vertical="top" wrapText="1"/>
      <protection/>
    </xf>
    <xf numFmtId="0" fontId="7" fillId="34" borderId="10" xfId="55" applyFont="1" applyFill="1" applyBorder="1" applyAlignment="1">
      <alignment horizontal="center" vertical="top" wrapText="1"/>
      <protection/>
    </xf>
    <xf numFmtId="2" fontId="7" fillId="34" borderId="10" xfId="55" applyNumberFormat="1" applyFont="1" applyFill="1" applyBorder="1" applyAlignment="1">
      <alignment horizontal="center" vertical="top" wrapText="1"/>
      <protection/>
    </xf>
    <xf numFmtId="1" fontId="7" fillId="34" borderId="10" xfId="55" applyNumberFormat="1" applyFont="1" applyFill="1" applyBorder="1" applyAlignment="1">
      <alignment horizontal="right" vertical="top" wrapText="1"/>
      <protection/>
    </xf>
    <xf numFmtId="1" fontId="7" fillId="34" borderId="16" xfId="55" applyNumberFormat="1" applyFont="1" applyFill="1" applyBorder="1" applyAlignment="1">
      <alignment horizontal="right" vertical="top" wrapText="1"/>
      <protection/>
    </xf>
    <xf numFmtId="165" fontId="6" fillId="33" borderId="10" xfId="53" applyNumberFormat="1" applyFont="1" applyFill="1" applyBorder="1" applyAlignment="1">
      <alignment horizontal="left" vertical="center" wrapText="1"/>
      <protection/>
    </xf>
    <xf numFmtId="2" fontId="52" fillId="0" borderId="10" xfId="55" applyNumberFormat="1" applyFont="1" applyFill="1" applyBorder="1" applyAlignment="1">
      <alignment horizontal="center" vertical="top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168" fontId="6" fillId="34" borderId="42" xfId="0" applyNumberFormat="1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>
      <alignment vertical="distributed" wrapText="1"/>
    </xf>
    <xf numFmtId="166" fontId="35" fillId="35" borderId="10" xfId="56" applyNumberFormat="1" applyFont="1" applyFill="1" applyBorder="1" applyAlignment="1">
      <alignment vertical="center"/>
      <protection/>
    </xf>
    <xf numFmtId="166" fontId="11" fillId="35" borderId="10" xfId="56" applyNumberFormat="1" applyFont="1" applyFill="1" applyBorder="1" applyAlignment="1">
      <alignment vertical="center"/>
      <protection/>
    </xf>
    <xf numFmtId="166" fontId="35" fillId="35" borderId="14" xfId="56" applyNumberFormat="1" applyFont="1" applyFill="1" applyBorder="1" applyAlignment="1">
      <alignment vertical="center"/>
      <protection/>
    </xf>
    <xf numFmtId="166" fontId="35" fillId="35" borderId="12" xfId="56" applyNumberFormat="1" applyFont="1" applyFill="1" applyBorder="1" applyAlignment="1">
      <alignment vertical="center"/>
      <protection/>
    </xf>
    <xf numFmtId="166" fontId="10" fillId="35" borderId="0" xfId="56" applyNumberFormat="1" applyFont="1" applyFill="1" applyBorder="1" applyAlignment="1">
      <alignment vertical="center"/>
      <protection/>
    </xf>
    <xf numFmtId="166" fontId="95" fillId="35" borderId="10" xfId="56" applyNumberFormat="1" applyFont="1" applyFill="1" applyBorder="1" applyAlignment="1">
      <alignment vertical="center"/>
      <protection/>
    </xf>
    <xf numFmtId="0" fontId="15" fillId="34" borderId="0" xfId="0" applyFont="1" applyFill="1" applyAlignment="1">
      <alignment horizontal="left" wrapText="1"/>
    </xf>
    <xf numFmtId="0" fontId="15" fillId="34" borderId="0" xfId="0" applyFont="1" applyFill="1" applyAlignment="1">
      <alignment horizontal="center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 horizontal="left" vertical="top" wrapText="1"/>
    </xf>
    <xf numFmtId="0" fontId="15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5" fillId="34" borderId="33" xfId="0" applyFont="1" applyFill="1" applyBorder="1" applyAlignment="1">
      <alignment horizontal="center" vertical="top" wrapText="1"/>
    </xf>
    <xf numFmtId="0" fontId="15" fillId="34" borderId="2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0" fontId="15" fillId="34" borderId="20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15" fillId="34" borderId="0" xfId="64" applyFont="1" applyFill="1" applyAlignment="1">
      <alignment horizontal="left" vertical="top" wrapText="1"/>
      <protection/>
    </xf>
    <xf numFmtId="2" fontId="15" fillId="34" borderId="0" xfId="0" applyNumberFormat="1" applyFont="1" applyFill="1" applyAlignment="1">
      <alignment horizontal="right" vertical="top" wrapText="1"/>
    </xf>
    <xf numFmtId="0" fontId="13" fillId="34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3" fillId="34" borderId="0" xfId="0" applyFont="1" applyFill="1" applyAlignment="1">
      <alignment horizontal="right" vertical="top" wrapText="1"/>
    </xf>
    <xf numFmtId="0" fontId="15" fillId="34" borderId="14" xfId="0" applyFont="1" applyFill="1" applyBorder="1" applyAlignment="1">
      <alignment horizontal="left" vertical="top" wrapText="1"/>
    </xf>
    <xf numFmtId="0" fontId="15" fillId="34" borderId="20" xfId="0" applyFont="1" applyFill="1" applyBorder="1" applyAlignment="1">
      <alignment horizontal="left" vertical="top" wrapText="1"/>
    </xf>
    <xf numFmtId="0" fontId="13" fillId="34" borderId="0" xfId="0" applyFont="1" applyFill="1" applyAlignment="1">
      <alignment horizontal="center" vertical="top" wrapText="1"/>
    </xf>
    <xf numFmtId="0" fontId="15" fillId="34" borderId="12" xfId="0" applyFont="1" applyFill="1" applyBorder="1" applyAlignment="1">
      <alignment horizontal="left" vertical="top" wrapText="1"/>
    </xf>
    <xf numFmtId="0" fontId="27" fillId="0" borderId="14" xfId="54" applyFont="1" applyFill="1" applyBorder="1" applyAlignment="1">
      <alignment horizontal="left" vertical="center" wrapText="1"/>
      <protection/>
    </xf>
    <xf numFmtId="0" fontId="27" fillId="0" borderId="12" xfId="54" applyFont="1" applyFill="1" applyBorder="1" applyAlignment="1">
      <alignment horizontal="left" vertical="center" wrapText="1"/>
      <protection/>
    </xf>
    <xf numFmtId="0" fontId="3" fillId="0" borderId="14" xfId="54" applyFont="1" applyFill="1" applyBorder="1" applyAlignment="1">
      <alignment horizontal="left" vertical="center" wrapText="1"/>
      <protection/>
    </xf>
    <xf numFmtId="0" fontId="3" fillId="0" borderId="12" xfId="54" applyFont="1" applyFill="1" applyBorder="1" applyAlignment="1">
      <alignment horizontal="left" vertical="center" wrapText="1"/>
      <protection/>
    </xf>
    <xf numFmtId="4" fontId="6" fillId="0" borderId="14" xfId="54" applyNumberFormat="1" applyFont="1" applyFill="1" applyBorder="1" applyAlignment="1">
      <alignment horizontal="center" vertical="center"/>
      <protection/>
    </xf>
    <xf numFmtId="4" fontId="6" fillId="0" borderId="12" xfId="54" applyNumberFormat="1" applyFont="1" applyFill="1" applyBorder="1" applyAlignment="1">
      <alignment horizontal="center" vertical="center"/>
      <protection/>
    </xf>
    <xf numFmtId="0" fontId="26" fillId="0" borderId="16" xfId="54" applyFont="1" applyFill="1" applyBorder="1" applyAlignment="1">
      <alignment horizontal="left" vertical="center" wrapText="1"/>
      <protection/>
    </xf>
    <xf numFmtId="0" fontId="26" fillId="0" borderId="33" xfId="54" applyFont="1" applyFill="1" applyBorder="1" applyAlignment="1">
      <alignment horizontal="left" vertical="center" wrapText="1"/>
      <protection/>
    </xf>
    <xf numFmtId="0" fontId="26" fillId="0" borderId="29" xfId="54" applyFont="1" applyFill="1" applyBorder="1" applyAlignment="1">
      <alignment horizontal="left" vertical="center" wrapText="1"/>
      <protection/>
    </xf>
    <xf numFmtId="0" fontId="6" fillId="0" borderId="16" xfId="54" applyFont="1" applyFill="1" applyBorder="1" applyAlignment="1">
      <alignment horizontal="left" vertical="center" wrapText="1"/>
      <protection/>
    </xf>
    <xf numFmtId="0" fontId="6" fillId="0" borderId="33" xfId="54" applyFont="1" applyFill="1" applyBorder="1" applyAlignment="1">
      <alignment horizontal="left" vertical="center" wrapText="1"/>
      <protection/>
    </xf>
    <xf numFmtId="0" fontId="6" fillId="0" borderId="29" xfId="54" applyFont="1" applyFill="1" applyBorder="1" applyAlignment="1">
      <alignment horizontal="left" vertical="center" wrapText="1"/>
      <protection/>
    </xf>
    <xf numFmtId="0" fontId="2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27" fillId="0" borderId="10" xfId="54" applyFont="1" applyFill="1" applyBorder="1" applyAlignment="1">
      <alignment horizontal="left" vertical="center" wrapText="1"/>
      <protection/>
    </xf>
    <xf numFmtId="0" fontId="27" fillId="0" borderId="16" xfId="54" applyFont="1" applyFill="1" applyBorder="1" applyAlignment="1">
      <alignment horizontal="left" vertical="top"/>
      <protection/>
    </xf>
    <xf numFmtId="0" fontId="27" fillId="0" borderId="33" xfId="54" applyFont="1" applyFill="1" applyBorder="1" applyAlignment="1">
      <alignment horizontal="left" vertical="top"/>
      <protection/>
    </xf>
    <xf numFmtId="0" fontId="27" fillId="0" borderId="29" xfId="54" applyFont="1" applyFill="1" applyBorder="1" applyAlignment="1">
      <alignment horizontal="left" vertical="top"/>
      <protection/>
    </xf>
    <xf numFmtId="0" fontId="27" fillId="0" borderId="1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8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left" vertical="center" wrapText="1"/>
      <protection/>
    </xf>
    <xf numFmtId="4" fontId="6" fillId="0" borderId="20" xfId="54" applyNumberFormat="1" applyFont="1" applyFill="1" applyBorder="1" applyAlignment="1">
      <alignment horizontal="center" vertical="center"/>
      <protection/>
    </xf>
    <xf numFmtId="4" fontId="6" fillId="0" borderId="40" xfId="54" applyNumberFormat="1" applyFont="1" applyFill="1" applyBorder="1" applyAlignment="1">
      <alignment horizontal="center" vertical="center"/>
      <protection/>
    </xf>
    <xf numFmtId="4" fontId="6" fillId="0" borderId="17" xfId="54" applyNumberFormat="1" applyFont="1" applyFill="1" applyBorder="1" applyAlignment="1">
      <alignment horizontal="center" vertical="center"/>
      <protection/>
    </xf>
    <xf numFmtId="4" fontId="6" fillId="0" borderId="15" xfId="54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0" fontId="27" fillId="0" borderId="16" xfId="54" applyFont="1" applyFill="1" applyBorder="1" applyAlignment="1">
      <alignment horizontal="left" vertical="center" wrapText="1"/>
      <protection/>
    </xf>
    <xf numFmtId="0" fontId="27" fillId="0" borderId="33" xfId="54" applyFont="1" applyFill="1" applyBorder="1" applyAlignment="1">
      <alignment horizontal="left" vertical="center" wrapText="1"/>
      <protection/>
    </xf>
    <xf numFmtId="0" fontId="27" fillId="0" borderId="29" xfId="54" applyFont="1" applyFill="1" applyBorder="1" applyAlignment="1">
      <alignment horizontal="left" vertical="center" wrapText="1"/>
      <protection/>
    </xf>
    <xf numFmtId="0" fontId="26" fillId="0" borderId="16" xfId="54" applyFont="1" applyFill="1" applyBorder="1" applyAlignment="1">
      <alignment horizontal="left" vertical="top" wrapText="1"/>
      <protection/>
    </xf>
    <xf numFmtId="0" fontId="26" fillId="0" borderId="33" xfId="54" applyFont="1" applyFill="1" applyBorder="1" applyAlignment="1">
      <alignment horizontal="left" vertical="top" wrapText="1"/>
      <protection/>
    </xf>
    <xf numFmtId="0" fontId="26" fillId="0" borderId="29" xfId="54" applyFont="1" applyFill="1" applyBorder="1" applyAlignment="1">
      <alignment horizontal="left" vertical="top" wrapText="1"/>
      <protection/>
    </xf>
    <xf numFmtId="0" fontId="6" fillId="0" borderId="16" xfId="54" applyFont="1" applyFill="1" applyBorder="1" applyAlignment="1">
      <alignment horizontal="left" vertical="top"/>
      <protection/>
    </xf>
    <xf numFmtId="0" fontId="6" fillId="0" borderId="33" xfId="54" applyFont="1" applyFill="1" applyBorder="1" applyAlignment="1">
      <alignment horizontal="left" vertical="top"/>
      <protection/>
    </xf>
    <xf numFmtId="0" fontId="6" fillId="0" borderId="29" xfId="54" applyFont="1" applyFill="1" applyBorder="1" applyAlignment="1">
      <alignment horizontal="left" vertical="top"/>
      <protection/>
    </xf>
    <xf numFmtId="0" fontId="27" fillId="0" borderId="40" xfId="54" applyFont="1" applyFill="1" applyBorder="1" applyAlignment="1">
      <alignment horizontal="left" vertical="center" wrapText="1"/>
      <protection/>
    </xf>
    <xf numFmtId="0" fontId="27" fillId="0" borderId="43" xfId="54" applyFont="1" applyFill="1" applyBorder="1" applyAlignment="1">
      <alignment horizontal="left" vertical="center" wrapText="1"/>
      <protection/>
    </xf>
    <xf numFmtId="0" fontId="27" fillId="0" borderId="30" xfId="54" applyFont="1" applyFill="1" applyBorder="1" applyAlignment="1">
      <alignment horizontal="left" vertical="center" wrapText="1"/>
      <protection/>
    </xf>
    <xf numFmtId="0" fontId="27" fillId="0" borderId="15" xfId="54" applyFont="1" applyFill="1" applyBorder="1" applyAlignment="1">
      <alignment horizontal="left" vertical="center" wrapText="1"/>
      <protection/>
    </xf>
    <xf numFmtId="0" fontId="27" fillId="0" borderId="44" xfId="54" applyFont="1" applyFill="1" applyBorder="1" applyAlignment="1">
      <alignment horizontal="left" vertical="center" wrapText="1"/>
      <protection/>
    </xf>
    <xf numFmtId="0" fontId="27" fillId="0" borderId="41" xfId="54" applyFont="1" applyFill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6" fillId="0" borderId="15" xfId="54" applyFont="1" applyFill="1" applyBorder="1" applyAlignment="1">
      <alignment horizontal="left" vertical="center" wrapText="1"/>
      <protection/>
    </xf>
    <xf numFmtId="0" fontId="6" fillId="0" borderId="44" xfId="54" applyFont="1" applyFill="1" applyBorder="1" applyAlignment="1">
      <alignment horizontal="left" vertical="center" wrapText="1"/>
      <protection/>
    </xf>
    <xf numFmtId="0" fontId="6" fillId="0" borderId="41" xfId="54" applyFont="1" applyFill="1" applyBorder="1" applyAlignment="1">
      <alignment horizontal="left" vertical="center" wrapText="1"/>
      <protection/>
    </xf>
    <xf numFmtId="0" fontId="6" fillId="0" borderId="16" xfId="54" applyFont="1" applyFill="1" applyBorder="1" applyAlignment="1">
      <alignment horizontal="left"/>
      <protection/>
    </xf>
    <xf numFmtId="0" fontId="6" fillId="0" borderId="33" xfId="54" applyFont="1" applyFill="1" applyBorder="1" applyAlignment="1">
      <alignment horizontal="left"/>
      <protection/>
    </xf>
    <xf numFmtId="0" fontId="6" fillId="0" borderId="29" xfId="54" applyFont="1" applyFill="1" applyBorder="1" applyAlignment="1">
      <alignment horizontal="left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26" fillId="0" borderId="16" xfId="54" applyFont="1" applyFill="1" applyBorder="1" applyAlignment="1">
      <alignment horizontal="left" vertical="top"/>
      <protection/>
    </xf>
    <xf numFmtId="0" fontId="26" fillId="0" borderId="33" xfId="54" applyFont="1" applyFill="1" applyBorder="1" applyAlignment="1">
      <alignment horizontal="left" vertical="top"/>
      <protection/>
    </xf>
    <xf numFmtId="0" fontId="26" fillId="0" borderId="29" xfId="54" applyFont="1" applyFill="1" applyBorder="1" applyAlignment="1">
      <alignment horizontal="left" vertical="top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/>
      <protection/>
    </xf>
    <xf numFmtId="0" fontId="6" fillId="0" borderId="40" xfId="52" applyFont="1" applyBorder="1" applyAlignment="1">
      <alignment horizontal="center" vertical="center" wrapText="1"/>
      <protection/>
    </xf>
    <xf numFmtId="0" fontId="6" fillId="0" borderId="43" xfId="52" applyFont="1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left" wrapText="1"/>
    </xf>
    <xf numFmtId="0" fontId="29" fillId="0" borderId="43" xfId="0" applyFont="1" applyBorder="1" applyAlignment="1">
      <alignment horizontal="right" wrapText="1"/>
    </xf>
    <xf numFmtId="0" fontId="3" fillId="33" borderId="0" xfId="52" applyFont="1" applyFill="1" applyBorder="1" applyAlignment="1">
      <alignment horizontal="left" vertical="center" wrapText="1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center" vertical="center"/>
      <protection/>
    </xf>
    <xf numFmtId="0" fontId="8" fillId="33" borderId="0" xfId="53" applyFont="1" applyFill="1" applyBorder="1" applyAlignment="1">
      <alignment vertical="top" wrapText="1"/>
      <protection/>
    </xf>
    <xf numFmtId="0" fontId="96" fillId="0" borderId="0" xfId="0" applyFont="1" applyAlignment="1">
      <alignment/>
    </xf>
    <xf numFmtId="0" fontId="8" fillId="33" borderId="0" xfId="53" applyFont="1" applyFill="1" applyBorder="1" applyAlignment="1">
      <alignment horizontal="left" vertical="top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165" fontId="12" fillId="33" borderId="0" xfId="53" applyNumberFormat="1" applyFont="1" applyFill="1" applyBorder="1" applyAlignment="1">
      <alignment horizontal="center" wrapText="1"/>
      <protection/>
    </xf>
    <xf numFmtId="165" fontId="10" fillId="33" borderId="10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0" fillId="33" borderId="40" xfId="53" applyNumberFormat="1" applyFont="1" applyFill="1" applyBorder="1" applyAlignment="1">
      <alignment horizontal="center" vertical="center" wrapText="1"/>
      <protection/>
    </xf>
    <xf numFmtId="0" fontId="0" fillId="0" borderId="15" xfId="0" applyNumberFormat="1" applyBorder="1" applyAlignment="1">
      <alignment horizontal="center" vertical="center" wrapText="1"/>
    </xf>
    <xf numFmtId="165" fontId="10" fillId="33" borderId="16" xfId="53" applyNumberFormat="1" applyFont="1" applyFill="1" applyBorder="1" applyAlignment="1">
      <alignment horizontal="center" vertical="center" wrapText="1"/>
      <protection/>
    </xf>
    <xf numFmtId="165" fontId="10" fillId="33" borderId="33" xfId="5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0" fillId="33" borderId="14" xfId="53" applyNumberFormat="1" applyFont="1" applyFill="1" applyBorder="1" applyAlignment="1">
      <alignment horizontal="center" vertical="center" wrapText="1"/>
      <protection/>
    </xf>
    <xf numFmtId="0" fontId="10" fillId="33" borderId="12" xfId="53" applyNumberFormat="1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6" fillId="0" borderId="10" xfId="52" applyFont="1" applyFill="1" applyBorder="1" applyAlignment="1">
      <alignment horizontal="center" vertical="center" wrapText="1"/>
      <protection/>
    </xf>
    <xf numFmtId="165" fontId="4" fillId="0" borderId="0" xfId="52" applyNumberFormat="1" applyFont="1" applyFill="1" applyAlignment="1">
      <alignment horizontal="left" vertical="center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left" wrapText="1"/>
      <protection/>
    </xf>
    <xf numFmtId="0" fontId="3" fillId="0" borderId="0" xfId="52" applyFont="1" applyFill="1" applyAlignment="1">
      <alignment horizontal="left"/>
      <protection/>
    </xf>
    <xf numFmtId="0" fontId="6" fillId="0" borderId="14" xfId="52" applyFont="1" applyFill="1" applyBorder="1" applyAlignment="1">
      <alignment horizontal="left" vertical="center"/>
      <protection/>
    </xf>
    <xf numFmtId="0" fontId="0" fillId="0" borderId="12" xfId="0" applyFill="1" applyBorder="1" applyAlignment="1">
      <alignment horizontal="left" vertical="center"/>
    </xf>
    <xf numFmtId="0" fontId="3" fillId="0" borderId="0" xfId="52" applyFont="1" applyFill="1" applyBorder="1" applyAlignment="1">
      <alignment horizontal="left" wrapText="1"/>
      <protection/>
    </xf>
    <xf numFmtId="0" fontId="8" fillId="0" borderId="0" xfId="52" applyFont="1" applyFill="1" applyAlignment="1">
      <alignment horizontal="center"/>
      <protection/>
    </xf>
    <xf numFmtId="0" fontId="15" fillId="0" borderId="0" xfId="55" applyFont="1" applyAlignment="1">
      <alignment vertical="top" wrapText="1"/>
      <protection/>
    </xf>
    <xf numFmtId="0" fontId="96" fillId="0" borderId="0" xfId="0" applyFont="1" applyAlignment="1">
      <alignment vertical="top" wrapText="1"/>
    </xf>
    <xf numFmtId="0" fontId="19" fillId="0" borderId="0" xfId="55" applyFont="1" applyFill="1" applyAlignment="1">
      <alignment horizontal="center" vertical="top" wrapText="1"/>
      <protection/>
    </xf>
    <xf numFmtId="0" fontId="13" fillId="0" borderId="0" xfId="55" applyFont="1" applyFill="1" applyAlignment="1">
      <alignment horizontal="right" vertical="top" wrapText="1"/>
      <protection/>
    </xf>
    <xf numFmtId="0" fontId="13" fillId="0" borderId="0" xfId="64" applyFont="1" applyFill="1" applyAlignment="1">
      <alignment horizontal="left" vertical="top" wrapText="1"/>
      <protection/>
    </xf>
    <xf numFmtId="0" fontId="15" fillId="0" borderId="0" xfId="55" applyFont="1" applyFill="1" applyAlignment="1">
      <alignment horizontal="left" vertical="center" wrapText="1"/>
      <protection/>
    </xf>
    <xf numFmtId="0" fontId="13" fillId="0" borderId="16" xfId="55" applyFont="1" applyFill="1" applyBorder="1" applyAlignment="1">
      <alignment horizontal="center" vertical="top" wrapText="1"/>
      <protection/>
    </xf>
    <xf numFmtId="0" fontId="13" fillId="0" borderId="33" xfId="55" applyFont="1" applyFill="1" applyBorder="1" applyAlignment="1">
      <alignment horizontal="center" vertical="top" wrapText="1"/>
      <protection/>
    </xf>
    <xf numFmtId="0" fontId="0" fillId="0" borderId="29" xfId="0" applyBorder="1" applyAlignment="1">
      <alignment vertical="top" wrapText="1"/>
    </xf>
    <xf numFmtId="0" fontId="17" fillId="0" borderId="16" xfId="57" applyFont="1" applyBorder="1" applyAlignment="1">
      <alignment horizontal="center" vertical="top" wrapText="1"/>
      <protection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8" fillId="34" borderId="16" xfId="52" applyFont="1" applyFill="1" applyBorder="1" applyAlignment="1">
      <alignment horizontal="left" vertical="top" wrapText="1"/>
      <protection/>
    </xf>
    <xf numFmtId="0" fontId="15" fillId="34" borderId="16" xfId="57" applyFont="1" applyFill="1" applyBorder="1" applyAlignment="1">
      <alignment horizontal="left" vertical="top" wrapText="1"/>
      <protection/>
    </xf>
    <xf numFmtId="0" fontId="15" fillId="34" borderId="33" xfId="57" applyFont="1" applyFill="1" applyBorder="1" applyAlignment="1">
      <alignment horizontal="left" vertical="top" wrapText="1"/>
      <protection/>
    </xf>
    <xf numFmtId="0" fontId="15" fillId="34" borderId="29" xfId="57" applyFont="1" applyFill="1" applyBorder="1" applyAlignment="1">
      <alignment horizontal="left" vertical="top" wrapText="1"/>
      <protection/>
    </xf>
    <xf numFmtId="0" fontId="15" fillId="0" borderId="16" xfId="57" applyFont="1" applyFill="1" applyBorder="1" applyAlignment="1">
      <alignment horizontal="left" vertical="top" wrapText="1"/>
      <protection/>
    </xf>
    <xf numFmtId="0" fontId="8" fillId="33" borderId="16" xfId="57" applyFont="1" applyFill="1" applyBorder="1" applyAlignment="1">
      <alignment horizontal="left" vertical="top" wrapText="1"/>
      <protection/>
    </xf>
    <xf numFmtId="0" fontId="97" fillId="0" borderId="0" xfId="57" applyFont="1" applyAlignment="1">
      <alignment wrapText="1"/>
      <protection/>
    </xf>
    <xf numFmtId="0" fontId="98" fillId="0" borderId="0" xfId="0" applyFont="1" applyAlignment="1">
      <alignment/>
    </xf>
    <xf numFmtId="0" fontId="13" fillId="0" borderId="0" xfId="57" applyFont="1" applyAlignment="1">
      <alignment horizontal="left" vertical="top" wrapText="1"/>
      <protection/>
    </xf>
    <xf numFmtId="0" fontId="13" fillId="0" borderId="0" xfId="57" applyFont="1" applyAlignment="1">
      <alignment horizontal="left" wrapText="1"/>
      <protection/>
    </xf>
    <xf numFmtId="0" fontId="19" fillId="34" borderId="0" xfId="57" applyFont="1" applyFill="1" applyAlignment="1">
      <alignment horizontal="center" vertical="top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17" fillId="0" borderId="12" xfId="57" applyFont="1" applyBorder="1" applyAlignment="1">
      <alignment horizontal="center" vertical="top" wrapText="1"/>
      <protection/>
    </xf>
    <xf numFmtId="0" fontId="17" fillId="0" borderId="10" xfId="57" applyFont="1" applyBorder="1" applyAlignment="1">
      <alignment horizontal="center" vertical="top" wrapText="1"/>
      <protection/>
    </xf>
    <xf numFmtId="0" fontId="4" fillId="0" borderId="0" xfId="64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17" fillId="0" borderId="33" xfId="57" applyFont="1" applyBorder="1" applyAlignment="1">
      <alignment horizontal="center" vertical="top" wrapText="1"/>
      <protection/>
    </xf>
    <xf numFmtId="0" fontId="17" fillId="0" borderId="29" xfId="57" applyFont="1" applyBorder="1" applyAlignment="1">
      <alignment horizontal="center" vertical="top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6" fillId="0" borderId="10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34" borderId="10" xfId="53" applyFont="1" applyFill="1" applyBorder="1" applyAlignment="1">
      <alignment horizontal="center" vertical="center" wrapText="1"/>
      <protection/>
    </xf>
    <xf numFmtId="165" fontId="8" fillId="34" borderId="16" xfId="53" applyNumberFormat="1" applyFont="1" applyFill="1" applyBorder="1" applyAlignment="1">
      <alignment horizontal="center" vertical="top" wrapText="1"/>
      <protection/>
    </xf>
    <xf numFmtId="165" fontId="8" fillId="34" borderId="33" xfId="53" applyNumberFormat="1" applyFont="1" applyFill="1" applyBorder="1" applyAlignment="1">
      <alignment horizontal="center" vertical="top" wrapText="1"/>
      <protection/>
    </xf>
    <xf numFmtId="0" fontId="96" fillId="34" borderId="33" xfId="0" applyFont="1" applyFill="1" applyBorder="1" applyAlignment="1">
      <alignment horizontal="center" vertical="top" wrapText="1"/>
    </xf>
    <xf numFmtId="0" fontId="96" fillId="34" borderId="29" xfId="0" applyFont="1" applyFill="1" applyBorder="1" applyAlignment="1">
      <alignment horizontal="center" vertical="top" wrapText="1"/>
    </xf>
    <xf numFmtId="0" fontId="8" fillId="34" borderId="16" xfId="53" applyFont="1" applyFill="1" applyBorder="1" applyAlignment="1">
      <alignment horizontal="center" vertical="center" wrapText="1"/>
      <protection/>
    </xf>
    <xf numFmtId="0" fontId="8" fillId="34" borderId="10" xfId="53" applyNumberFormat="1" applyFont="1" applyFill="1" applyBorder="1" applyAlignment="1">
      <alignment horizontal="center" vertical="center" wrapText="1"/>
      <protection/>
    </xf>
    <xf numFmtId="0" fontId="96" fillId="34" borderId="10" xfId="0" applyNumberFormat="1" applyFont="1" applyFill="1" applyBorder="1" applyAlignment="1">
      <alignment horizontal="center" vertical="center" wrapText="1"/>
    </xf>
    <xf numFmtId="165" fontId="8" fillId="33" borderId="0" xfId="53" applyNumberFormat="1" applyFont="1" applyFill="1" applyBorder="1" applyAlignment="1">
      <alignment horizontal="center" wrapText="1"/>
      <protection/>
    </xf>
    <xf numFmtId="165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left" vertical="center"/>
      <protection/>
    </xf>
    <xf numFmtId="0" fontId="0" fillId="34" borderId="10" xfId="0" applyFill="1" applyBorder="1" applyAlignment="1">
      <alignment horizontal="left" vertic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6" xfId="52" applyFont="1" applyFill="1" applyBorder="1" applyAlignment="1">
      <alignment horizontal="center" vertical="center" wrapText="1"/>
      <protection/>
    </xf>
    <xf numFmtId="0" fontId="6" fillId="34" borderId="33" xfId="52" applyFont="1" applyFill="1" applyBorder="1" applyAlignment="1">
      <alignment horizontal="center" vertical="center" wrapText="1"/>
      <protection/>
    </xf>
    <xf numFmtId="0" fontId="0" fillId="34" borderId="29" xfId="0" applyFill="1" applyBorder="1" applyAlignment="1">
      <alignment/>
    </xf>
    <xf numFmtId="0" fontId="3" fillId="0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8" fillId="0" borderId="0" xfId="52" applyFont="1" applyFill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10" xfId="55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34" borderId="10" xfId="54" applyFont="1" applyFill="1" applyBorder="1" applyAlignment="1">
      <alignment horizontal="center" vertical="center" wrapText="1"/>
      <protection/>
    </xf>
    <xf numFmtId="0" fontId="27" fillId="34" borderId="15" xfId="54" applyFont="1" applyFill="1" applyBorder="1" applyAlignment="1">
      <alignment horizontal="center" vertical="top"/>
      <protection/>
    </xf>
    <xf numFmtId="0" fontId="27" fillId="34" borderId="44" xfId="54" applyFont="1" applyFill="1" applyBorder="1" applyAlignment="1">
      <alignment horizontal="center" vertical="top"/>
      <protection/>
    </xf>
    <xf numFmtId="0" fontId="27" fillId="34" borderId="41" xfId="54" applyFont="1" applyFill="1" applyBorder="1" applyAlignment="1">
      <alignment horizontal="center" vertical="top"/>
      <protection/>
    </xf>
    <xf numFmtId="0" fontId="26" fillId="34" borderId="10" xfId="54" applyFont="1" applyFill="1" applyBorder="1" applyAlignment="1">
      <alignment horizontal="center" vertical="center" wrapText="1"/>
      <protection/>
    </xf>
    <xf numFmtId="0" fontId="27" fillId="34" borderId="16" xfId="54" applyFont="1" applyFill="1" applyBorder="1" applyAlignment="1">
      <alignment horizontal="center" vertical="center" wrapText="1"/>
      <protection/>
    </xf>
    <xf numFmtId="0" fontId="27" fillId="34" borderId="33" xfId="54" applyFont="1" applyFill="1" applyBorder="1" applyAlignment="1">
      <alignment horizontal="center" vertical="center" wrapText="1"/>
      <protection/>
    </xf>
    <xf numFmtId="0" fontId="27" fillId="34" borderId="29" xfId="54" applyFont="1" applyFill="1" applyBorder="1" applyAlignment="1">
      <alignment horizontal="center" vertical="center" wrapText="1"/>
      <protection/>
    </xf>
    <xf numFmtId="0" fontId="6" fillId="34" borderId="40" xfId="54" applyFont="1" applyFill="1" applyBorder="1" applyAlignment="1">
      <alignment horizontal="center" vertical="center" wrapText="1"/>
      <protection/>
    </xf>
    <xf numFmtId="0" fontId="6" fillId="34" borderId="43" xfId="54" applyFont="1" applyFill="1" applyBorder="1" applyAlignment="1">
      <alignment horizontal="center" vertical="center" wrapText="1"/>
      <protection/>
    </xf>
    <xf numFmtId="0" fontId="6" fillId="34" borderId="30" xfId="54" applyFont="1" applyFill="1" applyBorder="1" applyAlignment="1">
      <alignment horizontal="center" vertical="center" wrapText="1"/>
      <protection/>
    </xf>
    <xf numFmtId="0" fontId="26" fillId="34" borderId="15" xfId="54" applyFont="1" applyFill="1" applyBorder="1" applyAlignment="1">
      <alignment horizontal="center" vertical="center" wrapText="1"/>
      <protection/>
    </xf>
    <xf numFmtId="0" fontId="26" fillId="34" borderId="44" xfId="54" applyFont="1" applyFill="1" applyBorder="1" applyAlignment="1">
      <alignment horizontal="center" vertical="center" wrapText="1"/>
      <protection/>
    </xf>
    <xf numFmtId="0" fontId="26" fillId="34" borderId="41" xfId="54" applyFont="1" applyFill="1" applyBorder="1" applyAlignment="1">
      <alignment horizontal="center" vertical="center" wrapText="1"/>
      <protection/>
    </xf>
    <xf numFmtId="0" fontId="26" fillId="34" borderId="40" xfId="54" applyFont="1" applyFill="1" applyBorder="1" applyAlignment="1">
      <alignment horizontal="center" vertical="center" wrapText="1"/>
      <protection/>
    </xf>
    <xf numFmtId="0" fontId="26" fillId="34" borderId="43" xfId="54" applyFont="1" applyFill="1" applyBorder="1" applyAlignment="1">
      <alignment horizontal="center" vertical="center" wrapText="1"/>
      <protection/>
    </xf>
    <xf numFmtId="0" fontId="26" fillId="34" borderId="30" xfId="54" applyFont="1" applyFill="1" applyBorder="1" applyAlignment="1">
      <alignment horizontal="center" vertical="center" wrapText="1"/>
      <protection/>
    </xf>
    <xf numFmtId="0" fontId="27" fillId="34" borderId="40" xfId="54" applyFont="1" applyFill="1" applyBorder="1" applyAlignment="1">
      <alignment horizontal="center" vertical="top"/>
      <protection/>
    </xf>
    <xf numFmtId="0" fontId="27" fillId="34" borderId="43" xfId="54" applyFont="1" applyFill="1" applyBorder="1" applyAlignment="1">
      <alignment horizontal="center" vertical="top"/>
      <protection/>
    </xf>
    <xf numFmtId="0" fontId="27" fillId="34" borderId="30" xfId="54" applyFont="1" applyFill="1" applyBorder="1" applyAlignment="1">
      <alignment horizontal="center" vertical="top"/>
      <protection/>
    </xf>
    <xf numFmtId="0" fontId="26" fillId="34" borderId="17" xfId="54" applyFont="1" applyFill="1" applyBorder="1" applyAlignment="1">
      <alignment horizontal="center" vertical="center" wrapText="1"/>
      <protection/>
    </xf>
    <xf numFmtId="0" fontId="26" fillId="34" borderId="0" xfId="54" applyFont="1" applyFill="1" applyBorder="1" applyAlignment="1">
      <alignment horizontal="center" vertical="center" wrapText="1"/>
      <protection/>
    </xf>
    <xf numFmtId="0" fontId="26" fillId="34" borderId="38" xfId="54" applyFont="1" applyFill="1" applyBorder="1" applyAlignment="1">
      <alignment horizontal="center" vertical="center" wrapText="1"/>
      <protection/>
    </xf>
    <xf numFmtId="0" fontId="6" fillId="34" borderId="17" xfId="54" applyFont="1" applyFill="1" applyBorder="1" applyAlignment="1">
      <alignment horizontal="center" vertical="center" wrapText="1"/>
      <protection/>
    </xf>
    <xf numFmtId="0" fontId="6" fillId="34" borderId="0" xfId="54" applyFont="1" applyFill="1" applyBorder="1" applyAlignment="1">
      <alignment horizontal="center" vertical="center" wrapText="1"/>
      <protection/>
    </xf>
    <xf numFmtId="0" fontId="6" fillId="34" borderId="38" xfId="54" applyFont="1" applyFill="1" applyBorder="1" applyAlignment="1">
      <alignment horizontal="center" vertical="center" wrapText="1"/>
      <protection/>
    </xf>
    <xf numFmtId="0" fontId="26" fillId="34" borderId="16" xfId="54" applyFont="1" applyFill="1" applyBorder="1" applyAlignment="1">
      <alignment horizontal="center" vertical="center" wrapText="1"/>
      <protection/>
    </xf>
    <xf numFmtId="0" fontId="26" fillId="34" borderId="33" xfId="54" applyFont="1" applyFill="1" applyBorder="1" applyAlignment="1">
      <alignment horizontal="center" vertical="center" wrapText="1"/>
      <protection/>
    </xf>
    <xf numFmtId="0" fontId="26" fillId="34" borderId="29" xfId="54" applyFont="1" applyFill="1" applyBorder="1" applyAlignment="1">
      <alignment horizontal="center" vertical="center" wrapText="1"/>
      <protection/>
    </xf>
    <xf numFmtId="0" fontId="26" fillId="34" borderId="16" xfId="54" applyFont="1" applyFill="1" applyBorder="1" applyAlignment="1">
      <alignment horizontal="center" vertical="center"/>
      <protection/>
    </xf>
    <xf numFmtId="0" fontId="26" fillId="34" borderId="33" xfId="54" applyFont="1" applyFill="1" applyBorder="1" applyAlignment="1">
      <alignment horizontal="center" vertical="center"/>
      <protection/>
    </xf>
    <xf numFmtId="0" fontId="26" fillId="34" borderId="29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44" xfId="54" applyFont="1" applyFill="1" applyBorder="1" applyAlignment="1">
      <alignment horizontal="center" vertical="center"/>
      <protection/>
    </xf>
    <xf numFmtId="0" fontId="6" fillId="34" borderId="41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33" xfId="54" applyFont="1" applyFill="1" applyBorder="1" applyAlignment="1">
      <alignment horizontal="center" vertical="center"/>
      <protection/>
    </xf>
    <xf numFmtId="0" fontId="6" fillId="34" borderId="29" xfId="54" applyFont="1" applyFill="1" applyBorder="1" applyAlignment="1">
      <alignment horizontal="center" vertical="center"/>
      <protection/>
    </xf>
    <xf numFmtId="0" fontId="27" fillId="34" borderId="17" xfId="54" applyFont="1" applyFill="1" applyBorder="1" applyAlignment="1">
      <alignment horizontal="center" vertical="center" wrapText="1"/>
      <protection/>
    </xf>
    <xf numFmtId="0" fontId="27" fillId="34" borderId="0" xfId="54" applyFont="1" applyFill="1" applyBorder="1" applyAlignment="1">
      <alignment horizontal="center" vertical="center" wrapText="1"/>
      <protection/>
    </xf>
    <xf numFmtId="0" fontId="27" fillId="34" borderId="38" xfId="54" applyFont="1" applyFill="1" applyBorder="1" applyAlignment="1">
      <alignment horizontal="center" vertical="center" wrapText="1"/>
      <protection/>
    </xf>
    <xf numFmtId="0" fontId="27" fillId="34" borderId="15" xfId="54" applyFont="1" applyFill="1" applyBorder="1" applyAlignment="1">
      <alignment horizontal="center" vertical="center" wrapText="1"/>
      <protection/>
    </xf>
    <xf numFmtId="0" fontId="27" fillId="34" borderId="44" xfId="54" applyFont="1" applyFill="1" applyBorder="1" applyAlignment="1">
      <alignment horizontal="center" vertical="center" wrapText="1"/>
      <protection/>
    </xf>
    <xf numFmtId="0" fontId="27" fillId="34" borderId="41" xfId="54" applyFont="1" applyFill="1" applyBorder="1" applyAlignment="1">
      <alignment horizontal="center" vertical="center" wrapText="1"/>
      <protection/>
    </xf>
    <xf numFmtId="0" fontId="6" fillId="34" borderId="16" xfId="54" applyFont="1" applyFill="1" applyBorder="1" applyAlignment="1">
      <alignment horizontal="center" vertical="center" wrapText="1"/>
      <protection/>
    </xf>
    <xf numFmtId="0" fontId="6" fillId="34" borderId="33" xfId="54" applyFont="1" applyFill="1" applyBorder="1" applyAlignment="1">
      <alignment horizontal="center" vertical="center" wrapText="1"/>
      <protection/>
    </xf>
    <xf numFmtId="0" fontId="6" fillId="34" borderId="29" xfId="54" applyFont="1" applyFill="1" applyBorder="1" applyAlignment="1">
      <alignment horizontal="center" vertical="center" wrapText="1"/>
      <protection/>
    </xf>
    <xf numFmtId="0" fontId="27" fillId="34" borderId="40" xfId="54" applyFont="1" applyFill="1" applyBorder="1" applyAlignment="1">
      <alignment horizontal="center" vertical="center" wrapText="1"/>
      <protection/>
    </xf>
    <xf numFmtId="0" fontId="27" fillId="34" borderId="43" xfId="54" applyFont="1" applyFill="1" applyBorder="1" applyAlignment="1">
      <alignment horizontal="center" vertical="center" wrapText="1"/>
      <protection/>
    </xf>
    <xf numFmtId="0" fontId="27" fillId="34" borderId="30" xfId="54" applyFont="1" applyFill="1" applyBorder="1" applyAlignment="1">
      <alignment horizontal="center" vertical="center" wrapText="1"/>
      <protection/>
    </xf>
    <xf numFmtId="0" fontId="88" fillId="34" borderId="0" xfId="0" applyFont="1" applyFill="1" applyAlignment="1">
      <alignment horizontal="left" wrapText="1"/>
    </xf>
    <xf numFmtId="0" fontId="88" fillId="34" borderId="0" xfId="0" applyFont="1" applyFill="1" applyAlignment="1">
      <alignment horizontal="center"/>
    </xf>
    <xf numFmtId="0" fontId="6" fillId="34" borderId="10" xfId="54" applyFont="1" applyFill="1" applyBorder="1" applyAlignment="1">
      <alignment horizontal="left" vertical="center" wrapText="1"/>
      <protection/>
    </xf>
    <xf numFmtId="0" fontId="6" fillId="34" borderId="14" xfId="54" applyFont="1" applyFill="1" applyBorder="1" applyAlignment="1">
      <alignment horizontal="left" vertical="center" wrapText="1"/>
      <protection/>
    </xf>
    <xf numFmtId="0" fontId="6" fillId="34" borderId="12" xfId="54" applyFont="1" applyFill="1" applyBorder="1" applyAlignment="1">
      <alignment horizontal="left" vertical="center" wrapText="1"/>
      <protection/>
    </xf>
    <xf numFmtId="166" fontId="6" fillId="34" borderId="14" xfId="54" applyNumberFormat="1" applyFont="1" applyFill="1" applyBorder="1" applyAlignment="1">
      <alignment horizontal="center" vertical="center"/>
      <protection/>
    </xf>
    <xf numFmtId="166" fontId="6" fillId="34" borderId="12" xfId="54" applyNumberFormat="1" applyFont="1" applyFill="1" applyBorder="1" applyAlignment="1">
      <alignment horizontal="center" vertical="center"/>
      <protection/>
    </xf>
    <xf numFmtId="166" fontId="6" fillId="34" borderId="40" xfId="54" applyNumberFormat="1" applyFont="1" applyFill="1" applyBorder="1" applyAlignment="1">
      <alignment horizontal="center" vertical="center"/>
      <protection/>
    </xf>
    <xf numFmtId="166" fontId="6" fillId="34" borderId="15" xfId="54" applyNumberFormat="1" applyFont="1" applyFill="1" applyBorder="1" applyAlignment="1">
      <alignment horizontal="center" vertical="center"/>
      <protection/>
    </xf>
    <xf numFmtId="166" fontId="6" fillId="34" borderId="16" xfId="54" applyNumberFormat="1" applyFont="1" applyFill="1" applyBorder="1" applyAlignment="1">
      <alignment horizontal="center" vertical="center"/>
      <protection/>
    </xf>
    <xf numFmtId="166" fontId="6" fillId="34" borderId="10" xfId="54" applyNumberFormat="1" applyFont="1" applyFill="1" applyBorder="1" applyAlignment="1">
      <alignment horizontal="center" vertical="center"/>
      <protection/>
    </xf>
    <xf numFmtId="0" fontId="27" fillId="34" borderId="10" xfId="54" applyFont="1" applyFill="1" applyBorder="1" applyAlignment="1">
      <alignment horizontal="center" vertical="center" wrapText="1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34" borderId="20" xfId="54" applyFont="1" applyFill="1" applyBorder="1" applyAlignment="1">
      <alignment horizontal="center"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166" fontId="6" fillId="34" borderId="14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166" fontId="6" fillId="34" borderId="12" xfId="0" applyNumberFormat="1" applyFont="1" applyFill="1" applyBorder="1" applyAlignment="1">
      <alignment horizontal="center" vertical="center"/>
    </xf>
    <xf numFmtId="166" fontId="6" fillId="34" borderId="20" xfId="54" applyNumberFormat="1" applyFont="1" applyFill="1" applyBorder="1" applyAlignment="1">
      <alignment horizontal="center" vertical="center"/>
      <protection/>
    </xf>
    <xf numFmtId="166" fontId="88" fillId="34" borderId="14" xfId="0" applyNumberFormat="1" applyFont="1" applyFill="1" applyBorder="1" applyAlignment="1">
      <alignment horizontal="center" vertical="center"/>
    </xf>
    <xf numFmtId="166" fontId="88" fillId="34" borderId="20" xfId="0" applyNumberFormat="1" applyFont="1" applyFill="1" applyBorder="1" applyAlignment="1">
      <alignment horizontal="center" vertical="center"/>
    </xf>
    <xf numFmtId="166" fontId="88" fillId="34" borderId="12" xfId="0" applyNumberFormat="1" applyFont="1" applyFill="1" applyBorder="1" applyAlignment="1">
      <alignment horizontal="center" vertical="center"/>
    </xf>
    <xf numFmtId="0" fontId="27" fillId="34" borderId="14" xfId="54" applyFont="1" applyFill="1" applyBorder="1" applyAlignment="1">
      <alignment horizontal="left" vertical="center" wrapText="1"/>
      <protection/>
    </xf>
    <xf numFmtId="0" fontId="27" fillId="34" borderId="12" xfId="54" applyFont="1" applyFill="1" applyBorder="1" applyAlignment="1">
      <alignment horizontal="left" vertical="center" wrapText="1"/>
      <protection/>
    </xf>
    <xf numFmtId="0" fontId="6" fillId="34" borderId="0" xfId="54" applyFont="1" applyFill="1" applyBorder="1" applyAlignment="1">
      <alignment horizontal="left" vertical="top" wrapText="1"/>
      <protection/>
    </xf>
    <xf numFmtId="0" fontId="0" fillId="34" borderId="0" xfId="0" applyFont="1" applyFill="1" applyAlignment="1">
      <alignment horizontal="left" vertical="top" wrapText="1"/>
    </xf>
    <xf numFmtId="0" fontId="6" fillId="34" borderId="0" xfId="54" applyFont="1" applyFill="1" applyBorder="1" applyAlignment="1">
      <alignment horizontal="left" vertical="center" wrapText="1"/>
      <protection/>
    </xf>
    <xf numFmtId="0" fontId="0" fillId="34" borderId="0" xfId="0" applyFont="1" applyFill="1" applyAlignment="1">
      <alignment horizontal="left" vertical="center" wrapText="1"/>
    </xf>
    <xf numFmtId="0" fontId="6" fillId="34" borderId="0" xfId="54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top" wrapText="1"/>
      <protection/>
    </xf>
    <xf numFmtId="0" fontId="6" fillId="34" borderId="12" xfId="54" applyFont="1" applyFill="1" applyBorder="1" applyAlignment="1">
      <alignment horizontal="center" vertical="top" wrapText="1"/>
      <protection/>
    </xf>
    <xf numFmtId="3" fontId="6" fillId="34" borderId="14" xfId="54" applyNumberFormat="1" applyFont="1" applyFill="1" applyBorder="1" applyAlignment="1">
      <alignment horizontal="center" vertical="center" wrapText="1"/>
      <protection/>
    </xf>
    <xf numFmtId="3" fontId="6" fillId="34" borderId="20" xfId="54" applyNumberFormat="1" applyFont="1" applyFill="1" applyBorder="1" applyAlignment="1">
      <alignment horizontal="center" vertical="center" wrapText="1"/>
      <protection/>
    </xf>
    <xf numFmtId="3" fontId="6" fillId="34" borderId="12" xfId="54" applyNumberFormat="1" applyFont="1" applyFill="1" applyBorder="1" applyAlignment="1">
      <alignment horizontal="center" vertical="center" wrapText="1"/>
      <protection/>
    </xf>
    <xf numFmtId="0" fontId="6" fillId="34" borderId="20" xfId="54" applyFont="1" applyFill="1" applyBorder="1" applyAlignment="1">
      <alignment horizontal="left" vertical="center" wrapText="1"/>
      <protection/>
    </xf>
    <xf numFmtId="166" fontId="11" fillId="34" borderId="14" xfId="56" applyNumberFormat="1" applyFont="1" applyFill="1" applyBorder="1" applyAlignment="1">
      <alignment vertical="center"/>
      <protection/>
    </xf>
    <xf numFmtId="166" fontId="11" fillId="34" borderId="12" xfId="56" applyNumberFormat="1" applyFont="1" applyFill="1" applyBorder="1" applyAlignment="1">
      <alignment vertical="center"/>
      <protection/>
    </xf>
    <xf numFmtId="0" fontId="31" fillId="34" borderId="0" xfId="0" applyFont="1" applyFill="1" applyAlignment="1">
      <alignment horizontal="left" vertical="top" wrapText="1"/>
    </xf>
    <xf numFmtId="168" fontId="10" fillId="34" borderId="14" xfId="0" applyNumberFormat="1" applyFont="1" applyFill="1" applyBorder="1" applyAlignment="1">
      <alignment horizontal="left" vertical="center" wrapText="1"/>
    </xf>
    <xf numFmtId="168" fontId="10" fillId="34" borderId="20" xfId="0" applyNumberFormat="1" applyFont="1" applyFill="1" applyBorder="1" applyAlignment="1">
      <alignment horizontal="left" vertical="center" wrapText="1"/>
    </xf>
    <xf numFmtId="168" fontId="10" fillId="34" borderId="12" xfId="0" applyNumberFormat="1" applyFont="1" applyFill="1" applyBorder="1" applyAlignment="1">
      <alignment horizontal="left" vertical="center" wrapText="1"/>
    </xf>
    <xf numFmtId="168" fontId="10" fillId="34" borderId="30" xfId="0" applyNumberFormat="1" applyFont="1" applyFill="1" applyBorder="1" applyAlignment="1">
      <alignment horizontal="left" vertical="center" wrapText="1"/>
    </xf>
    <xf numFmtId="168" fontId="10" fillId="34" borderId="41" xfId="0" applyNumberFormat="1" applyFont="1" applyFill="1" applyBorder="1" applyAlignment="1">
      <alignment horizontal="left" vertical="center" wrapText="1"/>
    </xf>
    <xf numFmtId="168" fontId="10" fillId="34" borderId="30" xfId="0" applyNumberFormat="1" applyFont="1" applyFill="1" applyBorder="1" applyAlignment="1">
      <alignment horizontal="center" vertical="center" wrapText="1"/>
    </xf>
    <xf numFmtId="168" fontId="10" fillId="34" borderId="38" xfId="0" applyNumberFormat="1" applyFont="1" applyFill="1" applyBorder="1" applyAlignment="1">
      <alignment horizontal="center" vertical="center" wrapText="1"/>
    </xf>
    <xf numFmtId="168" fontId="10" fillId="34" borderId="41" xfId="0" applyNumberFormat="1" applyFont="1" applyFill="1" applyBorder="1" applyAlignment="1">
      <alignment horizontal="center" vertical="center" wrapText="1"/>
    </xf>
    <xf numFmtId="168" fontId="10" fillId="34" borderId="14" xfId="0" applyNumberFormat="1" applyFont="1" applyFill="1" applyBorder="1" applyAlignment="1">
      <alignment horizontal="center" vertical="center" wrapText="1"/>
    </xf>
    <xf numFmtId="168" fontId="10" fillId="34" borderId="20" xfId="0" applyNumberFormat="1" applyFont="1" applyFill="1" applyBorder="1" applyAlignment="1">
      <alignment horizontal="center" vertical="center" wrapText="1"/>
    </xf>
    <xf numFmtId="168" fontId="10" fillId="34" borderId="12" xfId="0" applyNumberFormat="1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166" fontId="11" fillId="35" borderId="14" xfId="56" applyNumberFormat="1" applyFont="1" applyFill="1" applyBorder="1" applyAlignment="1">
      <alignment vertical="center"/>
      <protection/>
    </xf>
    <xf numFmtId="166" fontId="11" fillId="35" borderId="12" xfId="56" applyNumberFormat="1" applyFont="1" applyFill="1" applyBorder="1" applyAlignment="1">
      <alignment vertical="center"/>
      <protection/>
    </xf>
    <xf numFmtId="0" fontId="10" fillId="34" borderId="14" xfId="56" applyFont="1" applyFill="1" applyBorder="1" applyAlignment="1">
      <alignment horizontal="center" vertical="center" wrapText="1"/>
      <protection/>
    </xf>
    <xf numFmtId="0" fontId="10" fillId="34" borderId="20" xfId="56" applyFont="1" applyFill="1" applyBorder="1" applyAlignment="1">
      <alignment horizontal="center" vertical="center" wrapText="1"/>
      <protection/>
    </xf>
    <xf numFmtId="0" fontId="10" fillId="34" borderId="12" xfId="56" applyFont="1" applyFill="1" applyBorder="1" applyAlignment="1">
      <alignment horizontal="center" vertical="center" wrapText="1"/>
      <protection/>
    </xf>
    <xf numFmtId="0" fontId="10" fillId="34" borderId="14" xfId="56" applyFont="1" applyFill="1" applyBorder="1" applyAlignment="1">
      <alignment horizontal="left" vertical="center" wrapText="1"/>
      <protection/>
    </xf>
    <xf numFmtId="0" fontId="10" fillId="34" borderId="20" xfId="56" applyFont="1" applyFill="1" applyBorder="1" applyAlignment="1">
      <alignment horizontal="left" vertical="center" wrapText="1"/>
      <protection/>
    </xf>
    <xf numFmtId="0" fontId="10" fillId="34" borderId="12" xfId="56" applyFont="1" applyFill="1" applyBorder="1" applyAlignment="1">
      <alignment horizontal="left" vertical="center" wrapText="1"/>
      <protection/>
    </xf>
    <xf numFmtId="0" fontId="10" fillId="34" borderId="14" xfId="56" applyFont="1" applyFill="1" applyBorder="1" applyAlignment="1">
      <alignment horizontal="center" vertical="top" wrapText="1"/>
      <protection/>
    </xf>
    <xf numFmtId="0" fontId="0" fillId="34" borderId="20" xfId="0" applyFill="1" applyBorder="1" applyAlignment="1">
      <alignment/>
    </xf>
    <xf numFmtId="0" fontId="11" fillId="34" borderId="14" xfId="56" applyFont="1" applyFill="1" applyBorder="1" applyAlignment="1">
      <alignment horizontal="center" vertical="center"/>
      <protection/>
    </xf>
    <xf numFmtId="0" fontId="11" fillId="34" borderId="12" xfId="56" applyFont="1" applyFill="1" applyBorder="1" applyAlignment="1">
      <alignment horizontal="center" vertical="center"/>
      <protection/>
    </xf>
    <xf numFmtId="0" fontId="4" fillId="34" borderId="14" xfId="56" applyFont="1" applyFill="1" applyBorder="1" applyAlignment="1">
      <alignment horizontal="center" vertical="top" wrapText="1"/>
      <protection/>
    </xf>
    <xf numFmtId="0" fontId="4" fillId="34" borderId="12" xfId="56" applyFont="1" applyFill="1" applyBorder="1" applyAlignment="1">
      <alignment horizontal="center" vertical="top" wrapText="1"/>
      <protection/>
    </xf>
    <xf numFmtId="0" fontId="8" fillId="34" borderId="0" xfId="56" applyFont="1" applyFill="1" applyAlignment="1">
      <alignment horizontal="left" vertical="top" wrapText="1"/>
      <protection/>
    </xf>
    <xf numFmtId="0" fontId="31" fillId="34" borderId="0" xfId="0" applyFont="1" applyFill="1" applyAlignment="1">
      <alignment horizontal="center" vertical="top" wrapText="1"/>
    </xf>
    <xf numFmtId="0" fontId="4" fillId="34" borderId="14" xfId="56" applyFont="1" applyFill="1" applyBorder="1" applyAlignment="1">
      <alignment horizontal="center" vertic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20" xfId="56" applyFont="1" applyFill="1" applyBorder="1" applyAlignment="1">
      <alignment horizontal="center" vertical="top" wrapText="1"/>
      <protection/>
    </xf>
    <xf numFmtId="0" fontId="10" fillId="34" borderId="40" xfId="56" applyFont="1" applyFill="1" applyBorder="1" applyAlignment="1">
      <alignment horizontal="center" vertical="center" wrapText="1"/>
      <protection/>
    </xf>
    <xf numFmtId="0" fontId="10" fillId="34" borderId="43" xfId="56" applyFont="1" applyFill="1" applyBorder="1" applyAlignment="1">
      <alignment horizontal="center" vertical="center" wrapText="1"/>
      <protection/>
    </xf>
    <xf numFmtId="0" fontId="10" fillId="34" borderId="30" xfId="56" applyFont="1" applyFill="1" applyBorder="1" applyAlignment="1">
      <alignment horizontal="center" vertical="center" wrapText="1"/>
      <protection/>
    </xf>
    <xf numFmtId="0" fontId="10" fillId="34" borderId="15" xfId="56" applyFont="1" applyFill="1" applyBorder="1" applyAlignment="1">
      <alignment horizontal="center" vertical="center" wrapText="1"/>
      <protection/>
    </xf>
    <xf numFmtId="0" fontId="10" fillId="34" borderId="44" xfId="56" applyFont="1" applyFill="1" applyBorder="1" applyAlignment="1">
      <alignment horizontal="center" vertical="center" wrapText="1"/>
      <protection/>
    </xf>
    <xf numFmtId="0" fontId="10" fillId="34" borderId="41" xfId="56" applyFont="1" applyFill="1" applyBorder="1" applyAlignment="1">
      <alignment horizontal="center" vertical="center" wrapText="1"/>
      <protection/>
    </xf>
    <xf numFmtId="0" fontId="11" fillId="34" borderId="14" xfId="56" applyFont="1" applyFill="1" applyBorder="1" applyAlignment="1">
      <alignment horizontal="left" vertical="top" wrapText="1"/>
      <protection/>
    </xf>
    <xf numFmtId="0" fontId="11" fillId="34" borderId="12" xfId="56" applyFont="1" applyFill="1" applyBorder="1" applyAlignment="1">
      <alignment horizontal="left" vertical="top" wrapText="1"/>
      <protection/>
    </xf>
    <xf numFmtId="0" fontId="10" fillId="34" borderId="14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49" fontId="11" fillId="34" borderId="14" xfId="56" applyNumberFormat="1" applyFont="1" applyFill="1" applyBorder="1" applyAlignment="1">
      <alignment horizontal="center" vertical="center"/>
      <protection/>
    </xf>
    <xf numFmtId="49" fontId="11" fillId="34" borderId="12" xfId="56" applyNumberFormat="1" applyFont="1" applyFill="1" applyBorder="1" applyAlignment="1">
      <alignment horizontal="center" vertical="center"/>
      <protection/>
    </xf>
    <xf numFmtId="166" fontId="8" fillId="34" borderId="0" xfId="56" applyNumberFormat="1" applyFont="1" applyFill="1" applyBorder="1" applyAlignment="1">
      <alignment horizontal="left" vertical="top" wrapText="1"/>
      <protection/>
    </xf>
    <xf numFmtId="0" fontId="8" fillId="34" borderId="0" xfId="56" applyFont="1" applyFill="1" applyBorder="1" applyAlignment="1">
      <alignment horizontal="left" vertical="center" wrapText="1"/>
      <protection/>
    </xf>
    <xf numFmtId="0" fontId="11" fillId="34" borderId="0" xfId="56" applyFont="1" applyFill="1" applyBorder="1" applyAlignment="1">
      <alignment horizontal="center" vertical="center" wrapText="1"/>
      <protection/>
    </xf>
    <xf numFmtId="0" fontId="10" fillId="35" borderId="14" xfId="56" applyFont="1" applyFill="1" applyBorder="1" applyAlignment="1">
      <alignment horizontal="center" vertical="center" wrapText="1"/>
      <protection/>
    </xf>
    <xf numFmtId="0" fontId="10" fillId="35" borderId="12" xfId="56" applyFont="1" applyFill="1" applyBorder="1" applyAlignment="1">
      <alignment horizontal="center" vertical="center" wrapText="1"/>
      <protection/>
    </xf>
    <xf numFmtId="0" fontId="10" fillId="34" borderId="16" xfId="56" applyFont="1" applyFill="1" applyBorder="1" applyAlignment="1">
      <alignment horizontal="center" vertical="center" wrapText="1"/>
      <protection/>
    </xf>
    <xf numFmtId="0" fontId="10" fillId="34" borderId="33" xfId="56" applyFont="1" applyFill="1" applyBorder="1" applyAlignment="1">
      <alignment horizontal="center" vertical="center" wrapText="1"/>
      <protection/>
    </xf>
    <xf numFmtId="0" fontId="10" fillId="34" borderId="29" xfId="56" applyFont="1" applyFill="1" applyBorder="1" applyAlignment="1">
      <alignment horizontal="center" vertical="center" wrapText="1"/>
      <protection/>
    </xf>
    <xf numFmtId="165" fontId="10" fillId="34" borderId="14" xfId="56" applyNumberFormat="1" applyFont="1" applyFill="1" applyBorder="1" applyAlignment="1">
      <alignment horizontal="center" vertical="center" wrapText="1"/>
      <protection/>
    </xf>
    <xf numFmtId="165" fontId="10" fillId="34" borderId="12" xfId="56" applyNumberFormat="1" applyFont="1" applyFill="1" applyBorder="1" applyAlignment="1">
      <alignment horizontal="center" vertical="center" wrapText="1"/>
      <protection/>
    </xf>
    <xf numFmtId="0" fontId="4" fillId="34" borderId="20" xfId="56" applyFont="1" applyFill="1" applyBorder="1" applyAlignment="1">
      <alignment horizontal="center" vertical="center" wrapText="1"/>
      <protection/>
    </xf>
    <xf numFmtId="49" fontId="4" fillId="34" borderId="14" xfId="56" applyNumberFormat="1" applyFont="1" applyFill="1" applyBorder="1" applyAlignment="1">
      <alignment horizontal="center" vertical="center"/>
      <protection/>
    </xf>
    <xf numFmtId="49" fontId="4" fillId="34" borderId="12" xfId="56" applyNumberFormat="1" applyFont="1" applyFill="1" applyBorder="1" applyAlignment="1">
      <alignment horizontal="center" vertical="center"/>
      <protection/>
    </xf>
    <xf numFmtId="49" fontId="4" fillId="34" borderId="14" xfId="56" applyNumberFormat="1" applyFont="1" applyFill="1" applyBorder="1" applyAlignment="1">
      <alignment horizontal="center" vertical="center" wrapText="1"/>
      <protection/>
    </xf>
    <xf numFmtId="0" fontId="50" fillId="34" borderId="12" xfId="0" applyFont="1" applyFill="1" applyBorder="1" applyAlignment="1">
      <alignment/>
    </xf>
    <xf numFmtId="0" fontId="4" fillId="34" borderId="14" xfId="56" applyFont="1" applyFill="1" applyBorder="1" applyAlignment="1">
      <alignment horizontal="left" vertical="center" wrapText="1"/>
      <protection/>
    </xf>
    <xf numFmtId="0" fontId="4" fillId="34" borderId="12" xfId="56" applyFont="1" applyFill="1" applyBorder="1" applyAlignment="1">
      <alignment horizontal="left" vertical="center" wrapText="1"/>
      <protection/>
    </xf>
    <xf numFmtId="49" fontId="4" fillId="34" borderId="20" xfId="56" applyNumberFormat="1" applyFont="1" applyFill="1" applyBorder="1" applyAlignment="1">
      <alignment horizontal="center" vertical="center"/>
      <protection/>
    </xf>
    <xf numFmtId="166" fontId="4" fillId="34" borderId="14" xfId="56" applyNumberFormat="1" applyFont="1" applyFill="1" applyBorder="1" applyAlignment="1">
      <alignment horizontal="center" wrapText="1"/>
      <protection/>
    </xf>
    <xf numFmtId="166" fontId="4" fillId="34" borderId="12" xfId="56" applyNumberFormat="1" applyFont="1" applyFill="1" applyBorder="1" applyAlignment="1">
      <alignment horizontal="center" wrapText="1"/>
      <protection/>
    </xf>
    <xf numFmtId="0" fontId="4" fillId="34" borderId="14" xfId="56" applyFont="1" applyFill="1" applyBorder="1" applyAlignment="1">
      <alignment horizontal="left" vertical="top" wrapText="1"/>
      <protection/>
    </xf>
    <xf numFmtId="0" fontId="4" fillId="34" borderId="12" xfId="56" applyFont="1" applyFill="1" applyBorder="1" applyAlignment="1">
      <alignment horizontal="left" vertical="top" wrapText="1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2" fontId="4" fillId="34" borderId="14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166" fontId="4" fillId="34" borderId="14" xfId="56" applyNumberFormat="1" applyFont="1" applyFill="1" applyBorder="1" applyAlignment="1">
      <alignment horizontal="center" vertical="center" wrapText="1"/>
      <protection/>
    </xf>
    <xf numFmtId="166" fontId="4" fillId="34" borderId="20" xfId="56" applyNumberFormat="1" applyFont="1" applyFill="1" applyBorder="1" applyAlignment="1">
      <alignment horizontal="center" vertical="center" wrapText="1"/>
      <protection/>
    </xf>
    <xf numFmtId="166" fontId="4" fillId="34" borderId="12" xfId="56" applyNumberFormat="1" applyFont="1" applyFill="1" applyBorder="1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left" vertical="center"/>
      <protection/>
    </xf>
    <xf numFmtId="0" fontId="4" fillId="34" borderId="12" xfId="56" applyFont="1" applyFill="1" applyBorder="1" applyAlignment="1">
      <alignment horizontal="left" vertical="center"/>
      <protection/>
    </xf>
    <xf numFmtId="0" fontId="10" fillId="34" borderId="0" xfId="0" applyFont="1" applyFill="1" applyAlignment="1">
      <alignment horizontal="left" vertical="top" wrapText="1"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10" fillId="34" borderId="0" xfId="0" applyFont="1" applyFill="1" applyAlignment="1">
      <alignment horizontal="center" vertical="top" wrapText="1"/>
    </xf>
    <xf numFmtId="0" fontId="8" fillId="34" borderId="0" xfId="56" applyFont="1" applyFill="1" applyBorder="1" applyAlignment="1">
      <alignment horizontal="left" vertical="top" wrapText="1"/>
      <protection/>
    </xf>
    <xf numFmtId="0" fontId="8" fillId="34" borderId="0" xfId="56" applyFont="1" applyFill="1" applyAlignment="1">
      <alignment horizontal="left" vertical="center" wrapText="1"/>
      <protection/>
    </xf>
    <xf numFmtId="0" fontId="8" fillId="34" borderId="0" xfId="56" applyFont="1" applyFill="1" applyAlignment="1">
      <alignment horizontal="left" vertical="center"/>
      <protection/>
    </xf>
    <xf numFmtId="0" fontId="12" fillId="34" borderId="0" xfId="56" applyFont="1" applyFill="1" applyBorder="1" applyAlignment="1">
      <alignment horizontal="center" vertical="center" wrapText="1"/>
      <protection/>
    </xf>
    <xf numFmtId="166" fontId="4" fillId="34" borderId="20" xfId="56" applyNumberFormat="1" applyFont="1" applyFill="1" applyBorder="1" applyAlignment="1">
      <alignment horizontal="center" wrapText="1"/>
      <protection/>
    </xf>
    <xf numFmtId="168" fontId="4" fillId="34" borderId="14" xfId="0" applyNumberFormat="1" applyFont="1" applyFill="1" applyBorder="1" applyAlignment="1">
      <alignment horizontal="left" vertical="center" wrapText="1"/>
    </xf>
    <xf numFmtId="168" fontId="4" fillId="34" borderId="12" xfId="0" applyNumberFormat="1" applyFont="1" applyFill="1" applyBorder="1" applyAlignment="1">
      <alignment horizontal="left" vertical="center" wrapText="1"/>
    </xf>
    <xf numFmtId="0" fontId="4" fillId="34" borderId="14" xfId="56" applyNumberFormat="1" applyFont="1" applyFill="1" applyBorder="1" applyAlignment="1">
      <alignment horizontal="left" vertical="center" wrapText="1"/>
      <protection/>
    </xf>
    <xf numFmtId="0" fontId="4" fillId="34" borderId="12" xfId="56" applyNumberFormat="1" applyFont="1" applyFill="1" applyBorder="1" applyAlignment="1">
      <alignment horizontal="left" vertical="center" wrapText="1"/>
      <protection/>
    </xf>
    <xf numFmtId="0" fontId="8" fillId="34" borderId="0" xfId="56" applyFont="1" applyFill="1" applyAlignment="1">
      <alignment horizontal="left" wrapText="1"/>
      <protection/>
    </xf>
    <xf numFmtId="0" fontId="8" fillId="34" borderId="0" xfId="56" applyFont="1" applyFill="1" applyAlignment="1">
      <alignment horizontal="left"/>
      <protection/>
    </xf>
    <xf numFmtId="0" fontId="8" fillId="34" borderId="10" xfId="56" applyFont="1" applyFill="1" applyBorder="1" applyAlignment="1">
      <alignment horizontal="center" vertical="center" wrapText="1"/>
      <protection/>
    </xf>
    <xf numFmtId="0" fontId="24" fillId="34" borderId="0" xfId="56" applyFont="1" applyFill="1" applyBorder="1" applyAlignment="1">
      <alignment horizontal="center" vertical="center" wrapText="1"/>
      <protection/>
    </xf>
    <xf numFmtId="166" fontId="8" fillId="34" borderId="10" xfId="56" applyNumberFormat="1" applyFont="1" applyFill="1" applyBorder="1" applyAlignment="1">
      <alignment horizontal="left" vertical="top" wrapText="1"/>
      <protection/>
    </xf>
    <xf numFmtId="0" fontId="8" fillId="34" borderId="10" xfId="56" applyFont="1" applyFill="1" applyBorder="1" applyAlignment="1">
      <alignment horizontal="left" vertical="top" wrapText="1"/>
      <protection/>
    </xf>
    <xf numFmtId="0" fontId="8" fillId="34" borderId="14" xfId="56" applyFont="1" applyFill="1" applyBorder="1" applyAlignment="1">
      <alignment horizontal="left" vertical="top" wrapText="1"/>
      <protection/>
    </xf>
    <xf numFmtId="0" fontId="8" fillId="34" borderId="20" xfId="56" applyFont="1" applyFill="1" applyBorder="1" applyAlignment="1">
      <alignment horizontal="left" vertical="top" wrapText="1"/>
      <protection/>
    </xf>
    <xf numFmtId="0" fontId="8" fillId="34" borderId="12" xfId="56" applyFont="1" applyFill="1" applyBorder="1" applyAlignment="1">
      <alignment horizontal="left" vertical="top" wrapText="1"/>
      <protection/>
    </xf>
    <xf numFmtId="0" fontId="8" fillId="34" borderId="10" xfId="56" applyFont="1" applyFill="1" applyBorder="1" applyAlignment="1">
      <alignment horizontal="center" vertical="top" wrapText="1"/>
      <protection/>
    </xf>
    <xf numFmtId="49" fontId="13" fillId="34" borderId="16" xfId="52" applyNumberFormat="1" applyFont="1" applyFill="1" applyBorder="1" applyAlignment="1">
      <alignment horizontal="center" vertical="top" wrapText="1"/>
      <protection/>
    </xf>
    <xf numFmtId="49" fontId="13" fillId="34" borderId="33" xfId="52" applyNumberFormat="1" applyFont="1" applyFill="1" applyBorder="1" applyAlignment="1">
      <alignment horizontal="center" vertical="top" wrapText="1"/>
      <protection/>
    </xf>
    <xf numFmtId="49" fontId="13" fillId="34" borderId="29" xfId="52" applyNumberFormat="1" applyFont="1" applyFill="1" applyBorder="1" applyAlignment="1">
      <alignment horizontal="center" vertical="top" wrapText="1"/>
      <protection/>
    </xf>
    <xf numFmtId="49" fontId="15" fillId="34" borderId="14" xfId="52" applyNumberFormat="1" applyFont="1" applyFill="1" applyBorder="1" applyAlignment="1">
      <alignment horizontal="center" vertical="top" wrapText="1"/>
      <protection/>
    </xf>
    <xf numFmtId="49" fontId="15" fillId="34" borderId="20" xfId="52" applyNumberFormat="1" applyFont="1" applyFill="1" applyBorder="1" applyAlignment="1">
      <alignment horizontal="center" vertical="top" wrapText="1"/>
      <protection/>
    </xf>
    <xf numFmtId="49" fontId="15" fillId="34" borderId="12" xfId="52" applyNumberFormat="1" applyFont="1" applyFill="1" applyBorder="1" applyAlignment="1">
      <alignment horizontal="center" vertical="top" wrapText="1"/>
      <protection/>
    </xf>
    <xf numFmtId="0" fontId="3" fillId="34" borderId="14" xfId="56" applyFont="1" applyFill="1" applyBorder="1" applyAlignment="1">
      <alignment horizontal="center" vertical="top" wrapText="1"/>
      <protection/>
    </xf>
    <xf numFmtId="0" fontId="3" fillId="34" borderId="20" xfId="56" applyFont="1" applyFill="1" applyBorder="1" applyAlignment="1">
      <alignment horizontal="center" vertical="top" wrapText="1"/>
      <protection/>
    </xf>
    <xf numFmtId="0" fontId="3" fillId="34" borderId="12" xfId="56" applyFont="1" applyFill="1" applyBorder="1" applyAlignment="1">
      <alignment horizontal="center" vertical="top" wrapText="1"/>
      <protection/>
    </xf>
    <xf numFmtId="167" fontId="15" fillId="34" borderId="14" xfId="52" applyNumberFormat="1" applyFont="1" applyFill="1" applyBorder="1" applyAlignment="1">
      <alignment horizontal="center" vertical="top" wrapText="1"/>
      <protection/>
    </xf>
    <xf numFmtId="167" fontId="15" fillId="34" borderId="20" xfId="52" applyNumberFormat="1" applyFont="1" applyFill="1" applyBorder="1" applyAlignment="1">
      <alignment horizontal="center" vertical="top" wrapText="1"/>
      <protection/>
    </xf>
    <xf numFmtId="167" fontId="15" fillId="34" borderId="12" xfId="52" applyNumberFormat="1" applyFont="1" applyFill="1" applyBorder="1" applyAlignment="1">
      <alignment horizontal="center" vertical="top" wrapText="1"/>
      <protection/>
    </xf>
    <xf numFmtId="0" fontId="15" fillId="34" borderId="0" xfId="52" applyFont="1" applyFill="1" applyAlignment="1">
      <alignment horizontal="left" vertical="top" wrapText="1"/>
      <protection/>
    </xf>
    <xf numFmtId="0" fontId="15" fillId="34" borderId="0" xfId="52" applyFont="1" applyFill="1" applyBorder="1" applyAlignment="1">
      <alignment horizontal="left" vertical="top" wrapText="1"/>
      <protection/>
    </xf>
    <xf numFmtId="0" fontId="18" fillId="34" borderId="0" xfId="52" applyFont="1" applyFill="1" applyAlignment="1">
      <alignment vertical="top" wrapText="1"/>
      <protection/>
    </xf>
    <xf numFmtId="0" fontId="15" fillId="34" borderId="0" xfId="52" applyFont="1" applyFill="1" applyAlignment="1">
      <alignment horizontal="left" vertical="center" wrapText="1"/>
      <protection/>
    </xf>
    <xf numFmtId="49" fontId="17" fillId="34" borderId="0" xfId="52" applyNumberFormat="1" applyFont="1" applyFill="1" applyAlignment="1">
      <alignment horizontal="center" vertical="top" wrapText="1"/>
      <protection/>
    </xf>
    <xf numFmtId="49" fontId="15" fillId="34" borderId="10" xfId="52" applyNumberFormat="1" applyFont="1" applyFill="1" applyBorder="1" applyAlignment="1">
      <alignment horizontal="center" vertical="top" wrapText="1"/>
      <protection/>
    </xf>
    <xf numFmtId="0" fontId="15" fillId="34" borderId="16" xfId="52" applyFont="1" applyFill="1" applyBorder="1" applyAlignment="1">
      <alignment horizontal="center" vertical="top" wrapText="1"/>
      <protection/>
    </xf>
    <xf numFmtId="0" fontId="15" fillId="34" borderId="33" xfId="52" applyFont="1" applyFill="1" applyBorder="1" applyAlignment="1">
      <alignment horizontal="center" vertical="top" wrapText="1"/>
      <protection/>
    </xf>
    <xf numFmtId="0" fontId="15" fillId="34" borderId="29" xfId="52" applyFont="1" applyFill="1" applyBorder="1" applyAlignment="1">
      <alignment horizontal="center" vertical="top" wrapText="1"/>
      <protection/>
    </xf>
    <xf numFmtId="0" fontId="15" fillId="34" borderId="10" xfId="52" applyFont="1" applyFill="1" applyBorder="1" applyAlignment="1">
      <alignment horizontal="center" vertical="top" wrapText="1"/>
      <protection/>
    </xf>
    <xf numFmtId="0" fontId="15" fillId="34" borderId="14" xfId="52" applyFont="1" applyFill="1" applyBorder="1" applyAlignment="1">
      <alignment horizontal="center" vertical="top" wrapText="1"/>
      <protection/>
    </xf>
    <xf numFmtId="0" fontId="15" fillId="34" borderId="12" xfId="52" applyFont="1" applyFill="1" applyBorder="1" applyAlignment="1">
      <alignment horizontal="center" vertical="top" wrapText="1"/>
      <protection/>
    </xf>
    <xf numFmtId="0" fontId="15" fillId="34" borderId="16" xfId="52" applyFont="1" applyFill="1" applyBorder="1" applyAlignment="1">
      <alignment horizontal="left" vertical="top" wrapText="1"/>
      <protection/>
    </xf>
    <xf numFmtId="0" fontId="15" fillId="34" borderId="33" xfId="52" applyFont="1" applyFill="1" applyBorder="1" applyAlignment="1">
      <alignment horizontal="left" vertical="top" wrapText="1"/>
      <protection/>
    </xf>
    <xf numFmtId="0" fontId="15" fillId="34" borderId="29" xfId="52" applyFont="1" applyFill="1" applyBorder="1" applyAlignment="1">
      <alignment horizontal="left" vertical="top" wrapText="1"/>
      <protection/>
    </xf>
    <xf numFmtId="0" fontId="15" fillId="34" borderId="20" xfId="52" applyFont="1" applyFill="1" applyBorder="1" applyAlignment="1">
      <alignment horizontal="center" vertical="top" wrapText="1"/>
      <protection/>
    </xf>
    <xf numFmtId="165" fontId="24" fillId="33" borderId="33" xfId="53" applyNumberFormat="1" applyFont="1" applyFill="1" applyBorder="1" applyAlignment="1">
      <alignment horizontal="center" vertical="center" wrapText="1"/>
      <protection/>
    </xf>
    <xf numFmtId="0" fontId="77" fillId="0" borderId="33" xfId="0" applyFont="1" applyBorder="1" applyAlignment="1">
      <alignment horizontal="center" vertical="center"/>
    </xf>
    <xf numFmtId="165" fontId="24" fillId="33" borderId="43" xfId="53" applyNumberFormat="1" applyFont="1" applyFill="1" applyBorder="1" applyAlignment="1">
      <alignment horizontal="center" wrapText="1"/>
      <protection/>
    </xf>
    <xf numFmtId="0" fontId="77" fillId="0" borderId="43" xfId="0" applyFont="1" applyBorder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7" fillId="0" borderId="16" xfId="55" applyFont="1" applyFill="1" applyBorder="1" applyAlignment="1">
      <alignment horizontal="left" vertical="top" wrapText="1"/>
      <protection/>
    </xf>
    <xf numFmtId="0" fontId="0" fillId="0" borderId="33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6" fillId="34" borderId="16" xfId="52" applyFont="1" applyFill="1" applyBorder="1" applyAlignment="1">
      <alignment horizontal="left" vertical="center" wrapText="1"/>
      <protection/>
    </xf>
    <xf numFmtId="0" fontId="6" fillId="34" borderId="33" xfId="52" applyFont="1" applyFill="1" applyBorder="1" applyAlignment="1">
      <alignment horizontal="left" vertical="center" wrapText="1"/>
      <protection/>
    </xf>
    <xf numFmtId="0" fontId="0" fillId="34" borderId="29" xfId="0" applyFill="1" applyBorder="1" applyAlignment="1">
      <alignment horizontal="left"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165" fontId="6" fillId="34" borderId="16" xfId="53" applyNumberFormat="1" applyFont="1" applyFill="1" applyBorder="1" applyAlignment="1">
      <alignment horizontal="left" vertical="top" wrapText="1"/>
      <protection/>
    </xf>
    <xf numFmtId="165" fontId="6" fillId="34" borderId="33" xfId="53" applyNumberFormat="1" applyFont="1" applyFill="1" applyBorder="1" applyAlignment="1">
      <alignment horizontal="left" vertical="top" wrapText="1"/>
      <protection/>
    </xf>
    <xf numFmtId="0" fontId="0" fillId="34" borderId="33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6" fillId="34" borderId="10" xfId="53" applyNumberFormat="1" applyFont="1" applyFill="1" applyBorder="1" applyAlignment="1">
      <alignment horizontal="center" vertical="center" wrapText="1"/>
      <protection/>
    </xf>
    <xf numFmtId="0" fontId="0" fillId="34" borderId="10" xfId="0" applyNumberFormat="1" applyFont="1" applyFill="1" applyBorder="1" applyAlignment="1">
      <alignment horizontal="center" vertical="center" wrapText="1"/>
    </xf>
    <xf numFmtId="165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33" xfId="52" applyFont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26" fillId="0" borderId="16" xfId="52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33" borderId="0" xfId="52" applyFont="1" applyFill="1" applyBorder="1" applyAlignment="1">
      <alignment horizontal="left" vertical="center" wrapText="1"/>
      <protection/>
    </xf>
    <xf numFmtId="0" fontId="23" fillId="0" borderId="0" xfId="52" applyFont="1" applyAlignment="1">
      <alignment horizontal="center" vertical="center"/>
      <protection/>
    </xf>
    <xf numFmtId="0" fontId="99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2;&#1080;&#1079;&#1080;&#1095;&#1077;&#1089;&#1082;&#1086;&#1081;%20&#1082;&#1091;&#1083;&#1100;&#1090;&#1091;&#1088;&#1099;,%20&#1089;&#1087;&#1086;&#1088;&#1090;&#1072;%20&#1080;%20&#1084;&#1086;&#1083;&#1086;&#1076;&#1105;&#1078;&#1085;&#1086;&#1081;%20&#1087;&#1086;&#1083;&#1080;&#1090;&#1080;&#1082;&#1080;\&#1047;&#1072;&#1074;&#1080;&#1088;&#1082;&#1080;&#1085;&#1072;%20&#1053;.&#1040;\&#1052;&#1091;&#1085;%20&#1087;&#1088;&#1086;&#1075;&#1088;&#1072;&#1084;&#1084;&#1072;\&#1053;&#1086;&#1074;&#1072;&#1103;%20&#1087;&#1072;&#1087;&#1082;&#1072;\&#8470;%2043&#1087;%20&#1086;&#1090;%2008.04.2020%20&#1086;%20&#1074;&#1085;&#1077;&#1089;.&#1080;&#1079;&#1084;.%20&#1074;%20&#8470;%20149&#1087;%20&#1086;&#1090;%2030.09.2015\&#1087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МЗ"/>
      <sheetName val="Информация МЗ+ИЦ+ПД"/>
      <sheetName val="ГП-прил.2"/>
      <sheetName val="Прогноз"/>
      <sheetName val="ПП1"/>
      <sheetName val="ПП2"/>
      <sheetName val="ПП3"/>
      <sheetName val="ПП4 "/>
      <sheetName val="ПП1 "/>
      <sheetName val="ПП2 "/>
      <sheetName val="ПП3 "/>
      <sheetName val="ПП4  "/>
      <sheetName val="ПР"/>
      <sheetName val="ПР2ПП1"/>
      <sheetName val="ПР2ПП2"/>
      <sheetName val="ПР2ПП3"/>
      <sheetName val="ПР.2ПП4"/>
    </sheetNames>
    <sheetDataSet>
      <sheetData sheetId="6">
        <row r="85">
          <cell r="J85">
            <v>0</v>
          </cell>
          <cell r="K85">
            <v>0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МЗ"/>
      <sheetName val="Информация МЗ+ИЦ+ПД"/>
      <sheetName val="ГП-прил.2"/>
      <sheetName val="Прогноз"/>
      <sheetName val="ПП1"/>
      <sheetName val="ПП2"/>
      <sheetName val="ПП3"/>
      <sheetName val="ПП4 "/>
      <sheetName val="ПП1 "/>
      <sheetName val="ПП2 "/>
      <sheetName val="ПП3 "/>
      <sheetName val="ПП4  "/>
      <sheetName val="ПР"/>
      <sheetName val="ПР2ПП1"/>
      <sheetName val="ПР2ПП2"/>
      <sheetName val="ПР2ПП3"/>
      <sheetName val="ПР.2ПП4"/>
    </sheetNames>
    <sheetDataSet>
      <sheetData sheetId="1">
        <row r="35">
          <cell r="H35">
            <v>2002.9</v>
          </cell>
        </row>
      </sheetData>
      <sheetData sheetId="13">
        <row r="11">
          <cell r="M11">
            <v>473.2</v>
          </cell>
          <cell r="N11">
            <v>678.6</v>
          </cell>
        </row>
        <row r="12">
          <cell r="N12">
            <v>0</v>
          </cell>
        </row>
        <row r="13">
          <cell r="M13">
            <v>569</v>
          </cell>
          <cell r="N13">
            <v>595.4</v>
          </cell>
        </row>
        <row r="14">
          <cell r="M14">
            <v>155.2</v>
          </cell>
          <cell r="N14">
            <v>57.6</v>
          </cell>
        </row>
        <row r="15">
          <cell r="M15">
            <v>815.8</v>
          </cell>
          <cell r="N15">
            <v>376.7</v>
          </cell>
        </row>
        <row r="16">
          <cell r="N16">
            <v>2356.5</v>
          </cell>
        </row>
        <row r="17">
          <cell r="N17">
            <v>0</v>
          </cell>
        </row>
        <row r="18">
          <cell r="N18">
            <v>1120.5</v>
          </cell>
        </row>
        <row r="19">
          <cell r="N19">
            <v>159.2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M24">
            <v>2870</v>
          </cell>
          <cell r="N24">
            <v>0</v>
          </cell>
        </row>
        <row r="25">
          <cell r="N25">
            <v>2160.4</v>
          </cell>
        </row>
        <row r="26">
          <cell r="N26">
            <v>86.5</v>
          </cell>
        </row>
        <row r="27">
          <cell r="M27">
            <v>386.7</v>
          </cell>
          <cell r="N27">
            <v>358.4</v>
          </cell>
        </row>
        <row r="28">
          <cell r="M28">
            <v>1980</v>
          </cell>
          <cell r="N28">
            <v>0</v>
          </cell>
        </row>
        <row r="29">
          <cell r="N29">
            <v>0</v>
          </cell>
        </row>
        <row r="30">
          <cell r="M30">
            <v>3800</v>
          </cell>
          <cell r="N30">
            <v>3000</v>
          </cell>
        </row>
        <row r="31">
          <cell r="M31">
            <v>879</v>
          </cell>
          <cell r="N31">
            <v>300</v>
          </cell>
        </row>
        <row r="32">
          <cell r="M32">
            <v>15.5</v>
          </cell>
          <cell r="N32">
            <v>24</v>
          </cell>
        </row>
        <row r="33">
          <cell r="N33">
            <v>779.2</v>
          </cell>
        </row>
        <row r="34">
          <cell r="N34">
            <v>8</v>
          </cell>
        </row>
        <row r="35">
          <cell r="M35">
            <v>1000</v>
          </cell>
          <cell r="N35">
            <v>1000</v>
          </cell>
        </row>
        <row r="36">
          <cell r="M36">
            <v>40</v>
          </cell>
          <cell r="N36">
            <v>40</v>
          </cell>
        </row>
        <row r="37">
          <cell r="N37">
            <v>42.3</v>
          </cell>
        </row>
        <row r="38">
          <cell r="M38">
            <v>14.8</v>
          </cell>
          <cell r="N38">
            <v>0</v>
          </cell>
        </row>
        <row r="39">
          <cell r="M39">
            <v>402.2</v>
          </cell>
          <cell r="N39">
            <v>0</v>
          </cell>
        </row>
        <row r="40">
          <cell r="M40">
            <v>24.8</v>
          </cell>
          <cell r="N40">
            <v>0</v>
          </cell>
        </row>
        <row r="41">
          <cell r="M41">
            <v>0</v>
          </cell>
          <cell r="N41">
            <v>962.6</v>
          </cell>
        </row>
        <row r="44">
          <cell r="N44">
            <v>73.4</v>
          </cell>
        </row>
        <row r="45">
          <cell r="N45">
            <v>15.5</v>
          </cell>
        </row>
        <row r="46">
          <cell r="N46">
            <v>19.4</v>
          </cell>
        </row>
        <row r="47">
          <cell r="N47">
            <v>4.2</v>
          </cell>
        </row>
        <row r="48">
          <cell r="N48">
            <v>19</v>
          </cell>
        </row>
        <row r="49">
          <cell r="M49">
            <v>11252.3</v>
          </cell>
          <cell r="N49">
            <v>12017.7</v>
          </cell>
        </row>
        <row r="50">
          <cell r="M50">
            <v>2416.1</v>
          </cell>
          <cell r="N50">
            <v>0</v>
          </cell>
        </row>
        <row r="51">
          <cell r="M51">
            <v>1793.5</v>
          </cell>
          <cell r="N51">
            <v>1684.6000000000001</v>
          </cell>
        </row>
        <row r="52">
          <cell r="M52">
            <v>333.8</v>
          </cell>
          <cell r="N52">
            <v>146.4</v>
          </cell>
        </row>
        <row r="53">
          <cell r="M53">
            <v>310.6</v>
          </cell>
          <cell r="N53">
            <v>287.9</v>
          </cell>
        </row>
        <row r="54">
          <cell r="M54">
            <v>5229</v>
          </cell>
          <cell r="N54">
            <v>5873.200000000001</v>
          </cell>
        </row>
      </sheetData>
      <sheetData sheetId="14">
        <row r="11">
          <cell r="N11">
            <v>7232.5</v>
          </cell>
          <cell r="O11">
            <v>6360.7</v>
          </cell>
        </row>
        <row r="12">
          <cell r="O12">
            <v>0</v>
          </cell>
        </row>
        <row r="13">
          <cell r="N13">
            <v>1155.4</v>
          </cell>
          <cell r="O13">
            <v>963.1</v>
          </cell>
        </row>
        <row r="14">
          <cell r="O14">
            <v>0</v>
          </cell>
        </row>
        <row r="15">
          <cell r="N15">
            <v>78.4</v>
          </cell>
          <cell r="O15">
            <v>52</v>
          </cell>
        </row>
        <row r="16">
          <cell r="O16">
            <v>0</v>
          </cell>
        </row>
        <row r="17">
          <cell r="N17">
            <v>870.4</v>
          </cell>
          <cell r="O17">
            <v>713.2</v>
          </cell>
        </row>
        <row r="18">
          <cell r="O18">
            <v>0</v>
          </cell>
        </row>
        <row r="19">
          <cell r="O19">
            <v>0</v>
          </cell>
        </row>
        <row r="20">
          <cell r="N20">
            <v>825.9</v>
          </cell>
          <cell r="O20">
            <v>812.8</v>
          </cell>
        </row>
        <row r="21">
          <cell r="O21">
            <v>0</v>
          </cell>
        </row>
        <row r="34">
          <cell r="O34">
            <v>0</v>
          </cell>
        </row>
        <row r="35">
          <cell r="N35">
            <v>671</v>
          </cell>
          <cell r="O35">
            <v>0</v>
          </cell>
        </row>
        <row r="36">
          <cell r="O36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75.7</v>
          </cell>
        </row>
        <row r="41">
          <cell r="O41">
            <v>10</v>
          </cell>
        </row>
        <row r="42">
          <cell r="O42">
            <v>0</v>
          </cell>
        </row>
        <row r="43">
          <cell r="N43">
            <v>165.2</v>
          </cell>
          <cell r="O43">
            <v>162.6</v>
          </cell>
        </row>
        <row r="44">
          <cell r="N44">
            <v>258.7</v>
          </cell>
          <cell r="O44">
            <v>0</v>
          </cell>
        </row>
        <row r="45">
          <cell r="O45">
            <v>49.6</v>
          </cell>
        </row>
        <row r="46">
          <cell r="O46">
            <v>6.2</v>
          </cell>
        </row>
        <row r="48">
          <cell r="O48">
            <v>1400.2</v>
          </cell>
        </row>
      </sheetData>
      <sheetData sheetId="16">
        <row r="9">
          <cell r="N9">
            <v>1760.7</v>
          </cell>
          <cell r="O9">
            <v>2153.6</v>
          </cell>
        </row>
        <row r="14">
          <cell r="N14">
            <v>46</v>
          </cell>
          <cell r="O14">
            <v>24.4</v>
          </cell>
        </row>
        <row r="15">
          <cell r="N15">
            <v>0.1</v>
          </cell>
          <cell r="O15">
            <v>0</v>
          </cell>
        </row>
        <row r="16">
          <cell r="N16">
            <v>67.8</v>
          </cell>
          <cell r="Q16">
            <v>0</v>
          </cell>
          <cell r="R16">
            <v>0</v>
          </cell>
        </row>
        <row r="17">
          <cell r="O17">
            <v>27.3</v>
          </cell>
        </row>
        <row r="18">
          <cell r="N18">
            <v>128.3</v>
          </cell>
          <cell r="Q18">
            <v>0</v>
          </cell>
          <cell r="R18">
            <v>0</v>
          </cell>
        </row>
        <row r="19">
          <cell r="O19">
            <v>36.4</v>
          </cell>
        </row>
        <row r="21">
          <cell r="K21">
            <v>1703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9"/>
  <sheetViews>
    <sheetView view="pageBreakPreview" zoomScale="55" zoomScaleNormal="70" zoomScaleSheetLayoutView="55" zoomScalePageLayoutView="0" workbookViewId="0" topLeftCell="A1">
      <selection activeCell="I2" sqref="I2:W2"/>
    </sheetView>
  </sheetViews>
  <sheetFormatPr defaultColWidth="9.140625" defaultRowHeight="15" outlineLevelCol="1"/>
  <cols>
    <col min="1" max="1" width="18.421875" style="275" customWidth="1"/>
    <col min="2" max="2" width="19.57421875" style="275" customWidth="1"/>
    <col min="3" max="3" width="32.00390625" style="275" customWidth="1"/>
    <col min="4" max="4" width="6.8515625" style="275" customWidth="1"/>
    <col min="5" max="5" width="8.421875" style="275" customWidth="1"/>
    <col min="6" max="8" width="2.421875" style="275" customWidth="1"/>
    <col min="9" max="9" width="6.7109375" style="275" customWidth="1"/>
    <col min="10" max="11" width="14.140625" style="275" customWidth="1"/>
    <col min="12" max="12" width="13.421875" style="275" customWidth="1"/>
    <col min="13" max="13" width="15.00390625" style="275" customWidth="1"/>
    <col min="14" max="14" width="13.140625" style="275" customWidth="1"/>
    <col min="15" max="15" width="14.00390625" style="275" customWidth="1"/>
    <col min="16" max="18" width="13.7109375" style="275" customWidth="1"/>
    <col min="19" max="19" width="13.7109375" style="486" customWidth="1"/>
    <col min="20" max="22" width="13.7109375" style="275" customWidth="1"/>
    <col min="23" max="23" width="14.00390625" style="275" customWidth="1"/>
    <col min="24" max="24" width="14.8515625" style="275" customWidth="1"/>
    <col min="25" max="25" width="16.28125" style="275" hidden="1" customWidth="1" outlineLevel="1"/>
    <col min="26" max="27" width="16.140625" style="275" hidden="1" customWidth="1" outlineLevel="1"/>
    <col min="28" max="28" width="2.8515625" style="275" customWidth="1" outlineLevel="1"/>
    <col min="29" max="29" width="11.7109375" style="275" bestFit="1" customWidth="1"/>
    <col min="30" max="30" width="18.00390625" style="275" bestFit="1" customWidth="1"/>
    <col min="31" max="16384" width="9.140625" style="275" customWidth="1"/>
  </cols>
  <sheetData>
    <row r="1" spans="9:23" ht="53.25" customHeight="1">
      <c r="I1" s="721" t="s">
        <v>589</v>
      </c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</row>
    <row r="2" spans="9:23" ht="56.25" customHeight="1">
      <c r="I2" s="718" t="s">
        <v>605</v>
      </c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</row>
    <row r="3" spans="1:23" ht="59.25" customHeight="1">
      <c r="A3" s="719" t="s">
        <v>592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</row>
    <row r="4" spans="6:27" ht="15.75" customHeight="1">
      <c r="F4" s="284">
        <v>8</v>
      </c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Y4" s="275">
        <f>3273967.4+28000</f>
        <v>3301967.4</v>
      </c>
      <c r="Z4" s="275">
        <v>3307058.1</v>
      </c>
      <c r="AA4" s="275">
        <v>2895283.8</v>
      </c>
    </row>
    <row r="5" spans="1:27" ht="34.5" customHeight="1">
      <c r="A5" s="720" t="s">
        <v>52</v>
      </c>
      <c r="B5" s="720" t="s">
        <v>49</v>
      </c>
      <c r="C5" s="720" t="s">
        <v>161</v>
      </c>
      <c r="D5" s="720" t="s">
        <v>53</v>
      </c>
      <c r="E5" s="720"/>
      <c r="F5" s="720"/>
      <c r="G5" s="720"/>
      <c r="H5" s="720"/>
      <c r="I5" s="720"/>
      <c r="J5" s="727" t="s">
        <v>47</v>
      </c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Y5" s="285">
        <f>J7</f>
        <v>25745.1</v>
      </c>
      <c r="Z5" s="285">
        <f>K7</f>
        <v>30198.4</v>
      </c>
      <c r="AA5" s="285">
        <f>L7</f>
        <v>32554.9</v>
      </c>
    </row>
    <row r="6" spans="1:27" ht="49.5" customHeight="1">
      <c r="A6" s="720"/>
      <c r="B6" s="720"/>
      <c r="C6" s="720"/>
      <c r="D6" s="416" t="s">
        <v>159</v>
      </c>
      <c r="E6" s="416" t="s">
        <v>45</v>
      </c>
      <c r="F6" s="724" t="s">
        <v>44</v>
      </c>
      <c r="G6" s="725"/>
      <c r="H6" s="726"/>
      <c r="I6" s="416" t="s">
        <v>43</v>
      </c>
      <c r="J6" s="597" t="s">
        <v>33</v>
      </c>
      <c r="K6" s="597" t="s">
        <v>32</v>
      </c>
      <c r="L6" s="597" t="s">
        <v>31</v>
      </c>
      <c r="M6" s="597" t="s">
        <v>115</v>
      </c>
      <c r="N6" s="597" t="s">
        <v>114</v>
      </c>
      <c r="O6" s="597" t="s">
        <v>113</v>
      </c>
      <c r="P6" s="597" t="s">
        <v>112</v>
      </c>
      <c r="Q6" s="597" t="s">
        <v>111</v>
      </c>
      <c r="R6" s="597" t="s">
        <v>110</v>
      </c>
      <c r="S6" s="597" t="s">
        <v>109</v>
      </c>
      <c r="T6" s="597" t="s">
        <v>108</v>
      </c>
      <c r="U6" s="597" t="s">
        <v>249</v>
      </c>
      <c r="V6" s="597" t="s">
        <v>577</v>
      </c>
      <c r="W6" s="597" t="s">
        <v>581</v>
      </c>
      <c r="X6" s="285"/>
      <c r="Y6" s="285">
        <f>Y4-Y5</f>
        <v>3276222.3</v>
      </c>
      <c r="Z6" s="285">
        <f>Z4-Z5</f>
        <v>3276859.7</v>
      </c>
      <c r="AA6" s="285">
        <f>AA4-AA5</f>
        <v>2862728.9</v>
      </c>
    </row>
    <row r="7" spans="1:30" ht="31.5" customHeight="1">
      <c r="A7" s="722" t="s">
        <v>54</v>
      </c>
      <c r="B7" s="722" t="s">
        <v>138</v>
      </c>
      <c r="C7" s="417" t="s">
        <v>55</v>
      </c>
      <c r="D7" s="416" t="s">
        <v>56</v>
      </c>
      <c r="E7" s="416" t="s">
        <v>56</v>
      </c>
      <c r="F7" s="724" t="s">
        <v>56</v>
      </c>
      <c r="G7" s="725"/>
      <c r="H7" s="726"/>
      <c r="I7" s="416" t="s">
        <v>56</v>
      </c>
      <c r="J7" s="598">
        <f aca="true" t="shared" si="0" ref="J7:P7">J10+J13+J16+J19</f>
        <v>25745.1</v>
      </c>
      <c r="K7" s="598">
        <f t="shared" si="0"/>
        <v>30198.4</v>
      </c>
      <c r="L7" s="598">
        <f t="shared" si="0"/>
        <v>32554.9</v>
      </c>
      <c r="M7" s="598">
        <f t="shared" si="0"/>
        <v>38095.9</v>
      </c>
      <c r="N7" s="598">
        <f t="shared" si="0"/>
        <v>48615.4</v>
      </c>
      <c r="O7" s="598">
        <f t="shared" si="0"/>
        <v>47095</v>
      </c>
      <c r="P7" s="598">
        <f t="shared" si="0"/>
        <v>73803.00000000001</v>
      </c>
      <c r="Q7" s="598">
        <f aca="true" t="shared" si="1" ref="Q7:V7">Q10+Q13+Q16+Q19</f>
        <v>99874.30000000002</v>
      </c>
      <c r="R7" s="598">
        <f t="shared" si="1"/>
        <v>88128.59999999999</v>
      </c>
      <c r="S7" s="598">
        <f t="shared" si="1"/>
        <v>140263.19999999998</v>
      </c>
      <c r="T7" s="598">
        <f t="shared" si="1"/>
        <v>63406.2</v>
      </c>
      <c r="U7" s="598">
        <f t="shared" si="1"/>
        <v>63091.4</v>
      </c>
      <c r="V7" s="598">
        <f t="shared" si="1"/>
        <v>63091.4</v>
      </c>
      <c r="W7" s="598">
        <f>SUM(J7:V7)</f>
        <v>813962.7999999999</v>
      </c>
      <c r="X7" s="286"/>
      <c r="AC7" s="285"/>
      <c r="AD7" s="285"/>
    </row>
    <row r="8" spans="1:27" ht="15.75">
      <c r="A8" s="722"/>
      <c r="B8" s="722"/>
      <c r="C8" s="417" t="s">
        <v>162</v>
      </c>
      <c r="D8" s="416"/>
      <c r="E8" s="416"/>
      <c r="F8" s="724"/>
      <c r="G8" s="725"/>
      <c r="H8" s="726"/>
      <c r="I8" s="416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8">
        <f aca="true" t="shared" si="2" ref="W8:W21">SUM(J8:V8)</f>
        <v>0</v>
      </c>
      <c r="X8" s="286"/>
      <c r="Y8" s="285">
        <v>2809386.2</v>
      </c>
      <c r="Z8" s="285">
        <v>2813055.3</v>
      </c>
      <c r="AA8" s="285">
        <v>2810976</v>
      </c>
    </row>
    <row r="9" spans="1:27" ht="93" customHeight="1">
      <c r="A9" s="722"/>
      <c r="B9" s="722"/>
      <c r="C9" s="417" t="s">
        <v>148</v>
      </c>
      <c r="D9" s="287" t="s">
        <v>119</v>
      </c>
      <c r="E9" s="416" t="s">
        <v>56</v>
      </c>
      <c r="F9" s="724" t="s">
        <v>56</v>
      </c>
      <c r="G9" s="725"/>
      <c r="H9" s="726"/>
      <c r="I9" s="416" t="s">
        <v>56</v>
      </c>
      <c r="J9" s="599">
        <f aca="true" t="shared" si="3" ref="J9:Q9">J7</f>
        <v>25745.1</v>
      </c>
      <c r="K9" s="599">
        <f t="shared" si="3"/>
        <v>30198.4</v>
      </c>
      <c r="L9" s="599">
        <f t="shared" si="3"/>
        <v>32554.9</v>
      </c>
      <c r="M9" s="599">
        <f t="shared" si="3"/>
        <v>38095.9</v>
      </c>
      <c r="N9" s="599">
        <f t="shared" si="3"/>
        <v>48615.4</v>
      </c>
      <c r="O9" s="599">
        <f t="shared" si="3"/>
        <v>47095</v>
      </c>
      <c r="P9" s="599">
        <f t="shared" si="3"/>
        <v>73803.00000000001</v>
      </c>
      <c r="Q9" s="599">
        <f t="shared" si="3"/>
        <v>99874.30000000002</v>
      </c>
      <c r="R9" s="599">
        <f>R7</f>
        <v>88128.59999999999</v>
      </c>
      <c r="S9" s="599">
        <f>S7</f>
        <v>140263.19999999998</v>
      </c>
      <c r="T9" s="599">
        <f>T7</f>
        <v>63406.2</v>
      </c>
      <c r="U9" s="599">
        <f>U7</f>
        <v>63091.4</v>
      </c>
      <c r="V9" s="599">
        <f>V7</f>
        <v>63091.4</v>
      </c>
      <c r="W9" s="598">
        <f t="shared" si="2"/>
        <v>813962.7999999999</v>
      </c>
      <c r="X9" s="286"/>
      <c r="Y9" s="285">
        <f>J9-'[13]ПП3'!J85-'[13]ПП3'!J98-'[13]ПП3'!J99</f>
        <v>22650.199999999997</v>
      </c>
      <c r="Z9" s="285">
        <f>K9-'[13]ПП3'!K85-'[13]ПП3'!K98-'[13]ПП3'!K99</f>
        <v>27061.4</v>
      </c>
      <c r="AA9" s="285">
        <f>L9-'[13]ПП3'!L85-'[13]ПП3'!L98-'[13]ПП3'!L99</f>
        <v>22488.9</v>
      </c>
    </row>
    <row r="10" spans="1:24" ht="35.25" customHeight="1">
      <c r="A10" s="722" t="s">
        <v>57</v>
      </c>
      <c r="B10" s="723" t="s">
        <v>173</v>
      </c>
      <c r="C10" s="417" t="s">
        <v>58</v>
      </c>
      <c r="D10" s="287"/>
      <c r="E10" s="416" t="s">
        <v>56</v>
      </c>
      <c r="F10" s="724" t="s">
        <v>56</v>
      </c>
      <c r="G10" s="725"/>
      <c r="H10" s="726"/>
      <c r="I10" s="416" t="s">
        <v>56</v>
      </c>
      <c r="J10" s="598">
        <f aca="true" t="shared" si="4" ref="J10:P10">J12</f>
        <v>4311.5</v>
      </c>
      <c r="K10" s="598">
        <f t="shared" si="4"/>
        <v>5873.4</v>
      </c>
      <c r="L10" s="598">
        <f t="shared" si="4"/>
        <v>6302.4</v>
      </c>
      <c r="M10" s="598">
        <f t="shared" si="4"/>
        <v>12316.3</v>
      </c>
      <c r="N10" s="598">
        <f t="shared" si="4"/>
        <v>34761.5</v>
      </c>
      <c r="O10" s="598">
        <f t="shared" si="4"/>
        <v>34247.200000000004</v>
      </c>
      <c r="P10" s="598">
        <f t="shared" si="4"/>
        <v>36573.8</v>
      </c>
      <c r="Q10" s="598">
        <f aca="true" t="shared" si="5" ref="Q10:V10">Q12</f>
        <v>40960.100000000006</v>
      </c>
      <c r="R10" s="598">
        <f t="shared" si="5"/>
        <v>59289.6</v>
      </c>
      <c r="S10" s="598">
        <f t="shared" si="5"/>
        <v>108835.29999999999</v>
      </c>
      <c r="T10" s="598">
        <f t="shared" si="5"/>
        <v>38404</v>
      </c>
      <c r="U10" s="598">
        <f t="shared" si="5"/>
        <v>38404</v>
      </c>
      <c r="V10" s="598">
        <f t="shared" si="5"/>
        <v>38404</v>
      </c>
      <c r="W10" s="598">
        <f t="shared" si="2"/>
        <v>458683.1</v>
      </c>
      <c r="X10" s="286"/>
    </row>
    <row r="11" spans="1:24" ht="31.5" customHeight="1">
      <c r="A11" s="722"/>
      <c r="B11" s="723"/>
      <c r="C11" s="417" t="s">
        <v>162</v>
      </c>
      <c r="D11" s="287"/>
      <c r="E11" s="416"/>
      <c r="F11" s="724"/>
      <c r="G11" s="725"/>
      <c r="H11" s="726"/>
      <c r="I11" s="416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8">
        <f t="shared" si="2"/>
        <v>0</v>
      </c>
      <c r="X11" s="286"/>
    </row>
    <row r="12" spans="1:24" ht="72.75" customHeight="1">
      <c r="A12" s="722"/>
      <c r="B12" s="723"/>
      <c r="C12" s="417" t="s">
        <v>148</v>
      </c>
      <c r="D12" s="287" t="s">
        <v>119</v>
      </c>
      <c r="E12" s="416" t="s">
        <v>56</v>
      </c>
      <c r="F12" s="724" t="s">
        <v>56</v>
      </c>
      <c r="G12" s="725"/>
      <c r="H12" s="726"/>
      <c r="I12" s="416" t="s">
        <v>56</v>
      </c>
      <c r="J12" s="599">
        <f>'Информация МЗ+ИЦ+ПД'!D14</f>
        <v>4311.5</v>
      </c>
      <c r="K12" s="599">
        <f>'Информация МЗ+ИЦ+ПД'!E14</f>
        <v>5873.4</v>
      </c>
      <c r="L12" s="599">
        <f>'Информация МЗ+ИЦ+ПД'!F14</f>
        <v>6302.4</v>
      </c>
      <c r="M12" s="599">
        <f>'Информация МЗ+ИЦ+ПД'!G14</f>
        <v>12316.3</v>
      </c>
      <c r="N12" s="599">
        <f>'Информация МЗ+ИЦ+ПД'!H14</f>
        <v>34761.5</v>
      </c>
      <c r="O12" s="599">
        <f>'Информация МЗ+ИЦ+ПД'!I14</f>
        <v>34247.200000000004</v>
      </c>
      <c r="P12" s="599">
        <f>'Информация МЗ+ИЦ+ПД'!J14</f>
        <v>36573.8</v>
      </c>
      <c r="Q12" s="599">
        <f>'Информация МЗ+ИЦ+ПД'!K14</f>
        <v>40960.100000000006</v>
      </c>
      <c r="R12" s="599">
        <f>'Информация МЗ+ИЦ+ПД'!L14</f>
        <v>59289.6</v>
      </c>
      <c r="S12" s="599">
        <f>'Информация МЗ+ИЦ+ПД'!M14</f>
        <v>108835.29999999999</v>
      </c>
      <c r="T12" s="599">
        <f>'Информация МЗ+ИЦ+ПД'!N14</f>
        <v>38404</v>
      </c>
      <c r="U12" s="599">
        <f>'Информация МЗ+ИЦ+ПД'!O14</f>
        <v>38404</v>
      </c>
      <c r="V12" s="599">
        <f>'Информация МЗ+ИЦ+ПД'!P14</f>
        <v>38404</v>
      </c>
      <c r="W12" s="598">
        <f t="shared" si="2"/>
        <v>458683.1</v>
      </c>
      <c r="X12" s="286"/>
    </row>
    <row r="13" spans="1:24" ht="54" customHeight="1">
      <c r="A13" s="728" t="s">
        <v>59</v>
      </c>
      <c r="B13" s="731" t="s">
        <v>60</v>
      </c>
      <c r="C13" s="417" t="s">
        <v>414</v>
      </c>
      <c r="D13" s="287"/>
      <c r="E13" s="416" t="s">
        <v>56</v>
      </c>
      <c r="F13" s="724" t="s">
        <v>56</v>
      </c>
      <c r="G13" s="725"/>
      <c r="H13" s="726"/>
      <c r="I13" s="416" t="s">
        <v>56</v>
      </c>
      <c r="J13" s="598">
        <f aca="true" t="shared" si="6" ref="J13:O13">J15</f>
        <v>8322.9</v>
      </c>
      <c r="K13" s="598">
        <f t="shared" si="6"/>
        <v>8249</v>
      </c>
      <c r="L13" s="598">
        <f t="shared" si="6"/>
        <v>9030.7</v>
      </c>
      <c r="M13" s="598">
        <f t="shared" si="6"/>
        <v>9893.5</v>
      </c>
      <c r="N13" s="598">
        <f t="shared" si="6"/>
        <v>11851</v>
      </c>
      <c r="O13" s="598">
        <f t="shared" si="6"/>
        <v>10606.1</v>
      </c>
      <c r="P13" s="598">
        <f aca="true" t="shared" si="7" ref="P13:U13">P15</f>
        <v>34832.9</v>
      </c>
      <c r="Q13" s="598">
        <f t="shared" si="7"/>
        <v>56125.600000000006</v>
      </c>
      <c r="R13" s="598">
        <f t="shared" si="7"/>
        <v>25604.6</v>
      </c>
      <c r="S13" s="598">
        <f t="shared" si="7"/>
        <v>27885.4</v>
      </c>
      <c r="T13" s="598">
        <f t="shared" si="7"/>
        <v>21571.7</v>
      </c>
      <c r="U13" s="598">
        <f t="shared" si="7"/>
        <v>21256.9</v>
      </c>
      <c r="V13" s="598">
        <f>V15</f>
        <v>21256.9</v>
      </c>
      <c r="W13" s="598">
        <f t="shared" si="2"/>
        <v>266487.2</v>
      </c>
      <c r="X13" s="286"/>
    </row>
    <row r="14" spans="1:24" ht="15.75" customHeight="1">
      <c r="A14" s="729"/>
      <c r="B14" s="732"/>
      <c r="C14" s="417" t="s">
        <v>162</v>
      </c>
      <c r="D14" s="287"/>
      <c r="E14" s="416"/>
      <c r="F14" s="724"/>
      <c r="G14" s="725"/>
      <c r="H14" s="726"/>
      <c r="I14" s="416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8">
        <f t="shared" si="2"/>
        <v>0</v>
      </c>
      <c r="X14" s="286"/>
    </row>
    <row r="15" spans="1:30" ht="63" customHeight="1">
      <c r="A15" s="729"/>
      <c r="B15" s="732"/>
      <c r="C15" s="419" t="s">
        <v>148</v>
      </c>
      <c r="D15" s="288" t="s">
        <v>119</v>
      </c>
      <c r="E15" s="416" t="s">
        <v>56</v>
      </c>
      <c r="F15" s="724" t="s">
        <v>56</v>
      </c>
      <c r="G15" s="725"/>
      <c r="H15" s="726"/>
      <c r="I15" s="416" t="s">
        <v>56</v>
      </c>
      <c r="J15" s="599">
        <f>'Информация МЗ+ИЦ+ПД'!D21</f>
        <v>8322.9</v>
      </c>
      <c r="K15" s="599">
        <f>'Информация МЗ+ИЦ+ПД'!E21</f>
        <v>8249</v>
      </c>
      <c r="L15" s="599">
        <f>'Информация МЗ+ИЦ+ПД'!F21</f>
        <v>9030.7</v>
      </c>
      <c r="M15" s="599">
        <f>'Информация МЗ+ИЦ+ПД'!G21</f>
        <v>9893.5</v>
      </c>
      <c r="N15" s="599">
        <f>'Информация МЗ+ИЦ+ПД'!H21</f>
        <v>11851</v>
      </c>
      <c r="O15" s="599">
        <f>'Информация МЗ+ИЦ+ПД'!I21</f>
        <v>10606.1</v>
      </c>
      <c r="P15" s="599">
        <f>'Информация МЗ+ИЦ+ПД'!J21</f>
        <v>34832.9</v>
      </c>
      <c r="Q15" s="599">
        <f>'Информация МЗ+ИЦ+ПД'!K21</f>
        <v>56125.600000000006</v>
      </c>
      <c r="R15" s="599">
        <f>'Информация МЗ+ИЦ+ПД'!L21</f>
        <v>25604.6</v>
      </c>
      <c r="S15" s="599">
        <f>'Информация МЗ+ИЦ+ПД'!M21</f>
        <v>27885.4</v>
      </c>
      <c r="T15" s="599">
        <f>'Информация МЗ+ИЦ+ПД'!N21</f>
        <v>21571.7</v>
      </c>
      <c r="U15" s="599">
        <f>'Информация МЗ+ИЦ+ПД'!O21</f>
        <v>21256.9</v>
      </c>
      <c r="V15" s="599">
        <f>'Информация МЗ+ИЦ+ПД'!P21</f>
        <v>21256.9</v>
      </c>
      <c r="W15" s="598">
        <f t="shared" si="2"/>
        <v>266487.2</v>
      </c>
      <c r="X15" s="286"/>
      <c r="AD15" s="285"/>
    </row>
    <row r="16" spans="1:30" ht="54" customHeight="1">
      <c r="A16" s="728" t="s">
        <v>61</v>
      </c>
      <c r="B16" s="731" t="s">
        <v>137</v>
      </c>
      <c r="C16" s="417" t="s">
        <v>58</v>
      </c>
      <c r="D16" s="287"/>
      <c r="E16" s="416" t="s">
        <v>56</v>
      </c>
      <c r="F16" s="724" t="s">
        <v>56</v>
      </c>
      <c r="G16" s="725"/>
      <c r="H16" s="726"/>
      <c r="I16" s="416" t="s">
        <v>56</v>
      </c>
      <c r="J16" s="598">
        <f aca="true" t="shared" si="8" ref="J16:O16">J18</f>
        <v>11923.2</v>
      </c>
      <c r="K16" s="598">
        <f t="shared" si="8"/>
        <v>14373</v>
      </c>
      <c r="L16" s="598">
        <f t="shared" si="8"/>
        <v>15432.8</v>
      </c>
      <c r="M16" s="598">
        <f t="shared" si="8"/>
        <v>14178.1</v>
      </c>
      <c r="N16" s="598">
        <f t="shared" si="8"/>
        <v>0</v>
      </c>
      <c r="O16" s="598">
        <f t="shared" si="8"/>
        <v>0</v>
      </c>
      <c r="P16" s="598">
        <f aca="true" t="shared" si="9" ref="P16:U16">P18</f>
        <v>0</v>
      </c>
      <c r="Q16" s="598">
        <f t="shared" si="9"/>
        <v>0</v>
      </c>
      <c r="R16" s="598">
        <f t="shared" si="9"/>
        <v>0</v>
      </c>
      <c r="S16" s="598">
        <f t="shared" si="9"/>
        <v>0</v>
      </c>
      <c r="T16" s="598">
        <f t="shared" si="9"/>
        <v>0</v>
      </c>
      <c r="U16" s="598">
        <f t="shared" si="9"/>
        <v>0</v>
      </c>
      <c r="V16" s="598">
        <f>V18</f>
        <v>0</v>
      </c>
      <c r="W16" s="598">
        <f t="shared" si="2"/>
        <v>55907.1</v>
      </c>
      <c r="X16" s="286"/>
      <c r="AD16" s="285"/>
    </row>
    <row r="17" spans="1:30" ht="15.75" customHeight="1">
      <c r="A17" s="729"/>
      <c r="B17" s="732"/>
      <c r="C17" s="417" t="s">
        <v>162</v>
      </c>
      <c r="D17" s="287"/>
      <c r="E17" s="416"/>
      <c r="F17" s="724"/>
      <c r="G17" s="725"/>
      <c r="H17" s="726"/>
      <c r="I17" s="416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8">
        <f t="shared" si="2"/>
        <v>0</v>
      </c>
      <c r="X17" s="286"/>
      <c r="AD17" s="285"/>
    </row>
    <row r="18" spans="1:30" ht="70.5" customHeight="1">
      <c r="A18" s="730"/>
      <c r="B18" s="733"/>
      <c r="C18" s="419" t="s">
        <v>148</v>
      </c>
      <c r="D18" s="287" t="s">
        <v>119</v>
      </c>
      <c r="E18" s="416" t="s">
        <v>56</v>
      </c>
      <c r="F18" s="724" t="s">
        <v>56</v>
      </c>
      <c r="G18" s="725"/>
      <c r="H18" s="726"/>
      <c r="I18" s="416" t="s">
        <v>56</v>
      </c>
      <c r="J18" s="599">
        <f>11573.2+350</f>
        <v>11923.2</v>
      </c>
      <c r="K18" s="599">
        <f>12981.4+1391.6</f>
        <v>14373</v>
      </c>
      <c r="L18" s="599">
        <f>13607.8+1825</f>
        <v>15432.8</v>
      </c>
      <c r="M18" s="599">
        <v>14178.1</v>
      </c>
      <c r="N18" s="599">
        <v>0</v>
      </c>
      <c r="O18" s="599">
        <v>0</v>
      </c>
      <c r="P18" s="599">
        <v>0</v>
      </c>
      <c r="Q18" s="599">
        <v>0</v>
      </c>
      <c r="R18" s="599">
        <v>0</v>
      </c>
      <c r="S18" s="599">
        <v>0</v>
      </c>
      <c r="T18" s="599">
        <v>0</v>
      </c>
      <c r="U18" s="599">
        <v>0</v>
      </c>
      <c r="V18" s="599">
        <v>0</v>
      </c>
      <c r="W18" s="598">
        <f t="shared" si="2"/>
        <v>55907.1</v>
      </c>
      <c r="X18" s="286"/>
      <c r="AC18" s="285"/>
      <c r="AD18" s="285"/>
    </row>
    <row r="19" spans="1:24" ht="50.25" customHeight="1">
      <c r="A19" s="728" t="s">
        <v>132</v>
      </c>
      <c r="B19" s="731" t="s">
        <v>62</v>
      </c>
      <c r="C19" s="417" t="s">
        <v>58</v>
      </c>
      <c r="D19" s="287"/>
      <c r="E19" s="416" t="s">
        <v>56</v>
      </c>
      <c r="F19" s="724" t="s">
        <v>56</v>
      </c>
      <c r="G19" s="725"/>
      <c r="H19" s="726"/>
      <c r="I19" s="416" t="s">
        <v>56</v>
      </c>
      <c r="J19" s="598">
        <f aca="true" t="shared" si="10" ref="J19:O19">J21</f>
        <v>1187.5</v>
      </c>
      <c r="K19" s="598">
        <f t="shared" si="10"/>
        <v>1703</v>
      </c>
      <c r="L19" s="598">
        <f t="shared" si="10"/>
        <v>1789</v>
      </c>
      <c r="M19" s="598">
        <f t="shared" si="10"/>
        <v>1708</v>
      </c>
      <c r="N19" s="598">
        <f>'[14]Информация МЗ+ИЦ+ПД'!H35</f>
        <v>2002.9</v>
      </c>
      <c r="O19" s="598">
        <f t="shared" si="10"/>
        <v>2241.7</v>
      </c>
      <c r="P19" s="598">
        <f>P21</f>
        <v>2396.3</v>
      </c>
      <c r="Q19" s="598">
        <f>Q21</f>
        <v>2788.6000000000004</v>
      </c>
      <c r="R19" s="598">
        <f>R21</f>
        <v>3234.4</v>
      </c>
      <c r="S19" s="598">
        <f>'Информация МЗ+ИЦ+ПД'!M35</f>
        <v>3542.5</v>
      </c>
      <c r="T19" s="598">
        <f>'Информация МЗ+ИЦ+ПД'!N35</f>
        <v>3430.5</v>
      </c>
      <c r="U19" s="598">
        <f>'Информация МЗ+ИЦ+ПД'!O35</f>
        <v>3430.5</v>
      </c>
      <c r="V19" s="598">
        <f>V21</f>
        <v>3430.5</v>
      </c>
      <c r="W19" s="598">
        <f t="shared" si="2"/>
        <v>32885.399999999994</v>
      </c>
      <c r="X19" s="286"/>
    </row>
    <row r="20" spans="1:24" ht="31.5" customHeight="1">
      <c r="A20" s="729"/>
      <c r="B20" s="732"/>
      <c r="C20" s="417" t="s">
        <v>162</v>
      </c>
      <c r="D20" s="287"/>
      <c r="E20" s="416"/>
      <c r="F20" s="724"/>
      <c r="G20" s="725"/>
      <c r="H20" s="726"/>
      <c r="I20" s="416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8">
        <f t="shared" si="2"/>
        <v>0</v>
      </c>
      <c r="X20" s="286"/>
    </row>
    <row r="21" spans="1:24" ht="68.25" customHeight="1">
      <c r="A21" s="730"/>
      <c r="B21" s="733"/>
      <c r="C21" s="417" t="s">
        <v>148</v>
      </c>
      <c r="D21" s="287" t="s">
        <v>119</v>
      </c>
      <c r="E21" s="416" t="s">
        <v>56</v>
      </c>
      <c r="F21" s="724" t="s">
        <v>56</v>
      </c>
      <c r="G21" s="725"/>
      <c r="H21" s="726"/>
      <c r="I21" s="416" t="s">
        <v>56</v>
      </c>
      <c r="J21" s="599">
        <f>'Информация МЗ+ИЦ+ПД'!D35</f>
        <v>1187.5</v>
      </c>
      <c r="K21" s="599">
        <f>'Информация МЗ+ИЦ+ПД'!E35</f>
        <v>1703</v>
      </c>
      <c r="L21" s="599">
        <f>'Информация МЗ+ИЦ+ПД'!F35</f>
        <v>1789</v>
      </c>
      <c r="M21" s="599">
        <f>'Информация МЗ+ИЦ+ПД'!G35</f>
        <v>1708</v>
      </c>
      <c r="N21" s="599">
        <f>'Информация МЗ+ИЦ+ПД'!H35</f>
        <v>2002.9</v>
      </c>
      <c r="O21" s="599">
        <f>'Информация МЗ+ИЦ+ПД'!I35</f>
        <v>2241.7</v>
      </c>
      <c r="P21" s="599">
        <f>'Информация МЗ+ИЦ+ПД'!J35</f>
        <v>2396.3</v>
      </c>
      <c r="Q21" s="599">
        <f>'Информация МЗ+ИЦ+ПД'!K35</f>
        <v>2788.6000000000004</v>
      </c>
      <c r="R21" s="599">
        <f>'Информация МЗ+ИЦ+ПД'!L35</f>
        <v>3234.4</v>
      </c>
      <c r="S21" s="599">
        <f>'Информация МЗ+ИЦ+ПД'!M35</f>
        <v>3542.5</v>
      </c>
      <c r="T21" s="599">
        <f>'Информация МЗ+ИЦ+ПД'!N35</f>
        <v>3430.5</v>
      </c>
      <c r="U21" s="599">
        <f>'Информация МЗ+ИЦ+ПД'!O35</f>
        <v>3430.5</v>
      </c>
      <c r="V21" s="599">
        <f>'Информация МЗ+ИЦ+ПД'!P35</f>
        <v>3430.5</v>
      </c>
      <c r="W21" s="598">
        <f t="shared" si="2"/>
        <v>32885.399999999994</v>
      </c>
      <c r="X21" s="286"/>
    </row>
    <row r="22" spans="1:23" ht="33" customHeight="1">
      <c r="A22" s="289"/>
      <c r="B22" s="290"/>
      <c r="C22" s="291"/>
      <c r="D22" s="292"/>
      <c r="E22" s="289"/>
      <c r="F22" s="292"/>
      <c r="G22" s="292"/>
      <c r="H22" s="292"/>
      <c r="I22" s="289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</row>
    <row r="23" spans="1:23" ht="36" customHeight="1" hidden="1">
      <c r="A23" s="289"/>
      <c r="B23" s="290"/>
      <c r="C23" s="291"/>
      <c r="D23" s="292"/>
      <c r="E23" s="289"/>
      <c r="F23" s="292"/>
      <c r="G23" s="292"/>
      <c r="H23" s="292"/>
      <c r="I23" s="289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</row>
    <row r="24" spans="1:23" ht="15.75">
      <c r="A24" s="291"/>
      <c r="B24" s="293"/>
      <c r="C24" s="291"/>
      <c r="D24" s="292"/>
      <c r="E24" s="289"/>
      <c r="F24" s="289"/>
      <c r="G24" s="289"/>
      <c r="H24" s="289"/>
      <c r="I24" s="289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</row>
    <row r="25" spans="1:24" ht="43.5" customHeight="1">
      <c r="A25" s="736" t="s">
        <v>63</v>
      </c>
      <c r="B25" s="736"/>
      <c r="C25" s="736"/>
      <c r="D25" s="736"/>
      <c r="E25" s="257"/>
      <c r="F25" s="257"/>
      <c r="G25" s="257"/>
      <c r="H25" s="257"/>
      <c r="I25" s="257"/>
      <c r="J25" s="601"/>
      <c r="K25" s="602"/>
      <c r="L25" s="737" t="s">
        <v>186</v>
      </c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8"/>
      <c r="X25" s="418"/>
    </row>
    <row r="26" spans="1:23" ht="15.75">
      <c r="A26" s="291"/>
      <c r="B26" s="293"/>
      <c r="C26" s="291"/>
      <c r="D26" s="292"/>
      <c r="E26" s="289"/>
      <c r="F26" s="289"/>
      <c r="G26" s="289"/>
      <c r="H26" s="289"/>
      <c r="I26" s="289"/>
      <c r="J26" s="283"/>
      <c r="K26" s="283"/>
      <c r="L26" s="283"/>
      <c r="M26" s="283"/>
      <c r="N26" s="283"/>
      <c r="O26" s="283"/>
      <c r="P26" s="283"/>
      <c r="Q26" s="283"/>
      <c r="R26" s="283"/>
      <c r="S26" s="487"/>
      <c r="T26" s="283"/>
      <c r="U26" s="283"/>
      <c r="V26" s="283"/>
      <c r="W26" s="283"/>
    </row>
    <row r="27" spans="4:9" ht="15.75">
      <c r="D27" s="294"/>
      <c r="E27" s="294"/>
      <c r="F27" s="294"/>
      <c r="G27" s="294"/>
      <c r="H27" s="294"/>
      <c r="I27" s="294"/>
    </row>
    <row r="28" spans="1:23" s="257" customFormat="1" ht="51.75" customHeight="1">
      <c r="A28" s="736"/>
      <c r="B28" s="736"/>
      <c r="C28" s="736"/>
      <c r="D28" s="736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</row>
    <row r="29" spans="1:23" s="296" customFormat="1" ht="31.5" hidden="1">
      <c r="A29" s="734" t="s">
        <v>64</v>
      </c>
      <c r="B29" s="734"/>
      <c r="C29" s="734"/>
      <c r="D29" s="734"/>
      <c r="E29" s="735"/>
      <c r="F29" s="735"/>
      <c r="G29" s="735"/>
      <c r="H29" s="735"/>
      <c r="I29" s="735"/>
      <c r="J29" s="295"/>
      <c r="K29" s="295"/>
      <c r="S29" s="492"/>
      <c r="W29" s="296" t="s">
        <v>65</v>
      </c>
    </row>
    <row r="30" ht="15.75" hidden="1"/>
    <row r="31" ht="15.75" hidden="1"/>
    <row r="32" ht="15.75" hidden="1"/>
  </sheetData>
  <sheetProtection/>
  <mergeCells count="40">
    <mergeCell ref="L25:W25"/>
    <mergeCell ref="L28:W28"/>
    <mergeCell ref="F13:H13"/>
    <mergeCell ref="F14:H14"/>
    <mergeCell ref="F15:H15"/>
    <mergeCell ref="F16:H16"/>
    <mergeCell ref="F17:H17"/>
    <mergeCell ref="F18:H18"/>
    <mergeCell ref="A29:D29"/>
    <mergeCell ref="E29:I29"/>
    <mergeCell ref="F19:H19"/>
    <mergeCell ref="F20:H20"/>
    <mergeCell ref="F21:H21"/>
    <mergeCell ref="A28:D28"/>
    <mergeCell ref="A25:D25"/>
    <mergeCell ref="B19:B21"/>
    <mergeCell ref="A19:A21"/>
    <mergeCell ref="A16:A18"/>
    <mergeCell ref="B16:B18"/>
    <mergeCell ref="B13:B15"/>
    <mergeCell ref="A13:A15"/>
    <mergeCell ref="B5:B6"/>
    <mergeCell ref="A7:A9"/>
    <mergeCell ref="B7:B9"/>
    <mergeCell ref="I2:W2"/>
    <mergeCell ref="A3:W3"/>
    <mergeCell ref="A5:A6"/>
    <mergeCell ref="I1:W1"/>
    <mergeCell ref="A10:A12"/>
    <mergeCell ref="B10:B12"/>
    <mergeCell ref="F8:H8"/>
    <mergeCell ref="F9:H9"/>
    <mergeCell ref="J5:W5"/>
    <mergeCell ref="F6:H6"/>
    <mergeCell ref="C5:C6"/>
    <mergeCell ref="F7:H7"/>
    <mergeCell ref="F10:H10"/>
    <mergeCell ref="F11:H11"/>
    <mergeCell ref="F12:H12"/>
    <mergeCell ref="D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"/>
  <sheetViews>
    <sheetView view="pageBreakPreview" zoomScale="70" zoomScaleSheetLayoutView="70" zoomScalePageLayoutView="0" workbookViewId="0" topLeftCell="A1">
      <selection activeCell="E1" sqref="E1:O1"/>
    </sheetView>
  </sheetViews>
  <sheetFormatPr defaultColWidth="9.140625" defaultRowHeight="15"/>
  <cols>
    <col min="2" max="2" width="61.57421875" style="0" customWidth="1"/>
    <col min="4" max="4" width="13.8515625" style="0" customWidth="1"/>
  </cols>
  <sheetData>
    <row r="1" spans="1:16" s="18" customFormat="1" ht="36" customHeight="1">
      <c r="A1" s="21"/>
      <c r="B1" s="36"/>
      <c r="C1" s="36"/>
      <c r="D1" s="36"/>
      <c r="E1" s="815" t="s">
        <v>615</v>
      </c>
      <c r="F1" s="816"/>
      <c r="G1" s="816"/>
      <c r="H1" s="816"/>
      <c r="I1" s="816"/>
      <c r="J1" s="816"/>
      <c r="K1" s="816"/>
      <c r="L1" s="885"/>
      <c r="M1" s="885"/>
      <c r="N1" s="885"/>
      <c r="O1" s="885"/>
      <c r="P1"/>
    </row>
    <row r="2" spans="1:6" s="18" customFormat="1" ht="20.25">
      <c r="A2" s="21"/>
      <c r="B2" s="36"/>
      <c r="C2" s="36"/>
      <c r="D2" s="36"/>
      <c r="E2" s="37"/>
      <c r="F2" s="37"/>
    </row>
    <row r="3" spans="1:8" s="18" customFormat="1" ht="23.25" customHeight="1">
      <c r="A3" s="894" t="s">
        <v>616</v>
      </c>
      <c r="B3" s="894"/>
      <c r="C3" s="894"/>
      <c r="D3" s="894"/>
      <c r="E3" s="894"/>
      <c r="F3" s="894"/>
      <c r="G3" s="894"/>
      <c r="H3" s="894"/>
    </row>
    <row r="4" spans="1:5" s="18" customFormat="1" ht="20.25">
      <c r="A4" s="21"/>
      <c r="B4" s="36"/>
      <c r="C4" s="36"/>
      <c r="D4" s="36"/>
      <c r="E4" s="20"/>
    </row>
    <row r="5" spans="1:17" s="32" customFormat="1" ht="20.25" customHeight="1">
      <c r="A5" s="895" t="s">
        <v>27</v>
      </c>
      <c r="B5" s="896" t="s">
        <v>26</v>
      </c>
      <c r="C5" s="886" t="s">
        <v>15</v>
      </c>
      <c r="D5" s="886" t="s">
        <v>14</v>
      </c>
      <c r="E5" s="886">
        <v>2014</v>
      </c>
      <c r="F5" s="886">
        <v>2015</v>
      </c>
      <c r="G5" s="886">
        <v>2016</v>
      </c>
      <c r="H5" s="886">
        <v>2017</v>
      </c>
      <c r="I5" s="892">
        <v>2018</v>
      </c>
      <c r="J5" s="892">
        <v>2019</v>
      </c>
      <c r="K5" s="886">
        <v>2020</v>
      </c>
      <c r="L5" s="886">
        <v>2021</v>
      </c>
      <c r="M5" s="886">
        <v>2022</v>
      </c>
      <c r="N5" s="886">
        <v>2023</v>
      </c>
      <c r="O5" s="886">
        <v>2024</v>
      </c>
      <c r="P5" s="891">
        <v>2025</v>
      </c>
      <c r="Q5" s="886">
        <v>2026</v>
      </c>
    </row>
    <row r="6" spans="1:17" s="32" customFormat="1" ht="93.75" customHeight="1">
      <c r="A6" s="895"/>
      <c r="B6" s="896"/>
      <c r="C6" s="886"/>
      <c r="D6" s="886"/>
      <c r="E6" s="886"/>
      <c r="F6" s="886"/>
      <c r="G6" s="886"/>
      <c r="H6" s="886"/>
      <c r="I6" s="893"/>
      <c r="J6" s="892"/>
      <c r="K6" s="886"/>
      <c r="L6" s="886"/>
      <c r="M6" s="886"/>
      <c r="N6" s="886"/>
      <c r="O6" s="886"/>
      <c r="P6" s="891"/>
      <c r="Q6" s="886"/>
    </row>
    <row r="7" spans="1:17" s="32" customFormat="1" ht="26.25" customHeight="1">
      <c r="A7" s="669"/>
      <c r="B7" s="670" t="s">
        <v>24</v>
      </c>
      <c r="C7" s="887" t="s">
        <v>147</v>
      </c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9"/>
      <c r="P7" s="889"/>
      <c r="Q7" s="890"/>
    </row>
    <row r="8" spans="1:17" s="32" customFormat="1" ht="36" customHeight="1">
      <c r="A8" s="671"/>
      <c r="B8" s="672" t="s">
        <v>23</v>
      </c>
      <c r="C8" s="673"/>
      <c r="D8" s="673"/>
      <c r="E8" s="673"/>
      <c r="F8" s="673"/>
      <c r="G8" s="673"/>
      <c r="H8" s="673"/>
      <c r="I8" s="673"/>
      <c r="J8" s="673"/>
      <c r="K8" s="674"/>
      <c r="L8" s="674"/>
      <c r="M8" s="674"/>
      <c r="N8" s="674"/>
      <c r="O8" s="674"/>
      <c r="P8" s="675"/>
      <c r="Q8" s="674"/>
    </row>
    <row r="9" spans="1:17" s="18" customFormat="1" ht="72" customHeight="1">
      <c r="A9" s="676" t="s">
        <v>8</v>
      </c>
      <c r="B9" s="677" t="s">
        <v>22</v>
      </c>
      <c r="C9" s="678" t="s">
        <v>19</v>
      </c>
      <c r="D9" s="678" t="s">
        <v>18</v>
      </c>
      <c r="E9" s="679">
        <v>35</v>
      </c>
      <c r="F9" s="679">
        <v>90</v>
      </c>
      <c r="G9" s="679">
        <v>100</v>
      </c>
      <c r="H9" s="679">
        <v>100</v>
      </c>
      <c r="I9" s="679">
        <v>60</v>
      </c>
      <c r="J9" s="679">
        <v>60</v>
      </c>
      <c r="K9" s="680">
        <v>60</v>
      </c>
      <c r="L9" s="680">
        <v>60</v>
      </c>
      <c r="M9" s="680">
        <v>75</v>
      </c>
      <c r="N9" s="680">
        <v>76</v>
      </c>
      <c r="O9" s="680">
        <v>75</v>
      </c>
      <c r="P9" s="681">
        <v>75</v>
      </c>
      <c r="Q9" s="680">
        <v>75</v>
      </c>
    </row>
    <row r="10" spans="1:17" s="18" customFormat="1" ht="171.75" customHeight="1">
      <c r="A10" s="676" t="s">
        <v>7</v>
      </c>
      <c r="B10" s="682" t="s">
        <v>307</v>
      </c>
      <c r="C10" s="678" t="s">
        <v>19</v>
      </c>
      <c r="D10" s="678" t="s">
        <v>21</v>
      </c>
      <c r="E10" s="679">
        <v>0</v>
      </c>
      <c r="F10" s="679">
        <v>0</v>
      </c>
      <c r="G10" s="679">
        <v>0</v>
      </c>
      <c r="H10" s="679">
        <v>0</v>
      </c>
      <c r="I10" s="679">
        <v>21</v>
      </c>
      <c r="J10" s="679">
        <v>21</v>
      </c>
      <c r="K10" s="679">
        <v>15</v>
      </c>
      <c r="L10" s="680">
        <v>17</v>
      </c>
      <c r="M10" s="680">
        <v>19</v>
      </c>
      <c r="N10" s="680">
        <v>19</v>
      </c>
      <c r="O10" s="680">
        <v>13</v>
      </c>
      <c r="P10" s="681">
        <v>13</v>
      </c>
      <c r="Q10" s="680">
        <v>13</v>
      </c>
    </row>
    <row r="11" spans="1:17" s="18" customFormat="1" ht="154.5" customHeight="1">
      <c r="A11" s="676" t="s">
        <v>5</v>
      </c>
      <c r="B11" s="682" t="s">
        <v>304</v>
      </c>
      <c r="C11" s="678" t="s">
        <v>19</v>
      </c>
      <c r="D11" s="678" t="s">
        <v>21</v>
      </c>
      <c r="E11" s="683">
        <v>0</v>
      </c>
      <c r="F11" s="683">
        <v>0</v>
      </c>
      <c r="G11" s="683">
        <v>0</v>
      </c>
      <c r="H11" s="683">
        <v>0</v>
      </c>
      <c r="I11" s="683">
        <v>20</v>
      </c>
      <c r="J11" s="683">
        <v>20</v>
      </c>
      <c r="K11" s="683">
        <v>10</v>
      </c>
      <c r="L11" s="680">
        <v>11</v>
      </c>
      <c r="M11" s="680">
        <v>12</v>
      </c>
      <c r="N11" s="680">
        <v>12</v>
      </c>
      <c r="O11" s="680">
        <v>12</v>
      </c>
      <c r="P11" s="681">
        <v>12</v>
      </c>
      <c r="Q11" s="680">
        <v>12</v>
      </c>
    </row>
    <row r="12" spans="1:17" s="18" customFormat="1" ht="151.5" customHeight="1">
      <c r="A12" s="676" t="s">
        <v>4</v>
      </c>
      <c r="B12" s="684" t="s">
        <v>335</v>
      </c>
      <c r="C12" s="678" t="s">
        <v>19</v>
      </c>
      <c r="D12" s="678" t="s">
        <v>21</v>
      </c>
      <c r="E12" s="679">
        <v>0</v>
      </c>
      <c r="F12" s="679">
        <v>0</v>
      </c>
      <c r="G12" s="679">
        <v>0</v>
      </c>
      <c r="H12" s="679">
        <v>0</v>
      </c>
      <c r="I12" s="679">
        <v>17</v>
      </c>
      <c r="J12" s="679">
        <v>17</v>
      </c>
      <c r="K12" s="679">
        <v>8</v>
      </c>
      <c r="L12" s="680">
        <v>9</v>
      </c>
      <c r="M12" s="680">
        <v>10</v>
      </c>
      <c r="N12" s="680">
        <v>13</v>
      </c>
      <c r="O12" s="680">
        <v>13</v>
      </c>
      <c r="P12" s="681">
        <v>13</v>
      </c>
      <c r="Q12" s="680">
        <v>13</v>
      </c>
    </row>
    <row r="13" spans="1:17" s="18" customFormat="1" ht="91.5" customHeight="1">
      <c r="A13" s="676" t="s">
        <v>3</v>
      </c>
      <c r="B13" s="684" t="s">
        <v>305</v>
      </c>
      <c r="C13" s="678" t="s">
        <v>1</v>
      </c>
      <c r="D13" s="678" t="s">
        <v>21</v>
      </c>
      <c r="E13" s="679">
        <v>0</v>
      </c>
      <c r="F13" s="679">
        <v>0</v>
      </c>
      <c r="G13" s="679">
        <v>0</v>
      </c>
      <c r="H13" s="679">
        <v>0</v>
      </c>
      <c r="I13" s="679">
        <v>66</v>
      </c>
      <c r="J13" s="679">
        <v>68</v>
      </c>
      <c r="K13" s="680">
        <v>72</v>
      </c>
      <c r="L13" s="680">
        <v>72</v>
      </c>
      <c r="M13" s="680">
        <v>96</v>
      </c>
      <c r="N13" s="680">
        <v>52</v>
      </c>
      <c r="O13" s="680">
        <v>52</v>
      </c>
      <c r="P13" s="681">
        <v>52</v>
      </c>
      <c r="Q13" s="680">
        <v>52</v>
      </c>
    </row>
    <row r="14" spans="1:17" s="18" customFormat="1" ht="90" customHeight="1">
      <c r="A14" s="676" t="s">
        <v>139</v>
      </c>
      <c r="B14" s="685" t="s">
        <v>20</v>
      </c>
      <c r="C14" s="678" t="s">
        <v>19</v>
      </c>
      <c r="D14" s="678" t="s">
        <v>18</v>
      </c>
      <c r="E14" s="679">
        <v>15</v>
      </c>
      <c r="F14" s="679">
        <v>16</v>
      </c>
      <c r="G14" s="679">
        <v>16</v>
      </c>
      <c r="H14" s="679">
        <v>18</v>
      </c>
      <c r="I14" s="679">
        <v>20</v>
      </c>
      <c r="J14" s="679">
        <v>22</v>
      </c>
      <c r="K14" s="680">
        <v>24</v>
      </c>
      <c r="L14" s="680">
        <v>24</v>
      </c>
      <c r="M14" s="680">
        <v>27</v>
      </c>
      <c r="N14" s="680">
        <v>16</v>
      </c>
      <c r="O14" s="680">
        <v>16</v>
      </c>
      <c r="P14" s="681">
        <v>16</v>
      </c>
      <c r="Q14" s="680">
        <v>16</v>
      </c>
    </row>
    <row r="15" s="66" customFormat="1" ht="12.75" customHeight="1"/>
    <row r="16" s="66" customFormat="1" ht="12.75" customHeight="1"/>
    <row r="17" spans="1:7" s="66" customFormat="1" ht="36.75" customHeight="1">
      <c r="A17" s="824" t="s">
        <v>63</v>
      </c>
      <c r="B17" s="824"/>
      <c r="C17" s="67"/>
      <c r="D17" s="67"/>
      <c r="F17" s="825" t="s">
        <v>186</v>
      </c>
      <c r="G17" s="825"/>
    </row>
  </sheetData>
  <sheetProtection/>
  <mergeCells count="22">
    <mergeCell ref="E1:O1"/>
    <mergeCell ref="A3:H3"/>
    <mergeCell ref="A5:A6"/>
    <mergeCell ref="B5:B6"/>
    <mergeCell ref="C5:C6"/>
    <mergeCell ref="D5:D6"/>
    <mergeCell ref="E5:E6"/>
    <mergeCell ref="F5:F6"/>
    <mergeCell ref="G5:G6"/>
    <mergeCell ref="A17:B17"/>
    <mergeCell ref="F17:G17"/>
    <mergeCell ref="H5:H6"/>
    <mergeCell ref="I5:I6"/>
    <mergeCell ref="J5:J6"/>
    <mergeCell ref="Q5:Q6"/>
    <mergeCell ref="C7:Q7"/>
    <mergeCell ref="O5:O6"/>
    <mergeCell ref="P5:P6"/>
    <mergeCell ref="N5:N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"/>
  <sheetViews>
    <sheetView view="pageBreakPreview" zoomScale="85" zoomScaleSheetLayoutView="85" zoomScalePageLayoutView="0" workbookViewId="0" topLeftCell="A1">
      <selection activeCell="J9" sqref="J9"/>
    </sheetView>
  </sheetViews>
  <sheetFormatPr defaultColWidth="9.140625" defaultRowHeight="15"/>
  <cols>
    <col min="1" max="1" width="5.8515625" style="0" customWidth="1"/>
    <col min="2" max="2" width="41.7109375" style="0" customWidth="1"/>
    <col min="4" max="4" width="11.7109375" style="0" customWidth="1"/>
  </cols>
  <sheetData>
    <row r="1" spans="6:16" s="163" customFormat="1" ht="74.25" customHeight="1">
      <c r="F1" s="903" t="s">
        <v>618</v>
      </c>
      <c r="G1" s="903"/>
      <c r="H1" s="903"/>
      <c r="I1" s="904"/>
      <c r="J1" s="904"/>
      <c r="K1" s="904"/>
      <c r="L1" s="904"/>
      <c r="M1" s="904"/>
      <c r="N1" s="904"/>
      <c r="O1" s="904"/>
      <c r="P1" s="904"/>
    </row>
    <row r="2" spans="1:8" s="162" customFormat="1" ht="3.75" customHeight="1">
      <c r="A2" s="848"/>
      <c r="B2" s="848"/>
      <c r="C2" s="848"/>
      <c r="D2" s="848"/>
      <c r="E2" s="848"/>
      <c r="F2" s="848"/>
      <c r="G2" s="848"/>
      <c r="H2" s="848"/>
    </row>
    <row r="3" spans="1:17" s="162" customFormat="1" ht="40.5" customHeight="1">
      <c r="A3" s="905" t="s">
        <v>619</v>
      </c>
      <c r="B3" s="905"/>
      <c r="C3" s="905"/>
      <c r="D3" s="905"/>
      <c r="E3" s="905"/>
      <c r="F3" s="905"/>
      <c r="G3" s="905"/>
      <c r="H3" s="905"/>
      <c r="I3" s="905"/>
      <c r="J3" s="906"/>
      <c r="K3" s="906"/>
      <c r="L3" s="906"/>
      <c r="M3" s="906"/>
      <c r="N3" s="906"/>
      <c r="O3" s="906"/>
      <c r="P3" s="906"/>
      <c r="Q3" s="906"/>
    </row>
    <row r="4" spans="9:10" s="1" customFormat="1" ht="10.5" customHeight="1">
      <c r="I4" s="17"/>
      <c r="J4" s="17"/>
    </row>
    <row r="5" spans="1:17" s="16" customFormat="1" ht="15" customHeight="1">
      <c r="A5" s="808" t="s">
        <v>17</v>
      </c>
      <c r="B5" s="808" t="s">
        <v>16</v>
      </c>
      <c r="C5" s="899" t="s">
        <v>15</v>
      </c>
      <c r="D5" s="899" t="s">
        <v>14</v>
      </c>
      <c r="E5" s="899" t="s">
        <v>13</v>
      </c>
      <c r="F5" s="899" t="s">
        <v>12</v>
      </c>
      <c r="G5" s="899" t="s">
        <v>11</v>
      </c>
      <c r="H5" s="899" t="s">
        <v>163</v>
      </c>
      <c r="I5" s="899" t="s">
        <v>239</v>
      </c>
      <c r="J5" s="899" t="s">
        <v>113</v>
      </c>
      <c r="K5" s="897" t="s">
        <v>112</v>
      </c>
      <c r="L5" s="897" t="s">
        <v>111</v>
      </c>
      <c r="M5" s="897" t="s">
        <v>110</v>
      </c>
      <c r="N5" s="897" t="s">
        <v>109</v>
      </c>
      <c r="O5" s="897" t="s">
        <v>108</v>
      </c>
      <c r="P5" s="897" t="s">
        <v>249</v>
      </c>
      <c r="Q5" s="897" t="s">
        <v>577</v>
      </c>
    </row>
    <row r="6" spans="1:17" s="16" customFormat="1" ht="31.5" customHeight="1">
      <c r="A6" s="808"/>
      <c r="B6" s="808"/>
      <c r="C6" s="899"/>
      <c r="D6" s="899"/>
      <c r="E6" s="899" t="s">
        <v>10</v>
      </c>
      <c r="F6" s="899" t="s">
        <v>10</v>
      </c>
      <c r="G6" s="899" t="s">
        <v>10</v>
      </c>
      <c r="H6" s="899" t="s">
        <v>10</v>
      </c>
      <c r="I6" s="899" t="s">
        <v>10</v>
      </c>
      <c r="J6" s="899"/>
      <c r="K6" s="898"/>
      <c r="L6" s="898"/>
      <c r="M6" s="898"/>
      <c r="N6" s="898"/>
      <c r="O6" s="898"/>
      <c r="P6" s="898"/>
      <c r="Q6" s="898"/>
    </row>
    <row r="7" spans="1:17" s="16" customFormat="1" ht="25.5" customHeight="1">
      <c r="A7" s="436"/>
      <c r="B7" s="436" t="s">
        <v>9</v>
      </c>
      <c r="C7" s="900" t="s">
        <v>135</v>
      </c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2"/>
    </row>
    <row r="8" spans="1:17" s="12" customFormat="1" ht="33.75" customHeight="1">
      <c r="A8" s="8"/>
      <c r="B8" s="15" t="s">
        <v>23</v>
      </c>
      <c r="C8" s="209"/>
      <c r="D8" s="209"/>
      <c r="E8" s="209"/>
      <c r="F8" s="209"/>
      <c r="G8" s="209"/>
      <c r="H8" s="209"/>
      <c r="I8" s="209"/>
      <c r="J8" s="209"/>
      <c r="K8" s="563"/>
      <c r="L8" s="563"/>
      <c r="M8" s="563"/>
      <c r="N8" s="563"/>
      <c r="O8" s="563"/>
      <c r="P8" s="563"/>
      <c r="Q8" s="563"/>
    </row>
    <row r="9" spans="1:17" s="9" customFormat="1" ht="90" customHeight="1">
      <c r="A9" s="8" t="s">
        <v>8</v>
      </c>
      <c r="B9" s="11" t="s">
        <v>242</v>
      </c>
      <c r="C9" s="210" t="s">
        <v>1</v>
      </c>
      <c r="D9" s="210" t="s">
        <v>0</v>
      </c>
      <c r="E9" s="210">
        <v>707</v>
      </c>
      <c r="F9" s="210">
        <v>677</v>
      </c>
      <c r="G9" s="210">
        <v>670</v>
      </c>
      <c r="H9" s="564">
        <v>670</v>
      </c>
      <c r="I9" s="564">
        <v>0</v>
      </c>
      <c r="J9" s="564">
        <v>0</v>
      </c>
      <c r="K9" s="564">
        <v>0</v>
      </c>
      <c r="L9" s="564">
        <v>0</v>
      </c>
      <c r="M9" s="564">
        <v>0</v>
      </c>
      <c r="N9" s="564">
        <v>0</v>
      </c>
      <c r="O9" s="564">
        <v>0</v>
      </c>
      <c r="P9" s="564">
        <v>0</v>
      </c>
      <c r="Q9" s="564">
        <v>0</v>
      </c>
    </row>
    <row r="10" spans="1:17" s="9" customFormat="1" ht="68.25" customHeight="1">
      <c r="A10" s="8" t="s">
        <v>7</v>
      </c>
      <c r="B10" s="99" t="s">
        <v>243</v>
      </c>
      <c r="C10" s="210" t="s">
        <v>1</v>
      </c>
      <c r="D10" s="210" t="s">
        <v>0</v>
      </c>
      <c r="E10" s="210">
        <v>5</v>
      </c>
      <c r="F10" s="210">
        <v>6</v>
      </c>
      <c r="G10" s="210">
        <v>6</v>
      </c>
      <c r="H10" s="564">
        <v>7</v>
      </c>
      <c r="I10" s="564">
        <v>0</v>
      </c>
      <c r="J10" s="564">
        <v>0</v>
      </c>
      <c r="K10" s="564">
        <v>0</v>
      </c>
      <c r="L10" s="564">
        <v>0</v>
      </c>
      <c r="M10" s="564">
        <v>0</v>
      </c>
      <c r="N10" s="564">
        <v>0</v>
      </c>
      <c r="O10" s="564">
        <v>0</v>
      </c>
      <c r="P10" s="564">
        <v>0</v>
      </c>
      <c r="Q10" s="564">
        <v>0</v>
      </c>
    </row>
    <row r="11" spans="1:17" s="9" customFormat="1" ht="53.25" customHeight="1">
      <c r="A11" s="8" t="s">
        <v>5</v>
      </c>
      <c r="B11" s="11" t="s">
        <v>244</v>
      </c>
      <c r="C11" s="210" t="s">
        <v>2</v>
      </c>
      <c r="D11" s="210" t="s">
        <v>0</v>
      </c>
      <c r="E11" s="565">
        <v>3</v>
      </c>
      <c r="F11" s="565">
        <v>5</v>
      </c>
      <c r="G11" s="565">
        <v>10</v>
      </c>
      <c r="H11" s="565">
        <v>10</v>
      </c>
      <c r="I11" s="564">
        <v>0</v>
      </c>
      <c r="J11" s="564">
        <v>0</v>
      </c>
      <c r="K11" s="564">
        <v>0</v>
      </c>
      <c r="L11" s="564">
        <v>0</v>
      </c>
      <c r="M11" s="564">
        <v>0</v>
      </c>
      <c r="N11" s="564">
        <v>0</v>
      </c>
      <c r="O11" s="564">
        <v>0</v>
      </c>
      <c r="P11" s="564">
        <v>0</v>
      </c>
      <c r="Q11" s="564">
        <v>0</v>
      </c>
    </row>
    <row r="12" spans="1:17" s="1" customFormat="1" ht="44.25" customHeight="1">
      <c r="A12" s="8" t="s">
        <v>4</v>
      </c>
      <c r="B12" s="7" t="s">
        <v>245</v>
      </c>
      <c r="C12" s="209" t="s">
        <v>1</v>
      </c>
      <c r="D12" s="210" t="s">
        <v>0</v>
      </c>
      <c r="E12" s="566">
        <v>6</v>
      </c>
      <c r="F12" s="566">
        <v>8</v>
      </c>
      <c r="G12" s="566">
        <v>10</v>
      </c>
      <c r="H12" s="566">
        <v>10</v>
      </c>
      <c r="I12" s="564">
        <v>0</v>
      </c>
      <c r="J12" s="564">
        <v>0</v>
      </c>
      <c r="K12" s="564">
        <v>0</v>
      </c>
      <c r="L12" s="564">
        <v>0</v>
      </c>
      <c r="M12" s="564">
        <v>0</v>
      </c>
      <c r="N12" s="564">
        <v>0</v>
      </c>
      <c r="O12" s="564">
        <v>0</v>
      </c>
      <c r="P12" s="564">
        <v>0</v>
      </c>
      <c r="Q12" s="564">
        <v>0</v>
      </c>
    </row>
    <row r="13" s="1" customFormat="1" ht="12.75"/>
    <row r="14" spans="2:8" s="1" customFormat="1" ht="11.25" customHeight="1">
      <c r="B14" s="839"/>
      <c r="C14" s="839"/>
      <c r="D14" s="4"/>
      <c r="E14" s="4"/>
      <c r="F14" s="3"/>
      <c r="G14" s="3"/>
      <c r="H14" s="2"/>
    </row>
    <row r="15" spans="1:8" s="1" customFormat="1" ht="29.25" customHeight="1">
      <c r="A15" s="837" t="s">
        <v>63</v>
      </c>
      <c r="B15" s="837"/>
      <c r="C15" s="837"/>
      <c r="D15" s="65"/>
      <c r="E15" s="836" t="s">
        <v>186</v>
      </c>
      <c r="F15" s="836"/>
      <c r="G15" s="836"/>
      <c r="H15" s="836"/>
    </row>
  </sheetData>
  <sheetProtection/>
  <mergeCells count="24">
    <mergeCell ref="F1:P1"/>
    <mergeCell ref="A3:Q3"/>
    <mergeCell ref="A2:H2"/>
    <mergeCell ref="A5:A6"/>
    <mergeCell ref="B5:B6"/>
    <mergeCell ref="C5:C6"/>
    <mergeCell ref="D5:D6"/>
    <mergeCell ref="E5:E6"/>
    <mergeCell ref="F5:F6"/>
    <mergeCell ref="G5:G6"/>
    <mergeCell ref="Q5:Q6"/>
    <mergeCell ref="B14:C14"/>
    <mergeCell ref="K5:K6"/>
    <mergeCell ref="L5:L6"/>
    <mergeCell ref="M5:M6"/>
    <mergeCell ref="A15:C15"/>
    <mergeCell ref="E15:H15"/>
    <mergeCell ref="H5:H6"/>
    <mergeCell ref="I5:I6"/>
    <mergeCell ref="J5:J6"/>
    <mergeCell ref="C7:Q7"/>
    <mergeCell ref="O5:O6"/>
    <mergeCell ref="P5:P6"/>
    <mergeCell ref="N5:N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"/>
  <sheetViews>
    <sheetView view="pageBreakPreview" zoomScale="60" zoomScalePageLayoutView="0" workbookViewId="0" topLeftCell="A1">
      <selection activeCell="F7" sqref="F7"/>
    </sheetView>
  </sheetViews>
  <sheetFormatPr defaultColWidth="9.140625" defaultRowHeight="15"/>
  <cols>
    <col min="2" max="2" width="38.28125" style="0" customWidth="1"/>
    <col min="3" max="3" width="8.7109375" style="0" customWidth="1"/>
    <col min="4" max="4" width="55.57421875" style="0" customWidth="1"/>
    <col min="5" max="16" width="10.8515625" style="0" customWidth="1"/>
  </cols>
  <sheetData>
    <row r="1" spans="5:16" s="39" customFormat="1" ht="33.75" customHeight="1">
      <c r="E1" s="854" t="s">
        <v>623</v>
      </c>
      <c r="F1" s="854"/>
      <c r="G1" s="854"/>
      <c r="H1" s="854"/>
      <c r="I1" s="854"/>
      <c r="J1" s="908"/>
      <c r="K1" s="908"/>
      <c r="L1" s="908"/>
      <c r="M1" s="908"/>
      <c r="O1"/>
      <c r="P1"/>
    </row>
    <row r="2" spans="5:13" s="39" customFormat="1" ht="33.75" customHeight="1">
      <c r="E2" s="908"/>
      <c r="F2" s="908"/>
      <c r="G2" s="908"/>
      <c r="H2" s="908"/>
      <c r="I2" s="908"/>
      <c r="J2" s="908"/>
      <c r="K2" s="908"/>
      <c r="L2" s="908"/>
      <c r="M2" s="908"/>
    </row>
    <row r="3" spans="1:17" s="39" customFormat="1" ht="27" customHeight="1">
      <c r="A3" s="851" t="s">
        <v>610</v>
      </c>
      <c r="B3" s="851"/>
      <c r="C3" s="851"/>
      <c r="D3" s="851"/>
      <c r="E3" s="851"/>
      <c r="F3" s="851"/>
      <c r="G3" s="851"/>
      <c r="H3" s="851"/>
      <c r="I3" s="909"/>
      <c r="J3" s="909"/>
      <c r="K3" s="909"/>
      <c r="L3" s="909"/>
      <c r="M3" s="909"/>
      <c r="N3" s="909"/>
      <c r="O3" s="909"/>
      <c r="P3" s="909"/>
      <c r="Q3" s="909"/>
    </row>
    <row r="4" s="39" customFormat="1" ht="33.75" customHeight="1"/>
    <row r="5" spans="1:17" s="39" customFormat="1" ht="95.25" customHeight="1">
      <c r="A5" s="49" t="s">
        <v>36</v>
      </c>
      <c r="B5" s="49" t="s">
        <v>35</v>
      </c>
      <c r="C5" s="49" t="s">
        <v>34</v>
      </c>
      <c r="D5" s="49" t="s">
        <v>14</v>
      </c>
      <c r="E5" s="49" t="s">
        <v>33</v>
      </c>
      <c r="F5" s="49" t="s">
        <v>32</v>
      </c>
      <c r="G5" s="49" t="s">
        <v>31</v>
      </c>
      <c r="H5" s="49" t="s">
        <v>115</v>
      </c>
      <c r="I5" s="437" t="s">
        <v>114</v>
      </c>
      <c r="J5" s="437" t="s">
        <v>113</v>
      </c>
      <c r="K5" s="48" t="s">
        <v>112</v>
      </c>
      <c r="L5" s="48" t="s">
        <v>111</v>
      </c>
      <c r="M5" s="48" t="s">
        <v>110</v>
      </c>
      <c r="N5" s="48" t="s">
        <v>109</v>
      </c>
      <c r="O5" s="48" t="s">
        <v>108</v>
      </c>
      <c r="P5" s="560" t="s">
        <v>249</v>
      </c>
      <c r="Q5" s="48" t="s">
        <v>577</v>
      </c>
    </row>
    <row r="6" spans="1:17" s="39" customFormat="1" ht="33.75" customHeight="1">
      <c r="A6" s="48"/>
      <c r="B6" s="907" t="s">
        <v>38</v>
      </c>
      <c r="C6" s="907"/>
      <c r="D6" s="907"/>
      <c r="E6" s="907"/>
      <c r="F6" s="907"/>
      <c r="G6" s="907"/>
      <c r="H6" s="907"/>
      <c r="I6" s="907"/>
      <c r="J6" s="907"/>
      <c r="K6" s="907"/>
      <c r="L6" s="907"/>
      <c r="M6" s="907"/>
      <c r="N6" s="907"/>
      <c r="O6" s="44"/>
      <c r="P6" s="44"/>
      <c r="Q6" s="48"/>
    </row>
    <row r="7" spans="1:17" s="38" customFormat="1" ht="99" customHeight="1">
      <c r="A7" s="47">
        <v>1</v>
      </c>
      <c r="B7" s="48" t="s">
        <v>349</v>
      </c>
      <c r="C7" s="49" t="s">
        <v>29</v>
      </c>
      <c r="D7" s="49" t="s">
        <v>30</v>
      </c>
      <c r="E7" s="45">
        <v>5</v>
      </c>
      <c r="F7" s="45">
        <v>5</v>
      </c>
      <c r="G7" s="45">
        <v>5</v>
      </c>
      <c r="H7" s="45">
        <v>5</v>
      </c>
      <c r="I7" s="101">
        <v>5</v>
      </c>
      <c r="J7" s="101">
        <v>5</v>
      </c>
      <c r="K7" s="102">
        <v>5</v>
      </c>
      <c r="L7" s="102">
        <v>5</v>
      </c>
      <c r="M7" s="102">
        <v>5</v>
      </c>
      <c r="N7" s="102">
        <v>5</v>
      </c>
      <c r="O7" s="102">
        <v>5</v>
      </c>
      <c r="P7" s="561">
        <v>5</v>
      </c>
      <c r="Q7" s="218">
        <v>5</v>
      </c>
    </row>
    <row r="8" spans="1:17" s="224" customFormat="1" ht="99" customHeight="1">
      <c r="A8" s="220">
        <v>2</v>
      </c>
      <c r="B8" s="218" t="s">
        <v>370</v>
      </c>
      <c r="C8" s="220" t="s">
        <v>29</v>
      </c>
      <c r="D8" s="221" t="s">
        <v>144</v>
      </c>
      <c r="E8" s="222">
        <v>5</v>
      </c>
      <c r="F8" s="222">
        <v>5</v>
      </c>
      <c r="G8" s="222">
        <v>5</v>
      </c>
      <c r="H8" s="222">
        <v>5</v>
      </c>
      <c r="I8" s="223">
        <v>5</v>
      </c>
      <c r="J8" s="223">
        <v>5</v>
      </c>
      <c r="K8" s="218">
        <v>5</v>
      </c>
      <c r="L8" s="102">
        <v>5</v>
      </c>
      <c r="M8" s="102">
        <v>5</v>
      </c>
      <c r="N8" s="102">
        <v>5</v>
      </c>
      <c r="O8" s="102">
        <v>5</v>
      </c>
      <c r="P8" s="561">
        <v>5</v>
      </c>
      <c r="Q8" s="218">
        <v>5</v>
      </c>
    </row>
    <row r="9" spans="1:17" s="38" customFormat="1" ht="150" customHeight="1">
      <c r="A9" s="47">
        <v>3</v>
      </c>
      <c r="B9" s="48" t="s">
        <v>143</v>
      </c>
      <c r="C9" s="47" t="s">
        <v>29</v>
      </c>
      <c r="D9" s="46" t="s">
        <v>28</v>
      </c>
      <c r="E9" s="45">
        <v>5</v>
      </c>
      <c r="F9" s="45">
        <v>5</v>
      </c>
      <c r="G9" s="45">
        <v>5</v>
      </c>
      <c r="H9" s="45">
        <v>5</v>
      </c>
      <c r="I9" s="101">
        <v>5</v>
      </c>
      <c r="J9" s="101">
        <v>5</v>
      </c>
      <c r="K9" s="102">
        <v>5</v>
      </c>
      <c r="L9" s="102">
        <v>5</v>
      </c>
      <c r="M9" s="102">
        <v>5</v>
      </c>
      <c r="N9" s="102">
        <v>5</v>
      </c>
      <c r="O9" s="102">
        <v>5</v>
      </c>
      <c r="P9" s="561">
        <v>5</v>
      </c>
      <c r="Q9" s="218">
        <v>5</v>
      </c>
    </row>
    <row r="10" spans="1:8" s="38" customFormat="1" ht="33.75" customHeight="1">
      <c r="A10" s="43"/>
      <c r="B10" s="44"/>
      <c r="C10" s="43"/>
      <c r="D10" s="42"/>
      <c r="E10" s="41"/>
      <c r="F10" s="41"/>
      <c r="G10" s="41"/>
      <c r="H10" s="41"/>
    </row>
    <row r="11" spans="1:8" s="39" customFormat="1" ht="66" customHeight="1">
      <c r="A11" s="853" t="s">
        <v>63</v>
      </c>
      <c r="B11" s="853"/>
      <c r="C11" s="853"/>
      <c r="D11" s="68"/>
      <c r="E11" s="40"/>
      <c r="F11" s="852" t="s">
        <v>186</v>
      </c>
      <c r="G11" s="852"/>
      <c r="H11" s="852"/>
    </row>
  </sheetData>
  <sheetProtection/>
  <mergeCells count="5">
    <mergeCell ref="B6:N6"/>
    <mergeCell ref="A11:C11"/>
    <mergeCell ref="F11:H11"/>
    <mergeCell ref="E1:M2"/>
    <mergeCell ref="A3:Q3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226"/>
  <sheetViews>
    <sheetView view="pageBreakPreview" zoomScale="60" zoomScaleNormal="40" zoomScalePageLayoutView="0" workbookViewId="0" topLeftCell="A1">
      <pane xSplit="1" topLeftCell="B1" activePane="topRight" state="frozen"/>
      <selection pane="topLeft" activeCell="A1" sqref="A1"/>
      <selection pane="topRight" activeCell="G2" sqref="G2"/>
    </sheetView>
  </sheetViews>
  <sheetFormatPr defaultColWidth="9.140625" defaultRowHeight="15"/>
  <cols>
    <col min="1" max="1" width="28.00390625" style="525" customWidth="1"/>
    <col min="2" max="2" width="8.28125" style="525" customWidth="1"/>
    <col min="3" max="7" width="9.140625" style="525" customWidth="1"/>
    <col min="8" max="11" width="8.8515625" style="525" customWidth="1"/>
    <col min="12" max="12" width="8.8515625" style="545" customWidth="1"/>
    <col min="13" max="15" width="8.8515625" style="525" customWidth="1"/>
    <col min="16" max="17" width="9.140625" style="525" customWidth="1"/>
    <col min="18" max="18" width="10.421875" style="525" customWidth="1"/>
    <col min="19" max="20" width="9.140625" style="525" customWidth="1"/>
    <col min="21" max="21" width="8.8515625" style="525" customWidth="1"/>
    <col min="22" max="22" width="8.8515625" style="538" customWidth="1"/>
    <col min="23" max="23" width="8.8515625" style="525" customWidth="1"/>
    <col min="24" max="24" width="10.7109375" style="504" customWidth="1"/>
    <col min="25" max="25" width="10.7109375" style="544" customWidth="1"/>
    <col min="26" max="28" width="11.57421875" style="481" customWidth="1"/>
    <col min="29" max="29" width="8.140625" style="525" customWidth="1"/>
    <col min="30" max="30" width="8.8515625" style="525" customWidth="1"/>
    <col min="31" max="16384" width="9.140625" style="525" customWidth="1"/>
  </cols>
  <sheetData>
    <row r="1" spans="1:25" ht="45.75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984" t="s">
        <v>590</v>
      </c>
      <c r="Q1" s="984"/>
      <c r="R1" s="985"/>
      <c r="S1" s="985"/>
      <c r="T1" s="985"/>
      <c r="U1" s="985"/>
      <c r="V1" s="574"/>
      <c r="W1" s="574"/>
      <c r="Y1" s="504"/>
    </row>
    <row r="2" spans="1:25" ht="4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86" t="s">
        <v>606</v>
      </c>
      <c r="Q2" s="986"/>
      <c r="R2" s="987"/>
      <c r="S2" s="987"/>
      <c r="T2" s="987"/>
      <c r="U2" s="987"/>
      <c r="V2" s="574"/>
      <c r="W2" s="574"/>
      <c r="Y2" s="504"/>
    </row>
    <row r="3" spans="1:25" ht="12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475"/>
      <c r="W3" s="475"/>
      <c r="Y3" s="504"/>
    </row>
    <row r="4" spans="1:25" ht="12" customHeight="1">
      <c r="A4" s="988" t="s">
        <v>175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575"/>
      <c r="W4" s="575"/>
      <c r="Y4" s="504"/>
    </row>
    <row r="5" spans="1:25" ht="21" customHeight="1">
      <c r="A5" s="934" t="s">
        <v>166</v>
      </c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576"/>
      <c r="W5" s="576"/>
      <c r="Y5" s="504"/>
    </row>
    <row r="6" spans="1:25" ht="13.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475"/>
      <c r="W6" s="475"/>
      <c r="Y6" s="504"/>
    </row>
    <row r="7" spans="1:28" ht="18" customHeight="1">
      <c r="A7" s="989" t="s">
        <v>93</v>
      </c>
      <c r="B7" s="954" t="s">
        <v>94</v>
      </c>
      <c r="C7" s="955"/>
      <c r="D7" s="955"/>
      <c r="E7" s="955"/>
      <c r="F7" s="955"/>
      <c r="G7" s="955"/>
      <c r="H7" s="955"/>
      <c r="I7" s="955"/>
      <c r="J7" s="955"/>
      <c r="K7" s="955"/>
      <c r="L7" s="577"/>
      <c r="M7" s="577"/>
      <c r="N7" s="577"/>
      <c r="O7" s="577"/>
      <c r="P7" s="954" t="s">
        <v>95</v>
      </c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6"/>
    </row>
    <row r="8" spans="1:28" ht="24" customHeight="1">
      <c r="A8" s="990"/>
      <c r="B8" s="338">
        <v>2013</v>
      </c>
      <c r="C8" s="338">
        <v>2014</v>
      </c>
      <c r="D8" s="338">
        <v>2015</v>
      </c>
      <c r="E8" s="338">
        <v>2016</v>
      </c>
      <c r="F8" s="338">
        <v>2017</v>
      </c>
      <c r="G8" s="338">
        <v>2018</v>
      </c>
      <c r="H8" s="338">
        <v>2019</v>
      </c>
      <c r="I8" s="338">
        <v>2020</v>
      </c>
      <c r="J8" s="338">
        <v>2021</v>
      </c>
      <c r="K8" s="485">
        <v>2022</v>
      </c>
      <c r="L8" s="485">
        <v>2023</v>
      </c>
      <c r="M8" s="485">
        <v>2024</v>
      </c>
      <c r="N8" s="338">
        <v>2025</v>
      </c>
      <c r="O8" s="338">
        <v>2026</v>
      </c>
      <c r="P8" s="546">
        <v>2014</v>
      </c>
      <c r="Q8" s="339">
        <v>2015</v>
      </c>
      <c r="R8" s="340">
        <v>2016</v>
      </c>
      <c r="S8" s="341">
        <v>2017</v>
      </c>
      <c r="T8" s="341">
        <v>2018</v>
      </c>
      <c r="U8" s="338">
        <v>2019</v>
      </c>
      <c r="V8" s="338">
        <v>2020</v>
      </c>
      <c r="W8" s="478">
        <v>2021</v>
      </c>
      <c r="X8" s="482">
        <v>2022</v>
      </c>
      <c r="Y8" s="482">
        <v>2023</v>
      </c>
      <c r="Z8" s="482">
        <v>2024</v>
      </c>
      <c r="AA8" s="482">
        <v>2025</v>
      </c>
      <c r="AB8" s="482">
        <v>2026</v>
      </c>
    </row>
    <row r="9" spans="1:28" ht="15">
      <c r="A9" s="342">
        <v>1</v>
      </c>
      <c r="B9" s="343">
        <v>2</v>
      </c>
      <c r="C9" s="343">
        <v>3</v>
      </c>
      <c r="D9" s="342">
        <v>4</v>
      </c>
      <c r="E9" s="343">
        <v>5</v>
      </c>
      <c r="F9" s="343">
        <v>6</v>
      </c>
      <c r="G9" s="342">
        <v>7</v>
      </c>
      <c r="H9" s="343">
        <v>8</v>
      </c>
      <c r="I9" s="343">
        <v>9</v>
      </c>
      <c r="J9" s="342">
        <v>10</v>
      </c>
      <c r="K9" s="343">
        <v>11</v>
      </c>
      <c r="L9" s="343">
        <v>12</v>
      </c>
      <c r="M9" s="493">
        <v>13</v>
      </c>
      <c r="N9" s="494">
        <v>14</v>
      </c>
      <c r="O9" s="494">
        <v>15</v>
      </c>
      <c r="P9" s="547">
        <v>16</v>
      </c>
      <c r="Q9" s="343">
        <v>17</v>
      </c>
      <c r="R9" s="343">
        <v>18</v>
      </c>
      <c r="S9" s="343">
        <v>19</v>
      </c>
      <c r="T9" s="343">
        <v>20</v>
      </c>
      <c r="U9" s="343">
        <v>21</v>
      </c>
      <c r="V9" s="343">
        <v>22</v>
      </c>
      <c r="W9" s="343">
        <v>23</v>
      </c>
      <c r="X9" s="343">
        <v>24</v>
      </c>
      <c r="Y9" s="343">
        <v>25</v>
      </c>
      <c r="Z9" s="493">
        <v>26</v>
      </c>
      <c r="AA9" s="494">
        <v>27</v>
      </c>
      <c r="AB9" s="494">
        <v>28</v>
      </c>
    </row>
    <row r="10" spans="1:28" ht="30" customHeight="1">
      <c r="A10" s="335" t="s">
        <v>96</v>
      </c>
      <c r="B10" s="936" t="s">
        <v>310</v>
      </c>
      <c r="C10" s="937"/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8"/>
    </row>
    <row r="11" spans="1:28" ht="36" customHeight="1">
      <c r="A11" s="336" t="s">
        <v>97</v>
      </c>
      <c r="B11" s="954" t="s">
        <v>494</v>
      </c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  <c r="O11" s="955"/>
      <c r="P11" s="955"/>
      <c r="Q11" s="955"/>
      <c r="R11" s="955"/>
      <c r="S11" s="955"/>
      <c r="T11" s="955"/>
      <c r="U11" s="955"/>
      <c r="V11" s="955"/>
      <c r="W11" s="955"/>
      <c r="X11" s="955"/>
      <c r="Y11" s="955"/>
      <c r="Z11" s="955"/>
      <c r="AA11" s="955"/>
      <c r="AB11" s="956"/>
    </row>
    <row r="12" spans="1:28" ht="19.5" customHeight="1">
      <c r="A12" s="333" t="s">
        <v>57</v>
      </c>
      <c r="B12" s="915" t="s">
        <v>174</v>
      </c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  <c r="P12" s="916"/>
      <c r="Q12" s="916"/>
      <c r="R12" s="916"/>
      <c r="S12" s="916"/>
      <c r="T12" s="916"/>
      <c r="U12" s="916"/>
      <c r="V12" s="916"/>
      <c r="W12" s="916"/>
      <c r="X12" s="916"/>
      <c r="Y12" s="916"/>
      <c r="Z12" s="916"/>
      <c r="AA12" s="916"/>
      <c r="AB12" s="917"/>
    </row>
    <row r="13" spans="1:29" ht="47.25" customHeight="1">
      <c r="A13" s="583" t="s">
        <v>87</v>
      </c>
      <c r="B13" s="344">
        <v>4700</v>
      </c>
      <c r="C13" s="344">
        <v>0</v>
      </c>
      <c r="D13" s="344">
        <v>0</v>
      </c>
      <c r="E13" s="344">
        <v>0</v>
      </c>
      <c r="F13" s="344">
        <v>0</v>
      </c>
      <c r="G13" s="344">
        <v>0</v>
      </c>
      <c r="H13" s="344">
        <v>8</v>
      </c>
      <c r="I13" s="344">
        <v>8</v>
      </c>
      <c r="J13" s="344">
        <v>110</v>
      </c>
      <c r="K13" s="344">
        <v>152</v>
      </c>
      <c r="L13" s="344">
        <v>194</v>
      </c>
      <c r="M13" s="344">
        <v>194</v>
      </c>
      <c r="N13" s="344">
        <v>194</v>
      </c>
      <c r="O13" s="344">
        <v>194</v>
      </c>
      <c r="P13" s="582">
        <v>0</v>
      </c>
      <c r="Q13" s="582">
        <v>0</v>
      </c>
      <c r="R13" s="582">
        <v>0</v>
      </c>
      <c r="S13" s="582">
        <v>842.5</v>
      </c>
      <c r="T13" s="582">
        <v>621.6</v>
      </c>
      <c r="U13" s="582">
        <v>609.8</v>
      </c>
      <c r="V13" s="582">
        <v>223.7</v>
      </c>
      <c r="W13" s="582">
        <v>297.3</v>
      </c>
      <c r="X13" s="505">
        <v>269.9</v>
      </c>
      <c r="Y13" s="505">
        <v>224.3</v>
      </c>
      <c r="Z13" s="540">
        <v>213.9</v>
      </c>
      <c r="AA13" s="540">
        <v>213.9</v>
      </c>
      <c r="AB13" s="540">
        <v>213.9</v>
      </c>
      <c r="AC13" s="525" t="s">
        <v>535</v>
      </c>
    </row>
    <row r="14" spans="1:28" ht="60" customHeight="1">
      <c r="A14" s="524" t="s">
        <v>96</v>
      </c>
      <c r="B14" s="936" t="s">
        <v>536</v>
      </c>
      <c r="C14" s="937"/>
      <c r="D14" s="937"/>
      <c r="E14" s="937"/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7"/>
      <c r="R14" s="937"/>
      <c r="S14" s="937"/>
      <c r="T14" s="937"/>
      <c r="U14" s="937"/>
      <c r="V14" s="937"/>
      <c r="W14" s="937"/>
      <c r="X14" s="937"/>
      <c r="Y14" s="937"/>
      <c r="Z14" s="937"/>
      <c r="AA14" s="937"/>
      <c r="AB14" s="938"/>
    </row>
    <row r="15" spans="1:28" ht="27.75" customHeight="1">
      <c r="A15" s="583" t="s">
        <v>97</v>
      </c>
      <c r="B15" s="945" t="s">
        <v>99</v>
      </c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6"/>
      <c r="O15" s="946"/>
      <c r="P15" s="946"/>
      <c r="Q15" s="946"/>
      <c r="R15" s="946"/>
      <c r="S15" s="946"/>
      <c r="T15" s="946"/>
      <c r="U15" s="946"/>
      <c r="V15" s="946"/>
      <c r="W15" s="946"/>
      <c r="X15" s="946"/>
      <c r="Y15" s="946"/>
      <c r="Z15" s="946"/>
      <c r="AA15" s="946"/>
      <c r="AB15" s="947"/>
    </row>
    <row r="16" spans="1:28" ht="17.25" customHeight="1">
      <c r="A16" s="982" t="s">
        <v>57</v>
      </c>
      <c r="B16" s="957" t="s">
        <v>174</v>
      </c>
      <c r="C16" s="958"/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58"/>
      <c r="V16" s="958"/>
      <c r="W16" s="958"/>
      <c r="X16" s="958"/>
      <c r="Y16" s="958"/>
      <c r="Z16" s="958"/>
      <c r="AA16" s="958"/>
      <c r="AB16" s="959"/>
    </row>
    <row r="17" spans="1:28" ht="6.75" customHeight="1">
      <c r="A17" s="983" t="s">
        <v>59</v>
      </c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3"/>
    </row>
    <row r="18" spans="1:29" ht="51" customHeight="1">
      <c r="A18" s="583" t="s">
        <v>87</v>
      </c>
      <c r="B18" s="581">
        <v>3000</v>
      </c>
      <c r="C18" s="334">
        <v>0</v>
      </c>
      <c r="D18" s="334">
        <v>0</v>
      </c>
      <c r="E18" s="334">
        <v>0</v>
      </c>
      <c r="F18" s="334">
        <v>0</v>
      </c>
      <c r="G18" s="334">
        <v>0</v>
      </c>
      <c r="H18" s="334">
        <v>2</v>
      </c>
      <c r="I18" s="334">
        <v>2</v>
      </c>
      <c r="J18" s="334">
        <v>2</v>
      </c>
      <c r="K18" s="334">
        <v>2</v>
      </c>
      <c r="L18" s="334">
        <v>2</v>
      </c>
      <c r="M18" s="334">
        <v>2</v>
      </c>
      <c r="N18" s="334">
        <v>2</v>
      </c>
      <c r="O18" s="334">
        <v>2</v>
      </c>
      <c r="P18" s="582">
        <v>0</v>
      </c>
      <c r="Q18" s="582">
        <v>0</v>
      </c>
      <c r="R18" s="582">
        <v>0</v>
      </c>
      <c r="S18" s="570">
        <v>1466</v>
      </c>
      <c r="T18" s="570">
        <v>465</v>
      </c>
      <c r="U18" s="412">
        <v>668.3</v>
      </c>
      <c r="V18" s="412">
        <v>346.1</v>
      </c>
      <c r="W18" s="412">
        <v>452.1</v>
      </c>
      <c r="X18" s="505">
        <v>508.9</v>
      </c>
      <c r="Y18" s="505">
        <v>314.2</v>
      </c>
      <c r="Z18" s="540">
        <v>314.1</v>
      </c>
      <c r="AA18" s="540">
        <v>314.1</v>
      </c>
      <c r="AB18" s="540">
        <v>314.1</v>
      </c>
      <c r="AC18" s="525" t="s">
        <v>537</v>
      </c>
    </row>
    <row r="19" spans="1:28" ht="42" customHeight="1">
      <c r="A19" s="524" t="s">
        <v>96</v>
      </c>
      <c r="B19" s="939" t="s">
        <v>190</v>
      </c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1"/>
    </row>
    <row r="20" spans="1:28" ht="29.25" customHeight="1">
      <c r="A20" s="583" t="s">
        <v>97</v>
      </c>
      <c r="B20" s="945" t="s">
        <v>99</v>
      </c>
      <c r="C20" s="946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7"/>
    </row>
    <row r="21" spans="1:28" ht="21" customHeight="1">
      <c r="A21" s="333" t="s">
        <v>57</v>
      </c>
      <c r="B21" s="915" t="s">
        <v>174</v>
      </c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7"/>
    </row>
    <row r="22" spans="1:28" ht="15" customHeight="1">
      <c r="A22" s="963" t="s">
        <v>87</v>
      </c>
      <c r="B22" s="991">
        <v>6050</v>
      </c>
      <c r="C22" s="991">
        <v>6720</v>
      </c>
      <c r="D22" s="972">
        <v>29</v>
      </c>
      <c r="E22" s="972">
        <v>29</v>
      </c>
      <c r="F22" s="972">
        <v>29</v>
      </c>
      <c r="G22" s="972">
        <v>26</v>
      </c>
      <c r="H22" s="972">
        <v>16</v>
      </c>
      <c r="I22" s="972">
        <v>17</v>
      </c>
      <c r="J22" s="972">
        <v>15</v>
      </c>
      <c r="K22" s="972">
        <v>19</v>
      </c>
      <c r="L22" s="972">
        <v>26</v>
      </c>
      <c r="M22" s="972">
        <v>26</v>
      </c>
      <c r="N22" s="972">
        <v>26</v>
      </c>
      <c r="O22" s="972">
        <v>26</v>
      </c>
      <c r="P22" s="965">
        <v>357.6</v>
      </c>
      <c r="Q22" s="965">
        <v>255.5</v>
      </c>
      <c r="R22" s="965">
        <f>171.9+50+59.5</f>
        <v>281.4</v>
      </c>
      <c r="S22" s="965">
        <v>1003.2</v>
      </c>
      <c r="T22" s="965">
        <v>521</v>
      </c>
      <c r="U22" s="965">
        <v>1596.3</v>
      </c>
      <c r="V22" s="965">
        <v>1040.7</v>
      </c>
      <c r="W22" s="965">
        <v>1406.2</v>
      </c>
      <c r="X22" s="975">
        <v>1241.7</v>
      </c>
      <c r="Y22" s="975">
        <v>654.7</v>
      </c>
      <c r="Z22" s="979">
        <v>653.3</v>
      </c>
      <c r="AA22" s="979">
        <v>653.3</v>
      </c>
      <c r="AB22" s="979">
        <v>653.3</v>
      </c>
    </row>
    <row r="23" spans="1:28" ht="15">
      <c r="A23" s="994"/>
      <c r="B23" s="992"/>
      <c r="C23" s="992"/>
      <c r="D23" s="973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8"/>
      <c r="Q23" s="978"/>
      <c r="R23" s="978"/>
      <c r="S23" s="978"/>
      <c r="T23" s="978"/>
      <c r="U23" s="978"/>
      <c r="V23" s="978"/>
      <c r="W23" s="978"/>
      <c r="X23" s="976"/>
      <c r="Y23" s="976"/>
      <c r="Z23" s="980"/>
      <c r="AA23" s="980"/>
      <c r="AB23" s="980"/>
    </row>
    <row r="24" spans="1:29" ht="20.25" customHeight="1">
      <c r="A24" s="964"/>
      <c r="B24" s="993"/>
      <c r="C24" s="993"/>
      <c r="D24" s="974"/>
      <c r="E24" s="974"/>
      <c r="F24" s="974"/>
      <c r="G24" s="974"/>
      <c r="H24" s="974"/>
      <c r="I24" s="974"/>
      <c r="J24" s="974"/>
      <c r="K24" s="974"/>
      <c r="L24" s="974"/>
      <c r="M24" s="974"/>
      <c r="N24" s="974"/>
      <c r="O24" s="974"/>
      <c r="P24" s="966"/>
      <c r="Q24" s="966"/>
      <c r="R24" s="966"/>
      <c r="S24" s="966"/>
      <c r="T24" s="966"/>
      <c r="U24" s="966"/>
      <c r="V24" s="966"/>
      <c r="W24" s="966"/>
      <c r="X24" s="977"/>
      <c r="Y24" s="977"/>
      <c r="Z24" s="981"/>
      <c r="AA24" s="981"/>
      <c r="AB24" s="981"/>
      <c r="AC24" s="525" t="s">
        <v>538</v>
      </c>
    </row>
    <row r="25" spans="1:28" ht="38.25" customHeight="1">
      <c r="A25" s="524" t="s">
        <v>96</v>
      </c>
      <c r="B25" s="939" t="s">
        <v>316</v>
      </c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0"/>
      <c r="U25" s="940"/>
      <c r="V25" s="940"/>
      <c r="W25" s="940"/>
      <c r="X25" s="940"/>
      <c r="Y25" s="940"/>
      <c r="Z25" s="940"/>
      <c r="AA25" s="940"/>
      <c r="AB25" s="941"/>
    </row>
    <row r="26" spans="1:28" ht="30" customHeight="1">
      <c r="A26" s="332" t="s">
        <v>97</v>
      </c>
      <c r="B26" s="945" t="s">
        <v>395</v>
      </c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7"/>
    </row>
    <row r="27" spans="1:28" ht="15" customHeight="1">
      <c r="A27" s="333" t="s">
        <v>57</v>
      </c>
      <c r="B27" s="915" t="s">
        <v>174</v>
      </c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916"/>
      <c r="O27" s="916"/>
      <c r="P27" s="916"/>
      <c r="Q27" s="916"/>
      <c r="R27" s="916"/>
      <c r="S27" s="916"/>
      <c r="T27" s="916"/>
      <c r="U27" s="916"/>
      <c r="V27" s="916"/>
      <c r="W27" s="916"/>
      <c r="X27" s="916"/>
      <c r="Y27" s="916"/>
      <c r="Z27" s="916"/>
      <c r="AA27" s="916"/>
      <c r="AB27" s="917"/>
    </row>
    <row r="28" spans="1:29" ht="47.25" customHeight="1">
      <c r="A28" s="583" t="s">
        <v>87</v>
      </c>
      <c r="B28" s="581">
        <v>30</v>
      </c>
      <c r="C28" s="334">
        <v>0</v>
      </c>
      <c r="D28" s="334">
        <v>0</v>
      </c>
      <c r="E28" s="334">
        <v>0</v>
      </c>
      <c r="F28" s="334">
        <v>0</v>
      </c>
      <c r="G28" s="334">
        <v>0</v>
      </c>
      <c r="H28" s="334">
        <v>2</v>
      </c>
      <c r="I28" s="334">
        <v>2</v>
      </c>
      <c r="J28" s="334">
        <v>2</v>
      </c>
      <c r="K28" s="334">
        <v>2</v>
      </c>
      <c r="L28" s="334">
        <v>2</v>
      </c>
      <c r="M28" s="334">
        <v>2</v>
      </c>
      <c r="N28" s="334">
        <v>2</v>
      </c>
      <c r="O28" s="334">
        <v>2</v>
      </c>
      <c r="P28" s="582">
        <v>0</v>
      </c>
      <c r="Q28" s="582">
        <v>0</v>
      </c>
      <c r="R28" s="582">
        <v>1574.6</v>
      </c>
      <c r="S28" s="570">
        <f>1319.9+4.5</f>
        <v>1324.4</v>
      </c>
      <c r="T28" s="570">
        <v>704.9</v>
      </c>
      <c r="U28" s="570">
        <v>380.8</v>
      </c>
      <c r="V28" s="584">
        <v>385.4</v>
      </c>
      <c r="W28" s="582">
        <v>971.1</v>
      </c>
      <c r="X28" s="505">
        <v>683.5</v>
      </c>
      <c r="Y28" s="505">
        <v>628.6</v>
      </c>
      <c r="Z28" s="540">
        <v>607.7</v>
      </c>
      <c r="AA28" s="540">
        <v>607.7</v>
      </c>
      <c r="AB28" s="540">
        <v>607.7</v>
      </c>
      <c r="AC28" s="525" t="s">
        <v>539</v>
      </c>
    </row>
    <row r="29" spans="1:28" ht="30">
      <c r="A29" s="524" t="s">
        <v>96</v>
      </c>
      <c r="B29" s="939" t="s">
        <v>540</v>
      </c>
      <c r="C29" s="940"/>
      <c r="D29" s="940"/>
      <c r="E29" s="940"/>
      <c r="F29" s="940"/>
      <c r="G29" s="940"/>
      <c r="H29" s="940"/>
      <c r="I29" s="940"/>
      <c r="J29" s="940"/>
      <c r="K29" s="940"/>
      <c r="L29" s="940"/>
      <c r="M29" s="940"/>
      <c r="N29" s="940"/>
      <c r="O29" s="940"/>
      <c r="P29" s="940"/>
      <c r="Q29" s="940"/>
      <c r="R29" s="940"/>
      <c r="S29" s="940"/>
      <c r="T29" s="940"/>
      <c r="U29" s="940"/>
      <c r="V29" s="940"/>
      <c r="W29" s="940"/>
      <c r="X29" s="940"/>
      <c r="Y29" s="940"/>
      <c r="Z29" s="940"/>
      <c r="AA29" s="940"/>
      <c r="AB29" s="941"/>
    </row>
    <row r="30" spans="1:28" ht="30.75" customHeight="1">
      <c r="A30" s="332" t="s">
        <v>97</v>
      </c>
      <c r="B30" s="942" t="s">
        <v>395</v>
      </c>
      <c r="C30" s="943"/>
      <c r="D30" s="943"/>
      <c r="E30" s="943"/>
      <c r="F30" s="943"/>
      <c r="G30" s="943"/>
      <c r="H30" s="943"/>
      <c r="I30" s="943"/>
      <c r="J30" s="943"/>
      <c r="K30" s="943"/>
      <c r="L30" s="943"/>
      <c r="M30" s="943"/>
      <c r="N30" s="943"/>
      <c r="O30" s="943"/>
      <c r="P30" s="943"/>
      <c r="Q30" s="943"/>
      <c r="R30" s="943"/>
      <c r="S30" s="943"/>
      <c r="T30" s="943"/>
      <c r="U30" s="943"/>
      <c r="V30" s="943"/>
      <c r="W30" s="943"/>
      <c r="X30" s="943"/>
      <c r="Y30" s="943"/>
      <c r="Z30" s="943"/>
      <c r="AA30" s="943"/>
      <c r="AB30" s="944"/>
    </row>
    <row r="31" spans="1:28" ht="15" customHeight="1">
      <c r="A31" s="333" t="s">
        <v>57</v>
      </c>
      <c r="B31" s="915" t="s">
        <v>174</v>
      </c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7"/>
    </row>
    <row r="32" spans="1:29" ht="45" customHeight="1">
      <c r="A32" s="583" t="s">
        <v>87</v>
      </c>
      <c r="B32" s="581">
        <v>30</v>
      </c>
      <c r="C32" s="334">
        <v>0</v>
      </c>
      <c r="D32" s="334">
        <v>0</v>
      </c>
      <c r="E32" s="334">
        <v>0</v>
      </c>
      <c r="F32" s="334">
        <v>0</v>
      </c>
      <c r="G32" s="334">
        <v>0</v>
      </c>
      <c r="H32" s="334">
        <v>3</v>
      </c>
      <c r="I32" s="334">
        <v>2</v>
      </c>
      <c r="J32" s="334">
        <v>5</v>
      </c>
      <c r="K32" s="334">
        <v>5</v>
      </c>
      <c r="L32" s="334">
        <v>2</v>
      </c>
      <c r="M32" s="334">
        <v>2</v>
      </c>
      <c r="N32" s="334">
        <v>2</v>
      </c>
      <c r="O32" s="334">
        <v>2</v>
      </c>
      <c r="P32" s="582">
        <v>0</v>
      </c>
      <c r="Q32" s="582">
        <v>0</v>
      </c>
      <c r="R32" s="582">
        <v>0</v>
      </c>
      <c r="S32" s="570">
        <v>677.4</v>
      </c>
      <c r="T32" s="570">
        <v>1081.4</v>
      </c>
      <c r="U32" s="570">
        <v>1182.1</v>
      </c>
      <c r="V32" s="584">
        <v>653.6</v>
      </c>
      <c r="W32" s="584">
        <v>825.6</v>
      </c>
      <c r="X32" s="505">
        <v>878.2</v>
      </c>
      <c r="Y32" s="505">
        <v>156.6</v>
      </c>
      <c r="Z32" s="540">
        <v>156.5</v>
      </c>
      <c r="AA32" s="540">
        <v>156.5</v>
      </c>
      <c r="AB32" s="540">
        <v>156.5</v>
      </c>
      <c r="AC32" s="525" t="s">
        <v>537</v>
      </c>
    </row>
    <row r="33" spans="1:28" ht="57" customHeight="1">
      <c r="A33" s="524" t="s">
        <v>96</v>
      </c>
      <c r="B33" s="936" t="s">
        <v>394</v>
      </c>
      <c r="C33" s="937"/>
      <c r="D33" s="937"/>
      <c r="E33" s="937"/>
      <c r="F33" s="937"/>
      <c r="G33" s="937"/>
      <c r="H33" s="937"/>
      <c r="I33" s="937"/>
      <c r="J33" s="937"/>
      <c r="K33" s="937"/>
      <c r="L33" s="937"/>
      <c r="M33" s="937"/>
      <c r="N33" s="937"/>
      <c r="O33" s="937"/>
      <c r="P33" s="937"/>
      <c r="Q33" s="937"/>
      <c r="R33" s="937"/>
      <c r="S33" s="937"/>
      <c r="T33" s="937"/>
      <c r="U33" s="937"/>
      <c r="V33" s="937"/>
      <c r="W33" s="937"/>
      <c r="X33" s="937"/>
      <c r="Y33" s="937"/>
      <c r="Z33" s="937"/>
      <c r="AA33" s="937"/>
      <c r="AB33" s="938"/>
    </row>
    <row r="34" spans="1:28" ht="33" customHeight="1">
      <c r="A34" s="583" t="s">
        <v>97</v>
      </c>
      <c r="B34" s="945" t="s">
        <v>99</v>
      </c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46"/>
      <c r="X34" s="946"/>
      <c r="Y34" s="946"/>
      <c r="Z34" s="946"/>
      <c r="AA34" s="946"/>
      <c r="AB34" s="947"/>
    </row>
    <row r="35" spans="1:28" ht="12" customHeight="1">
      <c r="A35" s="982" t="s">
        <v>57</v>
      </c>
      <c r="B35" s="948" t="s">
        <v>174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949"/>
      <c r="V35" s="949"/>
      <c r="W35" s="949"/>
      <c r="X35" s="949"/>
      <c r="Y35" s="949"/>
      <c r="Z35" s="949"/>
      <c r="AA35" s="949"/>
      <c r="AB35" s="950"/>
    </row>
    <row r="36" spans="1:28" ht="9.75" customHeight="1">
      <c r="A36" s="983" t="s">
        <v>59</v>
      </c>
      <c r="B36" s="951"/>
      <c r="C36" s="952"/>
      <c r="D36" s="952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  <c r="R36" s="952"/>
      <c r="S36" s="952"/>
      <c r="T36" s="952"/>
      <c r="U36" s="952"/>
      <c r="V36" s="952"/>
      <c r="W36" s="952"/>
      <c r="X36" s="952"/>
      <c r="Y36" s="952"/>
      <c r="Z36" s="952"/>
      <c r="AA36" s="952"/>
      <c r="AB36" s="953"/>
    </row>
    <row r="37" spans="1:29" ht="60">
      <c r="A37" s="583" t="s">
        <v>87</v>
      </c>
      <c r="B37" s="581">
        <v>3000</v>
      </c>
      <c r="C37" s="334">
        <v>0</v>
      </c>
      <c r="D37" s="334">
        <v>0</v>
      </c>
      <c r="E37" s="334">
        <v>6</v>
      </c>
      <c r="F37" s="334">
        <v>10</v>
      </c>
      <c r="G37" s="334">
        <v>12</v>
      </c>
      <c r="H37" s="334">
        <v>5</v>
      </c>
      <c r="I37" s="334">
        <v>6</v>
      </c>
      <c r="J37" s="334">
        <v>6</v>
      </c>
      <c r="K37" s="334">
        <v>6</v>
      </c>
      <c r="L37" s="334">
        <v>6</v>
      </c>
      <c r="M37" s="334">
        <v>6</v>
      </c>
      <c r="N37" s="334">
        <v>6</v>
      </c>
      <c r="O37" s="334">
        <v>6</v>
      </c>
      <c r="P37" s="582">
        <v>0</v>
      </c>
      <c r="Q37" s="582">
        <v>0</v>
      </c>
      <c r="R37" s="582">
        <v>0</v>
      </c>
      <c r="S37" s="582">
        <v>1466</v>
      </c>
      <c r="T37" s="582">
        <v>465</v>
      </c>
      <c r="U37" s="412">
        <v>661.9</v>
      </c>
      <c r="V37" s="582">
        <v>340</v>
      </c>
      <c r="W37" s="412">
        <v>428.8</v>
      </c>
      <c r="X37" s="505">
        <v>502.8</v>
      </c>
      <c r="Y37" s="505">
        <v>342.7</v>
      </c>
      <c r="Z37" s="505">
        <v>342.4</v>
      </c>
      <c r="AA37" s="505">
        <v>342.4</v>
      </c>
      <c r="AB37" s="505">
        <v>342.4</v>
      </c>
      <c r="AC37" s="525" t="s">
        <v>541</v>
      </c>
    </row>
    <row r="38" spans="1:28" ht="38.25" customHeight="1">
      <c r="A38" s="524" t="s">
        <v>96</v>
      </c>
      <c r="B38" s="936" t="s">
        <v>542</v>
      </c>
      <c r="C38" s="937"/>
      <c r="D38" s="937"/>
      <c r="E38" s="937"/>
      <c r="F38" s="937"/>
      <c r="G38" s="937"/>
      <c r="H38" s="937"/>
      <c r="I38" s="937"/>
      <c r="J38" s="937"/>
      <c r="K38" s="937"/>
      <c r="L38" s="937"/>
      <c r="M38" s="937"/>
      <c r="N38" s="937"/>
      <c r="O38" s="937"/>
      <c r="P38" s="937"/>
      <c r="Q38" s="937"/>
      <c r="R38" s="937"/>
      <c r="S38" s="937"/>
      <c r="T38" s="937"/>
      <c r="U38" s="937"/>
      <c r="V38" s="937"/>
      <c r="W38" s="937"/>
      <c r="X38" s="937"/>
      <c r="Y38" s="937"/>
      <c r="Z38" s="937"/>
      <c r="AA38" s="937"/>
      <c r="AB38" s="938"/>
    </row>
    <row r="39" spans="1:28" ht="29.25" customHeight="1">
      <c r="A39" s="583" t="s">
        <v>97</v>
      </c>
      <c r="B39" s="945" t="s">
        <v>99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946"/>
      <c r="Y39" s="946"/>
      <c r="Z39" s="946"/>
      <c r="AA39" s="946"/>
      <c r="AB39" s="947"/>
    </row>
    <row r="40" spans="1:28" ht="10.5" customHeight="1">
      <c r="A40" s="982" t="s">
        <v>57</v>
      </c>
      <c r="B40" s="948" t="s">
        <v>174</v>
      </c>
      <c r="C40" s="949"/>
      <c r="D40" s="949"/>
      <c r="E40" s="949"/>
      <c r="F40" s="949"/>
      <c r="G40" s="949"/>
      <c r="H40" s="949"/>
      <c r="I40" s="949"/>
      <c r="J40" s="949"/>
      <c r="K40" s="949"/>
      <c r="L40" s="949"/>
      <c r="M40" s="949"/>
      <c r="N40" s="949"/>
      <c r="O40" s="949"/>
      <c r="P40" s="949"/>
      <c r="Q40" s="949"/>
      <c r="R40" s="949"/>
      <c r="S40" s="949"/>
      <c r="T40" s="949"/>
      <c r="U40" s="949"/>
      <c r="V40" s="949"/>
      <c r="W40" s="949"/>
      <c r="X40" s="949"/>
      <c r="Y40" s="949"/>
      <c r="Z40" s="949"/>
      <c r="AA40" s="949"/>
      <c r="AB40" s="950"/>
    </row>
    <row r="41" spans="1:28" ht="10.5" customHeight="1">
      <c r="A41" s="983"/>
      <c r="B41" s="951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3"/>
    </row>
    <row r="42" spans="1:29" ht="45.75" customHeight="1">
      <c r="A42" s="583" t="s">
        <v>87</v>
      </c>
      <c r="B42" s="581">
        <v>3000</v>
      </c>
      <c r="C42" s="334">
        <v>0</v>
      </c>
      <c r="D42" s="334">
        <v>0</v>
      </c>
      <c r="E42" s="334">
        <v>16</v>
      </c>
      <c r="F42" s="334">
        <v>16</v>
      </c>
      <c r="G42" s="334">
        <v>14</v>
      </c>
      <c r="H42" s="334">
        <v>16</v>
      </c>
      <c r="I42" s="334">
        <v>16</v>
      </c>
      <c r="J42" s="334">
        <v>21</v>
      </c>
      <c r="K42" s="334">
        <v>20</v>
      </c>
      <c r="L42" s="334">
        <v>20</v>
      </c>
      <c r="M42" s="334">
        <v>20</v>
      </c>
      <c r="N42" s="334">
        <v>20</v>
      </c>
      <c r="O42" s="334">
        <v>20</v>
      </c>
      <c r="P42" s="582">
        <v>0</v>
      </c>
      <c r="Q42" s="582">
        <v>0</v>
      </c>
      <c r="R42" s="582">
        <v>958.9</v>
      </c>
      <c r="S42" s="582">
        <v>706.1</v>
      </c>
      <c r="T42" s="582">
        <v>858.9</v>
      </c>
      <c r="U42" s="412">
        <v>1251.7</v>
      </c>
      <c r="V42" s="412">
        <v>784.5</v>
      </c>
      <c r="W42" s="582">
        <v>985.9</v>
      </c>
      <c r="X42" s="582">
        <v>1040.3</v>
      </c>
      <c r="Y42" s="582">
        <v>381.4</v>
      </c>
      <c r="Z42" s="582">
        <v>380.3</v>
      </c>
      <c r="AA42" s="582">
        <v>380.3</v>
      </c>
      <c r="AB42" s="582">
        <v>380.3</v>
      </c>
      <c r="AC42" s="526" t="s">
        <v>543</v>
      </c>
    </row>
    <row r="43" spans="1:28" ht="40.5" customHeight="1">
      <c r="A43" s="524" t="s">
        <v>96</v>
      </c>
      <c r="B43" s="936" t="s">
        <v>544</v>
      </c>
      <c r="C43" s="937"/>
      <c r="D43" s="937"/>
      <c r="E43" s="937"/>
      <c r="F43" s="937"/>
      <c r="G43" s="937"/>
      <c r="H43" s="937"/>
      <c r="I43" s="937"/>
      <c r="J43" s="937"/>
      <c r="K43" s="937"/>
      <c r="L43" s="937"/>
      <c r="M43" s="937"/>
      <c r="N43" s="937"/>
      <c r="O43" s="937"/>
      <c r="P43" s="937"/>
      <c r="Q43" s="937"/>
      <c r="R43" s="937"/>
      <c r="S43" s="937"/>
      <c r="T43" s="937"/>
      <c r="U43" s="937"/>
      <c r="V43" s="937"/>
      <c r="W43" s="937"/>
      <c r="X43" s="937"/>
      <c r="Y43" s="937"/>
      <c r="Z43" s="937"/>
      <c r="AA43" s="937"/>
      <c r="AB43" s="938"/>
    </row>
    <row r="44" spans="1:28" ht="30.75" customHeight="1">
      <c r="A44" s="583" t="s">
        <v>97</v>
      </c>
      <c r="B44" s="945" t="s">
        <v>99</v>
      </c>
      <c r="C44" s="946"/>
      <c r="D44" s="946"/>
      <c r="E44" s="946"/>
      <c r="F44" s="946"/>
      <c r="G44" s="946"/>
      <c r="H44" s="946"/>
      <c r="I44" s="946"/>
      <c r="J44" s="946"/>
      <c r="K44" s="946"/>
      <c r="L44" s="946"/>
      <c r="M44" s="946"/>
      <c r="N44" s="946"/>
      <c r="O44" s="946"/>
      <c r="P44" s="946"/>
      <c r="Q44" s="946"/>
      <c r="R44" s="946"/>
      <c r="S44" s="946"/>
      <c r="T44" s="946"/>
      <c r="U44" s="946"/>
      <c r="V44" s="946"/>
      <c r="W44" s="946"/>
      <c r="X44" s="946"/>
      <c r="Y44" s="946"/>
      <c r="Z44" s="946"/>
      <c r="AA44" s="946"/>
      <c r="AB44" s="947"/>
    </row>
    <row r="45" spans="1:28" ht="12" customHeight="1">
      <c r="A45" s="982" t="s">
        <v>57</v>
      </c>
      <c r="B45" s="957" t="s">
        <v>174</v>
      </c>
      <c r="C45" s="958"/>
      <c r="D45" s="958"/>
      <c r="E45" s="958"/>
      <c r="F45" s="958"/>
      <c r="G45" s="958"/>
      <c r="H45" s="958"/>
      <c r="I45" s="958"/>
      <c r="J45" s="958"/>
      <c r="K45" s="958"/>
      <c r="L45" s="958"/>
      <c r="M45" s="958"/>
      <c r="N45" s="958"/>
      <c r="O45" s="958"/>
      <c r="P45" s="958"/>
      <c r="Q45" s="958"/>
      <c r="R45" s="958"/>
      <c r="S45" s="958"/>
      <c r="T45" s="958"/>
      <c r="U45" s="958"/>
      <c r="V45" s="958"/>
      <c r="W45" s="958"/>
      <c r="X45" s="958"/>
      <c r="Y45" s="958"/>
      <c r="Z45" s="958"/>
      <c r="AA45" s="958"/>
      <c r="AB45" s="959"/>
    </row>
    <row r="46" spans="1:28" ht="12" customHeight="1">
      <c r="A46" s="983" t="s">
        <v>59</v>
      </c>
      <c r="B46" s="951"/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3"/>
    </row>
    <row r="47" spans="1:29" ht="45.75" customHeight="1">
      <c r="A47" s="583" t="s">
        <v>87</v>
      </c>
      <c r="B47" s="581">
        <v>3000</v>
      </c>
      <c r="C47" s="581">
        <v>3000</v>
      </c>
      <c r="D47" s="581">
        <v>2718</v>
      </c>
      <c r="E47" s="581">
        <v>2718</v>
      </c>
      <c r="F47" s="581">
        <v>2718</v>
      </c>
      <c r="G47" s="581">
        <v>2718</v>
      </c>
      <c r="H47" s="581">
        <v>2730</v>
      </c>
      <c r="I47" s="581">
        <v>2816</v>
      </c>
      <c r="J47" s="581">
        <v>2816</v>
      </c>
      <c r="K47" s="581">
        <v>2816</v>
      </c>
      <c r="L47" s="581">
        <v>2816</v>
      </c>
      <c r="M47" s="581">
        <v>2816</v>
      </c>
      <c r="N47" s="581">
        <v>2816</v>
      </c>
      <c r="O47" s="581">
        <v>2816</v>
      </c>
      <c r="P47" s="345">
        <v>209.3</v>
      </c>
      <c r="Q47" s="345">
        <f>1536.9+400</f>
        <v>1936.9</v>
      </c>
      <c r="R47" s="345">
        <f>1636.9-42.9-178</f>
        <v>1416</v>
      </c>
      <c r="S47" s="345">
        <v>1767.7</v>
      </c>
      <c r="T47" s="345">
        <v>1304.3</v>
      </c>
      <c r="U47" s="345">
        <v>1350.8</v>
      </c>
      <c r="V47" s="611">
        <v>2032.4</v>
      </c>
      <c r="W47" s="345">
        <v>3134.1</v>
      </c>
      <c r="X47" s="505">
        <v>4400.5</v>
      </c>
      <c r="Y47" s="505">
        <v>3079.9</v>
      </c>
      <c r="Z47" s="540">
        <v>2928.6</v>
      </c>
      <c r="AA47" s="540">
        <v>2928.6</v>
      </c>
      <c r="AB47" s="540">
        <v>2928.6</v>
      </c>
      <c r="AC47" s="525" t="s">
        <v>545</v>
      </c>
    </row>
    <row r="48" spans="1:28" ht="42" customHeight="1">
      <c r="A48" s="569" t="s">
        <v>96</v>
      </c>
      <c r="B48" s="936" t="s">
        <v>493</v>
      </c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8"/>
    </row>
    <row r="49" spans="1:28" ht="30" customHeight="1">
      <c r="A49" s="580" t="s">
        <v>97</v>
      </c>
      <c r="B49" s="954" t="s">
        <v>399</v>
      </c>
      <c r="C49" s="955"/>
      <c r="D49" s="955"/>
      <c r="E49" s="955"/>
      <c r="F49" s="955"/>
      <c r="G49" s="955"/>
      <c r="H49" s="955"/>
      <c r="I49" s="955"/>
      <c r="J49" s="955"/>
      <c r="K49" s="955"/>
      <c r="L49" s="955"/>
      <c r="M49" s="955"/>
      <c r="N49" s="955"/>
      <c r="O49" s="955"/>
      <c r="P49" s="955"/>
      <c r="Q49" s="955"/>
      <c r="R49" s="955"/>
      <c r="S49" s="955"/>
      <c r="T49" s="955"/>
      <c r="U49" s="955"/>
      <c r="V49" s="955"/>
      <c r="W49" s="955"/>
      <c r="X49" s="955"/>
      <c r="Y49" s="955"/>
      <c r="Z49" s="955"/>
      <c r="AA49" s="955"/>
      <c r="AB49" s="956"/>
    </row>
    <row r="50" spans="1:28" ht="18" customHeight="1">
      <c r="A50" s="524" t="s">
        <v>309</v>
      </c>
      <c r="B50" s="936" t="s">
        <v>174</v>
      </c>
      <c r="C50" s="937"/>
      <c r="D50" s="937"/>
      <c r="E50" s="937"/>
      <c r="F50" s="937"/>
      <c r="G50" s="937"/>
      <c r="H50" s="937"/>
      <c r="I50" s="937"/>
      <c r="J50" s="937"/>
      <c r="K50" s="937"/>
      <c r="L50" s="937"/>
      <c r="M50" s="937"/>
      <c r="N50" s="937"/>
      <c r="O50" s="937"/>
      <c r="P50" s="937"/>
      <c r="Q50" s="937"/>
      <c r="R50" s="937"/>
      <c r="S50" s="937"/>
      <c r="T50" s="937"/>
      <c r="U50" s="937"/>
      <c r="V50" s="937"/>
      <c r="W50" s="937"/>
      <c r="X50" s="937"/>
      <c r="Y50" s="937"/>
      <c r="Z50" s="937"/>
      <c r="AA50" s="937"/>
      <c r="AB50" s="938"/>
    </row>
    <row r="51" spans="1:29" ht="50.25" customHeight="1">
      <c r="A51" s="346" t="s">
        <v>87</v>
      </c>
      <c r="B51" s="581">
        <v>70</v>
      </c>
      <c r="C51" s="581">
        <v>70</v>
      </c>
      <c r="D51" s="581">
        <v>70</v>
      </c>
      <c r="E51" s="347">
        <v>70</v>
      </c>
      <c r="F51" s="347">
        <v>70</v>
      </c>
      <c r="G51" s="347">
        <v>116</v>
      </c>
      <c r="H51" s="347">
        <v>20</v>
      </c>
      <c r="I51" s="347">
        <v>13</v>
      </c>
      <c r="J51" s="347">
        <v>13</v>
      </c>
      <c r="K51" s="347">
        <v>13</v>
      </c>
      <c r="L51" s="347">
        <v>16</v>
      </c>
      <c r="M51" s="347">
        <v>16</v>
      </c>
      <c r="N51" s="347">
        <v>16</v>
      </c>
      <c r="O51" s="613">
        <v>16</v>
      </c>
      <c r="P51" s="348">
        <v>2143.3</v>
      </c>
      <c r="Q51" s="348">
        <v>2143.3</v>
      </c>
      <c r="R51" s="348">
        <v>2332.81</v>
      </c>
      <c r="S51" s="349">
        <f>1918.4+298.4</f>
        <v>2216.8</v>
      </c>
      <c r="T51" s="506">
        <v>2711</v>
      </c>
      <c r="U51" s="506">
        <v>1270.1</v>
      </c>
      <c r="V51" s="614">
        <v>414.1</v>
      </c>
      <c r="W51" s="506">
        <v>715</v>
      </c>
      <c r="X51" s="506">
        <v>753.3</v>
      </c>
      <c r="Y51" s="506">
        <v>1012.6</v>
      </c>
      <c r="Z51" s="506">
        <v>994.6</v>
      </c>
      <c r="AA51" s="506">
        <v>994.6</v>
      </c>
      <c r="AB51" s="506">
        <v>994.6</v>
      </c>
      <c r="AC51" s="525" t="s">
        <v>546</v>
      </c>
    </row>
    <row r="52" spans="1:28" ht="38.25" customHeight="1">
      <c r="A52" s="569" t="s">
        <v>96</v>
      </c>
      <c r="B52" s="914" t="s">
        <v>573</v>
      </c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4"/>
      <c r="O52" s="914"/>
      <c r="P52" s="914"/>
      <c r="Q52" s="914"/>
      <c r="R52" s="914"/>
      <c r="S52" s="914"/>
      <c r="T52" s="914"/>
      <c r="U52" s="914"/>
      <c r="V52" s="914"/>
      <c r="W52" s="914"/>
      <c r="X52" s="914"/>
      <c r="Y52" s="914"/>
      <c r="Z52" s="914"/>
      <c r="AA52" s="914"/>
      <c r="AB52" s="914"/>
    </row>
    <row r="53" spans="1:28" ht="36.75" customHeight="1">
      <c r="A53" s="580" t="s">
        <v>97</v>
      </c>
      <c r="B53" s="910" t="s">
        <v>399</v>
      </c>
      <c r="C53" s="910"/>
      <c r="D53" s="910"/>
      <c r="E53" s="910"/>
      <c r="F53" s="910"/>
      <c r="G53" s="910"/>
      <c r="H53" s="910"/>
      <c r="I53" s="910"/>
      <c r="J53" s="910"/>
      <c r="K53" s="910"/>
      <c r="L53" s="910"/>
      <c r="M53" s="910"/>
      <c r="N53" s="910"/>
      <c r="O53" s="910"/>
      <c r="P53" s="910"/>
      <c r="Q53" s="910"/>
      <c r="R53" s="910"/>
      <c r="S53" s="910"/>
      <c r="T53" s="910"/>
      <c r="U53" s="910"/>
      <c r="V53" s="910"/>
      <c r="W53" s="910"/>
      <c r="X53" s="910"/>
      <c r="Y53" s="910"/>
      <c r="Z53" s="910"/>
      <c r="AA53" s="910"/>
      <c r="AB53" s="910"/>
    </row>
    <row r="54" spans="1:28" ht="19.5" customHeight="1">
      <c r="A54" s="524" t="s">
        <v>309</v>
      </c>
      <c r="B54" s="936" t="s">
        <v>174</v>
      </c>
      <c r="C54" s="937"/>
      <c r="D54" s="937"/>
      <c r="E54" s="937"/>
      <c r="F54" s="937"/>
      <c r="G54" s="937"/>
      <c r="H54" s="937"/>
      <c r="I54" s="937"/>
      <c r="J54" s="937"/>
      <c r="K54" s="937"/>
      <c r="L54" s="937"/>
      <c r="M54" s="937"/>
      <c r="N54" s="937"/>
      <c r="O54" s="937"/>
      <c r="P54" s="937"/>
      <c r="Q54" s="937"/>
      <c r="R54" s="937"/>
      <c r="S54" s="937"/>
      <c r="T54" s="937"/>
      <c r="U54" s="937"/>
      <c r="V54" s="937"/>
      <c r="W54" s="937"/>
      <c r="X54" s="937"/>
      <c r="Y54" s="937"/>
      <c r="Z54" s="937"/>
      <c r="AA54" s="937"/>
      <c r="AB54" s="938"/>
    </row>
    <row r="55" spans="1:29" ht="51.75" customHeight="1">
      <c r="A55" s="346" t="s">
        <v>87</v>
      </c>
      <c r="B55" s="581">
        <v>0</v>
      </c>
      <c r="C55" s="581">
        <v>0</v>
      </c>
      <c r="D55" s="581">
        <v>0</v>
      </c>
      <c r="E55" s="347">
        <v>0</v>
      </c>
      <c r="F55" s="347">
        <v>0</v>
      </c>
      <c r="G55" s="347">
        <v>0</v>
      </c>
      <c r="H55" s="347">
        <v>0</v>
      </c>
      <c r="I55" s="347">
        <v>0</v>
      </c>
      <c r="J55" s="347">
        <v>0</v>
      </c>
      <c r="K55" s="347">
        <v>0</v>
      </c>
      <c r="L55" s="347">
        <v>50</v>
      </c>
      <c r="M55" s="347">
        <v>50</v>
      </c>
      <c r="N55" s="613">
        <v>50</v>
      </c>
      <c r="O55" s="347">
        <v>50</v>
      </c>
      <c r="P55" s="548">
        <v>0</v>
      </c>
      <c r="Q55" s="348">
        <v>0</v>
      </c>
      <c r="R55" s="348">
        <v>0</v>
      </c>
      <c r="S55" s="349">
        <v>0</v>
      </c>
      <c r="T55" s="506">
        <v>0</v>
      </c>
      <c r="U55" s="506">
        <v>0</v>
      </c>
      <c r="V55" s="614">
        <v>0</v>
      </c>
      <c r="W55" s="506">
        <v>0</v>
      </c>
      <c r="X55" s="506">
        <v>0</v>
      </c>
      <c r="Y55" s="506">
        <v>1440.2</v>
      </c>
      <c r="Z55" s="506">
        <v>1384</v>
      </c>
      <c r="AA55" s="506">
        <v>1384</v>
      </c>
      <c r="AB55" s="506">
        <v>1384</v>
      </c>
      <c r="AC55" s="525" t="s">
        <v>547</v>
      </c>
    </row>
    <row r="56" spans="1:28" ht="39" customHeight="1">
      <c r="A56" s="569" t="s">
        <v>96</v>
      </c>
      <c r="B56" s="914" t="s">
        <v>415</v>
      </c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</row>
    <row r="57" spans="1:28" ht="32.25" customHeight="1">
      <c r="A57" s="580" t="s">
        <v>97</v>
      </c>
      <c r="B57" s="910" t="s">
        <v>399</v>
      </c>
      <c r="C57" s="910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910"/>
    </row>
    <row r="58" spans="1:28" ht="20.25" customHeight="1">
      <c r="A58" s="524" t="s">
        <v>309</v>
      </c>
      <c r="B58" s="936" t="s">
        <v>174</v>
      </c>
      <c r="C58" s="937"/>
      <c r="D58" s="937"/>
      <c r="E58" s="937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937"/>
      <c r="AA58" s="937"/>
      <c r="AB58" s="938"/>
    </row>
    <row r="59" spans="1:29" ht="45" customHeight="1">
      <c r="A59" s="346" t="s">
        <v>87</v>
      </c>
      <c r="B59" s="581">
        <v>0</v>
      </c>
      <c r="C59" s="581">
        <v>0</v>
      </c>
      <c r="D59" s="581">
        <v>0</v>
      </c>
      <c r="E59" s="347">
        <v>0</v>
      </c>
      <c r="F59" s="347">
        <v>0</v>
      </c>
      <c r="G59" s="347">
        <v>0</v>
      </c>
      <c r="H59" s="347">
        <v>25</v>
      </c>
      <c r="I59" s="347">
        <v>129</v>
      </c>
      <c r="J59" s="347">
        <v>129</v>
      </c>
      <c r="K59" s="347">
        <v>122</v>
      </c>
      <c r="L59" s="347">
        <v>107</v>
      </c>
      <c r="M59" s="347">
        <v>107</v>
      </c>
      <c r="N59" s="613">
        <v>107</v>
      </c>
      <c r="O59" s="347">
        <v>107</v>
      </c>
      <c r="P59" s="548">
        <v>0</v>
      </c>
      <c r="Q59" s="348">
        <v>0</v>
      </c>
      <c r="R59" s="348">
        <v>0</v>
      </c>
      <c r="S59" s="349">
        <v>0</v>
      </c>
      <c r="T59" s="506">
        <v>0</v>
      </c>
      <c r="U59" s="506">
        <v>901.5</v>
      </c>
      <c r="V59" s="614">
        <v>3262.1</v>
      </c>
      <c r="W59" s="506">
        <v>1951.8</v>
      </c>
      <c r="X59" s="506">
        <v>1753.8</v>
      </c>
      <c r="Y59" s="506">
        <v>1552.8</v>
      </c>
      <c r="Z59" s="506">
        <v>1432.5</v>
      </c>
      <c r="AA59" s="506">
        <v>1432.5</v>
      </c>
      <c r="AB59" s="506">
        <v>1432.5</v>
      </c>
      <c r="AC59" s="525" t="s">
        <v>548</v>
      </c>
    </row>
    <row r="60" spans="1:28" ht="49.5" customHeight="1">
      <c r="A60" s="569" t="s">
        <v>96</v>
      </c>
      <c r="B60" s="914" t="s">
        <v>396</v>
      </c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</row>
    <row r="61" spans="1:28" ht="32.25" customHeight="1">
      <c r="A61" s="580" t="s">
        <v>97</v>
      </c>
      <c r="B61" s="910" t="s">
        <v>399</v>
      </c>
      <c r="C61" s="910"/>
      <c r="D61" s="910"/>
      <c r="E61" s="910"/>
      <c r="F61" s="910"/>
      <c r="G61" s="910"/>
      <c r="H61" s="910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</row>
    <row r="62" spans="1:28" ht="19.5" customHeight="1">
      <c r="A62" s="524" t="s">
        <v>309</v>
      </c>
      <c r="B62" s="936" t="s">
        <v>174</v>
      </c>
      <c r="C62" s="937"/>
      <c r="D62" s="937"/>
      <c r="E62" s="937"/>
      <c r="F62" s="937"/>
      <c r="G62" s="937"/>
      <c r="H62" s="937"/>
      <c r="I62" s="937"/>
      <c r="J62" s="937"/>
      <c r="K62" s="937"/>
      <c r="L62" s="937"/>
      <c r="M62" s="937"/>
      <c r="N62" s="937"/>
      <c r="O62" s="937"/>
      <c r="P62" s="937"/>
      <c r="Q62" s="937"/>
      <c r="R62" s="937"/>
      <c r="S62" s="937"/>
      <c r="T62" s="937"/>
      <c r="U62" s="937"/>
      <c r="V62" s="937"/>
      <c r="W62" s="937"/>
      <c r="X62" s="937"/>
      <c r="Y62" s="937"/>
      <c r="Z62" s="937"/>
      <c r="AA62" s="937"/>
      <c r="AB62" s="938"/>
    </row>
    <row r="63" spans="1:29" ht="73.5" customHeight="1">
      <c r="A63" s="346" t="s">
        <v>87</v>
      </c>
      <c r="B63" s="581">
        <v>0</v>
      </c>
      <c r="C63" s="581">
        <v>0</v>
      </c>
      <c r="D63" s="581">
        <v>0</v>
      </c>
      <c r="E63" s="347">
        <v>0</v>
      </c>
      <c r="F63" s="347">
        <v>0</v>
      </c>
      <c r="G63" s="347">
        <v>0</v>
      </c>
      <c r="H63" s="347">
        <v>25</v>
      </c>
      <c r="I63" s="347">
        <v>33</v>
      </c>
      <c r="J63" s="347">
        <v>33</v>
      </c>
      <c r="K63" s="347">
        <v>66</v>
      </c>
      <c r="L63" s="347">
        <v>54</v>
      </c>
      <c r="M63" s="347">
        <v>54</v>
      </c>
      <c r="N63" s="613">
        <v>54</v>
      </c>
      <c r="O63" s="347">
        <v>54</v>
      </c>
      <c r="P63" s="548">
        <v>0</v>
      </c>
      <c r="Q63" s="348">
        <v>0</v>
      </c>
      <c r="R63" s="348">
        <v>0</v>
      </c>
      <c r="S63" s="349">
        <v>0</v>
      </c>
      <c r="T63" s="506">
        <v>0</v>
      </c>
      <c r="U63" s="506">
        <v>901.5</v>
      </c>
      <c r="V63" s="614">
        <v>875.3</v>
      </c>
      <c r="W63" s="506">
        <v>1179.6</v>
      </c>
      <c r="X63" s="506">
        <v>1912.1</v>
      </c>
      <c r="Y63" s="506">
        <v>1577.8</v>
      </c>
      <c r="Z63" s="506">
        <v>1517.1</v>
      </c>
      <c r="AA63" s="506">
        <v>1517.1</v>
      </c>
      <c r="AB63" s="506">
        <v>1517.1</v>
      </c>
      <c r="AC63" s="525" t="s">
        <v>549</v>
      </c>
    </row>
    <row r="64" spans="1:28" ht="39.75" customHeight="1">
      <c r="A64" s="569" t="s">
        <v>96</v>
      </c>
      <c r="B64" s="914" t="s">
        <v>416</v>
      </c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</row>
    <row r="65" spans="1:28" ht="32.25" customHeight="1">
      <c r="A65" s="580" t="s">
        <v>97</v>
      </c>
      <c r="B65" s="910" t="s">
        <v>399</v>
      </c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  <c r="AA65" s="910"/>
      <c r="AB65" s="910"/>
    </row>
    <row r="66" spans="1:28" ht="22.5" customHeight="1">
      <c r="A66" s="524" t="s">
        <v>309</v>
      </c>
      <c r="B66" s="914" t="s">
        <v>174</v>
      </c>
      <c r="C66" s="914"/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</row>
    <row r="67" spans="1:29" ht="49.5" customHeight="1">
      <c r="A67" s="346" t="s">
        <v>87</v>
      </c>
      <c r="B67" s="581">
        <v>0</v>
      </c>
      <c r="C67" s="581">
        <v>0</v>
      </c>
      <c r="D67" s="581">
        <v>0</v>
      </c>
      <c r="E67" s="347">
        <v>0</v>
      </c>
      <c r="F67" s="347">
        <v>0</v>
      </c>
      <c r="G67" s="347">
        <v>0</v>
      </c>
      <c r="H67" s="347">
        <v>0</v>
      </c>
      <c r="I67" s="347">
        <v>14</v>
      </c>
      <c r="J67" s="347">
        <v>14</v>
      </c>
      <c r="K67" s="347">
        <v>24</v>
      </c>
      <c r="L67" s="347">
        <v>28</v>
      </c>
      <c r="M67" s="347">
        <v>28</v>
      </c>
      <c r="N67" s="613">
        <v>28</v>
      </c>
      <c r="O67" s="613">
        <v>28</v>
      </c>
      <c r="P67" s="348">
        <v>0</v>
      </c>
      <c r="Q67" s="348">
        <v>0</v>
      </c>
      <c r="R67" s="348">
        <v>0</v>
      </c>
      <c r="S67" s="349">
        <v>0</v>
      </c>
      <c r="T67" s="506">
        <v>0</v>
      </c>
      <c r="U67" s="506">
        <v>0</v>
      </c>
      <c r="V67" s="614">
        <v>599.7</v>
      </c>
      <c r="W67" s="506">
        <v>550.7</v>
      </c>
      <c r="X67" s="506">
        <v>623.9</v>
      </c>
      <c r="Y67" s="506">
        <v>861.1</v>
      </c>
      <c r="Z67" s="506">
        <v>829.6</v>
      </c>
      <c r="AA67" s="506">
        <v>829.6</v>
      </c>
      <c r="AB67" s="506">
        <v>829.6</v>
      </c>
      <c r="AC67" s="525" t="s">
        <v>550</v>
      </c>
    </row>
    <row r="68" spans="1:28" ht="42.75" customHeight="1">
      <c r="A68" s="569" t="s">
        <v>96</v>
      </c>
      <c r="B68" s="914" t="s">
        <v>431</v>
      </c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4"/>
    </row>
    <row r="69" spans="1:28" ht="31.5" customHeight="1">
      <c r="A69" s="580" t="s">
        <v>97</v>
      </c>
      <c r="B69" s="910" t="s">
        <v>399</v>
      </c>
      <c r="C69" s="910"/>
      <c r="D69" s="910"/>
      <c r="E69" s="910"/>
      <c r="F69" s="910"/>
      <c r="G69" s="910"/>
      <c r="H69" s="910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910"/>
      <c r="W69" s="910"/>
      <c r="X69" s="910"/>
      <c r="Y69" s="910"/>
      <c r="Z69" s="910"/>
      <c r="AA69" s="910"/>
      <c r="AB69" s="910"/>
    </row>
    <row r="70" spans="1:28" ht="20.25" customHeight="1">
      <c r="A70" s="524" t="s">
        <v>309</v>
      </c>
      <c r="B70" s="914" t="s">
        <v>174</v>
      </c>
      <c r="C70" s="914"/>
      <c r="D70" s="914"/>
      <c r="E70" s="914"/>
      <c r="F70" s="914"/>
      <c r="G70" s="914"/>
      <c r="H70" s="914"/>
      <c r="I70" s="914"/>
      <c r="J70" s="914"/>
      <c r="K70" s="914"/>
      <c r="L70" s="914"/>
      <c r="M70" s="914"/>
      <c r="N70" s="914"/>
      <c r="O70" s="914"/>
      <c r="P70" s="914"/>
      <c r="Q70" s="914"/>
      <c r="R70" s="914"/>
      <c r="S70" s="914"/>
      <c r="T70" s="914"/>
      <c r="U70" s="914"/>
      <c r="V70" s="914"/>
      <c r="W70" s="914"/>
      <c r="X70" s="914"/>
      <c r="Y70" s="914"/>
      <c r="Z70" s="914"/>
      <c r="AA70" s="914"/>
      <c r="AB70" s="914"/>
    </row>
    <row r="71" spans="1:29" ht="48" customHeight="1">
      <c r="A71" s="346" t="s">
        <v>87</v>
      </c>
      <c r="B71" s="581">
        <v>0</v>
      </c>
      <c r="C71" s="581">
        <v>0</v>
      </c>
      <c r="D71" s="581">
        <v>0</v>
      </c>
      <c r="E71" s="347">
        <v>0</v>
      </c>
      <c r="F71" s="347">
        <v>0</v>
      </c>
      <c r="G71" s="347">
        <v>0</v>
      </c>
      <c r="H71" s="347">
        <v>0</v>
      </c>
      <c r="I71" s="347">
        <v>10</v>
      </c>
      <c r="J71" s="347">
        <v>10</v>
      </c>
      <c r="K71" s="347">
        <v>10</v>
      </c>
      <c r="L71" s="347">
        <v>10</v>
      </c>
      <c r="M71" s="347">
        <v>10</v>
      </c>
      <c r="N71" s="613">
        <v>10</v>
      </c>
      <c r="O71" s="613">
        <v>10</v>
      </c>
      <c r="P71" s="348">
        <v>0</v>
      </c>
      <c r="Q71" s="348">
        <v>0</v>
      </c>
      <c r="R71" s="348">
        <v>0</v>
      </c>
      <c r="S71" s="349">
        <v>0</v>
      </c>
      <c r="T71" s="506">
        <v>0</v>
      </c>
      <c r="U71" s="506">
        <v>0</v>
      </c>
      <c r="V71" s="614">
        <v>530.5</v>
      </c>
      <c r="W71" s="506">
        <v>537.3</v>
      </c>
      <c r="X71" s="506">
        <v>584.3</v>
      </c>
      <c r="Y71" s="506">
        <v>751.1</v>
      </c>
      <c r="Z71" s="506">
        <v>739.9</v>
      </c>
      <c r="AA71" s="506">
        <v>739.9</v>
      </c>
      <c r="AB71" s="506">
        <v>739.9</v>
      </c>
      <c r="AC71" s="525" t="s">
        <v>551</v>
      </c>
    </row>
    <row r="72" spans="1:28" ht="37.5" customHeight="1">
      <c r="A72" s="569" t="s">
        <v>96</v>
      </c>
      <c r="B72" s="914" t="s">
        <v>397</v>
      </c>
      <c r="C72" s="914"/>
      <c r="D72" s="914"/>
      <c r="E72" s="914"/>
      <c r="F72" s="914"/>
      <c r="G72" s="914"/>
      <c r="H72" s="914"/>
      <c r="I72" s="914"/>
      <c r="J72" s="914"/>
      <c r="K72" s="914"/>
      <c r="L72" s="914"/>
      <c r="M72" s="914"/>
      <c r="N72" s="914"/>
      <c r="O72" s="914"/>
      <c r="P72" s="914"/>
      <c r="Q72" s="914"/>
      <c r="R72" s="914"/>
      <c r="S72" s="914"/>
      <c r="T72" s="914"/>
      <c r="U72" s="914"/>
      <c r="V72" s="914"/>
      <c r="W72" s="914"/>
      <c r="X72" s="914"/>
      <c r="Y72" s="914"/>
      <c r="Z72" s="914"/>
      <c r="AA72" s="914"/>
      <c r="AB72" s="914"/>
    </row>
    <row r="73" spans="1:28" ht="36" customHeight="1">
      <c r="A73" s="580" t="s">
        <v>97</v>
      </c>
      <c r="B73" s="910" t="s">
        <v>399</v>
      </c>
      <c r="C73" s="910"/>
      <c r="D73" s="910"/>
      <c r="E73" s="910"/>
      <c r="F73" s="910"/>
      <c r="G73" s="910"/>
      <c r="H73" s="910"/>
      <c r="I73" s="910"/>
      <c r="J73" s="910"/>
      <c r="K73" s="910"/>
      <c r="L73" s="910"/>
      <c r="M73" s="910"/>
      <c r="N73" s="910"/>
      <c r="O73" s="910"/>
      <c r="P73" s="910"/>
      <c r="Q73" s="910"/>
      <c r="R73" s="910"/>
      <c r="S73" s="910"/>
      <c r="T73" s="910"/>
      <c r="U73" s="910"/>
      <c r="V73" s="910"/>
      <c r="W73" s="910"/>
      <c r="X73" s="910"/>
      <c r="Y73" s="910"/>
      <c r="Z73" s="910"/>
      <c r="AA73" s="910"/>
      <c r="AB73" s="910"/>
    </row>
    <row r="74" spans="1:28" ht="15.75" customHeight="1">
      <c r="A74" s="524" t="s">
        <v>309</v>
      </c>
      <c r="B74" s="936" t="s">
        <v>174</v>
      </c>
      <c r="C74" s="937"/>
      <c r="D74" s="937"/>
      <c r="E74" s="937"/>
      <c r="F74" s="937"/>
      <c r="G74" s="937"/>
      <c r="H74" s="937"/>
      <c r="I74" s="937"/>
      <c r="J74" s="937"/>
      <c r="K74" s="937"/>
      <c r="L74" s="937"/>
      <c r="M74" s="937"/>
      <c r="N74" s="937"/>
      <c r="O74" s="937"/>
      <c r="P74" s="937"/>
      <c r="Q74" s="937"/>
      <c r="R74" s="937"/>
      <c r="S74" s="937"/>
      <c r="T74" s="937"/>
      <c r="U74" s="937"/>
      <c r="V74" s="937"/>
      <c r="W74" s="937"/>
      <c r="X74" s="937"/>
      <c r="Y74" s="937"/>
      <c r="Z74" s="937"/>
      <c r="AA74" s="937"/>
      <c r="AB74" s="938"/>
    </row>
    <row r="75" spans="1:29" ht="48" customHeight="1">
      <c r="A75" s="346" t="s">
        <v>87</v>
      </c>
      <c r="B75" s="581">
        <v>0</v>
      </c>
      <c r="C75" s="581">
        <v>0</v>
      </c>
      <c r="D75" s="581">
        <v>0</v>
      </c>
      <c r="E75" s="347">
        <v>0</v>
      </c>
      <c r="F75" s="347">
        <v>0</v>
      </c>
      <c r="G75" s="347">
        <v>0</v>
      </c>
      <c r="H75" s="347">
        <v>14</v>
      </c>
      <c r="I75" s="347">
        <v>10</v>
      </c>
      <c r="J75" s="347">
        <v>10</v>
      </c>
      <c r="K75" s="347">
        <v>10</v>
      </c>
      <c r="L75" s="347">
        <v>10</v>
      </c>
      <c r="M75" s="347">
        <v>12</v>
      </c>
      <c r="N75" s="347">
        <v>12</v>
      </c>
      <c r="O75" s="347">
        <v>12</v>
      </c>
      <c r="P75" s="548">
        <v>0</v>
      </c>
      <c r="Q75" s="348">
        <v>0</v>
      </c>
      <c r="R75" s="348">
        <v>0</v>
      </c>
      <c r="S75" s="349">
        <v>0</v>
      </c>
      <c r="T75" s="506">
        <v>0</v>
      </c>
      <c r="U75" s="506">
        <v>1263.1</v>
      </c>
      <c r="V75" s="614">
        <v>575.4</v>
      </c>
      <c r="W75" s="506">
        <v>826.9</v>
      </c>
      <c r="X75" s="506">
        <v>777.2</v>
      </c>
      <c r="Y75" s="506">
        <v>893.2</v>
      </c>
      <c r="Z75" s="506">
        <v>881.9</v>
      </c>
      <c r="AA75" s="506">
        <v>881.9</v>
      </c>
      <c r="AB75" s="506">
        <v>881.9</v>
      </c>
      <c r="AC75" s="525" t="s">
        <v>551</v>
      </c>
    </row>
    <row r="76" spans="1:28" ht="39.75" customHeight="1">
      <c r="A76" s="527" t="s">
        <v>96</v>
      </c>
      <c r="B76" s="930" t="s">
        <v>552</v>
      </c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1"/>
      <c r="P76" s="931"/>
      <c r="Q76" s="931"/>
      <c r="R76" s="931"/>
      <c r="S76" s="931"/>
      <c r="T76" s="931"/>
      <c r="U76" s="931"/>
      <c r="V76" s="931"/>
      <c r="W76" s="931"/>
      <c r="X76" s="931"/>
      <c r="Y76" s="931"/>
      <c r="Z76" s="931"/>
      <c r="AA76" s="931"/>
      <c r="AB76" s="932"/>
    </row>
    <row r="77" spans="1:28" ht="31.5" customHeight="1">
      <c r="A77" s="357" t="s">
        <v>97</v>
      </c>
      <c r="B77" s="910" t="s">
        <v>399</v>
      </c>
      <c r="C77" s="910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/>
      <c r="AB77" s="910"/>
    </row>
    <row r="78" spans="1:28" s="529" customFormat="1" ht="15.75" customHeight="1">
      <c r="A78" s="528" t="s">
        <v>309</v>
      </c>
      <c r="B78" s="921" t="s">
        <v>174</v>
      </c>
      <c r="C78" s="922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2"/>
      <c r="Z78" s="922"/>
      <c r="AA78" s="922"/>
      <c r="AB78" s="923"/>
    </row>
    <row r="79" spans="1:29" ht="50.25" customHeight="1">
      <c r="A79" s="530" t="s">
        <v>87</v>
      </c>
      <c r="B79" s="531">
        <v>0</v>
      </c>
      <c r="C79" s="531">
        <v>0</v>
      </c>
      <c r="D79" s="531">
        <v>0</v>
      </c>
      <c r="E79" s="532">
        <v>0</v>
      </c>
      <c r="F79" s="532">
        <v>0</v>
      </c>
      <c r="G79" s="532">
        <v>0</v>
      </c>
      <c r="H79" s="532">
        <v>0</v>
      </c>
      <c r="I79" s="532">
        <v>0</v>
      </c>
      <c r="J79" s="532">
        <v>0</v>
      </c>
      <c r="K79" s="532">
        <v>0</v>
      </c>
      <c r="L79" s="532">
        <v>54</v>
      </c>
      <c r="M79" s="532">
        <v>54</v>
      </c>
      <c r="N79" s="532">
        <v>54</v>
      </c>
      <c r="O79" s="532">
        <v>54</v>
      </c>
      <c r="P79" s="582">
        <v>0</v>
      </c>
      <c r="Q79" s="582">
        <v>0</v>
      </c>
      <c r="R79" s="582">
        <v>0</v>
      </c>
      <c r="S79" s="582">
        <v>0</v>
      </c>
      <c r="T79" s="615">
        <v>0</v>
      </c>
      <c r="U79" s="615">
        <v>0</v>
      </c>
      <c r="V79" s="614">
        <v>0</v>
      </c>
      <c r="W79" s="506">
        <v>0</v>
      </c>
      <c r="X79" s="506">
        <v>0</v>
      </c>
      <c r="Y79" s="506">
        <v>1415.2</v>
      </c>
      <c r="Z79" s="506">
        <v>1354.5</v>
      </c>
      <c r="AA79" s="506">
        <v>1354.5</v>
      </c>
      <c r="AB79" s="506">
        <v>1354.5</v>
      </c>
      <c r="AC79" s="525" t="s">
        <v>549</v>
      </c>
    </row>
    <row r="80" spans="1:28" ht="42" customHeight="1">
      <c r="A80" s="569" t="s">
        <v>96</v>
      </c>
      <c r="B80" s="924" t="s">
        <v>432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6"/>
    </row>
    <row r="81" spans="1:28" ht="34.5" customHeight="1">
      <c r="A81" s="580" t="s">
        <v>97</v>
      </c>
      <c r="B81" s="910" t="s">
        <v>399</v>
      </c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10"/>
      <c r="AA81" s="910"/>
      <c r="AB81" s="910"/>
    </row>
    <row r="82" spans="1:28" ht="15.75" customHeight="1">
      <c r="A82" s="524" t="s">
        <v>309</v>
      </c>
      <c r="B82" s="921" t="s">
        <v>174</v>
      </c>
      <c r="C82" s="922"/>
      <c r="D82" s="922"/>
      <c r="E82" s="922"/>
      <c r="F82" s="922"/>
      <c r="G82" s="922"/>
      <c r="H82" s="922"/>
      <c r="I82" s="922"/>
      <c r="J82" s="922"/>
      <c r="K82" s="922"/>
      <c r="L82" s="922"/>
      <c r="M82" s="922"/>
      <c r="N82" s="922"/>
      <c r="O82" s="922"/>
      <c r="P82" s="922"/>
      <c r="Q82" s="922"/>
      <c r="R82" s="922"/>
      <c r="S82" s="922"/>
      <c r="T82" s="922"/>
      <c r="U82" s="922"/>
      <c r="V82" s="922"/>
      <c r="W82" s="922"/>
      <c r="X82" s="922"/>
      <c r="Y82" s="922"/>
      <c r="Z82" s="922"/>
      <c r="AA82" s="922"/>
      <c r="AB82" s="923"/>
    </row>
    <row r="83" spans="1:29" ht="50.25" customHeight="1">
      <c r="A83" s="346" t="s">
        <v>87</v>
      </c>
      <c r="B83" s="581">
        <v>0</v>
      </c>
      <c r="C83" s="581">
        <v>0</v>
      </c>
      <c r="D83" s="581">
        <v>0</v>
      </c>
      <c r="E83" s="347">
        <v>0</v>
      </c>
      <c r="F83" s="347">
        <v>0</v>
      </c>
      <c r="G83" s="347">
        <v>0</v>
      </c>
      <c r="H83" s="347">
        <v>2</v>
      </c>
      <c r="I83" s="347">
        <v>1</v>
      </c>
      <c r="J83" s="347">
        <v>1</v>
      </c>
      <c r="K83" s="347">
        <v>1</v>
      </c>
      <c r="L83" s="347">
        <v>2</v>
      </c>
      <c r="M83" s="347">
        <v>2</v>
      </c>
      <c r="N83" s="347">
        <v>2</v>
      </c>
      <c r="O83" s="613">
        <v>2</v>
      </c>
      <c r="P83" s="348">
        <v>0</v>
      </c>
      <c r="Q83" s="348">
        <v>0</v>
      </c>
      <c r="R83" s="348">
        <v>0</v>
      </c>
      <c r="S83" s="349">
        <v>0</v>
      </c>
      <c r="T83" s="506">
        <v>0</v>
      </c>
      <c r="U83" s="506">
        <v>0</v>
      </c>
      <c r="V83" s="614">
        <v>36.9</v>
      </c>
      <c r="W83" s="506">
        <v>631.7</v>
      </c>
      <c r="X83" s="506">
        <v>689.6</v>
      </c>
      <c r="Y83" s="506">
        <v>735.2</v>
      </c>
      <c r="Z83" s="506">
        <v>733</v>
      </c>
      <c r="AA83" s="506">
        <v>733</v>
      </c>
      <c r="AB83" s="506">
        <v>733</v>
      </c>
      <c r="AC83" s="525" t="s">
        <v>553</v>
      </c>
    </row>
    <row r="84" spans="1:28" ht="39" customHeight="1">
      <c r="A84" s="569" t="s">
        <v>96</v>
      </c>
      <c r="B84" s="914" t="s">
        <v>417</v>
      </c>
      <c r="C84" s="914"/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914"/>
    </row>
    <row r="85" spans="1:28" ht="33" customHeight="1">
      <c r="A85" s="580" t="s">
        <v>97</v>
      </c>
      <c r="B85" s="910" t="s">
        <v>399</v>
      </c>
      <c r="C85" s="910"/>
      <c r="D85" s="910"/>
      <c r="E85" s="910"/>
      <c r="F85" s="910"/>
      <c r="G85" s="910"/>
      <c r="H85" s="910"/>
      <c r="I85" s="910"/>
      <c r="J85" s="910"/>
      <c r="K85" s="910"/>
      <c r="L85" s="910"/>
      <c r="M85" s="910"/>
      <c r="N85" s="910"/>
      <c r="O85" s="910"/>
      <c r="P85" s="910"/>
      <c r="Q85" s="910"/>
      <c r="R85" s="910"/>
      <c r="S85" s="910"/>
      <c r="T85" s="910"/>
      <c r="U85" s="910"/>
      <c r="V85" s="910"/>
      <c r="W85" s="910"/>
      <c r="X85" s="910"/>
      <c r="Y85" s="910"/>
      <c r="Z85" s="910"/>
      <c r="AA85" s="910"/>
      <c r="AB85" s="910"/>
    </row>
    <row r="86" spans="1:28" ht="18.75" customHeight="1">
      <c r="A86" s="524" t="s">
        <v>309</v>
      </c>
      <c r="B86" s="936" t="s">
        <v>174</v>
      </c>
      <c r="C86" s="937"/>
      <c r="D86" s="937"/>
      <c r="E86" s="937"/>
      <c r="F86" s="937"/>
      <c r="G86" s="937"/>
      <c r="H86" s="937"/>
      <c r="I86" s="937"/>
      <c r="J86" s="937"/>
      <c r="K86" s="937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7"/>
      <c r="W86" s="937"/>
      <c r="X86" s="937"/>
      <c r="Y86" s="937"/>
      <c r="Z86" s="937"/>
      <c r="AA86" s="937"/>
      <c r="AB86" s="938"/>
    </row>
    <row r="87" spans="1:29" ht="48" customHeight="1">
      <c r="A87" s="346" t="s">
        <v>87</v>
      </c>
      <c r="B87" s="581">
        <v>0</v>
      </c>
      <c r="C87" s="581">
        <v>0</v>
      </c>
      <c r="D87" s="581">
        <v>0</v>
      </c>
      <c r="E87" s="347">
        <v>0</v>
      </c>
      <c r="F87" s="347">
        <v>0</v>
      </c>
      <c r="G87" s="347">
        <v>0</v>
      </c>
      <c r="H87" s="347">
        <v>0</v>
      </c>
      <c r="I87" s="347">
        <v>10</v>
      </c>
      <c r="J87" s="347">
        <v>60</v>
      </c>
      <c r="K87" s="347">
        <v>88</v>
      </c>
      <c r="L87" s="347">
        <v>54</v>
      </c>
      <c r="M87" s="347">
        <v>54</v>
      </c>
      <c r="N87" s="347">
        <v>54</v>
      </c>
      <c r="O87" s="613">
        <v>54</v>
      </c>
      <c r="P87" s="348">
        <v>0</v>
      </c>
      <c r="Q87" s="348">
        <v>0</v>
      </c>
      <c r="R87" s="348">
        <v>0</v>
      </c>
      <c r="S87" s="349">
        <v>0</v>
      </c>
      <c r="T87" s="506">
        <v>0</v>
      </c>
      <c r="U87" s="506">
        <v>0</v>
      </c>
      <c r="V87" s="614">
        <v>454.9</v>
      </c>
      <c r="W87" s="506">
        <v>567.1</v>
      </c>
      <c r="X87" s="506">
        <v>1308</v>
      </c>
      <c r="Y87" s="506">
        <v>1191.1</v>
      </c>
      <c r="Z87" s="506">
        <v>1130.4</v>
      </c>
      <c r="AA87" s="506">
        <v>1130.4</v>
      </c>
      <c r="AB87" s="506">
        <v>1130.4</v>
      </c>
      <c r="AC87" s="525" t="s">
        <v>549</v>
      </c>
    </row>
    <row r="88" spans="1:28" ht="42.75" customHeight="1">
      <c r="A88" s="569" t="s">
        <v>96</v>
      </c>
      <c r="B88" s="914" t="s">
        <v>418</v>
      </c>
      <c r="C88" s="914"/>
      <c r="D88" s="914"/>
      <c r="E88" s="914"/>
      <c r="F88" s="914"/>
      <c r="G88" s="914"/>
      <c r="H88" s="914"/>
      <c r="I88" s="914"/>
      <c r="J88" s="914"/>
      <c r="K88" s="914"/>
      <c r="L88" s="914"/>
      <c r="M88" s="914"/>
      <c r="N88" s="914"/>
      <c r="O88" s="914"/>
      <c r="P88" s="914"/>
      <c r="Q88" s="914"/>
      <c r="R88" s="914"/>
      <c r="S88" s="914"/>
      <c r="T88" s="914"/>
      <c r="U88" s="914"/>
      <c r="V88" s="914"/>
      <c r="W88" s="914"/>
      <c r="X88" s="914"/>
      <c r="Y88" s="914"/>
      <c r="Z88" s="914"/>
      <c r="AA88" s="914"/>
      <c r="AB88" s="914"/>
    </row>
    <row r="89" spans="1:28" ht="31.5" customHeight="1">
      <c r="A89" s="580" t="s">
        <v>97</v>
      </c>
      <c r="B89" s="918" t="s">
        <v>399</v>
      </c>
      <c r="C89" s="919"/>
      <c r="D89" s="919"/>
      <c r="E89" s="919"/>
      <c r="F89" s="919"/>
      <c r="G89" s="919"/>
      <c r="H89" s="919"/>
      <c r="I89" s="919"/>
      <c r="J89" s="919"/>
      <c r="K89" s="919"/>
      <c r="L89" s="919"/>
      <c r="M89" s="919"/>
      <c r="N89" s="919"/>
      <c r="O89" s="919"/>
      <c r="P89" s="919"/>
      <c r="Q89" s="919"/>
      <c r="R89" s="919"/>
      <c r="S89" s="919"/>
      <c r="T89" s="919"/>
      <c r="U89" s="919"/>
      <c r="V89" s="919"/>
      <c r="W89" s="919"/>
      <c r="X89" s="919"/>
      <c r="Y89" s="919"/>
      <c r="Z89" s="919"/>
      <c r="AA89" s="919"/>
      <c r="AB89" s="920"/>
    </row>
    <row r="90" spans="1:28" ht="18.75" customHeight="1">
      <c r="A90" s="524" t="s">
        <v>309</v>
      </c>
      <c r="B90" s="914" t="s">
        <v>174</v>
      </c>
      <c r="C90" s="914"/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914"/>
    </row>
    <row r="91" spans="1:29" ht="48" customHeight="1">
      <c r="A91" s="346" t="s">
        <v>87</v>
      </c>
      <c r="B91" s="581">
        <v>0</v>
      </c>
      <c r="C91" s="581">
        <v>0</v>
      </c>
      <c r="D91" s="581">
        <v>0</v>
      </c>
      <c r="E91" s="347">
        <v>0</v>
      </c>
      <c r="F91" s="347">
        <v>0</v>
      </c>
      <c r="G91" s="347">
        <v>0</v>
      </c>
      <c r="H91" s="347">
        <v>21</v>
      </c>
      <c r="I91" s="347">
        <v>13</v>
      </c>
      <c r="J91" s="347">
        <v>13</v>
      </c>
      <c r="K91" s="347">
        <v>11</v>
      </c>
      <c r="L91" s="347">
        <v>24</v>
      </c>
      <c r="M91" s="347">
        <v>24</v>
      </c>
      <c r="N91" s="347">
        <v>30</v>
      </c>
      <c r="O91" s="613">
        <v>30</v>
      </c>
      <c r="P91" s="348">
        <v>0</v>
      </c>
      <c r="Q91" s="348">
        <v>0</v>
      </c>
      <c r="R91" s="348">
        <v>0</v>
      </c>
      <c r="S91" s="349">
        <v>0</v>
      </c>
      <c r="T91" s="506">
        <v>0</v>
      </c>
      <c r="U91" s="506">
        <v>1206.1</v>
      </c>
      <c r="V91" s="614">
        <v>564.4</v>
      </c>
      <c r="W91" s="506">
        <v>751.4</v>
      </c>
      <c r="X91" s="506">
        <v>738.1</v>
      </c>
      <c r="Y91" s="506">
        <v>1063</v>
      </c>
      <c r="Z91" s="506">
        <v>1036.1</v>
      </c>
      <c r="AA91" s="506">
        <v>1036.1</v>
      </c>
      <c r="AB91" s="506">
        <v>1036.1</v>
      </c>
      <c r="AC91" s="525" t="s">
        <v>554</v>
      </c>
    </row>
    <row r="92" spans="1:28" ht="42.75" customHeight="1">
      <c r="A92" s="569" t="s">
        <v>96</v>
      </c>
      <c r="B92" s="924" t="s">
        <v>492</v>
      </c>
      <c r="C92" s="925"/>
      <c r="D92" s="925"/>
      <c r="E92" s="925"/>
      <c r="F92" s="925"/>
      <c r="G92" s="925"/>
      <c r="H92" s="925"/>
      <c r="I92" s="925"/>
      <c r="J92" s="925"/>
      <c r="K92" s="925"/>
      <c r="L92" s="925"/>
      <c r="M92" s="925"/>
      <c r="N92" s="925"/>
      <c r="O92" s="925"/>
      <c r="P92" s="925"/>
      <c r="Q92" s="925"/>
      <c r="R92" s="925"/>
      <c r="S92" s="925"/>
      <c r="T92" s="925"/>
      <c r="U92" s="925"/>
      <c r="V92" s="925"/>
      <c r="W92" s="925"/>
      <c r="X92" s="925"/>
      <c r="Y92" s="925"/>
      <c r="Z92" s="925"/>
      <c r="AA92" s="925"/>
      <c r="AB92" s="926"/>
    </row>
    <row r="93" spans="1:28" ht="31.5" customHeight="1">
      <c r="A93" s="580" t="s">
        <v>97</v>
      </c>
      <c r="B93" s="910" t="s">
        <v>399</v>
      </c>
      <c r="C93" s="910"/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10"/>
      <c r="AA93" s="910"/>
      <c r="AB93" s="910"/>
    </row>
    <row r="94" spans="1:28" ht="18.75" customHeight="1">
      <c r="A94" s="524" t="s">
        <v>309</v>
      </c>
      <c r="B94" s="936" t="s">
        <v>174</v>
      </c>
      <c r="C94" s="937"/>
      <c r="D94" s="937"/>
      <c r="E94" s="937"/>
      <c r="F94" s="937"/>
      <c r="G94" s="937"/>
      <c r="H94" s="937"/>
      <c r="I94" s="937"/>
      <c r="J94" s="937"/>
      <c r="K94" s="937"/>
      <c r="L94" s="937"/>
      <c r="M94" s="937"/>
      <c r="N94" s="937"/>
      <c r="O94" s="937"/>
      <c r="P94" s="937"/>
      <c r="Q94" s="937"/>
      <c r="R94" s="937"/>
      <c r="S94" s="937"/>
      <c r="T94" s="937"/>
      <c r="U94" s="937"/>
      <c r="V94" s="937"/>
      <c r="W94" s="937"/>
      <c r="X94" s="937"/>
      <c r="Y94" s="937"/>
      <c r="Z94" s="937"/>
      <c r="AA94" s="937"/>
      <c r="AB94" s="938"/>
    </row>
    <row r="95" spans="1:29" ht="48" customHeight="1">
      <c r="A95" s="346" t="s">
        <v>87</v>
      </c>
      <c r="B95" s="581">
        <v>0</v>
      </c>
      <c r="C95" s="581">
        <v>0</v>
      </c>
      <c r="D95" s="581">
        <v>0</v>
      </c>
      <c r="E95" s="347">
        <v>0</v>
      </c>
      <c r="F95" s="347">
        <v>0</v>
      </c>
      <c r="G95" s="347">
        <v>0</v>
      </c>
      <c r="H95" s="347">
        <v>33</v>
      </c>
      <c r="I95" s="347">
        <v>22</v>
      </c>
      <c r="J95" s="347">
        <v>22</v>
      </c>
      <c r="K95" s="347">
        <v>11</v>
      </c>
      <c r="L95" s="347">
        <v>10</v>
      </c>
      <c r="M95" s="347">
        <v>10</v>
      </c>
      <c r="N95" s="613">
        <v>10</v>
      </c>
      <c r="O95" s="347">
        <v>10</v>
      </c>
      <c r="P95" s="548">
        <v>0</v>
      </c>
      <c r="Q95" s="348">
        <v>0</v>
      </c>
      <c r="R95" s="348">
        <v>0</v>
      </c>
      <c r="S95" s="349">
        <v>0</v>
      </c>
      <c r="T95" s="506">
        <v>0</v>
      </c>
      <c r="U95" s="506">
        <v>1611</v>
      </c>
      <c r="V95" s="614">
        <v>764</v>
      </c>
      <c r="W95" s="506">
        <v>1090.5</v>
      </c>
      <c r="X95" s="506">
        <v>899.6</v>
      </c>
      <c r="Y95" s="506">
        <v>961.9</v>
      </c>
      <c r="Z95" s="506">
        <v>950.7</v>
      </c>
      <c r="AA95" s="506">
        <v>950.7</v>
      </c>
      <c r="AB95" s="506">
        <v>950.7</v>
      </c>
      <c r="AC95" s="525" t="s">
        <v>551</v>
      </c>
    </row>
    <row r="96" spans="1:28" ht="50.25" customHeight="1">
      <c r="A96" s="569" t="s">
        <v>96</v>
      </c>
      <c r="B96" s="914" t="s">
        <v>488</v>
      </c>
      <c r="C96" s="914"/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914"/>
    </row>
    <row r="97" spans="1:28" ht="31.5" customHeight="1">
      <c r="A97" s="580" t="s">
        <v>97</v>
      </c>
      <c r="B97" s="910" t="s">
        <v>399</v>
      </c>
      <c r="C97" s="910"/>
      <c r="D97" s="910"/>
      <c r="E97" s="910"/>
      <c r="F97" s="910"/>
      <c r="G97" s="910"/>
      <c r="H97" s="910"/>
      <c r="I97" s="910"/>
      <c r="J97" s="910"/>
      <c r="K97" s="910"/>
      <c r="L97" s="910"/>
      <c r="M97" s="910"/>
      <c r="N97" s="910"/>
      <c r="O97" s="910"/>
      <c r="P97" s="910"/>
      <c r="Q97" s="910"/>
      <c r="R97" s="910"/>
      <c r="S97" s="910"/>
      <c r="T97" s="910"/>
      <c r="U97" s="910"/>
      <c r="V97" s="910"/>
      <c r="W97" s="910"/>
      <c r="X97" s="910"/>
      <c r="Y97" s="910"/>
      <c r="Z97" s="910"/>
      <c r="AA97" s="910"/>
      <c r="AB97" s="910"/>
    </row>
    <row r="98" spans="1:28" ht="17.25" customHeight="1">
      <c r="A98" s="524" t="s">
        <v>309</v>
      </c>
      <c r="B98" s="936" t="s">
        <v>174</v>
      </c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937"/>
      <c r="AB98" s="938"/>
    </row>
    <row r="99" spans="1:29" ht="48.75" customHeight="1">
      <c r="A99" s="346" t="s">
        <v>87</v>
      </c>
      <c r="B99" s="581">
        <v>0</v>
      </c>
      <c r="C99" s="581">
        <v>0</v>
      </c>
      <c r="D99" s="581">
        <v>0</v>
      </c>
      <c r="E99" s="347">
        <v>0</v>
      </c>
      <c r="F99" s="347">
        <v>0</v>
      </c>
      <c r="G99" s="347">
        <v>0</v>
      </c>
      <c r="H99" s="347">
        <v>0</v>
      </c>
      <c r="I99" s="347">
        <v>0</v>
      </c>
      <c r="J99" s="347">
        <v>0</v>
      </c>
      <c r="K99" s="347">
        <v>60</v>
      </c>
      <c r="L99" s="347">
        <v>45</v>
      </c>
      <c r="M99" s="347">
        <v>45</v>
      </c>
      <c r="N99" s="628">
        <v>45</v>
      </c>
      <c r="O99" s="347">
        <v>45</v>
      </c>
      <c r="P99" s="629">
        <v>0</v>
      </c>
      <c r="Q99" s="548">
        <v>0</v>
      </c>
      <c r="R99" s="348">
        <v>0</v>
      </c>
      <c r="S99" s="349">
        <v>0</v>
      </c>
      <c r="T99" s="506">
        <v>0</v>
      </c>
      <c r="U99" s="506">
        <v>0</v>
      </c>
      <c r="V99" s="614">
        <v>0</v>
      </c>
      <c r="W99" s="506">
        <v>0</v>
      </c>
      <c r="X99" s="506">
        <v>843.9</v>
      </c>
      <c r="Y99" s="506">
        <v>866.9</v>
      </c>
      <c r="Z99" s="506">
        <v>816.3</v>
      </c>
      <c r="AA99" s="506">
        <v>816.3</v>
      </c>
      <c r="AB99" s="506">
        <v>816.3</v>
      </c>
      <c r="AC99" s="525" t="s">
        <v>555</v>
      </c>
    </row>
    <row r="100" spans="1:28" ht="42" customHeight="1">
      <c r="A100" s="569" t="s">
        <v>96</v>
      </c>
      <c r="B100" s="914" t="s">
        <v>556</v>
      </c>
      <c r="C100" s="914"/>
      <c r="D100" s="914"/>
      <c r="E100" s="914"/>
      <c r="F100" s="914"/>
      <c r="G100" s="914"/>
      <c r="H100" s="914"/>
      <c r="I100" s="914"/>
      <c r="J100" s="914"/>
      <c r="K100" s="914"/>
      <c r="L100" s="914"/>
      <c r="M100" s="914"/>
      <c r="N100" s="914"/>
      <c r="O100" s="914"/>
      <c r="P100" s="914"/>
      <c r="Q100" s="914"/>
      <c r="R100" s="914"/>
      <c r="S100" s="914"/>
      <c r="T100" s="914"/>
      <c r="U100" s="914"/>
      <c r="V100" s="914"/>
      <c r="W100" s="914"/>
      <c r="X100" s="914"/>
      <c r="Y100" s="914"/>
      <c r="Z100" s="914"/>
      <c r="AA100" s="914"/>
      <c r="AB100" s="914"/>
    </row>
    <row r="101" spans="1:28" ht="24.75" customHeight="1">
      <c r="A101" s="580" t="s">
        <v>97</v>
      </c>
      <c r="B101" s="918" t="s">
        <v>399</v>
      </c>
      <c r="C101" s="919"/>
      <c r="D101" s="919"/>
      <c r="E101" s="919"/>
      <c r="F101" s="919"/>
      <c r="G101" s="919"/>
      <c r="H101" s="919"/>
      <c r="I101" s="919"/>
      <c r="J101" s="919"/>
      <c r="K101" s="919"/>
      <c r="L101" s="919"/>
      <c r="M101" s="919"/>
      <c r="N101" s="919"/>
      <c r="O101" s="919"/>
      <c r="P101" s="919"/>
      <c r="Q101" s="919"/>
      <c r="R101" s="919"/>
      <c r="S101" s="919"/>
      <c r="T101" s="919"/>
      <c r="U101" s="919"/>
      <c r="V101" s="919"/>
      <c r="W101" s="919"/>
      <c r="X101" s="919"/>
      <c r="Y101" s="919"/>
      <c r="Z101" s="919"/>
      <c r="AA101" s="919"/>
      <c r="AB101" s="920"/>
    </row>
    <row r="102" spans="1:28" ht="19.5" customHeight="1">
      <c r="A102" s="524" t="s">
        <v>309</v>
      </c>
      <c r="B102" s="921" t="s">
        <v>174</v>
      </c>
      <c r="C102" s="922"/>
      <c r="D102" s="922"/>
      <c r="E102" s="922"/>
      <c r="F102" s="922"/>
      <c r="G102" s="922"/>
      <c r="H102" s="922"/>
      <c r="I102" s="922"/>
      <c r="J102" s="922"/>
      <c r="K102" s="922"/>
      <c r="L102" s="922"/>
      <c r="M102" s="922"/>
      <c r="N102" s="922"/>
      <c r="O102" s="922"/>
      <c r="P102" s="922"/>
      <c r="Q102" s="922"/>
      <c r="R102" s="922"/>
      <c r="S102" s="922"/>
      <c r="T102" s="922"/>
      <c r="U102" s="922"/>
      <c r="V102" s="922"/>
      <c r="W102" s="922"/>
      <c r="X102" s="922"/>
      <c r="Y102" s="922"/>
      <c r="Z102" s="922"/>
      <c r="AA102" s="922"/>
      <c r="AB102" s="923"/>
    </row>
    <row r="103" spans="1:29" ht="53.25" customHeight="1">
      <c r="A103" s="346" t="s">
        <v>87</v>
      </c>
      <c r="B103" s="581">
        <v>0</v>
      </c>
      <c r="C103" s="581">
        <v>0</v>
      </c>
      <c r="D103" s="581">
        <v>0</v>
      </c>
      <c r="E103" s="347">
        <v>0</v>
      </c>
      <c r="F103" s="347">
        <v>0</v>
      </c>
      <c r="G103" s="347">
        <v>0</v>
      </c>
      <c r="H103" s="347">
        <v>0</v>
      </c>
      <c r="I103" s="347">
        <v>0</v>
      </c>
      <c r="J103" s="347">
        <v>0</v>
      </c>
      <c r="K103" s="347">
        <v>0</v>
      </c>
      <c r="L103" s="347">
        <v>10</v>
      </c>
      <c r="M103" s="347">
        <v>10</v>
      </c>
      <c r="N103" s="613">
        <v>10</v>
      </c>
      <c r="O103" s="347">
        <v>10</v>
      </c>
      <c r="P103" s="548">
        <v>0</v>
      </c>
      <c r="Q103" s="348">
        <v>0</v>
      </c>
      <c r="R103" s="348">
        <v>0</v>
      </c>
      <c r="S103" s="349">
        <v>0</v>
      </c>
      <c r="T103" s="506">
        <v>0</v>
      </c>
      <c r="U103" s="506">
        <v>0</v>
      </c>
      <c r="V103" s="614">
        <v>0</v>
      </c>
      <c r="W103" s="506">
        <v>0</v>
      </c>
      <c r="X103" s="506">
        <v>0</v>
      </c>
      <c r="Y103" s="506">
        <v>754.6</v>
      </c>
      <c r="Z103" s="506">
        <v>743.3</v>
      </c>
      <c r="AA103" s="506">
        <v>743.3</v>
      </c>
      <c r="AB103" s="506">
        <v>743.3</v>
      </c>
      <c r="AC103" s="525" t="s">
        <v>551</v>
      </c>
    </row>
    <row r="104" spans="1:28" ht="37.5" customHeight="1">
      <c r="A104" s="569" t="s">
        <v>96</v>
      </c>
      <c r="B104" s="914" t="s">
        <v>574</v>
      </c>
      <c r="C104" s="914"/>
      <c r="D104" s="914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4"/>
      <c r="U104" s="914"/>
      <c r="V104" s="914"/>
      <c r="W104" s="914"/>
      <c r="X104" s="914"/>
      <c r="Y104" s="914"/>
      <c r="Z104" s="914"/>
      <c r="AA104" s="914"/>
      <c r="AB104" s="914"/>
    </row>
    <row r="105" spans="1:28" ht="34.5" customHeight="1">
      <c r="A105" s="580" t="s">
        <v>97</v>
      </c>
      <c r="B105" s="910" t="s">
        <v>399</v>
      </c>
      <c r="C105" s="910"/>
      <c r="D105" s="910"/>
      <c r="E105" s="910"/>
      <c r="F105" s="910"/>
      <c r="G105" s="910"/>
      <c r="H105" s="910"/>
      <c r="I105" s="910"/>
      <c r="J105" s="910"/>
      <c r="K105" s="910"/>
      <c r="L105" s="910"/>
      <c r="M105" s="910"/>
      <c r="N105" s="910"/>
      <c r="O105" s="910"/>
      <c r="P105" s="910"/>
      <c r="Q105" s="910"/>
      <c r="R105" s="910"/>
      <c r="S105" s="910"/>
      <c r="T105" s="910"/>
      <c r="U105" s="910"/>
      <c r="V105" s="910"/>
      <c r="W105" s="910"/>
      <c r="X105" s="910"/>
      <c r="Y105" s="910"/>
      <c r="Z105" s="910"/>
      <c r="AA105" s="910"/>
      <c r="AB105" s="910"/>
    </row>
    <row r="106" spans="1:28" ht="15" customHeight="1">
      <c r="A106" s="524" t="s">
        <v>309</v>
      </c>
      <c r="B106" s="914" t="s">
        <v>174</v>
      </c>
      <c r="C106" s="914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  <c r="X106" s="914"/>
      <c r="Y106" s="914"/>
      <c r="Z106" s="914"/>
      <c r="AA106" s="914"/>
      <c r="AB106" s="914"/>
    </row>
    <row r="107" spans="1:29" ht="47.25" customHeight="1">
      <c r="A107" s="346" t="s">
        <v>87</v>
      </c>
      <c r="B107" s="581">
        <v>0</v>
      </c>
      <c r="C107" s="581">
        <v>0</v>
      </c>
      <c r="D107" s="581">
        <v>0</v>
      </c>
      <c r="E107" s="347">
        <v>0</v>
      </c>
      <c r="F107" s="347">
        <v>0</v>
      </c>
      <c r="G107" s="347">
        <v>0</v>
      </c>
      <c r="H107" s="347">
        <v>0</v>
      </c>
      <c r="I107" s="347">
        <v>0</v>
      </c>
      <c r="J107" s="347">
        <v>0</v>
      </c>
      <c r="K107" s="347">
        <v>3</v>
      </c>
      <c r="L107" s="347">
        <v>2</v>
      </c>
      <c r="M107" s="347">
        <v>2</v>
      </c>
      <c r="N107" s="347">
        <v>2</v>
      </c>
      <c r="O107" s="347">
        <v>2</v>
      </c>
      <c r="P107" s="548">
        <v>0</v>
      </c>
      <c r="Q107" s="348">
        <v>0</v>
      </c>
      <c r="R107" s="348">
        <v>0</v>
      </c>
      <c r="S107" s="349">
        <v>0</v>
      </c>
      <c r="T107" s="506">
        <v>0</v>
      </c>
      <c r="U107" s="506">
        <v>0</v>
      </c>
      <c r="V107" s="614">
        <v>0</v>
      </c>
      <c r="W107" s="506">
        <v>0</v>
      </c>
      <c r="X107" s="506">
        <v>972.6</v>
      </c>
      <c r="Y107" s="506">
        <v>697.2</v>
      </c>
      <c r="Z107" s="506">
        <v>694.9</v>
      </c>
      <c r="AA107" s="506">
        <v>694.9</v>
      </c>
      <c r="AB107" s="506">
        <v>694.9</v>
      </c>
      <c r="AC107" s="525" t="s">
        <v>553</v>
      </c>
    </row>
    <row r="108" spans="1:28" s="534" customFormat="1" ht="36.75" customHeight="1">
      <c r="A108" s="533" t="s">
        <v>96</v>
      </c>
      <c r="B108" s="930" t="s">
        <v>557</v>
      </c>
      <c r="C108" s="931"/>
      <c r="D108" s="931"/>
      <c r="E108" s="931"/>
      <c r="F108" s="931"/>
      <c r="G108" s="931"/>
      <c r="H108" s="931"/>
      <c r="I108" s="931"/>
      <c r="J108" s="931"/>
      <c r="K108" s="931"/>
      <c r="L108" s="931"/>
      <c r="M108" s="931"/>
      <c r="N108" s="931"/>
      <c r="O108" s="931"/>
      <c r="P108" s="931"/>
      <c r="Q108" s="931"/>
      <c r="R108" s="931"/>
      <c r="S108" s="931"/>
      <c r="T108" s="931"/>
      <c r="U108" s="931"/>
      <c r="V108" s="931"/>
      <c r="W108" s="931"/>
      <c r="X108" s="931"/>
      <c r="Y108" s="931"/>
      <c r="Z108" s="931"/>
      <c r="AA108" s="931"/>
      <c r="AB108" s="932"/>
    </row>
    <row r="109" spans="1:28" ht="30" customHeight="1">
      <c r="A109" s="580" t="s">
        <v>97</v>
      </c>
      <c r="B109" s="910" t="s">
        <v>399</v>
      </c>
      <c r="C109" s="910"/>
      <c r="D109" s="910"/>
      <c r="E109" s="910"/>
      <c r="F109" s="910"/>
      <c r="G109" s="910"/>
      <c r="H109" s="910"/>
      <c r="I109" s="910"/>
      <c r="J109" s="910"/>
      <c r="K109" s="910"/>
      <c r="L109" s="910"/>
      <c r="M109" s="910"/>
      <c r="N109" s="910"/>
      <c r="O109" s="910"/>
      <c r="P109" s="910"/>
      <c r="Q109" s="910"/>
      <c r="R109" s="910"/>
      <c r="S109" s="910"/>
      <c r="T109" s="910"/>
      <c r="U109" s="910"/>
      <c r="V109" s="910"/>
      <c r="W109" s="910"/>
      <c r="X109" s="910"/>
      <c r="Y109" s="910"/>
      <c r="Z109" s="910"/>
      <c r="AA109" s="910"/>
      <c r="AB109" s="910"/>
    </row>
    <row r="110" spans="1:28" ht="15" customHeight="1">
      <c r="A110" s="524" t="s">
        <v>309</v>
      </c>
      <c r="B110" s="936" t="s">
        <v>174</v>
      </c>
      <c r="C110" s="937"/>
      <c r="D110" s="937"/>
      <c r="E110" s="937"/>
      <c r="F110" s="937"/>
      <c r="G110" s="937"/>
      <c r="H110" s="937"/>
      <c r="I110" s="937"/>
      <c r="J110" s="937"/>
      <c r="K110" s="937"/>
      <c r="L110" s="937"/>
      <c r="M110" s="937"/>
      <c r="N110" s="937"/>
      <c r="O110" s="937"/>
      <c r="P110" s="937"/>
      <c r="Q110" s="937"/>
      <c r="R110" s="937"/>
      <c r="S110" s="937"/>
      <c r="T110" s="937"/>
      <c r="U110" s="937"/>
      <c r="V110" s="937"/>
      <c r="W110" s="937"/>
      <c r="X110" s="937"/>
      <c r="Y110" s="937"/>
      <c r="Z110" s="937"/>
      <c r="AA110" s="937"/>
      <c r="AB110" s="938"/>
    </row>
    <row r="111" spans="1:29" ht="47.25" customHeight="1">
      <c r="A111" s="346" t="s">
        <v>87</v>
      </c>
      <c r="B111" s="581">
        <v>0</v>
      </c>
      <c r="C111" s="581">
        <v>0</v>
      </c>
      <c r="D111" s="581">
        <v>0</v>
      </c>
      <c r="E111" s="347">
        <v>0</v>
      </c>
      <c r="F111" s="347">
        <v>0</v>
      </c>
      <c r="G111" s="347">
        <v>0</v>
      </c>
      <c r="H111" s="347">
        <v>0</v>
      </c>
      <c r="I111" s="347">
        <v>0</v>
      </c>
      <c r="J111" s="347">
        <v>0</v>
      </c>
      <c r="K111" s="347">
        <v>0</v>
      </c>
      <c r="L111" s="347">
        <v>10</v>
      </c>
      <c r="M111" s="347">
        <v>10</v>
      </c>
      <c r="N111" s="613">
        <v>10</v>
      </c>
      <c r="O111" s="347">
        <v>10</v>
      </c>
      <c r="P111" s="548">
        <v>0</v>
      </c>
      <c r="Q111" s="348">
        <v>0</v>
      </c>
      <c r="R111" s="348">
        <v>0</v>
      </c>
      <c r="S111" s="349">
        <v>0</v>
      </c>
      <c r="T111" s="506">
        <v>0</v>
      </c>
      <c r="U111" s="506">
        <v>0</v>
      </c>
      <c r="V111" s="614">
        <v>0</v>
      </c>
      <c r="W111" s="506">
        <v>0</v>
      </c>
      <c r="X111" s="506">
        <v>0</v>
      </c>
      <c r="Y111" s="506">
        <v>859.5</v>
      </c>
      <c r="Z111" s="506">
        <v>848.3</v>
      </c>
      <c r="AA111" s="506">
        <v>848.3</v>
      </c>
      <c r="AB111" s="506">
        <v>848.3</v>
      </c>
      <c r="AC111" s="525" t="s">
        <v>551</v>
      </c>
    </row>
    <row r="112" spans="1:28" ht="38.25" customHeight="1">
      <c r="A112" s="569" t="s">
        <v>96</v>
      </c>
      <c r="B112" s="914" t="s">
        <v>489</v>
      </c>
      <c r="C112" s="914"/>
      <c r="D112" s="914"/>
      <c r="E112" s="914"/>
      <c r="F112" s="914"/>
      <c r="G112" s="914"/>
      <c r="H112" s="914"/>
      <c r="I112" s="914"/>
      <c r="J112" s="914"/>
      <c r="K112" s="914"/>
      <c r="L112" s="914"/>
      <c r="M112" s="914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  <c r="X112" s="914"/>
      <c r="Y112" s="914"/>
      <c r="Z112" s="914"/>
      <c r="AA112" s="914"/>
      <c r="AB112" s="914"/>
    </row>
    <row r="113" spans="1:28" ht="34.5" customHeight="1">
      <c r="A113" s="580" t="s">
        <v>97</v>
      </c>
      <c r="B113" s="918" t="s">
        <v>399</v>
      </c>
      <c r="C113" s="919"/>
      <c r="D113" s="919"/>
      <c r="E113" s="919"/>
      <c r="F113" s="919"/>
      <c r="G113" s="919"/>
      <c r="H113" s="919"/>
      <c r="I113" s="919"/>
      <c r="J113" s="919"/>
      <c r="K113" s="919"/>
      <c r="L113" s="919"/>
      <c r="M113" s="919"/>
      <c r="N113" s="919"/>
      <c r="O113" s="919"/>
      <c r="P113" s="919"/>
      <c r="Q113" s="919"/>
      <c r="R113" s="919"/>
      <c r="S113" s="919"/>
      <c r="T113" s="919"/>
      <c r="U113" s="919"/>
      <c r="V113" s="919"/>
      <c r="W113" s="919"/>
      <c r="X113" s="919"/>
      <c r="Y113" s="919"/>
      <c r="Z113" s="919"/>
      <c r="AA113" s="919"/>
      <c r="AB113" s="920"/>
    </row>
    <row r="114" spans="1:28" ht="15" customHeight="1">
      <c r="A114" s="524" t="s">
        <v>309</v>
      </c>
      <c r="B114" s="914" t="s">
        <v>174</v>
      </c>
      <c r="C114" s="914"/>
      <c r="D114" s="914"/>
      <c r="E114" s="914"/>
      <c r="F114" s="914"/>
      <c r="G114" s="914"/>
      <c r="H114" s="914"/>
      <c r="I114" s="914"/>
      <c r="J114" s="914"/>
      <c r="K114" s="914"/>
      <c r="L114" s="914"/>
      <c r="M114" s="914"/>
      <c r="N114" s="914"/>
      <c r="O114" s="914"/>
      <c r="P114" s="914"/>
      <c r="Q114" s="914"/>
      <c r="R114" s="914"/>
      <c r="S114" s="914"/>
      <c r="T114" s="914"/>
      <c r="U114" s="914"/>
      <c r="V114" s="914"/>
      <c r="W114" s="914"/>
      <c r="X114" s="914"/>
      <c r="Y114" s="914"/>
      <c r="Z114" s="914"/>
      <c r="AA114" s="914"/>
      <c r="AB114" s="914"/>
    </row>
    <row r="115" spans="1:29" ht="47.25" customHeight="1">
      <c r="A115" s="346" t="s">
        <v>87</v>
      </c>
      <c r="B115" s="581">
        <v>0</v>
      </c>
      <c r="C115" s="581">
        <v>0</v>
      </c>
      <c r="D115" s="581">
        <v>0</v>
      </c>
      <c r="E115" s="347">
        <v>0</v>
      </c>
      <c r="F115" s="347">
        <v>0</v>
      </c>
      <c r="G115" s="347">
        <v>0</v>
      </c>
      <c r="H115" s="347">
        <v>33</v>
      </c>
      <c r="I115" s="347">
        <v>60</v>
      </c>
      <c r="J115" s="347">
        <v>60</v>
      </c>
      <c r="K115" s="347">
        <v>27</v>
      </c>
      <c r="L115" s="347">
        <v>24</v>
      </c>
      <c r="M115" s="347">
        <v>24</v>
      </c>
      <c r="N115" s="613">
        <v>24</v>
      </c>
      <c r="O115" s="347">
        <v>24</v>
      </c>
      <c r="P115" s="548">
        <v>0</v>
      </c>
      <c r="Q115" s="348">
        <v>0</v>
      </c>
      <c r="R115" s="348">
        <v>0</v>
      </c>
      <c r="S115" s="349">
        <v>0</v>
      </c>
      <c r="T115" s="506">
        <v>0</v>
      </c>
      <c r="U115" s="506">
        <v>1611</v>
      </c>
      <c r="V115" s="614">
        <v>702.9</v>
      </c>
      <c r="W115" s="506">
        <v>757.8</v>
      </c>
      <c r="X115" s="506">
        <v>911.8</v>
      </c>
      <c r="Y115" s="506">
        <v>1273.3</v>
      </c>
      <c r="Z115" s="506">
        <v>1246.3</v>
      </c>
      <c r="AA115" s="506">
        <v>1246.3</v>
      </c>
      <c r="AB115" s="506">
        <v>1246.3</v>
      </c>
      <c r="AC115" s="525" t="s">
        <v>558</v>
      </c>
    </row>
    <row r="116" spans="1:28" ht="37.5" customHeight="1">
      <c r="A116" s="569" t="s">
        <v>96</v>
      </c>
      <c r="B116" s="914" t="s">
        <v>419</v>
      </c>
      <c r="C116" s="914"/>
      <c r="D116" s="914"/>
      <c r="E116" s="914"/>
      <c r="F116" s="914"/>
      <c r="G116" s="914"/>
      <c r="H116" s="914"/>
      <c r="I116" s="914"/>
      <c r="J116" s="914"/>
      <c r="K116" s="914"/>
      <c r="L116" s="914"/>
      <c r="M116" s="914"/>
      <c r="N116" s="914"/>
      <c r="O116" s="914"/>
      <c r="P116" s="914"/>
      <c r="Q116" s="914"/>
      <c r="R116" s="914"/>
      <c r="S116" s="914"/>
      <c r="T116" s="914"/>
      <c r="U116" s="914"/>
      <c r="V116" s="914"/>
      <c r="W116" s="914"/>
      <c r="X116" s="914"/>
      <c r="Y116" s="914"/>
      <c r="Z116" s="914"/>
      <c r="AA116" s="914"/>
      <c r="AB116" s="914"/>
    </row>
    <row r="117" spans="1:28" ht="26.25" customHeight="1">
      <c r="A117" s="580" t="s">
        <v>97</v>
      </c>
      <c r="B117" s="910" t="s">
        <v>399</v>
      </c>
      <c r="C117" s="910"/>
      <c r="D117" s="910"/>
      <c r="E117" s="910"/>
      <c r="F117" s="910"/>
      <c r="G117" s="910"/>
      <c r="H117" s="910"/>
      <c r="I117" s="910"/>
      <c r="J117" s="910"/>
      <c r="K117" s="910"/>
      <c r="L117" s="910"/>
      <c r="M117" s="910"/>
      <c r="N117" s="910"/>
      <c r="O117" s="910"/>
      <c r="P117" s="910"/>
      <c r="Q117" s="910"/>
      <c r="R117" s="910"/>
      <c r="S117" s="910"/>
      <c r="T117" s="910"/>
      <c r="U117" s="910"/>
      <c r="V117" s="910"/>
      <c r="W117" s="910"/>
      <c r="X117" s="910"/>
      <c r="Y117" s="910"/>
      <c r="Z117" s="910"/>
      <c r="AA117" s="910"/>
      <c r="AB117" s="910"/>
    </row>
    <row r="118" spans="1:28" ht="15" customHeight="1">
      <c r="A118" s="524" t="s">
        <v>309</v>
      </c>
      <c r="B118" s="936" t="s">
        <v>174</v>
      </c>
      <c r="C118" s="937"/>
      <c r="D118" s="937"/>
      <c r="E118" s="937"/>
      <c r="F118" s="937"/>
      <c r="G118" s="937"/>
      <c r="H118" s="937"/>
      <c r="I118" s="937"/>
      <c r="J118" s="937"/>
      <c r="K118" s="937"/>
      <c r="L118" s="937"/>
      <c r="M118" s="937"/>
      <c r="N118" s="937"/>
      <c r="O118" s="937"/>
      <c r="P118" s="937"/>
      <c r="Q118" s="937"/>
      <c r="R118" s="937"/>
      <c r="S118" s="937"/>
      <c r="T118" s="937"/>
      <c r="U118" s="937"/>
      <c r="V118" s="937"/>
      <c r="W118" s="937"/>
      <c r="X118" s="937"/>
      <c r="Y118" s="937"/>
      <c r="Z118" s="937"/>
      <c r="AA118" s="937"/>
      <c r="AB118" s="938"/>
    </row>
    <row r="119" spans="1:29" ht="21.75" customHeight="1">
      <c r="A119" s="346" t="s">
        <v>87</v>
      </c>
      <c r="B119" s="581">
        <v>0</v>
      </c>
      <c r="C119" s="581">
        <v>0</v>
      </c>
      <c r="D119" s="581">
        <v>0</v>
      </c>
      <c r="E119" s="347">
        <v>0</v>
      </c>
      <c r="F119" s="347">
        <v>0</v>
      </c>
      <c r="G119" s="347">
        <v>0</v>
      </c>
      <c r="H119" s="347">
        <v>0</v>
      </c>
      <c r="I119" s="347">
        <v>11</v>
      </c>
      <c r="J119" s="347">
        <v>11</v>
      </c>
      <c r="K119" s="347">
        <v>10</v>
      </c>
      <c r="L119" s="347">
        <v>10</v>
      </c>
      <c r="M119" s="347">
        <v>10</v>
      </c>
      <c r="N119" s="613">
        <v>10</v>
      </c>
      <c r="O119" s="347">
        <v>10</v>
      </c>
      <c r="P119" s="548">
        <v>0</v>
      </c>
      <c r="Q119" s="348">
        <v>0</v>
      </c>
      <c r="R119" s="348">
        <v>0</v>
      </c>
      <c r="S119" s="349">
        <v>0</v>
      </c>
      <c r="T119" s="506">
        <v>0</v>
      </c>
      <c r="U119" s="506">
        <v>0</v>
      </c>
      <c r="V119" s="614">
        <v>742</v>
      </c>
      <c r="W119" s="506">
        <v>852.4</v>
      </c>
      <c r="X119" s="506">
        <v>946.7</v>
      </c>
      <c r="Y119" s="506">
        <v>1047.5</v>
      </c>
      <c r="Z119" s="506">
        <v>1036.3</v>
      </c>
      <c r="AA119" s="506">
        <v>1036.3</v>
      </c>
      <c r="AB119" s="506">
        <v>1036.3</v>
      </c>
      <c r="AC119" s="525" t="s">
        <v>551</v>
      </c>
    </row>
    <row r="120" spans="1:28" ht="31.5" customHeight="1">
      <c r="A120" s="569" t="s">
        <v>96</v>
      </c>
      <c r="B120" s="914" t="s">
        <v>420</v>
      </c>
      <c r="C120" s="914"/>
      <c r="D120" s="914"/>
      <c r="E120" s="914"/>
      <c r="F120" s="914"/>
      <c r="G120" s="914"/>
      <c r="H120" s="914"/>
      <c r="I120" s="914"/>
      <c r="J120" s="914"/>
      <c r="K120" s="914"/>
      <c r="L120" s="914"/>
      <c r="M120" s="914"/>
      <c r="N120" s="914"/>
      <c r="O120" s="914"/>
      <c r="P120" s="914"/>
      <c r="Q120" s="914"/>
      <c r="R120" s="914"/>
      <c r="S120" s="914"/>
      <c r="T120" s="914"/>
      <c r="U120" s="914"/>
      <c r="V120" s="914"/>
      <c r="W120" s="914"/>
      <c r="X120" s="914"/>
      <c r="Y120" s="914"/>
      <c r="Z120" s="914"/>
      <c r="AA120" s="914"/>
      <c r="AB120" s="914"/>
    </row>
    <row r="121" spans="1:28" ht="35.25" customHeight="1">
      <c r="A121" s="580" t="s">
        <v>97</v>
      </c>
      <c r="B121" s="918" t="s">
        <v>399</v>
      </c>
      <c r="C121" s="919"/>
      <c r="D121" s="919"/>
      <c r="E121" s="919"/>
      <c r="F121" s="919"/>
      <c r="G121" s="919"/>
      <c r="H121" s="919"/>
      <c r="I121" s="919"/>
      <c r="J121" s="919"/>
      <c r="K121" s="919"/>
      <c r="L121" s="919"/>
      <c r="M121" s="919"/>
      <c r="N121" s="919"/>
      <c r="O121" s="919"/>
      <c r="P121" s="919"/>
      <c r="Q121" s="919"/>
      <c r="R121" s="919"/>
      <c r="S121" s="919"/>
      <c r="T121" s="919"/>
      <c r="U121" s="919"/>
      <c r="V121" s="919"/>
      <c r="W121" s="919"/>
      <c r="X121" s="919"/>
      <c r="Y121" s="919"/>
      <c r="Z121" s="919"/>
      <c r="AA121" s="919"/>
      <c r="AB121" s="920"/>
    </row>
    <row r="122" spans="1:28" ht="15.75" customHeight="1">
      <c r="A122" s="524" t="s">
        <v>309</v>
      </c>
      <c r="B122" s="914" t="s">
        <v>174</v>
      </c>
      <c r="C122" s="914"/>
      <c r="D122" s="914"/>
      <c r="E122" s="914"/>
      <c r="F122" s="914"/>
      <c r="G122" s="914"/>
      <c r="H122" s="914"/>
      <c r="I122" s="914"/>
      <c r="J122" s="914"/>
      <c r="K122" s="914"/>
      <c r="L122" s="914"/>
      <c r="M122" s="914"/>
      <c r="N122" s="914"/>
      <c r="O122" s="914"/>
      <c r="P122" s="914"/>
      <c r="Q122" s="914"/>
      <c r="R122" s="914"/>
      <c r="S122" s="914"/>
      <c r="T122" s="914"/>
      <c r="U122" s="914"/>
      <c r="V122" s="914"/>
      <c r="W122" s="914"/>
      <c r="X122" s="914"/>
      <c r="Y122" s="914"/>
      <c r="Z122" s="914"/>
      <c r="AA122" s="914"/>
      <c r="AB122" s="914"/>
    </row>
    <row r="123" spans="1:29" ht="39" customHeight="1">
      <c r="A123" s="375" t="s">
        <v>87</v>
      </c>
      <c r="B123" s="376">
        <v>0</v>
      </c>
      <c r="C123" s="376">
        <v>0</v>
      </c>
      <c r="D123" s="376">
        <v>0</v>
      </c>
      <c r="E123" s="377">
        <v>0</v>
      </c>
      <c r="F123" s="377">
        <v>0</v>
      </c>
      <c r="G123" s="377">
        <v>0</v>
      </c>
      <c r="H123" s="377">
        <v>0</v>
      </c>
      <c r="I123" s="377">
        <v>34</v>
      </c>
      <c r="J123" s="377">
        <v>34</v>
      </c>
      <c r="K123" s="377">
        <v>14</v>
      </c>
      <c r="L123" s="377">
        <v>9</v>
      </c>
      <c r="M123" s="377">
        <v>9</v>
      </c>
      <c r="N123" s="613">
        <v>9</v>
      </c>
      <c r="O123" s="347">
        <v>9</v>
      </c>
      <c r="P123" s="557">
        <v>0</v>
      </c>
      <c r="Q123" s="378">
        <v>0</v>
      </c>
      <c r="R123" s="378">
        <v>0</v>
      </c>
      <c r="S123" s="379">
        <v>0</v>
      </c>
      <c r="T123" s="507">
        <v>0</v>
      </c>
      <c r="U123" s="507">
        <v>0</v>
      </c>
      <c r="V123" s="616">
        <v>1945.8</v>
      </c>
      <c r="W123" s="507">
        <v>1309.4</v>
      </c>
      <c r="X123" s="507">
        <v>964.9</v>
      </c>
      <c r="Y123" s="507">
        <v>873.5</v>
      </c>
      <c r="Z123" s="507">
        <v>863.4</v>
      </c>
      <c r="AA123" s="507">
        <v>863.4</v>
      </c>
      <c r="AB123" s="507">
        <v>863.4</v>
      </c>
      <c r="AC123" s="525" t="s">
        <v>559</v>
      </c>
    </row>
    <row r="124" spans="1:28" ht="81.75" customHeight="1">
      <c r="A124" s="569" t="s">
        <v>96</v>
      </c>
      <c r="B124" s="930" t="s">
        <v>560</v>
      </c>
      <c r="C124" s="931"/>
      <c r="D124" s="931"/>
      <c r="E124" s="931"/>
      <c r="F124" s="931"/>
      <c r="G124" s="931"/>
      <c r="H124" s="931"/>
      <c r="I124" s="931"/>
      <c r="J124" s="931"/>
      <c r="K124" s="931"/>
      <c r="L124" s="931"/>
      <c r="M124" s="931"/>
      <c r="N124" s="931"/>
      <c r="O124" s="931"/>
      <c r="P124" s="931"/>
      <c r="Q124" s="931"/>
      <c r="R124" s="931"/>
      <c r="S124" s="931"/>
      <c r="T124" s="931"/>
      <c r="U124" s="931"/>
      <c r="V124" s="931"/>
      <c r="W124" s="931"/>
      <c r="X124" s="931"/>
      <c r="Y124" s="931"/>
      <c r="Z124" s="931"/>
      <c r="AA124" s="931"/>
      <c r="AB124" s="932"/>
    </row>
    <row r="125" spans="1:28" ht="30" customHeight="1">
      <c r="A125" s="580" t="s">
        <v>97</v>
      </c>
      <c r="B125" s="933" t="s">
        <v>399</v>
      </c>
      <c r="C125" s="934"/>
      <c r="D125" s="934"/>
      <c r="E125" s="934"/>
      <c r="F125" s="934"/>
      <c r="G125" s="934"/>
      <c r="H125" s="934"/>
      <c r="I125" s="934"/>
      <c r="J125" s="934"/>
      <c r="K125" s="934"/>
      <c r="L125" s="934"/>
      <c r="M125" s="934"/>
      <c r="N125" s="934"/>
      <c r="O125" s="934"/>
      <c r="P125" s="934"/>
      <c r="Q125" s="934"/>
      <c r="R125" s="934"/>
      <c r="S125" s="934"/>
      <c r="T125" s="934"/>
      <c r="U125" s="934"/>
      <c r="V125" s="934"/>
      <c r="W125" s="934"/>
      <c r="X125" s="934"/>
      <c r="Y125" s="934"/>
      <c r="Z125" s="934"/>
      <c r="AA125" s="934"/>
      <c r="AB125" s="935"/>
    </row>
    <row r="126" spans="1:28" ht="15" customHeight="1">
      <c r="A126" s="524" t="s">
        <v>309</v>
      </c>
      <c r="B126" s="921" t="s">
        <v>174</v>
      </c>
      <c r="C126" s="922"/>
      <c r="D126" s="922"/>
      <c r="E126" s="922"/>
      <c r="F126" s="922"/>
      <c r="G126" s="922"/>
      <c r="H126" s="922"/>
      <c r="I126" s="922"/>
      <c r="J126" s="922"/>
      <c r="K126" s="922"/>
      <c r="L126" s="922"/>
      <c r="M126" s="922"/>
      <c r="N126" s="922"/>
      <c r="O126" s="922"/>
      <c r="P126" s="922"/>
      <c r="Q126" s="922"/>
      <c r="R126" s="922"/>
      <c r="S126" s="922"/>
      <c r="T126" s="922"/>
      <c r="U126" s="922"/>
      <c r="V126" s="922"/>
      <c r="W126" s="922"/>
      <c r="X126" s="922"/>
      <c r="Y126" s="922"/>
      <c r="Z126" s="922"/>
      <c r="AA126" s="922"/>
      <c r="AB126" s="923"/>
    </row>
    <row r="127" spans="1:29" ht="60">
      <c r="A127" s="375" t="s">
        <v>87</v>
      </c>
      <c r="B127" s="376">
        <v>0</v>
      </c>
      <c r="C127" s="376">
        <v>0</v>
      </c>
      <c r="D127" s="376">
        <v>0</v>
      </c>
      <c r="E127" s="377">
        <v>0</v>
      </c>
      <c r="F127" s="377">
        <v>0</v>
      </c>
      <c r="G127" s="377">
        <v>0</v>
      </c>
      <c r="H127" s="377">
        <v>0</v>
      </c>
      <c r="I127" s="377">
        <v>0</v>
      </c>
      <c r="J127" s="377">
        <v>0</v>
      </c>
      <c r="K127" s="377">
        <v>0</v>
      </c>
      <c r="L127" s="377">
        <v>8</v>
      </c>
      <c r="M127" s="377">
        <v>8</v>
      </c>
      <c r="N127" s="613">
        <v>8</v>
      </c>
      <c r="O127" s="377">
        <v>8</v>
      </c>
      <c r="P127" s="557">
        <v>0</v>
      </c>
      <c r="Q127" s="378">
        <v>0</v>
      </c>
      <c r="R127" s="378">
        <v>0</v>
      </c>
      <c r="S127" s="379">
        <v>0</v>
      </c>
      <c r="T127" s="507">
        <v>0</v>
      </c>
      <c r="U127" s="507">
        <v>0</v>
      </c>
      <c r="V127" s="616">
        <v>0</v>
      </c>
      <c r="W127" s="507">
        <v>0</v>
      </c>
      <c r="X127" s="507">
        <v>0</v>
      </c>
      <c r="Y127" s="507">
        <v>744.2</v>
      </c>
      <c r="Z127" s="507">
        <v>735.2</v>
      </c>
      <c r="AA127" s="507">
        <v>735.2</v>
      </c>
      <c r="AB127" s="507">
        <v>735.2</v>
      </c>
      <c r="AC127" s="525" t="s">
        <v>561</v>
      </c>
    </row>
    <row r="128" spans="1:28" ht="28.5" customHeight="1">
      <c r="A128" s="569" t="s">
        <v>96</v>
      </c>
      <c r="B128" s="914" t="s">
        <v>562</v>
      </c>
      <c r="C128" s="914"/>
      <c r="D128" s="914"/>
      <c r="E128" s="914"/>
      <c r="F128" s="914"/>
      <c r="G128" s="914"/>
      <c r="H128" s="914"/>
      <c r="I128" s="914"/>
      <c r="J128" s="914"/>
      <c r="K128" s="914"/>
      <c r="L128" s="914"/>
      <c r="M128" s="914"/>
      <c r="N128" s="914"/>
      <c r="O128" s="914"/>
      <c r="P128" s="914"/>
      <c r="Q128" s="914"/>
      <c r="R128" s="914"/>
      <c r="S128" s="914"/>
      <c r="T128" s="914"/>
      <c r="U128" s="914"/>
      <c r="V128" s="914"/>
      <c r="W128" s="914"/>
      <c r="X128" s="914"/>
      <c r="Y128" s="914"/>
      <c r="Z128" s="914"/>
      <c r="AA128" s="914"/>
      <c r="AB128" s="914"/>
    </row>
    <row r="129" spans="1:28" ht="30" customHeight="1">
      <c r="A129" s="580" t="s">
        <v>97</v>
      </c>
      <c r="B129" s="910" t="s">
        <v>399</v>
      </c>
      <c r="C129" s="910"/>
      <c r="D129" s="910"/>
      <c r="E129" s="910"/>
      <c r="F129" s="910"/>
      <c r="G129" s="910"/>
      <c r="H129" s="910"/>
      <c r="I129" s="910"/>
      <c r="J129" s="910"/>
      <c r="K129" s="910"/>
      <c r="L129" s="910"/>
      <c r="M129" s="910"/>
      <c r="N129" s="910"/>
      <c r="O129" s="910"/>
      <c r="P129" s="910"/>
      <c r="Q129" s="910"/>
      <c r="R129" s="910"/>
      <c r="S129" s="910"/>
      <c r="T129" s="910"/>
      <c r="U129" s="910"/>
      <c r="V129" s="910"/>
      <c r="W129" s="910"/>
      <c r="X129" s="910"/>
      <c r="Y129" s="910"/>
      <c r="Z129" s="910"/>
      <c r="AA129" s="910"/>
      <c r="AB129" s="910"/>
    </row>
    <row r="130" spans="1:28" ht="15" customHeight="1">
      <c r="A130" s="524" t="s">
        <v>309</v>
      </c>
      <c r="B130" s="936" t="s">
        <v>174</v>
      </c>
      <c r="C130" s="937"/>
      <c r="D130" s="937"/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8"/>
    </row>
    <row r="131" spans="1:29" ht="60">
      <c r="A131" s="375" t="s">
        <v>87</v>
      </c>
      <c r="B131" s="376">
        <v>0</v>
      </c>
      <c r="C131" s="376">
        <v>0</v>
      </c>
      <c r="D131" s="376">
        <v>0</v>
      </c>
      <c r="E131" s="377">
        <v>0</v>
      </c>
      <c r="F131" s="377">
        <v>0</v>
      </c>
      <c r="G131" s="377">
        <v>0</v>
      </c>
      <c r="H131" s="377">
        <v>0</v>
      </c>
      <c r="I131" s="377">
        <v>0</v>
      </c>
      <c r="J131" s="377">
        <v>0</v>
      </c>
      <c r="K131" s="377">
        <v>0</v>
      </c>
      <c r="L131" s="377">
        <v>1</v>
      </c>
      <c r="M131" s="377">
        <v>1</v>
      </c>
      <c r="N131" s="613">
        <v>1</v>
      </c>
      <c r="O131" s="377">
        <v>1</v>
      </c>
      <c r="P131" s="557">
        <v>0</v>
      </c>
      <c r="Q131" s="378">
        <v>0</v>
      </c>
      <c r="R131" s="378">
        <v>0</v>
      </c>
      <c r="S131" s="379">
        <v>0</v>
      </c>
      <c r="T131" s="507">
        <v>0</v>
      </c>
      <c r="U131" s="507">
        <v>0</v>
      </c>
      <c r="V131" s="616">
        <v>0</v>
      </c>
      <c r="W131" s="507">
        <v>0</v>
      </c>
      <c r="X131" s="507">
        <v>0</v>
      </c>
      <c r="Y131" s="507">
        <v>354.4</v>
      </c>
      <c r="Z131" s="507">
        <v>353.7</v>
      </c>
      <c r="AA131" s="507">
        <v>353.7</v>
      </c>
      <c r="AB131" s="507">
        <v>353.7</v>
      </c>
      <c r="AC131" s="331" t="s">
        <v>576</v>
      </c>
    </row>
    <row r="132" spans="1:28" ht="28.5" customHeight="1">
      <c r="A132" s="523" t="s">
        <v>96</v>
      </c>
      <c r="B132" s="914" t="s">
        <v>398</v>
      </c>
      <c r="C132" s="914"/>
      <c r="D132" s="914"/>
      <c r="E132" s="914"/>
      <c r="F132" s="914"/>
      <c r="G132" s="914"/>
      <c r="H132" s="914"/>
      <c r="I132" s="914"/>
      <c r="J132" s="914"/>
      <c r="K132" s="914"/>
      <c r="L132" s="914"/>
      <c r="M132" s="914"/>
      <c r="N132" s="914"/>
      <c r="O132" s="914"/>
      <c r="P132" s="914"/>
      <c r="Q132" s="914"/>
      <c r="R132" s="914"/>
      <c r="S132" s="914"/>
      <c r="T132" s="914"/>
      <c r="U132" s="914"/>
      <c r="V132" s="914"/>
      <c r="W132" s="914"/>
      <c r="X132" s="914"/>
      <c r="Y132" s="914"/>
      <c r="Z132" s="914"/>
      <c r="AA132" s="914"/>
      <c r="AB132" s="914"/>
    </row>
    <row r="133" spans="1:28" ht="30" customHeight="1">
      <c r="A133" s="583" t="s">
        <v>97</v>
      </c>
      <c r="B133" s="910" t="s">
        <v>200</v>
      </c>
      <c r="C133" s="910"/>
      <c r="D133" s="910"/>
      <c r="E133" s="910"/>
      <c r="F133" s="910"/>
      <c r="G133" s="910"/>
      <c r="H133" s="910"/>
      <c r="I133" s="910"/>
      <c r="J133" s="910"/>
      <c r="K133" s="910"/>
      <c r="L133" s="910"/>
      <c r="M133" s="910"/>
      <c r="N133" s="910"/>
      <c r="O133" s="910"/>
      <c r="P133" s="910"/>
      <c r="Q133" s="910"/>
      <c r="R133" s="910"/>
      <c r="S133" s="910"/>
      <c r="T133" s="910"/>
      <c r="U133" s="910"/>
      <c r="V133" s="910"/>
      <c r="W133" s="910"/>
      <c r="X133" s="910"/>
      <c r="Y133" s="910"/>
      <c r="Z133" s="910"/>
      <c r="AA133" s="910"/>
      <c r="AB133" s="910"/>
    </row>
    <row r="134" spans="1:28" ht="15" customHeight="1">
      <c r="A134" s="524" t="s">
        <v>309</v>
      </c>
      <c r="B134" s="936" t="s">
        <v>174</v>
      </c>
      <c r="C134" s="937"/>
      <c r="D134" s="937"/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8"/>
      <c r="AB134" s="556"/>
    </row>
    <row r="135" spans="1:28" ht="60">
      <c r="A135" s="346" t="s">
        <v>87</v>
      </c>
      <c r="B135" s="581">
        <v>0</v>
      </c>
      <c r="C135" s="581">
        <v>0</v>
      </c>
      <c r="D135" s="581">
        <v>0</v>
      </c>
      <c r="E135" s="347">
        <v>0</v>
      </c>
      <c r="F135" s="347">
        <v>0</v>
      </c>
      <c r="G135" s="347">
        <v>0</v>
      </c>
      <c r="H135" s="347">
        <v>459</v>
      </c>
      <c r="I135" s="347">
        <v>229</v>
      </c>
      <c r="J135" s="347">
        <v>179</v>
      </c>
      <c r="K135" s="347">
        <v>121</v>
      </c>
      <c r="L135" s="347">
        <v>0</v>
      </c>
      <c r="M135" s="347">
        <v>0</v>
      </c>
      <c r="N135" s="347">
        <v>0</v>
      </c>
      <c r="O135" s="347">
        <v>0</v>
      </c>
      <c r="P135" s="347">
        <v>0</v>
      </c>
      <c r="Q135" s="347">
        <v>0</v>
      </c>
      <c r="R135" s="347">
        <v>0</v>
      </c>
      <c r="S135" s="347">
        <v>0</v>
      </c>
      <c r="T135" s="347">
        <v>0</v>
      </c>
      <c r="U135" s="347">
        <v>6062.8</v>
      </c>
      <c r="V135" s="612">
        <v>2088.2</v>
      </c>
      <c r="W135" s="347">
        <v>4047.3</v>
      </c>
      <c r="X135" s="483">
        <v>3544.8</v>
      </c>
      <c r="Y135" s="483">
        <v>0</v>
      </c>
      <c r="Z135" s="483">
        <v>0</v>
      </c>
      <c r="AA135" s="483">
        <v>0</v>
      </c>
      <c r="AB135" s="483">
        <v>0</v>
      </c>
    </row>
    <row r="136" spans="1:28" ht="28.5" customHeight="1">
      <c r="A136" s="569" t="s">
        <v>96</v>
      </c>
      <c r="B136" s="914" t="s">
        <v>310</v>
      </c>
      <c r="C136" s="914"/>
      <c r="D136" s="914"/>
      <c r="E136" s="914"/>
      <c r="F136" s="914"/>
      <c r="G136" s="914"/>
      <c r="H136" s="914"/>
      <c r="I136" s="914"/>
      <c r="J136" s="914"/>
      <c r="K136" s="914"/>
      <c r="L136" s="914"/>
      <c r="M136" s="914"/>
      <c r="N136" s="914"/>
      <c r="O136" s="914"/>
      <c r="P136" s="914"/>
      <c r="Q136" s="914"/>
      <c r="R136" s="914"/>
      <c r="S136" s="914"/>
      <c r="T136" s="914"/>
      <c r="U136" s="914"/>
      <c r="V136" s="914"/>
      <c r="W136" s="914"/>
      <c r="X136" s="914"/>
      <c r="Y136" s="914"/>
      <c r="Z136" s="914"/>
      <c r="AA136" s="914"/>
      <c r="AB136" s="914"/>
    </row>
    <row r="137" spans="1:28" ht="30" customHeight="1">
      <c r="A137" s="580" t="s">
        <v>97</v>
      </c>
      <c r="B137" s="910" t="s">
        <v>494</v>
      </c>
      <c r="C137" s="910"/>
      <c r="D137" s="910"/>
      <c r="E137" s="910"/>
      <c r="F137" s="910"/>
      <c r="G137" s="910"/>
      <c r="H137" s="910"/>
      <c r="I137" s="910"/>
      <c r="J137" s="910"/>
      <c r="K137" s="910"/>
      <c r="L137" s="910"/>
      <c r="M137" s="910"/>
      <c r="N137" s="910"/>
      <c r="O137" s="910"/>
      <c r="P137" s="910"/>
      <c r="Q137" s="910"/>
      <c r="R137" s="910"/>
      <c r="S137" s="910"/>
      <c r="T137" s="910"/>
      <c r="U137" s="910"/>
      <c r="V137" s="910"/>
      <c r="W137" s="910"/>
      <c r="X137" s="910"/>
      <c r="Y137" s="910"/>
      <c r="Z137" s="910"/>
      <c r="AA137" s="910"/>
      <c r="AB137" s="910"/>
    </row>
    <row r="138" spans="1:28" ht="15" customHeight="1">
      <c r="A138" s="524" t="s">
        <v>309</v>
      </c>
      <c r="B138" s="914" t="s">
        <v>174</v>
      </c>
      <c r="C138" s="914"/>
      <c r="D138" s="914"/>
      <c r="E138" s="914"/>
      <c r="F138" s="914"/>
      <c r="G138" s="914"/>
      <c r="H138" s="914"/>
      <c r="I138" s="914"/>
      <c r="J138" s="914"/>
      <c r="K138" s="914"/>
      <c r="L138" s="914"/>
      <c r="M138" s="914"/>
      <c r="N138" s="914"/>
      <c r="O138" s="914"/>
      <c r="P138" s="914"/>
      <c r="Q138" s="914"/>
      <c r="R138" s="914"/>
      <c r="S138" s="914"/>
      <c r="T138" s="914"/>
      <c r="U138" s="914"/>
      <c r="V138" s="914"/>
      <c r="W138" s="914"/>
      <c r="X138" s="914"/>
      <c r="Y138" s="914"/>
      <c r="Z138" s="914"/>
      <c r="AA138" s="914"/>
      <c r="AB138" s="914"/>
    </row>
    <row r="139" spans="1:29" ht="60">
      <c r="A139" s="346" t="s">
        <v>87</v>
      </c>
      <c r="B139" s="581">
        <v>0</v>
      </c>
      <c r="C139" s="581">
        <v>0</v>
      </c>
      <c r="D139" s="581">
        <v>0</v>
      </c>
      <c r="E139" s="617">
        <v>0</v>
      </c>
      <c r="F139" s="617">
        <v>0</v>
      </c>
      <c r="G139" s="617">
        <v>6</v>
      </c>
      <c r="H139" s="617">
        <v>10</v>
      </c>
      <c r="I139" s="617">
        <v>12</v>
      </c>
      <c r="J139" s="617">
        <v>460</v>
      </c>
      <c r="K139" s="617">
        <v>480</v>
      </c>
      <c r="L139" s="617">
        <v>500</v>
      </c>
      <c r="M139" s="617">
        <v>520</v>
      </c>
      <c r="N139" s="617">
        <v>520</v>
      </c>
      <c r="O139" s="617">
        <v>520</v>
      </c>
      <c r="P139" s="617">
        <v>0</v>
      </c>
      <c r="Q139" s="617">
        <v>0</v>
      </c>
      <c r="R139" s="617">
        <v>0</v>
      </c>
      <c r="S139" s="617">
        <v>0</v>
      </c>
      <c r="T139" s="347">
        <v>0</v>
      </c>
      <c r="U139" s="347">
        <v>1236.5</v>
      </c>
      <c r="V139" s="612">
        <v>1033.8</v>
      </c>
      <c r="W139" s="347">
        <v>1285.4</v>
      </c>
      <c r="X139" s="483">
        <v>1969.2</v>
      </c>
      <c r="Y139" s="483">
        <v>2580.8</v>
      </c>
      <c r="Z139" s="483">
        <v>2018.6</v>
      </c>
      <c r="AA139" s="483">
        <v>2018.6</v>
      </c>
      <c r="AB139" s="483">
        <v>2018.6</v>
      </c>
      <c r="AC139" s="525" t="s">
        <v>563</v>
      </c>
    </row>
    <row r="140" spans="1:28" ht="28.5" customHeight="1">
      <c r="A140" s="569" t="s">
        <v>96</v>
      </c>
      <c r="B140" s="914" t="s">
        <v>190</v>
      </c>
      <c r="C140" s="914"/>
      <c r="D140" s="914"/>
      <c r="E140" s="914"/>
      <c r="F140" s="914"/>
      <c r="G140" s="914"/>
      <c r="H140" s="914"/>
      <c r="I140" s="914"/>
      <c r="J140" s="914"/>
      <c r="K140" s="914"/>
      <c r="L140" s="914"/>
      <c r="M140" s="914"/>
      <c r="N140" s="914"/>
      <c r="O140" s="914"/>
      <c r="P140" s="914"/>
      <c r="Q140" s="914"/>
      <c r="R140" s="914"/>
      <c r="S140" s="914"/>
      <c r="T140" s="914"/>
      <c r="U140" s="914"/>
      <c r="V140" s="914"/>
      <c r="W140" s="914"/>
      <c r="X140" s="914"/>
      <c r="Y140" s="914"/>
      <c r="Z140" s="914"/>
      <c r="AA140" s="914"/>
      <c r="AB140" s="914"/>
    </row>
    <row r="141" spans="1:28" ht="30" customHeight="1">
      <c r="A141" s="580" t="s">
        <v>97</v>
      </c>
      <c r="B141" s="910" t="s">
        <v>99</v>
      </c>
      <c r="C141" s="910"/>
      <c r="D141" s="910"/>
      <c r="E141" s="910"/>
      <c r="F141" s="910"/>
      <c r="G141" s="910"/>
      <c r="H141" s="910"/>
      <c r="I141" s="910"/>
      <c r="J141" s="910"/>
      <c r="K141" s="910"/>
      <c r="L141" s="910"/>
      <c r="M141" s="910"/>
      <c r="N141" s="910"/>
      <c r="O141" s="910"/>
      <c r="P141" s="910"/>
      <c r="Q141" s="910"/>
      <c r="R141" s="910"/>
      <c r="S141" s="910"/>
      <c r="T141" s="910"/>
      <c r="U141" s="910"/>
      <c r="V141" s="910"/>
      <c r="W141" s="910"/>
      <c r="X141" s="910"/>
      <c r="Y141" s="910"/>
      <c r="Z141" s="910"/>
      <c r="AA141" s="910"/>
      <c r="AB141" s="910"/>
    </row>
    <row r="142" spans="1:28" ht="15" customHeight="1">
      <c r="A142" s="524" t="s">
        <v>309</v>
      </c>
      <c r="B142" s="921" t="s">
        <v>174</v>
      </c>
      <c r="C142" s="922"/>
      <c r="D142" s="922"/>
      <c r="E142" s="922"/>
      <c r="F142" s="922"/>
      <c r="G142" s="922"/>
      <c r="H142" s="922"/>
      <c r="I142" s="922"/>
      <c r="J142" s="922"/>
      <c r="K142" s="922"/>
      <c r="L142" s="922"/>
      <c r="M142" s="922"/>
      <c r="N142" s="922"/>
      <c r="O142" s="922"/>
      <c r="P142" s="922"/>
      <c r="Q142" s="922"/>
      <c r="R142" s="922"/>
      <c r="S142" s="922"/>
      <c r="T142" s="922"/>
      <c r="U142" s="922"/>
      <c r="V142" s="922"/>
      <c r="W142" s="922"/>
      <c r="X142" s="922"/>
      <c r="Y142" s="922"/>
      <c r="Z142" s="922"/>
      <c r="AA142" s="922"/>
      <c r="AB142" s="923"/>
    </row>
    <row r="143" spans="1:29" ht="60">
      <c r="A143" s="346" t="s">
        <v>87</v>
      </c>
      <c r="B143" s="581">
        <v>0</v>
      </c>
      <c r="C143" s="581">
        <v>0</v>
      </c>
      <c r="D143" s="581">
        <v>0</v>
      </c>
      <c r="E143" s="347">
        <v>0</v>
      </c>
      <c r="F143" s="347">
        <v>0</v>
      </c>
      <c r="G143" s="347">
        <v>0</v>
      </c>
      <c r="H143" s="347">
        <v>8</v>
      </c>
      <c r="I143" s="347">
        <v>7</v>
      </c>
      <c r="J143" s="347">
        <v>12</v>
      </c>
      <c r="K143" s="347">
        <v>13</v>
      </c>
      <c r="L143" s="347">
        <v>17</v>
      </c>
      <c r="M143" s="347">
        <v>17</v>
      </c>
      <c r="N143" s="347">
        <v>17</v>
      </c>
      <c r="O143" s="347">
        <v>17</v>
      </c>
      <c r="P143" s="347">
        <v>0</v>
      </c>
      <c r="Q143" s="347">
        <v>0</v>
      </c>
      <c r="R143" s="347">
        <v>0</v>
      </c>
      <c r="S143" s="347">
        <v>0</v>
      </c>
      <c r="T143" s="483">
        <v>10389.8</v>
      </c>
      <c r="U143" s="483">
        <v>587.9</v>
      </c>
      <c r="V143" s="618">
        <v>692.3</v>
      </c>
      <c r="W143" s="483">
        <v>1579</v>
      </c>
      <c r="X143" s="483">
        <v>1725.8</v>
      </c>
      <c r="Y143" s="483">
        <v>2962.2</v>
      </c>
      <c r="Z143" s="483">
        <v>2943.1</v>
      </c>
      <c r="AA143" s="483">
        <v>2943.1</v>
      </c>
      <c r="AB143" s="483">
        <v>2943.1</v>
      </c>
      <c r="AC143" s="525" t="s">
        <v>564</v>
      </c>
    </row>
    <row r="144" spans="1:28" ht="28.5" customHeight="1">
      <c r="A144" s="335" t="s">
        <v>96</v>
      </c>
      <c r="B144" s="924" t="s">
        <v>400</v>
      </c>
      <c r="C144" s="925"/>
      <c r="D144" s="925"/>
      <c r="E144" s="925"/>
      <c r="F144" s="925"/>
      <c r="G144" s="925"/>
      <c r="H144" s="925"/>
      <c r="I144" s="925"/>
      <c r="J144" s="925"/>
      <c r="K144" s="925"/>
      <c r="L144" s="925"/>
      <c r="M144" s="925"/>
      <c r="N144" s="925"/>
      <c r="O144" s="925"/>
      <c r="P144" s="925"/>
      <c r="Q144" s="925"/>
      <c r="R144" s="925"/>
      <c r="S144" s="925"/>
      <c r="T144" s="925"/>
      <c r="U144" s="925"/>
      <c r="V144" s="925"/>
      <c r="W144" s="925"/>
      <c r="X144" s="925"/>
      <c r="Y144" s="925"/>
      <c r="Z144" s="925"/>
      <c r="AA144" s="925"/>
      <c r="AB144" s="926"/>
    </row>
    <row r="145" spans="1:28" ht="15" customHeight="1">
      <c r="A145" s="336" t="s">
        <v>97</v>
      </c>
      <c r="B145" s="910" t="s">
        <v>99</v>
      </c>
      <c r="C145" s="910"/>
      <c r="D145" s="910"/>
      <c r="E145" s="910"/>
      <c r="F145" s="910"/>
      <c r="G145" s="910"/>
      <c r="H145" s="910"/>
      <c r="I145" s="910"/>
      <c r="J145" s="910"/>
      <c r="K145" s="910"/>
      <c r="L145" s="910"/>
      <c r="M145" s="910"/>
      <c r="N145" s="910"/>
      <c r="O145" s="910"/>
      <c r="P145" s="910"/>
      <c r="Q145" s="910"/>
      <c r="R145" s="910"/>
      <c r="S145" s="910"/>
      <c r="T145" s="910"/>
      <c r="U145" s="910"/>
      <c r="V145" s="910"/>
      <c r="W145" s="910"/>
      <c r="X145" s="910"/>
      <c r="Y145" s="910"/>
      <c r="Z145" s="910"/>
      <c r="AA145" s="910"/>
      <c r="AB145" s="910"/>
    </row>
    <row r="146" spans="1:28" ht="15" customHeight="1">
      <c r="A146" s="333" t="s">
        <v>59</v>
      </c>
      <c r="B146" s="927" t="s">
        <v>168</v>
      </c>
      <c r="C146" s="928"/>
      <c r="D146" s="928"/>
      <c r="E146" s="928"/>
      <c r="F146" s="928"/>
      <c r="G146" s="928"/>
      <c r="H146" s="928"/>
      <c r="I146" s="928"/>
      <c r="J146" s="928"/>
      <c r="K146" s="928"/>
      <c r="L146" s="928"/>
      <c r="M146" s="928"/>
      <c r="N146" s="928"/>
      <c r="O146" s="928"/>
      <c r="P146" s="928"/>
      <c r="Q146" s="928"/>
      <c r="R146" s="928"/>
      <c r="S146" s="928"/>
      <c r="T146" s="928"/>
      <c r="U146" s="928"/>
      <c r="V146" s="928"/>
      <c r="W146" s="928"/>
      <c r="X146" s="928"/>
      <c r="Y146" s="928"/>
      <c r="Z146" s="928"/>
      <c r="AA146" s="928"/>
      <c r="AB146" s="929"/>
    </row>
    <row r="147" spans="1:29" ht="15" customHeight="1">
      <c r="A147" s="535" t="s">
        <v>87</v>
      </c>
      <c r="B147" s="380">
        <v>450</v>
      </c>
      <c r="C147" s="380">
        <v>0</v>
      </c>
      <c r="D147" s="380">
        <v>0</v>
      </c>
      <c r="E147" s="380">
        <v>23</v>
      </c>
      <c r="F147" s="380">
        <v>24</v>
      </c>
      <c r="G147" s="380">
        <v>21</v>
      </c>
      <c r="H147" s="380">
        <v>21</v>
      </c>
      <c r="I147" s="380">
        <v>15</v>
      </c>
      <c r="J147" s="380">
        <v>20</v>
      </c>
      <c r="K147" s="380">
        <v>16</v>
      </c>
      <c r="L147" s="380">
        <v>13</v>
      </c>
      <c r="M147" s="344">
        <v>13</v>
      </c>
      <c r="N147" s="344">
        <v>13</v>
      </c>
      <c r="O147" s="344">
        <v>13</v>
      </c>
      <c r="P147" s="572">
        <v>0</v>
      </c>
      <c r="Q147" s="572">
        <v>0</v>
      </c>
      <c r="R147" s="572">
        <v>0</v>
      </c>
      <c r="S147" s="571">
        <v>802.9</v>
      </c>
      <c r="T147" s="571">
        <v>1137.7</v>
      </c>
      <c r="U147" s="585">
        <v>2002.8</v>
      </c>
      <c r="V147" s="585">
        <v>3452.5</v>
      </c>
      <c r="W147" s="572">
        <v>3632.1</v>
      </c>
      <c r="X147" s="572">
        <v>3831.6</v>
      </c>
      <c r="Y147" s="572">
        <v>3008.1</v>
      </c>
      <c r="Z147" s="572">
        <v>2909.9</v>
      </c>
      <c r="AA147" s="572">
        <v>2909.9</v>
      </c>
      <c r="AB147" s="572">
        <v>2909.9</v>
      </c>
      <c r="AC147" s="331" t="s">
        <v>565</v>
      </c>
    </row>
    <row r="148" spans="1:28" ht="15" customHeight="1">
      <c r="A148" s="350" t="s">
        <v>96</v>
      </c>
      <c r="B148" s="924" t="s">
        <v>196</v>
      </c>
      <c r="C148" s="925"/>
      <c r="D148" s="925"/>
      <c r="E148" s="925"/>
      <c r="F148" s="925"/>
      <c r="G148" s="925"/>
      <c r="H148" s="925"/>
      <c r="I148" s="925"/>
      <c r="J148" s="925"/>
      <c r="K148" s="925"/>
      <c r="L148" s="925"/>
      <c r="M148" s="925"/>
      <c r="N148" s="925"/>
      <c r="O148" s="925"/>
      <c r="P148" s="925"/>
      <c r="Q148" s="925"/>
      <c r="R148" s="925"/>
      <c r="S148" s="925"/>
      <c r="T148" s="925"/>
      <c r="U148" s="925"/>
      <c r="V148" s="925"/>
      <c r="W148" s="925"/>
      <c r="X148" s="925"/>
      <c r="Y148" s="925"/>
      <c r="Z148" s="925"/>
      <c r="AA148" s="925"/>
      <c r="AB148" s="926"/>
    </row>
    <row r="149" spans="1:28" ht="22.5" customHeight="1">
      <c r="A149" s="351" t="s">
        <v>97</v>
      </c>
      <c r="B149" s="910" t="s">
        <v>99</v>
      </c>
      <c r="C149" s="910"/>
      <c r="D149" s="910"/>
      <c r="E149" s="910"/>
      <c r="F149" s="910"/>
      <c r="G149" s="910"/>
      <c r="H149" s="910"/>
      <c r="I149" s="910"/>
      <c r="J149" s="910"/>
      <c r="K149" s="910"/>
      <c r="L149" s="910"/>
      <c r="M149" s="910"/>
      <c r="N149" s="910"/>
      <c r="O149" s="910"/>
      <c r="P149" s="910"/>
      <c r="Q149" s="910"/>
      <c r="R149" s="910"/>
      <c r="S149" s="910"/>
      <c r="T149" s="910"/>
      <c r="U149" s="910"/>
      <c r="V149" s="910"/>
      <c r="W149" s="910"/>
      <c r="X149" s="910"/>
      <c r="Y149" s="910"/>
      <c r="Z149" s="910"/>
      <c r="AA149" s="910"/>
      <c r="AB149" s="910"/>
    </row>
    <row r="150" spans="1:28" ht="15">
      <c r="A150" s="333" t="s">
        <v>59</v>
      </c>
      <c r="B150" s="911" t="s">
        <v>168</v>
      </c>
      <c r="C150" s="912"/>
      <c r="D150" s="912"/>
      <c r="E150" s="912"/>
      <c r="F150" s="912"/>
      <c r="G150" s="912"/>
      <c r="H150" s="912"/>
      <c r="I150" s="912"/>
      <c r="J150" s="912"/>
      <c r="K150" s="912"/>
      <c r="L150" s="912"/>
      <c r="M150" s="912"/>
      <c r="N150" s="912"/>
      <c r="O150" s="912"/>
      <c r="P150" s="912"/>
      <c r="Q150" s="912"/>
      <c r="R150" s="912"/>
      <c r="S150" s="912"/>
      <c r="T150" s="912"/>
      <c r="U150" s="912"/>
      <c r="V150" s="912"/>
      <c r="W150" s="912"/>
      <c r="X150" s="912"/>
      <c r="Y150" s="912"/>
      <c r="Z150" s="912"/>
      <c r="AA150" s="912"/>
      <c r="AB150" s="913"/>
    </row>
    <row r="151" spans="1:29" ht="15" customHeight="1">
      <c r="A151" s="583" t="s">
        <v>90</v>
      </c>
      <c r="B151" s="344">
        <v>112</v>
      </c>
      <c r="C151" s="581">
        <v>40</v>
      </c>
      <c r="D151" s="344">
        <v>60</v>
      </c>
      <c r="E151" s="344">
        <v>18</v>
      </c>
      <c r="F151" s="344">
        <v>18</v>
      </c>
      <c r="G151" s="344">
        <v>17</v>
      </c>
      <c r="H151" s="344">
        <v>17</v>
      </c>
      <c r="I151" s="344">
        <v>8</v>
      </c>
      <c r="J151" s="344">
        <v>9</v>
      </c>
      <c r="K151" s="344">
        <v>10</v>
      </c>
      <c r="L151" s="344">
        <v>13</v>
      </c>
      <c r="M151" s="344">
        <v>13</v>
      </c>
      <c r="N151" s="344">
        <v>13</v>
      </c>
      <c r="O151" s="344">
        <v>13</v>
      </c>
      <c r="P151" s="582">
        <v>30</v>
      </c>
      <c r="Q151" s="582">
        <v>30</v>
      </c>
      <c r="R151" s="582">
        <v>30</v>
      </c>
      <c r="S151" s="582">
        <v>1117.4</v>
      </c>
      <c r="T151" s="582">
        <v>1150.9</v>
      </c>
      <c r="U151" s="412">
        <v>1172.3</v>
      </c>
      <c r="V151" s="412">
        <v>2033.4</v>
      </c>
      <c r="W151" s="582">
        <v>3207.9</v>
      </c>
      <c r="X151" s="582">
        <v>4111.7</v>
      </c>
      <c r="Y151" s="582">
        <v>3241.8</v>
      </c>
      <c r="Z151" s="582">
        <v>3143.7</v>
      </c>
      <c r="AA151" s="582">
        <v>3143.7</v>
      </c>
      <c r="AB151" s="582">
        <v>3143.7</v>
      </c>
      <c r="AC151" s="331" t="s">
        <v>565</v>
      </c>
    </row>
    <row r="152" spans="1:28" ht="15" customHeight="1">
      <c r="A152" s="350" t="s">
        <v>96</v>
      </c>
      <c r="B152" s="924" t="s">
        <v>566</v>
      </c>
      <c r="C152" s="925"/>
      <c r="D152" s="925"/>
      <c r="E152" s="925"/>
      <c r="F152" s="925"/>
      <c r="G152" s="925"/>
      <c r="H152" s="925"/>
      <c r="I152" s="925"/>
      <c r="J152" s="925"/>
      <c r="K152" s="925"/>
      <c r="L152" s="925"/>
      <c r="M152" s="925"/>
      <c r="N152" s="925"/>
      <c r="O152" s="925"/>
      <c r="P152" s="925"/>
      <c r="Q152" s="925"/>
      <c r="R152" s="925"/>
      <c r="S152" s="925"/>
      <c r="T152" s="925"/>
      <c r="U152" s="925"/>
      <c r="V152" s="925"/>
      <c r="W152" s="925"/>
      <c r="X152" s="925"/>
      <c r="Y152" s="925"/>
      <c r="Z152" s="925"/>
      <c r="AA152" s="925"/>
      <c r="AB152" s="926"/>
    </row>
    <row r="153" spans="1:28" ht="30" customHeight="1">
      <c r="A153" s="580" t="s">
        <v>97</v>
      </c>
      <c r="B153" s="910" t="s">
        <v>99</v>
      </c>
      <c r="C153" s="910"/>
      <c r="D153" s="910"/>
      <c r="E153" s="910"/>
      <c r="F153" s="910"/>
      <c r="G153" s="910"/>
      <c r="H153" s="910"/>
      <c r="I153" s="910"/>
      <c r="J153" s="910"/>
      <c r="K153" s="910"/>
      <c r="L153" s="910"/>
      <c r="M153" s="910"/>
      <c r="N153" s="910"/>
      <c r="O153" s="910"/>
      <c r="P153" s="910"/>
      <c r="Q153" s="910"/>
      <c r="R153" s="910"/>
      <c r="S153" s="910"/>
      <c r="T153" s="910"/>
      <c r="U153" s="910"/>
      <c r="V153" s="910"/>
      <c r="W153" s="910"/>
      <c r="X153" s="910"/>
      <c r="Y153" s="910"/>
      <c r="Z153" s="910"/>
      <c r="AA153" s="910"/>
      <c r="AB153" s="910"/>
    </row>
    <row r="154" spans="1:28" ht="15">
      <c r="A154" s="333" t="s">
        <v>59</v>
      </c>
      <c r="B154" s="911" t="s">
        <v>167</v>
      </c>
      <c r="C154" s="912"/>
      <c r="D154" s="912"/>
      <c r="E154" s="912"/>
      <c r="F154" s="912"/>
      <c r="G154" s="912"/>
      <c r="H154" s="912"/>
      <c r="I154" s="912"/>
      <c r="J154" s="912"/>
      <c r="K154" s="912"/>
      <c r="L154" s="912"/>
      <c r="M154" s="912"/>
      <c r="N154" s="912"/>
      <c r="O154" s="912"/>
      <c r="P154" s="912"/>
      <c r="Q154" s="912"/>
      <c r="R154" s="912"/>
      <c r="S154" s="912"/>
      <c r="T154" s="912"/>
      <c r="U154" s="912"/>
      <c r="V154" s="912"/>
      <c r="W154" s="912"/>
      <c r="X154" s="912"/>
      <c r="Y154" s="912"/>
      <c r="Z154" s="912"/>
      <c r="AA154" s="912"/>
      <c r="AB154" s="913"/>
    </row>
    <row r="155" spans="1:29" ht="60">
      <c r="A155" s="583" t="s">
        <v>87</v>
      </c>
      <c r="B155" s="581">
        <v>250</v>
      </c>
      <c r="C155" s="334">
        <v>260</v>
      </c>
      <c r="D155" s="581">
        <v>0</v>
      </c>
      <c r="E155" s="334">
        <v>14</v>
      </c>
      <c r="F155" s="581">
        <v>21</v>
      </c>
      <c r="G155" s="581">
        <v>20</v>
      </c>
      <c r="H155" s="581">
        <v>20</v>
      </c>
      <c r="I155" s="581">
        <v>10</v>
      </c>
      <c r="J155" s="581">
        <v>9</v>
      </c>
      <c r="K155" s="581">
        <v>12</v>
      </c>
      <c r="L155" s="581">
        <v>12</v>
      </c>
      <c r="M155" s="581">
        <v>12</v>
      </c>
      <c r="N155" s="581">
        <v>12</v>
      </c>
      <c r="O155" s="581">
        <v>12</v>
      </c>
      <c r="P155" s="582">
        <v>300</v>
      </c>
      <c r="Q155" s="582">
        <v>0</v>
      </c>
      <c r="R155" s="582">
        <v>0</v>
      </c>
      <c r="S155" s="582">
        <v>1126.8</v>
      </c>
      <c r="T155" s="582">
        <v>1057.1</v>
      </c>
      <c r="U155" s="582">
        <v>1937.9</v>
      </c>
      <c r="V155" s="582">
        <v>3335.9</v>
      </c>
      <c r="W155" s="582">
        <v>3482.7</v>
      </c>
      <c r="X155" s="582">
        <v>4284.2</v>
      </c>
      <c r="Y155" s="582">
        <v>3635.1</v>
      </c>
      <c r="Z155" s="582">
        <v>3544.5</v>
      </c>
      <c r="AA155" s="582">
        <v>3544.5</v>
      </c>
      <c r="AB155" s="582">
        <v>3544.5</v>
      </c>
      <c r="AC155" s="331" t="s">
        <v>567</v>
      </c>
    </row>
    <row r="156" spans="1:28" ht="28.5" customHeight="1">
      <c r="A156" s="523" t="s">
        <v>96</v>
      </c>
      <c r="B156" s="914" t="s">
        <v>568</v>
      </c>
      <c r="C156" s="914"/>
      <c r="D156" s="914"/>
      <c r="E156" s="914"/>
      <c r="F156" s="914"/>
      <c r="G156" s="914"/>
      <c r="H156" s="914"/>
      <c r="I156" s="914"/>
      <c r="J156" s="914"/>
      <c r="K156" s="914"/>
      <c r="L156" s="914"/>
      <c r="M156" s="914"/>
      <c r="N156" s="914"/>
      <c r="O156" s="914"/>
      <c r="P156" s="914"/>
      <c r="Q156" s="914"/>
      <c r="R156" s="914"/>
      <c r="S156" s="914"/>
      <c r="T156" s="914"/>
      <c r="U156" s="914"/>
      <c r="V156" s="914"/>
      <c r="W156" s="914"/>
      <c r="X156" s="914"/>
      <c r="Y156" s="914"/>
      <c r="Z156" s="914"/>
      <c r="AA156" s="914"/>
      <c r="AB156" s="914"/>
    </row>
    <row r="157" spans="1:28" ht="30" customHeight="1">
      <c r="A157" s="583" t="s">
        <v>97</v>
      </c>
      <c r="B157" s="910" t="s">
        <v>99</v>
      </c>
      <c r="C157" s="910"/>
      <c r="D157" s="910"/>
      <c r="E157" s="910"/>
      <c r="F157" s="910"/>
      <c r="G157" s="910"/>
      <c r="H157" s="910"/>
      <c r="I157" s="910"/>
      <c r="J157" s="910"/>
      <c r="K157" s="910"/>
      <c r="L157" s="910"/>
      <c r="M157" s="910"/>
      <c r="N157" s="910"/>
      <c r="O157" s="910"/>
      <c r="P157" s="910"/>
      <c r="Q157" s="910"/>
      <c r="R157" s="910"/>
      <c r="S157" s="910"/>
      <c r="T157" s="910"/>
      <c r="U157" s="910"/>
      <c r="V157" s="910"/>
      <c r="W157" s="910"/>
      <c r="X157" s="910"/>
      <c r="Y157" s="910"/>
      <c r="Z157" s="910"/>
      <c r="AA157" s="910"/>
      <c r="AB157" s="910"/>
    </row>
    <row r="158" spans="1:28" ht="15" customHeight="1">
      <c r="A158" s="524" t="s">
        <v>59</v>
      </c>
      <c r="B158" s="915" t="s">
        <v>167</v>
      </c>
      <c r="C158" s="916"/>
      <c r="D158" s="916"/>
      <c r="E158" s="916"/>
      <c r="F158" s="916"/>
      <c r="G158" s="916"/>
      <c r="H158" s="916"/>
      <c r="I158" s="916"/>
      <c r="J158" s="916"/>
      <c r="K158" s="916"/>
      <c r="L158" s="916"/>
      <c r="M158" s="916"/>
      <c r="N158" s="916"/>
      <c r="O158" s="916"/>
      <c r="P158" s="916"/>
      <c r="Q158" s="916"/>
      <c r="R158" s="916"/>
      <c r="S158" s="916"/>
      <c r="T158" s="916"/>
      <c r="U158" s="916"/>
      <c r="V158" s="916"/>
      <c r="W158" s="916"/>
      <c r="X158" s="916"/>
      <c r="Y158" s="916"/>
      <c r="Z158" s="916"/>
      <c r="AA158" s="916"/>
      <c r="AB158" s="917"/>
    </row>
    <row r="159" spans="1:29" ht="60">
      <c r="A159" s="583" t="s">
        <v>87</v>
      </c>
      <c r="B159" s="581">
        <v>0</v>
      </c>
      <c r="C159" s="334">
        <v>0</v>
      </c>
      <c r="D159" s="581">
        <v>0</v>
      </c>
      <c r="E159" s="334">
        <v>0</v>
      </c>
      <c r="F159" s="581">
        <v>0</v>
      </c>
      <c r="G159" s="581">
        <v>0</v>
      </c>
      <c r="H159" s="581">
        <v>0</v>
      </c>
      <c r="I159" s="581">
        <v>0</v>
      </c>
      <c r="J159" s="581">
        <v>0</v>
      </c>
      <c r="K159" s="581">
        <v>0</v>
      </c>
      <c r="L159" s="581">
        <v>8</v>
      </c>
      <c r="M159" s="581">
        <v>8</v>
      </c>
      <c r="N159" s="581">
        <v>8</v>
      </c>
      <c r="O159" s="581">
        <v>8</v>
      </c>
      <c r="P159" s="582">
        <v>0</v>
      </c>
      <c r="Q159" s="582">
        <v>0</v>
      </c>
      <c r="R159" s="582">
        <v>0</v>
      </c>
      <c r="S159" s="582">
        <v>0</v>
      </c>
      <c r="T159" s="582">
        <v>0</v>
      </c>
      <c r="U159" s="582">
        <v>0</v>
      </c>
      <c r="V159" s="582">
        <v>0</v>
      </c>
      <c r="W159" s="582">
        <v>0</v>
      </c>
      <c r="X159" s="582">
        <v>0</v>
      </c>
      <c r="Y159" s="582">
        <v>1710.9</v>
      </c>
      <c r="Z159" s="582">
        <v>1650.6</v>
      </c>
      <c r="AA159" s="582">
        <v>1650.6</v>
      </c>
      <c r="AB159" s="582">
        <v>1650.6</v>
      </c>
      <c r="AC159" s="331" t="s">
        <v>569</v>
      </c>
    </row>
    <row r="160" spans="1:28" ht="28.5" customHeight="1">
      <c r="A160" s="523" t="s">
        <v>96</v>
      </c>
      <c r="B160" s="914" t="s">
        <v>570</v>
      </c>
      <c r="C160" s="914"/>
      <c r="D160" s="914"/>
      <c r="E160" s="914"/>
      <c r="F160" s="914"/>
      <c r="G160" s="914"/>
      <c r="H160" s="914"/>
      <c r="I160" s="914"/>
      <c r="J160" s="914"/>
      <c r="K160" s="914"/>
      <c r="L160" s="914"/>
      <c r="M160" s="914"/>
      <c r="N160" s="914"/>
      <c r="O160" s="914"/>
      <c r="P160" s="914"/>
      <c r="Q160" s="914"/>
      <c r="R160" s="914"/>
      <c r="S160" s="914"/>
      <c r="T160" s="914"/>
      <c r="U160" s="914"/>
      <c r="V160" s="914"/>
      <c r="W160" s="914"/>
      <c r="X160" s="914"/>
      <c r="Y160" s="914"/>
      <c r="Z160" s="914"/>
      <c r="AA160" s="914"/>
      <c r="AB160" s="914"/>
    </row>
    <row r="161" spans="1:28" ht="30" customHeight="1">
      <c r="A161" s="583" t="s">
        <v>97</v>
      </c>
      <c r="B161" s="918" t="s">
        <v>571</v>
      </c>
      <c r="C161" s="919"/>
      <c r="D161" s="919"/>
      <c r="E161" s="919"/>
      <c r="F161" s="919"/>
      <c r="G161" s="919"/>
      <c r="H161" s="919"/>
      <c r="I161" s="919"/>
      <c r="J161" s="919"/>
      <c r="K161" s="919"/>
      <c r="L161" s="919"/>
      <c r="M161" s="919"/>
      <c r="N161" s="919"/>
      <c r="O161" s="919"/>
      <c r="P161" s="919"/>
      <c r="Q161" s="919"/>
      <c r="R161" s="919"/>
      <c r="S161" s="919"/>
      <c r="T161" s="919"/>
      <c r="U161" s="919"/>
      <c r="V161" s="919"/>
      <c r="W161" s="919"/>
      <c r="X161" s="919"/>
      <c r="Y161" s="919"/>
      <c r="Z161" s="919"/>
      <c r="AA161" s="919"/>
      <c r="AB161" s="920"/>
    </row>
    <row r="162" spans="1:28" ht="15" customHeight="1">
      <c r="A162" s="524" t="s">
        <v>59</v>
      </c>
      <c r="B162" s="971" t="s">
        <v>167</v>
      </c>
      <c r="C162" s="971"/>
      <c r="D162" s="971"/>
      <c r="E162" s="971"/>
      <c r="F162" s="971"/>
      <c r="G162" s="971"/>
      <c r="H162" s="971"/>
      <c r="I162" s="971"/>
      <c r="J162" s="971"/>
      <c r="K162" s="971"/>
      <c r="L162" s="971"/>
      <c r="M162" s="971"/>
      <c r="N162" s="971"/>
      <c r="O162" s="971"/>
      <c r="P162" s="971"/>
      <c r="Q162" s="971"/>
      <c r="R162" s="971"/>
      <c r="S162" s="971"/>
      <c r="T162" s="971"/>
      <c r="U162" s="971"/>
      <c r="V162" s="971"/>
      <c r="W162" s="971"/>
      <c r="X162" s="971"/>
      <c r="Y162" s="971"/>
      <c r="Z162" s="971"/>
      <c r="AA162" s="971"/>
      <c r="AB162" s="971"/>
    </row>
    <row r="163" spans="1:29" ht="30">
      <c r="A163" s="583" t="s">
        <v>97</v>
      </c>
      <c r="B163" s="581">
        <v>0</v>
      </c>
      <c r="C163" s="334">
        <v>0</v>
      </c>
      <c r="D163" s="581">
        <v>0</v>
      </c>
      <c r="E163" s="334">
        <v>0</v>
      </c>
      <c r="F163" s="581">
        <v>0</v>
      </c>
      <c r="G163" s="581">
        <v>0</v>
      </c>
      <c r="H163" s="581">
        <v>0</v>
      </c>
      <c r="I163" s="581">
        <v>0</v>
      </c>
      <c r="J163" s="581">
        <v>0</v>
      </c>
      <c r="K163" s="581">
        <v>0</v>
      </c>
      <c r="L163" s="581">
        <v>8</v>
      </c>
      <c r="M163" s="581">
        <v>8</v>
      </c>
      <c r="N163" s="581">
        <v>8</v>
      </c>
      <c r="O163" s="581">
        <v>8</v>
      </c>
      <c r="P163" s="582">
        <v>0</v>
      </c>
      <c r="Q163" s="582">
        <v>0</v>
      </c>
      <c r="R163" s="582">
        <v>0</v>
      </c>
      <c r="S163" s="582">
        <v>0</v>
      </c>
      <c r="T163" s="582">
        <v>0</v>
      </c>
      <c r="U163" s="582">
        <v>0</v>
      </c>
      <c r="V163" s="582">
        <v>0</v>
      </c>
      <c r="W163" s="582">
        <v>0</v>
      </c>
      <c r="X163" s="582">
        <v>0</v>
      </c>
      <c r="Y163" s="582">
        <v>1518.1</v>
      </c>
      <c r="Z163" s="582">
        <v>1457.7</v>
      </c>
      <c r="AA163" s="582">
        <v>1457.7</v>
      </c>
      <c r="AB163" s="582">
        <v>1457.7</v>
      </c>
      <c r="AC163" s="331" t="s">
        <v>569</v>
      </c>
    </row>
    <row r="164" spans="1:28" ht="28.5" customHeight="1">
      <c r="A164" s="335" t="s">
        <v>96</v>
      </c>
      <c r="B164" s="924" t="s">
        <v>199</v>
      </c>
      <c r="C164" s="925"/>
      <c r="D164" s="925"/>
      <c r="E164" s="925"/>
      <c r="F164" s="925"/>
      <c r="G164" s="925"/>
      <c r="H164" s="925"/>
      <c r="I164" s="925"/>
      <c r="J164" s="925"/>
      <c r="K164" s="925"/>
      <c r="L164" s="925"/>
      <c r="M164" s="925"/>
      <c r="N164" s="925"/>
      <c r="O164" s="925"/>
      <c r="P164" s="925"/>
      <c r="Q164" s="925"/>
      <c r="R164" s="925"/>
      <c r="S164" s="925"/>
      <c r="T164" s="925"/>
      <c r="U164" s="925"/>
      <c r="V164" s="925"/>
      <c r="W164" s="925"/>
      <c r="X164" s="925"/>
      <c r="Y164" s="925"/>
      <c r="Z164" s="925"/>
      <c r="AA164" s="925"/>
      <c r="AB164" s="926"/>
    </row>
    <row r="165" spans="1:28" ht="30" customHeight="1">
      <c r="A165" s="583" t="s">
        <v>97</v>
      </c>
      <c r="B165" s="910" t="s">
        <v>200</v>
      </c>
      <c r="C165" s="910"/>
      <c r="D165" s="910"/>
      <c r="E165" s="910"/>
      <c r="F165" s="910"/>
      <c r="G165" s="910"/>
      <c r="H165" s="910"/>
      <c r="I165" s="910"/>
      <c r="J165" s="910"/>
      <c r="K165" s="910"/>
      <c r="L165" s="910"/>
      <c r="M165" s="910"/>
      <c r="N165" s="910"/>
      <c r="O165" s="910"/>
      <c r="P165" s="910"/>
      <c r="Q165" s="910"/>
      <c r="R165" s="910"/>
      <c r="S165" s="910"/>
      <c r="T165" s="910"/>
      <c r="U165" s="910"/>
      <c r="V165" s="910"/>
      <c r="W165" s="910"/>
      <c r="X165" s="910"/>
      <c r="Y165" s="910"/>
      <c r="Z165" s="910"/>
      <c r="AA165" s="910"/>
      <c r="AB165" s="910"/>
    </row>
    <row r="166" spans="1:28" ht="15" customHeight="1">
      <c r="A166" s="333" t="s">
        <v>61</v>
      </c>
      <c r="B166" s="915" t="s">
        <v>142</v>
      </c>
      <c r="C166" s="916"/>
      <c r="D166" s="916"/>
      <c r="E166" s="916"/>
      <c r="F166" s="916"/>
      <c r="G166" s="916"/>
      <c r="H166" s="916"/>
      <c r="I166" s="916"/>
      <c r="J166" s="916"/>
      <c r="K166" s="916"/>
      <c r="L166" s="916"/>
      <c r="M166" s="916"/>
      <c r="N166" s="916"/>
      <c r="O166" s="916"/>
      <c r="P166" s="916"/>
      <c r="Q166" s="916"/>
      <c r="R166" s="916"/>
      <c r="S166" s="916"/>
      <c r="T166" s="916"/>
      <c r="U166" s="916"/>
      <c r="V166" s="916"/>
      <c r="W166" s="916"/>
      <c r="X166" s="916"/>
      <c r="Y166" s="916"/>
      <c r="Z166" s="916"/>
      <c r="AA166" s="916"/>
      <c r="AB166" s="917"/>
    </row>
    <row r="167" spans="1:28" ht="60">
      <c r="A167" s="536" t="s">
        <v>87</v>
      </c>
      <c r="B167" s="352">
        <v>701</v>
      </c>
      <c r="C167" s="353">
        <v>703</v>
      </c>
      <c r="D167" s="354">
        <v>595</v>
      </c>
      <c r="E167" s="354">
        <v>551</v>
      </c>
      <c r="F167" s="354">
        <v>595</v>
      </c>
      <c r="G167" s="354">
        <v>0</v>
      </c>
      <c r="H167" s="354">
        <v>0</v>
      </c>
      <c r="I167" s="354">
        <v>0</v>
      </c>
      <c r="J167" s="354">
        <v>0</v>
      </c>
      <c r="K167" s="354">
        <v>0</v>
      </c>
      <c r="L167" s="354">
        <v>0</v>
      </c>
      <c r="M167" s="354">
        <v>0</v>
      </c>
      <c r="N167" s="354"/>
      <c r="O167" s="354"/>
      <c r="P167" s="355">
        <v>11323.3</v>
      </c>
      <c r="Q167" s="355">
        <f>9500+754.3</f>
        <v>10254.3</v>
      </c>
      <c r="R167" s="355">
        <f>10632.45-69.3</f>
        <v>10563.150000000001</v>
      </c>
      <c r="S167" s="355">
        <v>8944.4</v>
      </c>
      <c r="T167" s="355">
        <v>0</v>
      </c>
      <c r="U167" s="356">
        <v>0</v>
      </c>
      <c r="V167" s="356">
        <v>0</v>
      </c>
      <c r="W167" s="356">
        <v>0</v>
      </c>
      <c r="X167" s="484">
        <v>0</v>
      </c>
      <c r="Y167" s="484">
        <v>0</v>
      </c>
      <c r="Z167" s="484">
        <v>0</v>
      </c>
      <c r="AA167" s="484">
        <v>0</v>
      </c>
      <c r="AB167" s="484">
        <v>0</v>
      </c>
    </row>
    <row r="168" spans="1:28" ht="28.5" customHeight="1">
      <c r="A168" s="335" t="s">
        <v>96</v>
      </c>
      <c r="B168" s="924" t="s">
        <v>201</v>
      </c>
      <c r="C168" s="925"/>
      <c r="D168" s="925"/>
      <c r="E168" s="925"/>
      <c r="F168" s="925"/>
      <c r="G168" s="925"/>
      <c r="H168" s="925"/>
      <c r="I168" s="925"/>
      <c r="J168" s="925"/>
      <c r="K168" s="925"/>
      <c r="L168" s="925"/>
      <c r="M168" s="925"/>
      <c r="N168" s="925"/>
      <c r="O168" s="925"/>
      <c r="P168" s="925"/>
      <c r="Q168" s="925"/>
      <c r="R168" s="925"/>
      <c r="S168" s="925"/>
      <c r="T168" s="925"/>
      <c r="U168" s="925"/>
      <c r="V168" s="925"/>
      <c r="W168" s="925"/>
      <c r="X168" s="925"/>
      <c r="Y168" s="925"/>
      <c r="Z168" s="925"/>
      <c r="AA168" s="925"/>
      <c r="AB168" s="926"/>
    </row>
    <row r="169" spans="1:28" ht="30" customHeight="1">
      <c r="A169" s="357" t="s">
        <v>97</v>
      </c>
      <c r="B169" s="910" t="s">
        <v>202</v>
      </c>
      <c r="C169" s="910"/>
      <c r="D169" s="910"/>
      <c r="E169" s="910"/>
      <c r="F169" s="910"/>
      <c r="G169" s="910"/>
      <c r="H169" s="910"/>
      <c r="I169" s="910"/>
      <c r="J169" s="910"/>
      <c r="K169" s="910"/>
      <c r="L169" s="910"/>
      <c r="M169" s="910"/>
      <c r="N169" s="910"/>
      <c r="O169" s="910"/>
      <c r="P169" s="910"/>
      <c r="Q169" s="910"/>
      <c r="R169" s="910"/>
      <c r="S169" s="910"/>
      <c r="T169" s="910"/>
      <c r="U169" s="910"/>
      <c r="V169" s="910"/>
      <c r="W169" s="910"/>
      <c r="X169" s="910"/>
      <c r="Y169" s="910"/>
      <c r="Z169" s="910"/>
      <c r="AA169" s="910"/>
      <c r="AB169" s="910"/>
    </row>
    <row r="170" spans="1:28" ht="15" customHeight="1">
      <c r="A170" s="333" t="s">
        <v>61</v>
      </c>
      <c r="B170" s="951" t="s">
        <v>142</v>
      </c>
      <c r="C170" s="952"/>
      <c r="D170" s="952"/>
      <c r="E170" s="952"/>
      <c r="F170" s="952"/>
      <c r="G170" s="952"/>
      <c r="H170" s="952"/>
      <c r="I170" s="952"/>
      <c r="J170" s="952"/>
      <c r="K170" s="952"/>
      <c r="L170" s="952"/>
      <c r="M170" s="952"/>
      <c r="N170" s="952"/>
      <c r="O170" s="952"/>
      <c r="P170" s="952"/>
      <c r="Q170" s="952"/>
      <c r="R170" s="952"/>
      <c r="S170" s="952"/>
      <c r="T170" s="952"/>
      <c r="U170" s="952"/>
      <c r="V170" s="952"/>
      <c r="W170" s="952"/>
      <c r="X170" s="952"/>
      <c r="Y170" s="952"/>
      <c r="Z170" s="952"/>
      <c r="AA170" s="952"/>
      <c r="AB170" s="953"/>
    </row>
    <row r="171" spans="1:28" ht="60">
      <c r="A171" s="535" t="s">
        <v>87</v>
      </c>
      <c r="B171" s="358">
        <v>150</v>
      </c>
      <c r="C171" s="358">
        <v>150</v>
      </c>
      <c r="D171" s="358">
        <v>70</v>
      </c>
      <c r="E171" s="358">
        <v>70</v>
      </c>
      <c r="F171" s="358">
        <v>70</v>
      </c>
      <c r="G171" s="358">
        <v>0</v>
      </c>
      <c r="H171" s="358">
        <v>0</v>
      </c>
      <c r="I171" s="358">
        <v>0</v>
      </c>
      <c r="J171" s="358">
        <v>0</v>
      </c>
      <c r="K171" s="358">
        <v>0</v>
      </c>
      <c r="L171" s="358">
        <v>0</v>
      </c>
      <c r="M171" s="358">
        <v>0</v>
      </c>
      <c r="N171" s="358"/>
      <c r="O171" s="358"/>
      <c r="P171" s="359">
        <v>0</v>
      </c>
      <c r="Q171" s="359">
        <v>2143.3</v>
      </c>
      <c r="R171" s="359">
        <v>2332.81</v>
      </c>
      <c r="S171" s="360">
        <f>1918.4+298.4</f>
        <v>2216.8</v>
      </c>
      <c r="T171" s="360">
        <v>0</v>
      </c>
      <c r="U171" s="360">
        <v>0</v>
      </c>
      <c r="V171" s="361">
        <v>0</v>
      </c>
      <c r="W171" s="582">
        <v>0</v>
      </c>
      <c r="X171" s="582">
        <v>0</v>
      </c>
      <c r="Y171" s="582">
        <v>0</v>
      </c>
      <c r="Z171" s="582">
        <v>0</v>
      </c>
      <c r="AA171" s="582">
        <v>0</v>
      </c>
      <c r="AB171" s="582">
        <v>0</v>
      </c>
    </row>
    <row r="172" spans="1:28" ht="28.5" customHeight="1">
      <c r="A172" s="335" t="s">
        <v>96</v>
      </c>
      <c r="B172" s="924" t="s">
        <v>203</v>
      </c>
      <c r="C172" s="925"/>
      <c r="D172" s="925"/>
      <c r="E172" s="925"/>
      <c r="F172" s="925"/>
      <c r="G172" s="925"/>
      <c r="H172" s="925"/>
      <c r="I172" s="925"/>
      <c r="J172" s="925"/>
      <c r="K172" s="925"/>
      <c r="L172" s="925"/>
      <c r="M172" s="925"/>
      <c r="N172" s="925"/>
      <c r="O172" s="925"/>
      <c r="P172" s="925"/>
      <c r="Q172" s="925"/>
      <c r="R172" s="925"/>
      <c r="S172" s="925"/>
      <c r="T172" s="925"/>
      <c r="U172" s="925"/>
      <c r="V172" s="925"/>
      <c r="W172" s="925"/>
      <c r="X172" s="925"/>
      <c r="Y172" s="925"/>
      <c r="Z172" s="925"/>
      <c r="AA172" s="925"/>
      <c r="AB172" s="926"/>
    </row>
    <row r="173" spans="1:28" ht="30" customHeight="1">
      <c r="A173" s="583" t="s">
        <v>97</v>
      </c>
      <c r="B173" s="910" t="s">
        <v>200</v>
      </c>
      <c r="C173" s="910"/>
      <c r="D173" s="910"/>
      <c r="E173" s="910"/>
      <c r="F173" s="910"/>
      <c r="G173" s="910"/>
      <c r="H173" s="910"/>
      <c r="I173" s="910"/>
      <c r="J173" s="910"/>
      <c r="K173" s="910"/>
      <c r="L173" s="910"/>
      <c r="M173" s="910"/>
      <c r="N173" s="910"/>
      <c r="O173" s="910"/>
      <c r="P173" s="910"/>
      <c r="Q173" s="910"/>
      <c r="R173" s="910"/>
      <c r="S173" s="910"/>
      <c r="T173" s="910"/>
      <c r="U173" s="910"/>
      <c r="V173" s="910"/>
      <c r="W173" s="910"/>
      <c r="X173" s="910"/>
      <c r="Y173" s="910"/>
      <c r="Z173" s="910"/>
      <c r="AA173" s="910"/>
      <c r="AB173" s="910"/>
    </row>
    <row r="174" spans="1:28" ht="15" customHeight="1">
      <c r="A174" s="333" t="s">
        <v>61</v>
      </c>
      <c r="B174" s="951" t="s">
        <v>142</v>
      </c>
      <c r="C174" s="952"/>
      <c r="D174" s="952"/>
      <c r="E174" s="952"/>
      <c r="F174" s="952"/>
      <c r="G174" s="952"/>
      <c r="H174" s="952"/>
      <c r="I174" s="952"/>
      <c r="J174" s="952"/>
      <c r="K174" s="952"/>
      <c r="L174" s="952"/>
      <c r="M174" s="952"/>
      <c r="N174" s="952"/>
      <c r="O174" s="952"/>
      <c r="P174" s="952"/>
      <c r="Q174" s="952"/>
      <c r="R174" s="952"/>
      <c r="S174" s="952"/>
      <c r="T174" s="952"/>
      <c r="U174" s="952"/>
      <c r="V174" s="952"/>
      <c r="W174" s="952"/>
      <c r="X174" s="952"/>
      <c r="Y174" s="952"/>
      <c r="Z174" s="952"/>
      <c r="AA174" s="952"/>
      <c r="AB174" s="953"/>
    </row>
    <row r="175" spans="1:28" ht="60">
      <c r="A175" s="535" t="s">
        <v>87</v>
      </c>
      <c r="B175" s="362">
        <v>2</v>
      </c>
      <c r="C175" s="362">
        <v>8</v>
      </c>
      <c r="D175" s="362">
        <v>38</v>
      </c>
      <c r="E175" s="362">
        <v>38</v>
      </c>
      <c r="F175" s="362">
        <v>38</v>
      </c>
      <c r="G175" s="579">
        <v>0</v>
      </c>
      <c r="H175" s="579">
        <v>0</v>
      </c>
      <c r="I175" s="579">
        <v>0</v>
      </c>
      <c r="J175" s="579">
        <v>0</v>
      </c>
      <c r="K175" s="579">
        <v>0</v>
      </c>
      <c r="L175" s="579">
        <v>0</v>
      </c>
      <c r="M175" s="579">
        <v>0</v>
      </c>
      <c r="N175" s="579"/>
      <c r="O175" s="579"/>
      <c r="P175" s="571">
        <v>0</v>
      </c>
      <c r="Q175" s="571">
        <v>482.2</v>
      </c>
      <c r="R175" s="571">
        <v>588.67</v>
      </c>
      <c r="S175" s="571">
        <v>482.2</v>
      </c>
      <c r="T175" s="571">
        <v>0</v>
      </c>
      <c r="U175" s="361">
        <v>0</v>
      </c>
      <c r="V175" s="361">
        <v>0</v>
      </c>
      <c r="W175" s="582">
        <v>0</v>
      </c>
      <c r="X175" s="582">
        <v>0</v>
      </c>
      <c r="Y175" s="582">
        <v>0</v>
      </c>
      <c r="Z175" s="582">
        <v>0</v>
      </c>
      <c r="AA175" s="582">
        <v>0</v>
      </c>
      <c r="AB175" s="582">
        <v>0</v>
      </c>
    </row>
    <row r="176" spans="1:28" ht="28.5" customHeight="1">
      <c r="A176" s="335" t="s">
        <v>96</v>
      </c>
      <c r="B176" s="924" t="s">
        <v>205</v>
      </c>
      <c r="C176" s="925"/>
      <c r="D176" s="925"/>
      <c r="E176" s="925"/>
      <c r="F176" s="925"/>
      <c r="G176" s="925"/>
      <c r="H176" s="925"/>
      <c r="I176" s="925"/>
      <c r="J176" s="925"/>
      <c r="K176" s="925"/>
      <c r="L176" s="925"/>
      <c r="M176" s="925"/>
      <c r="N176" s="925"/>
      <c r="O176" s="925"/>
      <c r="P176" s="925"/>
      <c r="Q176" s="925"/>
      <c r="R176" s="925"/>
      <c r="S176" s="925"/>
      <c r="T176" s="925"/>
      <c r="U176" s="925"/>
      <c r="V176" s="925"/>
      <c r="W176" s="925"/>
      <c r="X176" s="925"/>
      <c r="Y176" s="925"/>
      <c r="Z176" s="925"/>
      <c r="AA176" s="925"/>
      <c r="AB176" s="926"/>
    </row>
    <row r="177" spans="1:28" ht="15" customHeight="1">
      <c r="A177" s="962" t="s">
        <v>97</v>
      </c>
      <c r="B177" s="910" t="s">
        <v>98</v>
      </c>
      <c r="C177" s="910"/>
      <c r="D177" s="910"/>
      <c r="E177" s="910"/>
      <c r="F177" s="910"/>
      <c r="G177" s="910"/>
      <c r="H177" s="910"/>
      <c r="I177" s="910"/>
      <c r="J177" s="910"/>
      <c r="K177" s="910"/>
      <c r="L177" s="910"/>
      <c r="M177" s="910"/>
      <c r="N177" s="910"/>
      <c r="O177" s="910"/>
      <c r="P177" s="910"/>
      <c r="Q177" s="910"/>
      <c r="R177" s="910"/>
      <c r="S177" s="910"/>
      <c r="T177" s="910"/>
      <c r="U177" s="910"/>
      <c r="V177" s="910"/>
      <c r="W177" s="910"/>
      <c r="X177" s="910"/>
      <c r="Y177" s="910"/>
      <c r="Z177" s="910"/>
      <c r="AA177" s="910"/>
      <c r="AB177" s="910"/>
    </row>
    <row r="178" spans="1:28" ht="15" customHeight="1">
      <c r="A178" s="962"/>
      <c r="B178" s="910" t="s">
        <v>204</v>
      </c>
      <c r="C178" s="910"/>
      <c r="D178" s="910"/>
      <c r="E178" s="910"/>
      <c r="F178" s="910"/>
      <c r="G178" s="910"/>
      <c r="H178" s="910"/>
      <c r="I178" s="910"/>
      <c r="J178" s="910"/>
      <c r="K178" s="910"/>
      <c r="L178" s="910"/>
      <c r="M178" s="910"/>
      <c r="N178" s="910"/>
      <c r="O178" s="910"/>
      <c r="P178" s="910"/>
      <c r="Q178" s="910"/>
      <c r="R178" s="910"/>
      <c r="S178" s="910"/>
      <c r="T178" s="910"/>
      <c r="U178" s="910"/>
      <c r="V178" s="910"/>
      <c r="W178" s="910"/>
      <c r="X178" s="910"/>
      <c r="Y178" s="910"/>
      <c r="Z178" s="910"/>
      <c r="AA178" s="910"/>
      <c r="AB178" s="910"/>
    </row>
    <row r="179" spans="1:28" ht="15" customHeight="1">
      <c r="A179" s="333" t="s">
        <v>61</v>
      </c>
      <c r="B179" s="971" t="s">
        <v>142</v>
      </c>
      <c r="C179" s="971"/>
      <c r="D179" s="971"/>
      <c r="E179" s="971"/>
      <c r="F179" s="971"/>
      <c r="G179" s="971"/>
      <c r="H179" s="971"/>
      <c r="I179" s="971"/>
      <c r="J179" s="971"/>
      <c r="K179" s="971"/>
      <c r="L179" s="971"/>
      <c r="M179" s="971"/>
      <c r="N179" s="971"/>
      <c r="O179" s="971"/>
      <c r="P179" s="971"/>
      <c r="Q179" s="971"/>
      <c r="R179" s="971"/>
      <c r="S179" s="971"/>
      <c r="T179" s="971"/>
      <c r="U179" s="971"/>
      <c r="V179" s="971"/>
      <c r="W179" s="971"/>
      <c r="X179" s="971"/>
      <c r="Y179" s="971"/>
      <c r="Z179" s="971"/>
      <c r="AA179" s="971"/>
      <c r="AB179" s="971"/>
    </row>
    <row r="180" spans="1:28" ht="15">
      <c r="A180" s="963" t="s">
        <v>87</v>
      </c>
      <c r="B180" s="428">
        <v>2</v>
      </c>
      <c r="C180" s="428">
        <v>8</v>
      </c>
      <c r="D180" s="344">
        <v>30</v>
      </c>
      <c r="E180" s="344">
        <v>38</v>
      </c>
      <c r="F180" s="344">
        <v>40</v>
      </c>
      <c r="G180" s="344">
        <v>0</v>
      </c>
      <c r="H180" s="344">
        <v>0</v>
      </c>
      <c r="I180" s="344">
        <v>0</v>
      </c>
      <c r="J180" s="344">
        <v>0</v>
      </c>
      <c r="K180" s="344">
        <v>0</v>
      </c>
      <c r="L180" s="344">
        <v>0</v>
      </c>
      <c r="M180" s="344">
        <v>0</v>
      </c>
      <c r="N180" s="578"/>
      <c r="O180" s="578"/>
      <c r="P180" s="965">
        <v>0</v>
      </c>
      <c r="Q180" s="965">
        <v>101.6</v>
      </c>
      <c r="R180" s="965">
        <v>123.13</v>
      </c>
      <c r="S180" s="965">
        <v>101.6</v>
      </c>
      <c r="T180" s="965">
        <v>0</v>
      </c>
      <c r="U180" s="967">
        <v>0</v>
      </c>
      <c r="V180" s="969">
        <v>0</v>
      </c>
      <c r="W180" s="970">
        <v>0</v>
      </c>
      <c r="X180" s="970">
        <v>0</v>
      </c>
      <c r="Y180" s="970">
        <v>0</v>
      </c>
      <c r="Z180" s="970">
        <v>0</v>
      </c>
      <c r="AA180" s="970">
        <v>0</v>
      </c>
      <c r="AB180" s="970">
        <v>0</v>
      </c>
    </row>
    <row r="181" spans="1:28" ht="15">
      <c r="A181" s="964"/>
      <c r="B181" s="537"/>
      <c r="C181" s="334">
        <v>8</v>
      </c>
      <c r="D181" s="334">
        <v>30</v>
      </c>
      <c r="E181" s="334">
        <v>70</v>
      </c>
      <c r="F181" s="334">
        <v>70</v>
      </c>
      <c r="G181" s="334">
        <v>0</v>
      </c>
      <c r="H181" s="334">
        <v>0</v>
      </c>
      <c r="I181" s="334">
        <v>0</v>
      </c>
      <c r="J181" s="334">
        <v>0</v>
      </c>
      <c r="K181" s="334">
        <v>0</v>
      </c>
      <c r="L181" s="334">
        <v>0</v>
      </c>
      <c r="M181" s="334">
        <v>0</v>
      </c>
      <c r="N181" s="573"/>
      <c r="O181" s="573"/>
      <c r="P181" s="966"/>
      <c r="Q181" s="966"/>
      <c r="R181" s="966"/>
      <c r="S181" s="966"/>
      <c r="T181" s="966"/>
      <c r="U181" s="968"/>
      <c r="V181" s="969"/>
      <c r="W181" s="970"/>
      <c r="X181" s="970"/>
      <c r="Y181" s="970"/>
      <c r="Z181" s="970"/>
      <c r="AA181" s="970"/>
      <c r="AB181" s="970"/>
    </row>
    <row r="182" spans="12:25" ht="15">
      <c r="L182" s="525"/>
      <c r="V182" s="525"/>
      <c r="Y182" s="504"/>
    </row>
    <row r="183" spans="1:25" ht="15">
      <c r="A183" s="960" t="s">
        <v>63</v>
      </c>
      <c r="B183" s="960"/>
      <c r="C183" s="960"/>
      <c r="D183" s="960"/>
      <c r="E183" s="960"/>
      <c r="F183" s="960"/>
      <c r="G183" s="960"/>
      <c r="H183" s="960"/>
      <c r="I183" s="960"/>
      <c r="J183" s="960"/>
      <c r="L183" s="525"/>
      <c r="S183" s="961" t="s">
        <v>186</v>
      </c>
      <c r="T183" s="961"/>
      <c r="U183" s="961"/>
      <c r="V183" s="525"/>
      <c r="Y183" s="504"/>
    </row>
    <row r="184" spans="1:25" ht="15">
      <c r="A184" s="960"/>
      <c r="B184" s="960"/>
      <c r="C184" s="960"/>
      <c r="D184" s="960"/>
      <c r="E184" s="960"/>
      <c r="F184" s="960"/>
      <c r="G184" s="960"/>
      <c r="H184" s="960"/>
      <c r="I184" s="960"/>
      <c r="J184" s="960"/>
      <c r="L184" s="525"/>
      <c r="S184" s="961"/>
      <c r="T184" s="961"/>
      <c r="U184" s="961"/>
      <c r="V184" s="525"/>
      <c r="Y184" s="504"/>
    </row>
    <row r="185" spans="12:25" ht="15">
      <c r="L185" s="525"/>
      <c r="V185" s="525"/>
      <c r="Y185" s="504"/>
    </row>
    <row r="186" spans="12:25" ht="15">
      <c r="L186" s="525"/>
      <c r="V186" s="525"/>
      <c r="Y186" s="504"/>
    </row>
    <row r="187" spans="12:25" ht="15">
      <c r="L187" s="525"/>
      <c r="V187" s="525"/>
      <c r="Y187" s="504"/>
    </row>
    <row r="188" spans="12:25" ht="15">
      <c r="L188" s="525"/>
      <c r="V188" s="525"/>
      <c r="Y188" s="504"/>
    </row>
    <row r="189" spans="12:25" ht="15">
      <c r="L189" s="525"/>
      <c r="V189" s="525"/>
      <c r="Y189" s="504"/>
    </row>
    <row r="190" spans="12:25" ht="15">
      <c r="L190" s="525"/>
      <c r="V190" s="525"/>
      <c r="Y190" s="504"/>
    </row>
    <row r="191" spans="12:25" ht="15">
      <c r="L191" s="525"/>
      <c r="V191" s="525"/>
      <c r="Y191" s="504"/>
    </row>
    <row r="192" spans="12:25" ht="15">
      <c r="L192" s="525"/>
      <c r="V192" s="525"/>
      <c r="Y192" s="504"/>
    </row>
    <row r="193" spans="12:25" ht="15">
      <c r="L193" s="525"/>
      <c r="V193" s="525"/>
      <c r="Y193" s="504"/>
    </row>
    <row r="194" spans="12:25" ht="15">
      <c r="L194" s="525"/>
      <c r="V194" s="525"/>
      <c r="Y194" s="504"/>
    </row>
    <row r="195" spans="12:25" ht="15">
      <c r="L195" s="525"/>
      <c r="V195" s="525"/>
      <c r="Y195" s="504"/>
    </row>
    <row r="196" spans="12:25" ht="15">
      <c r="L196" s="525"/>
      <c r="V196" s="525"/>
      <c r="Y196" s="504"/>
    </row>
    <row r="197" spans="12:25" ht="15">
      <c r="L197" s="525"/>
      <c r="V197" s="525"/>
      <c r="Y197" s="504"/>
    </row>
    <row r="198" spans="12:25" ht="15">
      <c r="L198" s="525"/>
      <c r="V198" s="525"/>
      <c r="Y198" s="504"/>
    </row>
    <row r="199" spans="12:25" ht="15">
      <c r="L199" s="525"/>
      <c r="V199" s="525"/>
      <c r="Y199" s="504"/>
    </row>
    <row r="200" spans="12:25" ht="15">
      <c r="L200" s="525"/>
      <c r="V200" s="525"/>
      <c r="Y200" s="504"/>
    </row>
    <row r="201" spans="12:25" ht="15">
      <c r="L201" s="525"/>
      <c r="V201" s="525"/>
      <c r="Y201" s="504"/>
    </row>
    <row r="202" spans="12:25" ht="15">
      <c r="L202" s="525"/>
      <c r="V202" s="525"/>
      <c r="Y202" s="504"/>
    </row>
    <row r="203" spans="12:25" ht="15">
      <c r="L203" s="525"/>
      <c r="V203" s="525"/>
      <c r="Y203" s="504"/>
    </row>
    <row r="204" spans="12:25" ht="15">
      <c r="L204" s="525"/>
      <c r="V204" s="525"/>
      <c r="Y204" s="504"/>
    </row>
    <row r="205" spans="12:25" ht="15">
      <c r="L205" s="525"/>
      <c r="V205" s="525"/>
      <c r="Y205" s="504"/>
    </row>
    <row r="206" spans="12:25" ht="15">
      <c r="L206" s="525"/>
      <c r="V206" s="525"/>
      <c r="Y206" s="504"/>
    </row>
    <row r="207" spans="12:25" ht="15">
      <c r="L207" s="525"/>
      <c r="V207" s="525"/>
      <c r="Y207" s="504"/>
    </row>
    <row r="208" spans="12:25" ht="15">
      <c r="L208" s="525"/>
      <c r="V208" s="525"/>
      <c r="Y208" s="504"/>
    </row>
    <row r="209" spans="12:25" ht="15">
      <c r="L209" s="525"/>
      <c r="V209" s="525"/>
      <c r="Y209" s="504"/>
    </row>
    <row r="210" spans="12:25" ht="15">
      <c r="L210" s="525"/>
      <c r="V210" s="525"/>
      <c r="Y210" s="504"/>
    </row>
    <row r="211" spans="12:25" ht="15">
      <c r="L211" s="525"/>
      <c r="V211" s="525"/>
      <c r="Y211" s="504"/>
    </row>
    <row r="212" spans="12:25" ht="15">
      <c r="L212" s="525"/>
      <c r="V212" s="525"/>
      <c r="Y212" s="504"/>
    </row>
    <row r="213" spans="12:25" ht="15">
      <c r="L213" s="525"/>
      <c r="V213" s="525"/>
      <c r="Y213" s="504"/>
    </row>
    <row r="214" spans="12:25" ht="15">
      <c r="L214" s="525"/>
      <c r="V214" s="525"/>
      <c r="Y214" s="504"/>
    </row>
    <row r="215" spans="12:25" ht="15">
      <c r="L215" s="525"/>
      <c r="V215" s="525"/>
      <c r="Y215" s="504"/>
    </row>
    <row r="216" spans="12:25" ht="15">
      <c r="L216" s="525"/>
      <c r="V216" s="525"/>
      <c r="Y216" s="504"/>
    </row>
    <row r="217" spans="12:25" ht="15">
      <c r="L217" s="525"/>
      <c r="V217" s="525"/>
      <c r="Y217" s="504"/>
    </row>
    <row r="218" spans="12:25" ht="15">
      <c r="L218" s="525"/>
      <c r="V218" s="525"/>
      <c r="Y218" s="504"/>
    </row>
    <row r="219" spans="12:25" ht="15">
      <c r="L219" s="525"/>
      <c r="V219" s="525"/>
      <c r="Y219" s="504"/>
    </row>
    <row r="220" spans="12:25" ht="15">
      <c r="L220" s="525"/>
      <c r="V220" s="525"/>
      <c r="Y220" s="504"/>
    </row>
    <row r="221" spans="12:25" ht="15">
      <c r="L221" s="525"/>
      <c r="V221" s="525"/>
      <c r="Y221" s="504"/>
    </row>
    <row r="222" spans="12:25" ht="15">
      <c r="L222" s="525"/>
      <c r="V222" s="525"/>
      <c r="Y222" s="504"/>
    </row>
    <row r="223" spans="12:25" ht="15">
      <c r="L223" s="525"/>
      <c r="V223" s="525"/>
      <c r="Y223" s="504"/>
    </row>
    <row r="224" spans="12:25" ht="15">
      <c r="L224" s="525"/>
      <c r="V224" s="525"/>
      <c r="Y224" s="504"/>
    </row>
    <row r="225" spans="12:25" ht="15">
      <c r="L225" s="525"/>
      <c r="V225" s="525"/>
      <c r="Y225" s="504"/>
    </row>
    <row r="226" spans="12:25" ht="15">
      <c r="L226" s="525"/>
      <c r="V226" s="525"/>
      <c r="Y226" s="504"/>
    </row>
  </sheetData>
  <sheetProtection/>
  <mergeCells count="180">
    <mergeCell ref="A45:A46"/>
    <mergeCell ref="V22:V24"/>
    <mergeCell ref="W22:W24"/>
    <mergeCell ref="A35:A36"/>
    <mergeCell ref="AA22:AA24"/>
    <mergeCell ref="A40:A41"/>
    <mergeCell ref="N22:N24"/>
    <mergeCell ref="P1:U1"/>
    <mergeCell ref="P2:U2"/>
    <mergeCell ref="A4:U4"/>
    <mergeCell ref="A5:U5"/>
    <mergeCell ref="A7:A8"/>
    <mergeCell ref="B7:K7"/>
    <mergeCell ref="A16:A17"/>
    <mergeCell ref="B22:B24"/>
    <mergeCell ref="L22:L24"/>
    <mergeCell ref="A22:A24"/>
    <mergeCell ref="C22:C24"/>
    <mergeCell ref="D22:D24"/>
    <mergeCell ref="E22:E24"/>
    <mergeCell ref="F22:F24"/>
    <mergeCell ref="G22:G24"/>
    <mergeCell ref="I22:I24"/>
    <mergeCell ref="P7:AB7"/>
    <mergeCell ref="B86:AB86"/>
    <mergeCell ref="O22:O24"/>
    <mergeCell ref="B43:AB43"/>
    <mergeCell ref="B44:AB44"/>
    <mergeCell ref="B45:AB46"/>
    <mergeCell ref="B48:AB48"/>
    <mergeCell ref="B49:AB49"/>
    <mergeCell ref="M22:M24"/>
    <mergeCell ref="Y22:Y24"/>
    <mergeCell ref="Q22:Q24"/>
    <mergeCell ref="U22:U24"/>
    <mergeCell ref="Z22:Z24"/>
    <mergeCell ref="X22:X24"/>
    <mergeCell ref="T22:T24"/>
    <mergeCell ref="J22:J24"/>
    <mergeCell ref="K22:K24"/>
    <mergeCell ref="P22:P24"/>
    <mergeCell ref="R22:R24"/>
    <mergeCell ref="S22:S24"/>
    <mergeCell ref="H22:H24"/>
    <mergeCell ref="AB22:AB24"/>
    <mergeCell ref="B25:AB25"/>
    <mergeCell ref="B26:AB26"/>
    <mergeCell ref="B27:AB27"/>
    <mergeCell ref="B88:AB88"/>
    <mergeCell ref="B89:AB89"/>
    <mergeCell ref="B90:AB90"/>
    <mergeCell ref="B92:AB92"/>
    <mergeCell ref="B93:AB93"/>
    <mergeCell ref="B94:AB94"/>
    <mergeCell ref="B97:AB97"/>
    <mergeCell ref="B96:AB96"/>
    <mergeCell ref="B98:AB98"/>
    <mergeCell ref="B162:AB162"/>
    <mergeCell ref="B164:AB164"/>
    <mergeCell ref="B134:AA134"/>
    <mergeCell ref="B132:AB132"/>
    <mergeCell ref="B133:AB133"/>
    <mergeCell ref="B136:AB136"/>
    <mergeCell ref="B137:AB137"/>
    <mergeCell ref="B100:AB100"/>
    <mergeCell ref="B101:AB101"/>
    <mergeCell ref="B102:AB102"/>
    <mergeCell ref="B104:AB104"/>
    <mergeCell ref="B105:AB105"/>
    <mergeCell ref="B106:AB106"/>
    <mergeCell ref="B108:AB108"/>
    <mergeCell ref="B109:AB109"/>
    <mergeCell ref="B110:AB110"/>
    <mergeCell ref="B112:AB112"/>
    <mergeCell ref="B113:AB113"/>
    <mergeCell ref="B114:AB114"/>
    <mergeCell ref="B116:AB116"/>
    <mergeCell ref="B117:AB117"/>
    <mergeCell ref="B118:AB118"/>
    <mergeCell ref="B120:AB120"/>
    <mergeCell ref="B121:AB121"/>
    <mergeCell ref="B165:AB165"/>
    <mergeCell ref="B166:AB166"/>
    <mergeCell ref="B168:AB168"/>
    <mergeCell ref="B169:AB169"/>
    <mergeCell ref="B170:AB170"/>
    <mergeCell ref="B172:AB172"/>
    <mergeCell ref="B173:AB173"/>
    <mergeCell ref="B174:AB174"/>
    <mergeCell ref="B176:AB176"/>
    <mergeCell ref="V180:V181"/>
    <mergeCell ref="W180:W181"/>
    <mergeCell ref="X180:X181"/>
    <mergeCell ref="Y180:Y181"/>
    <mergeCell ref="Z180:Z181"/>
    <mergeCell ref="AA180:AA181"/>
    <mergeCell ref="B177:AB177"/>
    <mergeCell ref="B178:AB178"/>
    <mergeCell ref="B179:AB179"/>
    <mergeCell ref="AB180:AB181"/>
    <mergeCell ref="A183:J184"/>
    <mergeCell ref="S183:U184"/>
    <mergeCell ref="A177:A178"/>
    <mergeCell ref="A180:A181"/>
    <mergeCell ref="P180:P181"/>
    <mergeCell ref="Q180:Q181"/>
    <mergeCell ref="R180:R181"/>
    <mergeCell ref="S180:S181"/>
    <mergeCell ref="T180:T181"/>
    <mergeCell ref="U180:U181"/>
    <mergeCell ref="B10:AB10"/>
    <mergeCell ref="B11:AB11"/>
    <mergeCell ref="B12:AB12"/>
    <mergeCell ref="B14:AB14"/>
    <mergeCell ref="B15:AB15"/>
    <mergeCell ref="B16:AB17"/>
    <mergeCell ref="B19:AB19"/>
    <mergeCell ref="B20:AB20"/>
    <mergeCell ref="B21:AB21"/>
    <mergeCell ref="B29:AB29"/>
    <mergeCell ref="B30:AB30"/>
    <mergeCell ref="B31:AB31"/>
    <mergeCell ref="B33:AB33"/>
    <mergeCell ref="B34:AB34"/>
    <mergeCell ref="B35:AB36"/>
    <mergeCell ref="B38:AB38"/>
    <mergeCell ref="B39:AB39"/>
    <mergeCell ref="B40:AB41"/>
    <mergeCell ref="B50:AB50"/>
    <mergeCell ref="B52:AB52"/>
    <mergeCell ref="B53:AB53"/>
    <mergeCell ref="B54:AB54"/>
    <mergeCell ref="B56:AB56"/>
    <mergeCell ref="B57:AB57"/>
    <mergeCell ref="B58:AB58"/>
    <mergeCell ref="B60:AB60"/>
    <mergeCell ref="B61:AB61"/>
    <mergeCell ref="B62:AB62"/>
    <mergeCell ref="B64:AB64"/>
    <mergeCell ref="B65:AB65"/>
    <mergeCell ref="B66:AB66"/>
    <mergeCell ref="B68:AB68"/>
    <mergeCell ref="B69:AB69"/>
    <mergeCell ref="B70:AB70"/>
    <mergeCell ref="B72:AB72"/>
    <mergeCell ref="B73:AB73"/>
    <mergeCell ref="B74:AB74"/>
    <mergeCell ref="B76:AB76"/>
    <mergeCell ref="B77:AB77"/>
    <mergeCell ref="B78:AB78"/>
    <mergeCell ref="B80:AB80"/>
    <mergeCell ref="B81:AB81"/>
    <mergeCell ref="B82:AB82"/>
    <mergeCell ref="B84:AB84"/>
    <mergeCell ref="B85:AB85"/>
    <mergeCell ref="B122:AB122"/>
    <mergeCell ref="B124:AB124"/>
    <mergeCell ref="B125:AB125"/>
    <mergeCell ref="B126:AB126"/>
    <mergeCell ref="B128:AB128"/>
    <mergeCell ref="B129:AB129"/>
    <mergeCell ref="B130:AB130"/>
    <mergeCell ref="B138:AB138"/>
    <mergeCell ref="B140:AB140"/>
    <mergeCell ref="B153:AB153"/>
    <mergeCell ref="B154:AB154"/>
    <mergeCell ref="B156:AB156"/>
    <mergeCell ref="B157:AB157"/>
    <mergeCell ref="B158:AB158"/>
    <mergeCell ref="B160:AB160"/>
    <mergeCell ref="B161:AB161"/>
    <mergeCell ref="B142:AB142"/>
    <mergeCell ref="B141:AB141"/>
    <mergeCell ref="B144:AB144"/>
    <mergeCell ref="B145:AB145"/>
    <mergeCell ref="B146:AB146"/>
    <mergeCell ref="B148:AB148"/>
    <mergeCell ref="B149:AB149"/>
    <mergeCell ref="B150:AB150"/>
    <mergeCell ref="B152:AB152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98"/>
  <sheetViews>
    <sheetView view="pageBreakPreview" zoomScale="55" zoomScaleNormal="75" zoomScaleSheetLayoutView="55" zoomScalePageLayoutView="0" workbookViewId="0" topLeftCell="A8">
      <pane xSplit="8" topLeftCell="L1" activePane="topRight" state="frozen"/>
      <selection pane="topLeft" activeCell="A1" sqref="A1"/>
      <selection pane="topRight" activeCell="S12" sqref="S12"/>
    </sheetView>
  </sheetViews>
  <sheetFormatPr defaultColWidth="21.00390625" defaultRowHeight="152.25" customHeight="1"/>
  <cols>
    <col min="1" max="1" width="67.28125" style="228" customWidth="1"/>
    <col min="2" max="2" width="10.7109375" style="228" customWidth="1"/>
    <col min="3" max="3" width="10.140625" style="228" customWidth="1"/>
    <col min="4" max="4" width="11.7109375" style="228" customWidth="1"/>
    <col min="5" max="5" width="9.7109375" style="228" customWidth="1"/>
    <col min="6" max="6" width="8.140625" style="228" customWidth="1"/>
    <col min="7" max="7" width="18.140625" style="229" customWidth="1"/>
    <col min="8" max="8" width="9.57421875" style="228" customWidth="1"/>
    <col min="9" max="10" width="14.57421875" style="228" customWidth="1"/>
    <col min="11" max="11" width="16.140625" style="228" customWidth="1"/>
    <col min="12" max="12" width="15.140625" style="228" customWidth="1"/>
    <col min="13" max="13" width="15.8515625" style="316" customWidth="1"/>
    <col min="14" max="14" width="15.57421875" style="228" customWidth="1"/>
    <col min="15" max="17" width="16.7109375" style="228" customWidth="1"/>
    <col min="18" max="18" width="16.7109375" style="539" customWidth="1"/>
    <col min="19" max="21" width="16.7109375" style="228" customWidth="1"/>
    <col min="22" max="22" width="18.28125" style="228" customWidth="1"/>
    <col min="23" max="23" width="31.7109375" style="228" customWidth="1"/>
    <col min="24" max="24" width="26.8515625" style="228" customWidth="1"/>
    <col min="25" max="25" width="27.00390625" style="228" customWidth="1"/>
    <col min="26" max="26" width="35.7109375" style="228" bestFit="1" customWidth="1"/>
    <col min="27" max="27" width="26.421875" style="228" bestFit="1" customWidth="1"/>
    <col min="28" max="16384" width="21.00390625" style="228" customWidth="1"/>
  </cols>
  <sheetData>
    <row r="1" spans="11:23" ht="62.25" customHeight="1">
      <c r="K1" s="1026" t="s">
        <v>590</v>
      </c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</row>
    <row r="2" spans="1:23" ht="61.5" customHeight="1">
      <c r="A2" s="227"/>
      <c r="B2" s="227"/>
      <c r="C2" s="227"/>
      <c r="H2" s="1044"/>
      <c r="I2" s="1044"/>
      <c r="J2" s="1044"/>
      <c r="K2" s="1045" t="s">
        <v>614</v>
      </c>
      <c r="L2" s="1045"/>
      <c r="M2" s="1045"/>
      <c r="N2" s="1045"/>
      <c r="O2" s="1045"/>
      <c r="P2" s="1045"/>
      <c r="Q2" s="1045"/>
      <c r="R2" s="1045"/>
      <c r="S2" s="1045"/>
      <c r="T2" s="1045"/>
      <c r="U2" s="1045"/>
      <c r="V2" s="1045"/>
      <c r="W2" s="1045"/>
    </row>
    <row r="3" spans="1:23" ht="30.75" customHeight="1">
      <c r="A3" s="1046" t="s">
        <v>171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</row>
    <row r="4" spans="1:10" ht="27" customHeight="1">
      <c r="A4" s="297"/>
      <c r="B4" s="297"/>
      <c r="C4" s="297"/>
      <c r="D4" s="225"/>
      <c r="E4" s="225"/>
      <c r="F4" s="225"/>
      <c r="G4" s="226"/>
      <c r="H4" s="225"/>
      <c r="I4" s="225"/>
      <c r="J4" s="225"/>
    </row>
    <row r="5" spans="1:23" s="298" customFormat="1" ht="28.5" customHeight="1">
      <c r="A5" s="1014" t="s">
        <v>348</v>
      </c>
      <c r="B5" s="1014" t="s">
        <v>159</v>
      </c>
      <c r="C5" s="1049" t="s">
        <v>48</v>
      </c>
      <c r="D5" s="1050"/>
      <c r="E5" s="1050"/>
      <c r="F5" s="1050"/>
      <c r="G5" s="1050"/>
      <c r="H5" s="1051"/>
      <c r="I5" s="1049" t="s">
        <v>79</v>
      </c>
      <c r="J5" s="1050"/>
      <c r="K5" s="1050"/>
      <c r="L5" s="1050"/>
      <c r="M5" s="1050"/>
      <c r="N5" s="1050"/>
      <c r="O5" s="1050"/>
      <c r="P5" s="1050"/>
      <c r="Q5" s="1050"/>
      <c r="R5" s="1050"/>
      <c r="S5" s="1050"/>
      <c r="T5" s="1050"/>
      <c r="U5" s="1050"/>
      <c r="V5" s="1051"/>
      <c r="W5" s="1014" t="s">
        <v>80</v>
      </c>
    </row>
    <row r="6" spans="1:23" s="298" customFormat="1" ht="15" customHeight="1">
      <c r="A6" s="1015"/>
      <c r="B6" s="1015"/>
      <c r="C6" s="1014" t="s">
        <v>159</v>
      </c>
      <c r="D6" s="1014" t="s">
        <v>45</v>
      </c>
      <c r="E6" s="1031" t="s">
        <v>44</v>
      </c>
      <c r="F6" s="1032"/>
      <c r="G6" s="1033"/>
      <c r="H6" s="1014" t="s">
        <v>43</v>
      </c>
      <c r="I6" s="1014" t="s">
        <v>33</v>
      </c>
      <c r="J6" s="1014" t="s">
        <v>32</v>
      </c>
      <c r="K6" s="1014" t="s">
        <v>31</v>
      </c>
      <c r="L6" s="1014" t="s">
        <v>115</v>
      </c>
      <c r="M6" s="1052" t="s">
        <v>114</v>
      </c>
      <c r="N6" s="1014" t="s">
        <v>113</v>
      </c>
      <c r="O6" s="1014" t="s">
        <v>421</v>
      </c>
      <c r="P6" s="1014" t="s">
        <v>111</v>
      </c>
      <c r="Q6" s="1014" t="s">
        <v>110</v>
      </c>
      <c r="R6" s="1047" t="s">
        <v>109</v>
      </c>
      <c r="S6" s="1014" t="s">
        <v>108</v>
      </c>
      <c r="T6" s="1014" t="s">
        <v>249</v>
      </c>
      <c r="U6" s="1014" t="s">
        <v>577</v>
      </c>
      <c r="V6" s="1014" t="s">
        <v>578</v>
      </c>
      <c r="W6" s="1015"/>
    </row>
    <row r="7" spans="1:23" s="298" customFormat="1" ht="85.5" customHeight="1">
      <c r="A7" s="1016"/>
      <c r="B7" s="1016"/>
      <c r="C7" s="1016"/>
      <c r="D7" s="1016"/>
      <c r="E7" s="1034"/>
      <c r="F7" s="1035"/>
      <c r="G7" s="1036"/>
      <c r="H7" s="1016"/>
      <c r="I7" s="1016"/>
      <c r="J7" s="1016"/>
      <c r="K7" s="1016"/>
      <c r="L7" s="1016"/>
      <c r="M7" s="1053"/>
      <c r="N7" s="1016"/>
      <c r="O7" s="1016"/>
      <c r="P7" s="1016"/>
      <c r="Q7" s="1016"/>
      <c r="R7" s="1048"/>
      <c r="S7" s="1016"/>
      <c r="T7" s="1016"/>
      <c r="U7" s="1016"/>
      <c r="V7" s="1016"/>
      <c r="W7" s="1016"/>
    </row>
    <row r="8" spans="1:24" ht="60" customHeight="1">
      <c r="A8" s="299" t="s">
        <v>172</v>
      </c>
      <c r="B8" s="1020" t="s">
        <v>82</v>
      </c>
      <c r="C8" s="300">
        <v>964</v>
      </c>
      <c r="D8" s="300" t="s">
        <v>83</v>
      </c>
      <c r="E8" s="300" t="s">
        <v>83</v>
      </c>
      <c r="F8" s="300" t="s">
        <v>83</v>
      </c>
      <c r="G8" s="301" t="s">
        <v>83</v>
      </c>
      <c r="H8" s="300" t="s">
        <v>83</v>
      </c>
      <c r="I8" s="387">
        <f>I9</f>
        <v>4311.5</v>
      </c>
      <c r="J8" s="387">
        <f aca="true" t="shared" si="0" ref="J8:U8">J9</f>
        <v>5873.4</v>
      </c>
      <c r="K8" s="387">
        <f t="shared" si="0"/>
        <v>6302.4</v>
      </c>
      <c r="L8" s="387">
        <f t="shared" si="0"/>
        <v>12316.3</v>
      </c>
      <c r="M8" s="387">
        <f t="shared" si="0"/>
        <v>34761.5</v>
      </c>
      <c r="N8" s="387">
        <f t="shared" si="0"/>
        <v>34247.20000000001</v>
      </c>
      <c r="O8" s="387">
        <f t="shared" si="0"/>
        <v>36573.799999999996</v>
      </c>
      <c r="P8" s="387">
        <f t="shared" si="0"/>
        <v>40960.100000000006</v>
      </c>
      <c r="Q8" s="387">
        <f t="shared" si="0"/>
        <v>59289.6</v>
      </c>
      <c r="R8" s="713">
        <f t="shared" si="0"/>
        <v>108835.3</v>
      </c>
      <c r="S8" s="387">
        <f t="shared" si="0"/>
        <v>38404</v>
      </c>
      <c r="T8" s="387">
        <f t="shared" si="0"/>
        <v>38404</v>
      </c>
      <c r="U8" s="387">
        <f t="shared" si="0"/>
        <v>38404</v>
      </c>
      <c r="V8" s="387">
        <f>SUM(I8:U8)</f>
        <v>458683.10000000003</v>
      </c>
      <c r="W8" s="302"/>
      <c r="X8" s="303"/>
    </row>
    <row r="9" spans="1:25" ht="252.75" customHeight="1">
      <c r="A9" s="1037" t="s">
        <v>593</v>
      </c>
      <c r="B9" s="1021"/>
      <c r="C9" s="1022">
        <v>964</v>
      </c>
      <c r="D9" s="1022" t="s">
        <v>120</v>
      </c>
      <c r="E9" s="1022" t="s">
        <v>120</v>
      </c>
      <c r="F9" s="1022" t="s">
        <v>120</v>
      </c>
      <c r="G9" s="1042" t="s">
        <v>120</v>
      </c>
      <c r="H9" s="1022" t="s">
        <v>120</v>
      </c>
      <c r="I9" s="995">
        <f aca="true" t="shared" si="1" ref="I9:S9">SUM(I11:I95)</f>
        <v>4311.5</v>
      </c>
      <c r="J9" s="995">
        <f t="shared" si="1"/>
        <v>5873.4</v>
      </c>
      <c r="K9" s="995">
        <f t="shared" si="1"/>
        <v>6302.4</v>
      </c>
      <c r="L9" s="995">
        <f t="shared" si="1"/>
        <v>12316.3</v>
      </c>
      <c r="M9" s="995">
        <f t="shared" si="1"/>
        <v>34761.5</v>
      </c>
      <c r="N9" s="995">
        <f t="shared" si="1"/>
        <v>34247.20000000001</v>
      </c>
      <c r="O9" s="995">
        <f t="shared" si="1"/>
        <v>36573.799999999996</v>
      </c>
      <c r="P9" s="995">
        <f t="shared" si="1"/>
        <v>40960.100000000006</v>
      </c>
      <c r="Q9" s="995">
        <f>SUM(Q11:Q95)</f>
        <v>59289.6</v>
      </c>
      <c r="R9" s="1012">
        <f>SUM(R11:R95)</f>
        <v>108835.3</v>
      </c>
      <c r="S9" s="995">
        <f t="shared" si="1"/>
        <v>38404</v>
      </c>
      <c r="T9" s="995">
        <f>SUM(T11:T95)</f>
        <v>38404</v>
      </c>
      <c r="U9" s="995">
        <f>SUM(U11:U95)</f>
        <v>38404</v>
      </c>
      <c r="V9" s="995">
        <f>SUM(I9:U10)</f>
        <v>458683.10000000003</v>
      </c>
      <c r="W9" s="1014" t="s">
        <v>468</v>
      </c>
      <c r="X9" s="303" t="s">
        <v>491</v>
      </c>
      <c r="Y9" s="228" t="s">
        <v>490</v>
      </c>
    </row>
    <row r="10" spans="1:25" ht="350.25" customHeight="1">
      <c r="A10" s="1038"/>
      <c r="B10" s="1021"/>
      <c r="C10" s="1023"/>
      <c r="D10" s="1023"/>
      <c r="E10" s="1023"/>
      <c r="F10" s="1023"/>
      <c r="G10" s="1043"/>
      <c r="H10" s="1023"/>
      <c r="I10" s="996"/>
      <c r="J10" s="996"/>
      <c r="K10" s="996"/>
      <c r="L10" s="996"/>
      <c r="M10" s="996"/>
      <c r="N10" s="996"/>
      <c r="O10" s="996"/>
      <c r="P10" s="996"/>
      <c r="Q10" s="996"/>
      <c r="R10" s="1013"/>
      <c r="S10" s="996"/>
      <c r="T10" s="996"/>
      <c r="U10" s="996"/>
      <c r="V10" s="996"/>
      <c r="W10" s="1015"/>
      <c r="X10" s="479">
        <f>Q9-Q95</f>
        <v>51962</v>
      </c>
      <c r="Y10" s="479">
        <f>R9-R95</f>
        <v>100950.3</v>
      </c>
    </row>
    <row r="11" spans="1:27" ht="25.5" customHeight="1">
      <c r="A11" s="1039" t="s">
        <v>185</v>
      </c>
      <c r="B11" s="329"/>
      <c r="C11" s="304">
        <v>964</v>
      </c>
      <c r="D11" s="320" t="s">
        <v>101</v>
      </c>
      <c r="E11" s="321" t="s">
        <v>146</v>
      </c>
      <c r="F11" s="321" t="s">
        <v>8</v>
      </c>
      <c r="G11" s="321" t="s">
        <v>178</v>
      </c>
      <c r="H11" s="321" t="s">
        <v>121</v>
      </c>
      <c r="I11" s="413">
        <v>0</v>
      </c>
      <c r="J11" s="413">
        <v>0</v>
      </c>
      <c r="K11" s="413">
        <v>461.9</v>
      </c>
      <c r="L11" s="413">
        <v>1029</v>
      </c>
      <c r="M11" s="413">
        <f>400+73.2</f>
        <v>473.2</v>
      </c>
      <c r="N11" s="413">
        <v>678.6</v>
      </c>
      <c r="O11" s="413">
        <v>239.5</v>
      </c>
      <c r="P11" s="413">
        <v>1073.1</v>
      </c>
      <c r="Q11" s="413">
        <f>1290.3-100+70.3+313.4</f>
        <v>1574</v>
      </c>
      <c r="R11" s="712">
        <v>0</v>
      </c>
      <c r="S11" s="413">
        <v>0</v>
      </c>
      <c r="T11" s="413">
        <v>0</v>
      </c>
      <c r="U11" s="413">
        <v>0</v>
      </c>
      <c r="V11" s="414">
        <f>SUM(I11:U11)</f>
        <v>5529.3</v>
      </c>
      <c r="W11" s="1015"/>
      <c r="X11" s="328"/>
      <c r="Y11" s="315"/>
      <c r="Z11" s="330"/>
      <c r="AA11" s="330"/>
    </row>
    <row r="12" spans="1:27" ht="25.5" customHeight="1">
      <c r="A12" s="1040"/>
      <c r="B12" s="329"/>
      <c r="C12" s="306">
        <v>964</v>
      </c>
      <c r="D12" s="320" t="s">
        <v>101</v>
      </c>
      <c r="E12" s="322" t="s">
        <v>146</v>
      </c>
      <c r="F12" s="322" t="s">
        <v>8</v>
      </c>
      <c r="G12" s="322" t="s">
        <v>178</v>
      </c>
      <c r="H12" s="322" t="s">
        <v>122</v>
      </c>
      <c r="I12" s="415"/>
      <c r="J12" s="415"/>
      <c r="K12" s="415"/>
      <c r="L12" s="415"/>
      <c r="M12" s="415"/>
      <c r="N12" s="413"/>
      <c r="O12" s="413"/>
      <c r="P12" s="413"/>
      <c r="Q12" s="413"/>
      <c r="R12" s="712">
        <f>800+21.7+265.4</f>
        <v>1087.1</v>
      </c>
      <c r="S12" s="413">
        <v>800</v>
      </c>
      <c r="T12" s="413">
        <v>800</v>
      </c>
      <c r="U12" s="413">
        <v>800</v>
      </c>
      <c r="V12" s="414">
        <f aca="true" t="shared" si="2" ref="V12:V76">SUM(I12:U12)</f>
        <v>3487.1</v>
      </c>
      <c r="W12" s="1015"/>
      <c r="X12" s="328"/>
      <c r="Y12" s="315"/>
      <c r="Z12" s="330"/>
      <c r="AA12" s="330"/>
    </row>
    <row r="13" spans="1:23" ht="23.25">
      <c r="A13" s="1041"/>
      <c r="B13" s="329"/>
      <c r="C13" s="306">
        <v>964</v>
      </c>
      <c r="D13" s="320" t="s">
        <v>101</v>
      </c>
      <c r="E13" s="322" t="s">
        <v>146</v>
      </c>
      <c r="F13" s="322" t="s">
        <v>8</v>
      </c>
      <c r="G13" s="322" t="s">
        <v>178</v>
      </c>
      <c r="H13" s="322" t="s">
        <v>121</v>
      </c>
      <c r="I13" s="415">
        <v>417.6</v>
      </c>
      <c r="J13" s="415">
        <v>486</v>
      </c>
      <c r="K13" s="415">
        <v>0</v>
      </c>
      <c r="L13" s="415">
        <v>0</v>
      </c>
      <c r="M13" s="415">
        <v>0</v>
      </c>
      <c r="N13" s="413">
        <v>0</v>
      </c>
      <c r="O13" s="413">
        <v>0</v>
      </c>
      <c r="P13" s="413">
        <v>0</v>
      </c>
      <c r="Q13" s="413">
        <v>0</v>
      </c>
      <c r="R13" s="712">
        <v>0</v>
      </c>
      <c r="S13" s="413">
        <v>0</v>
      </c>
      <c r="T13" s="413">
        <v>0</v>
      </c>
      <c r="U13" s="413">
        <v>0</v>
      </c>
      <c r="V13" s="414">
        <f t="shared" si="2"/>
        <v>903.6</v>
      </c>
      <c r="W13" s="1015"/>
    </row>
    <row r="14" spans="1:23" ht="24.75" customHeight="1">
      <c r="A14" s="1014" t="s">
        <v>87</v>
      </c>
      <c r="B14" s="329"/>
      <c r="C14" s="306">
        <v>964</v>
      </c>
      <c r="D14" s="324" t="s">
        <v>102</v>
      </c>
      <c r="E14" s="322" t="s">
        <v>146</v>
      </c>
      <c r="F14" s="322" t="s">
        <v>8</v>
      </c>
      <c r="G14" s="322" t="s">
        <v>437</v>
      </c>
      <c r="H14" s="322" t="s">
        <v>121</v>
      </c>
      <c r="I14" s="415"/>
      <c r="J14" s="415"/>
      <c r="K14" s="415"/>
      <c r="L14" s="415"/>
      <c r="M14" s="415"/>
      <c r="N14" s="415"/>
      <c r="O14" s="415"/>
      <c r="P14" s="415">
        <v>272.8</v>
      </c>
      <c r="Q14" s="415"/>
      <c r="R14" s="714"/>
      <c r="S14" s="415"/>
      <c r="T14" s="415"/>
      <c r="U14" s="415"/>
      <c r="V14" s="414">
        <f t="shared" si="2"/>
        <v>272.8</v>
      </c>
      <c r="W14" s="1015"/>
    </row>
    <row r="15" spans="1:23" ht="24.75" customHeight="1">
      <c r="A15" s="1015"/>
      <c r="B15" s="329"/>
      <c r="C15" s="306">
        <v>964</v>
      </c>
      <c r="D15" s="324" t="s">
        <v>101</v>
      </c>
      <c r="E15" s="322" t="s">
        <v>146</v>
      </c>
      <c r="F15" s="322" t="s">
        <v>8</v>
      </c>
      <c r="G15" s="322" t="s">
        <v>179</v>
      </c>
      <c r="H15" s="322" t="s">
        <v>121</v>
      </c>
      <c r="I15" s="415">
        <v>0</v>
      </c>
      <c r="J15" s="415">
        <v>0</v>
      </c>
      <c r="K15" s="415">
        <v>0</v>
      </c>
      <c r="L15" s="415">
        <v>0</v>
      </c>
      <c r="M15" s="415">
        <v>0</v>
      </c>
      <c r="N15" s="413">
        <v>2356.5</v>
      </c>
      <c r="O15" s="413">
        <v>3636.9</v>
      </c>
      <c r="P15" s="413">
        <v>405.9</v>
      </c>
      <c r="Q15" s="413">
        <f>438.2+54.1+100-76.8</f>
        <v>515.5</v>
      </c>
      <c r="R15" s="712">
        <v>0</v>
      </c>
      <c r="S15" s="413">
        <v>0</v>
      </c>
      <c r="T15" s="413">
        <v>0</v>
      </c>
      <c r="U15" s="413">
        <v>0</v>
      </c>
      <c r="V15" s="414">
        <f t="shared" si="2"/>
        <v>6914.799999999999</v>
      </c>
      <c r="W15" s="1015"/>
    </row>
    <row r="16" spans="1:23" ht="24.75" customHeight="1">
      <c r="A16" s="1015"/>
      <c r="B16" s="329"/>
      <c r="C16" s="306">
        <v>964</v>
      </c>
      <c r="D16" s="324" t="s">
        <v>101</v>
      </c>
      <c r="E16" s="322" t="s">
        <v>146</v>
      </c>
      <c r="F16" s="322" t="s">
        <v>8</v>
      </c>
      <c r="G16" s="322" t="s">
        <v>437</v>
      </c>
      <c r="H16" s="322" t="s">
        <v>121</v>
      </c>
      <c r="I16" s="415">
        <v>0</v>
      </c>
      <c r="J16" s="415">
        <v>0</v>
      </c>
      <c r="K16" s="415">
        <v>0</v>
      </c>
      <c r="L16" s="415">
        <v>0</v>
      </c>
      <c r="M16" s="415">
        <v>0</v>
      </c>
      <c r="N16" s="413">
        <v>0</v>
      </c>
      <c r="O16" s="413">
        <v>0</v>
      </c>
      <c r="P16" s="413">
        <v>513.9</v>
      </c>
      <c r="Q16" s="413">
        <v>576.6</v>
      </c>
      <c r="R16" s="712">
        <v>0</v>
      </c>
      <c r="S16" s="413">
        <v>0</v>
      </c>
      <c r="T16" s="413">
        <v>0</v>
      </c>
      <c r="U16" s="413">
        <v>0</v>
      </c>
      <c r="V16" s="414">
        <f t="shared" si="2"/>
        <v>1090.5</v>
      </c>
      <c r="W16" s="1015"/>
    </row>
    <row r="17" spans="1:23" ht="24.75" customHeight="1">
      <c r="A17" s="1015"/>
      <c r="B17" s="329"/>
      <c r="C17" s="306">
        <v>964</v>
      </c>
      <c r="D17" s="324" t="s">
        <v>102</v>
      </c>
      <c r="E17" s="322" t="s">
        <v>146</v>
      </c>
      <c r="F17" s="322" t="s">
        <v>8</v>
      </c>
      <c r="G17" s="322" t="s">
        <v>440</v>
      </c>
      <c r="H17" s="322" t="s">
        <v>122</v>
      </c>
      <c r="I17" s="415">
        <v>0</v>
      </c>
      <c r="J17" s="415">
        <v>0</v>
      </c>
      <c r="K17" s="415">
        <v>0</v>
      </c>
      <c r="L17" s="415">
        <v>0</v>
      </c>
      <c r="M17" s="415">
        <v>0</v>
      </c>
      <c r="N17" s="413">
        <v>0</v>
      </c>
      <c r="O17" s="413">
        <v>0</v>
      </c>
      <c r="P17" s="413">
        <v>1128.5</v>
      </c>
      <c r="Q17" s="413">
        <v>1389.7</v>
      </c>
      <c r="R17" s="712">
        <v>0</v>
      </c>
      <c r="S17" s="413">
        <v>0</v>
      </c>
      <c r="T17" s="413">
        <v>0</v>
      </c>
      <c r="U17" s="413">
        <v>0</v>
      </c>
      <c r="V17" s="414">
        <f t="shared" si="2"/>
        <v>2518.2</v>
      </c>
      <c r="W17" s="1015"/>
    </row>
    <row r="18" spans="1:24" ht="24.75" customHeight="1">
      <c r="A18" s="1015"/>
      <c r="B18" s="329"/>
      <c r="C18" s="305" t="s">
        <v>119</v>
      </c>
      <c r="D18" s="321" t="s">
        <v>258</v>
      </c>
      <c r="E18" s="321" t="s">
        <v>146</v>
      </c>
      <c r="F18" s="321" t="s">
        <v>8</v>
      </c>
      <c r="G18" s="321" t="s">
        <v>187</v>
      </c>
      <c r="H18" s="321" t="s">
        <v>122</v>
      </c>
      <c r="I18" s="413"/>
      <c r="J18" s="413"/>
      <c r="K18" s="413"/>
      <c r="L18" s="413"/>
      <c r="M18" s="413">
        <v>11252.3</v>
      </c>
      <c r="N18" s="413">
        <v>12017.7</v>
      </c>
      <c r="O18" s="413">
        <v>12895.9</v>
      </c>
      <c r="P18" s="413">
        <v>2622.9</v>
      </c>
      <c r="Q18" s="413">
        <f>2524.9+602.7-450+61.2+44.4+32</f>
        <v>2815.2000000000003</v>
      </c>
      <c r="R18" s="712">
        <v>0</v>
      </c>
      <c r="S18" s="413">
        <v>0</v>
      </c>
      <c r="T18" s="413">
        <v>0</v>
      </c>
      <c r="U18" s="413">
        <v>0</v>
      </c>
      <c r="V18" s="414">
        <f t="shared" si="2"/>
        <v>41604</v>
      </c>
      <c r="W18" s="1015"/>
      <c r="X18" s="315"/>
    </row>
    <row r="19" spans="1:24" ht="24.75" customHeight="1">
      <c r="A19" s="1015"/>
      <c r="B19" s="329"/>
      <c r="C19" s="305" t="s">
        <v>119</v>
      </c>
      <c r="D19" s="321" t="s">
        <v>572</v>
      </c>
      <c r="E19" s="321" t="s">
        <v>146</v>
      </c>
      <c r="F19" s="321" t="s">
        <v>8</v>
      </c>
      <c r="G19" s="321" t="s">
        <v>187</v>
      </c>
      <c r="H19" s="321" t="s">
        <v>154</v>
      </c>
      <c r="I19" s="413"/>
      <c r="J19" s="413"/>
      <c r="K19" s="413"/>
      <c r="L19" s="413"/>
      <c r="M19" s="413"/>
      <c r="N19" s="413"/>
      <c r="O19" s="413"/>
      <c r="P19" s="413"/>
      <c r="Q19" s="413"/>
      <c r="R19" s="717">
        <f>120+20+130+3042.2+2.3+32.8+1288.1-32.8</f>
        <v>4602.599999999999</v>
      </c>
      <c r="S19" s="413">
        <v>0</v>
      </c>
      <c r="T19" s="413">
        <v>0</v>
      </c>
      <c r="U19" s="413">
        <v>0</v>
      </c>
      <c r="V19" s="414">
        <f t="shared" si="2"/>
        <v>4602.599999999999</v>
      </c>
      <c r="W19" s="1015"/>
      <c r="X19" s="315"/>
    </row>
    <row r="20" spans="1:24" ht="24.75" customHeight="1">
      <c r="A20" s="1015"/>
      <c r="B20" s="329"/>
      <c r="C20" s="305" t="s">
        <v>119</v>
      </c>
      <c r="D20" s="321" t="s">
        <v>572</v>
      </c>
      <c r="E20" s="321" t="s">
        <v>146</v>
      </c>
      <c r="F20" s="321" t="s">
        <v>8</v>
      </c>
      <c r="G20" s="321" t="s">
        <v>187</v>
      </c>
      <c r="H20" s="321" t="s">
        <v>154</v>
      </c>
      <c r="I20" s="413"/>
      <c r="J20" s="413"/>
      <c r="K20" s="413"/>
      <c r="L20" s="413"/>
      <c r="M20" s="413"/>
      <c r="N20" s="413"/>
      <c r="O20" s="413"/>
      <c r="P20" s="413"/>
      <c r="Q20" s="413"/>
      <c r="R20" s="717">
        <v>32.8</v>
      </c>
      <c r="S20" s="413"/>
      <c r="T20" s="413"/>
      <c r="U20" s="413"/>
      <c r="V20" s="414">
        <f t="shared" si="2"/>
        <v>32.8</v>
      </c>
      <c r="W20" s="1015"/>
      <c r="X20" s="315"/>
    </row>
    <row r="21" spans="1:24" ht="24.75" customHeight="1">
      <c r="A21" s="1015"/>
      <c r="B21" s="329"/>
      <c r="C21" s="305" t="s">
        <v>119</v>
      </c>
      <c r="D21" s="321" t="s">
        <v>258</v>
      </c>
      <c r="E21" s="321" t="s">
        <v>146</v>
      </c>
      <c r="F21" s="321" t="s">
        <v>8</v>
      </c>
      <c r="G21" s="321" t="s">
        <v>187</v>
      </c>
      <c r="H21" s="321" t="s">
        <v>154</v>
      </c>
      <c r="I21" s="413"/>
      <c r="J21" s="413"/>
      <c r="K21" s="413"/>
      <c r="L21" s="413"/>
      <c r="M21" s="413">
        <v>2416.1</v>
      </c>
      <c r="N21" s="413"/>
      <c r="O21" s="413">
        <v>247.8</v>
      </c>
      <c r="P21" s="413">
        <v>798.5</v>
      </c>
      <c r="Q21" s="413">
        <f>632.7+450+100-44.4+500-32</f>
        <v>1606.3</v>
      </c>
      <c r="R21" s="712"/>
      <c r="S21" s="413"/>
      <c r="T21" s="413"/>
      <c r="U21" s="413"/>
      <c r="V21" s="414">
        <f t="shared" si="2"/>
        <v>5068.7</v>
      </c>
      <c r="W21" s="1015"/>
      <c r="X21" s="303"/>
    </row>
    <row r="22" spans="1:23" ht="24.75" customHeight="1">
      <c r="A22" s="1015"/>
      <c r="B22" s="329"/>
      <c r="C22" s="306">
        <v>964</v>
      </c>
      <c r="D22" s="324" t="s">
        <v>101</v>
      </c>
      <c r="E22" s="322" t="s">
        <v>146</v>
      </c>
      <c r="F22" s="322" t="s">
        <v>8</v>
      </c>
      <c r="G22" s="322" t="s">
        <v>179</v>
      </c>
      <c r="H22" s="322" t="s">
        <v>123</v>
      </c>
      <c r="I22" s="415">
        <v>0</v>
      </c>
      <c r="J22" s="415">
        <v>0</v>
      </c>
      <c r="K22" s="415">
        <v>0</v>
      </c>
      <c r="L22" s="415">
        <v>0</v>
      </c>
      <c r="M22" s="415">
        <v>0</v>
      </c>
      <c r="N22" s="413">
        <v>0</v>
      </c>
      <c r="O22" s="413">
        <v>30.5</v>
      </c>
      <c r="P22" s="413">
        <v>999.5</v>
      </c>
      <c r="Q22" s="413">
        <f>802.1+418.1+6.7</f>
        <v>1226.9</v>
      </c>
      <c r="R22" s="712">
        <v>0</v>
      </c>
      <c r="S22" s="413">
        <v>0</v>
      </c>
      <c r="T22" s="413">
        <v>0</v>
      </c>
      <c r="U22" s="413">
        <v>0</v>
      </c>
      <c r="V22" s="414">
        <f t="shared" si="2"/>
        <v>2256.9</v>
      </c>
      <c r="W22" s="1015"/>
    </row>
    <row r="23" spans="1:28" ht="24.75" customHeight="1">
      <c r="A23" s="1015"/>
      <c r="B23" s="329"/>
      <c r="C23" s="308">
        <v>964</v>
      </c>
      <c r="D23" s="320" t="s">
        <v>102</v>
      </c>
      <c r="E23" s="321" t="s">
        <v>146</v>
      </c>
      <c r="F23" s="321" t="s">
        <v>8</v>
      </c>
      <c r="G23" s="321" t="s">
        <v>179</v>
      </c>
      <c r="H23" s="321" t="s">
        <v>123</v>
      </c>
      <c r="I23" s="413">
        <v>0</v>
      </c>
      <c r="J23" s="413">
        <v>0</v>
      </c>
      <c r="K23" s="413">
        <v>74.9</v>
      </c>
      <c r="L23" s="413">
        <v>0</v>
      </c>
      <c r="M23" s="413"/>
      <c r="N23" s="413">
        <v>0</v>
      </c>
      <c r="O23" s="413">
        <v>0</v>
      </c>
      <c r="P23" s="413">
        <v>0</v>
      </c>
      <c r="Q23" s="413">
        <v>331.4</v>
      </c>
      <c r="R23" s="712">
        <v>0</v>
      </c>
      <c r="S23" s="413">
        <v>0</v>
      </c>
      <c r="T23" s="413">
        <v>0</v>
      </c>
      <c r="U23" s="413">
        <v>0</v>
      </c>
      <c r="V23" s="414">
        <f t="shared" si="2"/>
        <v>406.29999999999995</v>
      </c>
      <c r="W23" s="1015"/>
      <c r="Y23" s="365" t="s">
        <v>408</v>
      </c>
      <c r="Z23" s="365" t="s">
        <v>409</v>
      </c>
      <c r="AA23" s="365" t="s">
        <v>424</v>
      </c>
      <c r="AB23" s="364" t="s">
        <v>410</v>
      </c>
    </row>
    <row r="24" spans="1:28" ht="24.75" customHeight="1">
      <c r="A24" s="1015"/>
      <c r="B24" s="329"/>
      <c r="C24" s="306">
        <v>964</v>
      </c>
      <c r="D24" s="324" t="s">
        <v>511</v>
      </c>
      <c r="E24" s="322" t="s">
        <v>512</v>
      </c>
      <c r="F24" s="322" t="s">
        <v>8</v>
      </c>
      <c r="G24" s="322" t="s">
        <v>187</v>
      </c>
      <c r="H24" s="322" t="s">
        <v>122</v>
      </c>
      <c r="I24" s="415"/>
      <c r="J24" s="415"/>
      <c r="K24" s="415"/>
      <c r="L24" s="415"/>
      <c r="M24" s="415"/>
      <c r="N24" s="413"/>
      <c r="O24" s="413"/>
      <c r="P24" s="413"/>
      <c r="Q24" s="413"/>
      <c r="R24" s="712">
        <f>3496.7+1093.7-21.7-2.3+389-32.8</f>
        <v>4922.599999999999</v>
      </c>
      <c r="S24" s="413">
        <f>3496.7+1093.7</f>
        <v>4590.4</v>
      </c>
      <c r="T24" s="413">
        <f>3496.7+1093.7</f>
        <v>4590.4</v>
      </c>
      <c r="U24" s="413">
        <f>3496.7+1093.7</f>
        <v>4590.4</v>
      </c>
      <c r="V24" s="414">
        <f t="shared" si="2"/>
        <v>18693.8</v>
      </c>
      <c r="W24" s="1015"/>
      <c r="Y24" s="365"/>
      <c r="Z24" s="365"/>
      <c r="AA24" s="365"/>
      <c r="AB24" s="364"/>
    </row>
    <row r="25" spans="1:28" ht="24.75" customHeight="1">
      <c r="A25" s="1016"/>
      <c r="B25" s="327"/>
      <c r="C25" s="304">
        <v>964</v>
      </c>
      <c r="D25" s="320" t="s">
        <v>511</v>
      </c>
      <c r="E25" s="321" t="s">
        <v>146</v>
      </c>
      <c r="F25" s="321" t="s">
        <v>8</v>
      </c>
      <c r="G25" s="321" t="s">
        <v>513</v>
      </c>
      <c r="H25" s="321" t="s">
        <v>122</v>
      </c>
      <c r="I25" s="413"/>
      <c r="J25" s="413"/>
      <c r="K25" s="413"/>
      <c r="L25" s="413"/>
      <c r="M25" s="413"/>
      <c r="N25" s="413"/>
      <c r="O25" s="413"/>
      <c r="P25" s="413"/>
      <c r="Q25" s="413"/>
      <c r="R25" s="712">
        <f>2442.8-1093.7+181.5</f>
        <v>1530.6000000000001</v>
      </c>
      <c r="S25" s="413">
        <f>2442.8-1093.7</f>
        <v>1349.1000000000001</v>
      </c>
      <c r="T25" s="413">
        <f>2442.8-1093.7</f>
        <v>1349.1000000000001</v>
      </c>
      <c r="U25" s="413">
        <f>2442.8-1093.7</f>
        <v>1349.1000000000001</v>
      </c>
      <c r="V25" s="414">
        <f t="shared" si="2"/>
        <v>5577.900000000001</v>
      </c>
      <c r="W25" s="1015"/>
      <c r="Y25" s="365"/>
      <c r="Z25" s="365"/>
      <c r="AA25" s="365"/>
      <c r="AB25" s="364"/>
    </row>
    <row r="26" spans="1:23" ht="108.75" customHeight="1">
      <c r="A26" s="327" t="s">
        <v>438</v>
      </c>
      <c r="B26" s="329"/>
      <c r="C26" s="622">
        <v>964</v>
      </c>
      <c r="D26" s="623" t="s">
        <v>101</v>
      </c>
      <c r="E26" s="624" t="s">
        <v>146</v>
      </c>
      <c r="F26" s="624" t="s">
        <v>8</v>
      </c>
      <c r="G26" s="624" t="s">
        <v>439</v>
      </c>
      <c r="H26" s="624" t="s">
        <v>121</v>
      </c>
      <c r="I26" s="625">
        <v>0</v>
      </c>
      <c r="J26" s="625">
        <v>0</v>
      </c>
      <c r="K26" s="625">
        <v>0</v>
      </c>
      <c r="L26" s="625">
        <v>0</v>
      </c>
      <c r="M26" s="625">
        <v>0</v>
      </c>
      <c r="N26" s="626">
        <v>0</v>
      </c>
      <c r="O26" s="626">
        <v>0</v>
      </c>
      <c r="P26" s="626">
        <v>5537.1</v>
      </c>
      <c r="Q26" s="626">
        <f>5630.8+460.4-245.2+127.9</f>
        <v>5973.9</v>
      </c>
      <c r="R26" s="715">
        <v>0</v>
      </c>
      <c r="S26" s="626">
        <v>0</v>
      </c>
      <c r="T26" s="626">
        <v>0</v>
      </c>
      <c r="U26" s="626">
        <v>0</v>
      </c>
      <c r="V26" s="627">
        <f t="shared" si="2"/>
        <v>11511</v>
      </c>
      <c r="W26" s="1015"/>
    </row>
    <row r="27" spans="1:23" ht="40.5">
      <c r="A27" s="309" t="s">
        <v>180</v>
      </c>
      <c r="B27" s="329"/>
      <c r="C27" s="306">
        <v>964</v>
      </c>
      <c r="D27" s="324" t="s">
        <v>102</v>
      </c>
      <c r="E27" s="322" t="s">
        <v>146</v>
      </c>
      <c r="F27" s="322" t="s">
        <v>8</v>
      </c>
      <c r="G27" s="322" t="s">
        <v>455</v>
      </c>
      <c r="H27" s="322" t="s">
        <v>121</v>
      </c>
      <c r="I27" s="415">
        <v>357.6</v>
      </c>
      <c r="J27" s="415">
        <v>678.9</v>
      </c>
      <c r="K27" s="415">
        <v>1574.6</v>
      </c>
      <c r="L27" s="415">
        <v>754.4</v>
      </c>
      <c r="M27" s="415">
        <v>815.8</v>
      </c>
      <c r="N27" s="415">
        <f>369.5+7.2</f>
        <v>376.7</v>
      </c>
      <c r="O27" s="415">
        <v>1298</v>
      </c>
      <c r="P27" s="415">
        <v>698.2</v>
      </c>
      <c r="Q27" s="415">
        <f>554.9+55.5+23.5+49.6</f>
        <v>683.5</v>
      </c>
      <c r="R27" s="714">
        <f>607.7+20.9+41.8</f>
        <v>670.4</v>
      </c>
      <c r="S27" s="415">
        <v>607.7</v>
      </c>
      <c r="T27" s="415">
        <v>607.7</v>
      </c>
      <c r="U27" s="415">
        <v>607.7</v>
      </c>
      <c r="V27" s="414">
        <f t="shared" si="2"/>
        <v>9731.2</v>
      </c>
      <c r="W27" s="1015"/>
    </row>
    <row r="28" spans="1:23" ht="57" customHeight="1">
      <c r="A28" s="1017" t="s">
        <v>442</v>
      </c>
      <c r="B28" s="329"/>
      <c r="C28" s="306">
        <v>964</v>
      </c>
      <c r="D28" s="324" t="s">
        <v>102</v>
      </c>
      <c r="E28" s="322" t="s">
        <v>146</v>
      </c>
      <c r="F28" s="322" t="s">
        <v>8</v>
      </c>
      <c r="G28" s="322" t="s">
        <v>441</v>
      </c>
      <c r="H28" s="322" t="s">
        <v>122</v>
      </c>
      <c r="I28" s="415">
        <v>0</v>
      </c>
      <c r="J28" s="415">
        <v>0</v>
      </c>
      <c r="K28" s="415">
        <v>0</v>
      </c>
      <c r="L28" s="415">
        <v>0</v>
      </c>
      <c r="M28" s="415">
        <v>0</v>
      </c>
      <c r="N28" s="413">
        <v>0</v>
      </c>
      <c r="O28" s="413">
        <v>0</v>
      </c>
      <c r="P28" s="413">
        <v>14881.2</v>
      </c>
      <c r="Q28" s="413">
        <f>16202.9+797.7+126.9+405.5</f>
        <v>17533</v>
      </c>
      <c r="R28" s="712">
        <v>0</v>
      </c>
      <c r="S28" s="413">
        <v>0</v>
      </c>
      <c r="T28" s="413">
        <v>0</v>
      </c>
      <c r="U28" s="413">
        <v>0</v>
      </c>
      <c r="V28" s="414">
        <f t="shared" si="2"/>
        <v>32414.2</v>
      </c>
      <c r="W28" s="1015"/>
    </row>
    <row r="29" spans="1:23" ht="57" customHeight="1">
      <c r="A29" s="1018"/>
      <c r="B29" s="329"/>
      <c r="C29" s="306">
        <v>964</v>
      </c>
      <c r="D29" s="324" t="s">
        <v>101</v>
      </c>
      <c r="E29" s="322" t="s">
        <v>146</v>
      </c>
      <c r="F29" s="322" t="s">
        <v>8</v>
      </c>
      <c r="G29" s="322" t="s">
        <v>441</v>
      </c>
      <c r="H29" s="322" t="s">
        <v>122</v>
      </c>
      <c r="I29" s="415"/>
      <c r="J29" s="415"/>
      <c r="K29" s="415"/>
      <c r="L29" s="415"/>
      <c r="M29" s="415"/>
      <c r="N29" s="415"/>
      <c r="O29" s="415"/>
      <c r="P29" s="415"/>
      <c r="Q29" s="415"/>
      <c r="R29" s="714">
        <f>4189.2+57.1+86+235.7</f>
        <v>4568</v>
      </c>
      <c r="S29" s="415">
        <v>4189.2</v>
      </c>
      <c r="T29" s="415">
        <v>4189.2</v>
      </c>
      <c r="U29" s="415">
        <v>4189.2</v>
      </c>
      <c r="V29" s="414">
        <f t="shared" si="2"/>
        <v>17135.600000000002</v>
      </c>
      <c r="W29" s="1015"/>
    </row>
    <row r="30" spans="1:23" ht="57" customHeight="1">
      <c r="A30" s="1019"/>
      <c r="B30" s="329"/>
      <c r="C30" s="306">
        <v>964</v>
      </c>
      <c r="D30" s="324" t="s">
        <v>511</v>
      </c>
      <c r="E30" s="322" t="s">
        <v>146</v>
      </c>
      <c r="F30" s="322" t="s">
        <v>8</v>
      </c>
      <c r="G30" s="322" t="s">
        <v>441</v>
      </c>
      <c r="H30" s="322" t="s">
        <v>122</v>
      </c>
      <c r="I30" s="415"/>
      <c r="J30" s="415"/>
      <c r="K30" s="415"/>
      <c r="L30" s="415"/>
      <c r="M30" s="415"/>
      <c r="N30" s="415"/>
      <c r="O30" s="415"/>
      <c r="P30" s="415"/>
      <c r="Q30" s="415"/>
      <c r="R30" s="714">
        <f>19344.4+276.3+257.5-20+172.2+135.2+794.2</f>
        <v>20959.800000000003</v>
      </c>
      <c r="S30" s="415">
        <v>19344.4</v>
      </c>
      <c r="T30" s="415">
        <v>19344.4</v>
      </c>
      <c r="U30" s="415">
        <v>19344.4</v>
      </c>
      <c r="V30" s="414">
        <f t="shared" si="2"/>
        <v>78993</v>
      </c>
      <c r="W30" s="1015"/>
    </row>
    <row r="31" spans="1:25" ht="48.75" customHeight="1">
      <c r="A31" s="307" t="s">
        <v>257</v>
      </c>
      <c r="B31" s="329"/>
      <c r="C31" s="304">
        <v>964</v>
      </c>
      <c r="D31" s="320" t="s">
        <v>101</v>
      </c>
      <c r="E31" s="321" t="s">
        <v>146</v>
      </c>
      <c r="F31" s="321" t="s">
        <v>8</v>
      </c>
      <c r="G31" s="321" t="s">
        <v>256</v>
      </c>
      <c r="H31" s="321" t="s">
        <v>121</v>
      </c>
      <c r="I31" s="415">
        <v>0</v>
      </c>
      <c r="J31" s="415">
        <v>0</v>
      </c>
      <c r="K31" s="415">
        <v>0</v>
      </c>
      <c r="L31" s="415">
        <v>544.3</v>
      </c>
      <c r="M31" s="415">
        <v>569</v>
      </c>
      <c r="N31" s="415">
        <v>595.4</v>
      </c>
      <c r="O31" s="415"/>
      <c r="P31" s="415">
        <v>0</v>
      </c>
      <c r="Q31" s="415">
        <v>0</v>
      </c>
      <c r="R31" s="714">
        <v>0</v>
      </c>
      <c r="S31" s="415">
        <v>0</v>
      </c>
      <c r="T31" s="415">
        <v>0</v>
      </c>
      <c r="U31" s="415">
        <v>0</v>
      </c>
      <c r="V31" s="414">
        <f t="shared" si="2"/>
        <v>1708.6999999999998</v>
      </c>
      <c r="W31" s="1015"/>
      <c r="Y31" s="303"/>
    </row>
    <row r="32" spans="1:25" ht="20.25" customHeight="1">
      <c r="A32" s="1017" t="s">
        <v>292</v>
      </c>
      <c r="B32" s="329"/>
      <c r="C32" s="306">
        <v>964</v>
      </c>
      <c r="D32" s="323">
        <v>1102</v>
      </c>
      <c r="E32" s="322" t="s">
        <v>146</v>
      </c>
      <c r="F32" s="322" t="s">
        <v>8</v>
      </c>
      <c r="G32" s="322" t="s">
        <v>182</v>
      </c>
      <c r="H32" s="322" t="s">
        <v>121</v>
      </c>
      <c r="I32" s="415">
        <v>0</v>
      </c>
      <c r="J32" s="415">
        <v>0</v>
      </c>
      <c r="K32" s="415">
        <v>0</v>
      </c>
      <c r="L32" s="415">
        <v>55.1</v>
      </c>
      <c r="M32" s="415">
        <v>155.2</v>
      </c>
      <c r="N32" s="415">
        <v>57.6</v>
      </c>
      <c r="O32" s="415"/>
      <c r="P32" s="415">
        <v>0</v>
      </c>
      <c r="Q32" s="415">
        <v>0</v>
      </c>
      <c r="R32" s="714">
        <v>0</v>
      </c>
      <c r="S32" s="415">
        <v>0</v>
      </c>
      <c r="T32" s="415">
        <v>0</v>
      </c>
      <c r="U32" s="415">
        <v>0</v>
      </c>
      <c r="V32" s="414">
        <f t="shared" si="2"/>
        <v>267.9</v>
      </c>
      <c r="W32" s="1015"/>
      <c r="X32" s="316"/>
      <c r="Y32" s="303"/>
    </row>
    <row r="33" spans="1:23" ht="20.25" customHeight="1">
      <c r="A33" s="1018"/>
      <c r="B33" s="329"/>
      <c r="C33" s="306">
        <v>964</v>
      </c>
      <c r="D33" s="323">
        <v>1102</v>
      </c>
      <c r="E33" s="322" t="s">
        <v>146</v>
      </c>
      <c r="F33" s="322" t="s">
        <v>8</v>
      </c>
      <c r="G33" s="322" t="s">
        <v>383</v>
      </c>
      <c r="H33" s="322" t="s">
        <v>121</v>
      </c>
      <c r="I33" s="415">
        <v>0</v>
      </c>
      <c r="J33" s="415">
        <v>0</v>
      </c>
      <c r="K33" s="415">
        <v>0</v>
      </c>
      <c r="L33" s="415">
        <v>0</v>
      </c>
      <c r="M33" s="415">
        <v>0</v>
      </c>
      <c r="N33" s="413">
        <v>1120.5</v>
      </c>
      <c r="O33" s="413">
        <v>1229.6</v>
      </c>
      <c r="P33" s="413">
        <v>0</v>
      </c>
      <c r="Q33" s="413">
        <v>0</v>
      </c>
      <c r="R33" s="712">
        <v>0</v>
      </c>
      <c r="S33" s="413">
        <v>0</v>
      </c>
      <c r="T33" s="413">
        <v>0</v>
      </c>
      <c r="U33" s="413">
        <v>0</v>
      </c>
      <c r="V33" s="414">
        <f t="shared" si="2"/>
        <v>2350.1</v>
      </c>
      <c r="W33" s="1015"/>
    </row>
    <row r="34" spans="1:25" ht="20.25" customHeight="1">
      <c r="A34" s="1018"/>
      <c r="B34" s="329"/>
      <c r="C34" s="306">
        <v>964</v>
      </c>
      <c r="D34" s="323">
        <v>1102</v>
      </c>
      <c r="E34" s="322" t="s">
        <v>146</v>
      </c>
      <c r="F34" s="322" t="s">
        <v>8</v>
      </c>
      <c r="G34" s="322" t="s">
        <v>182</v>
      </c>
      <c r="H34" s="322" t="s">
        <v>122</v>
      </c>
      <c r="I34" s="415">
        <v>0</v>
      </c>
      <c r="J34" s="415">
        <v>0</v>
      </c>
      <c r="K34" s="415">
        <v>0</v>
      </c>
      <c r="L34" s="415">
        <v>0</v>
      </c>
      <c r="M34" s="415">
        <v>0</v>
      </c>
      <c r="N34" s="415">
        <v>159.2</v>
      </c>
      <c r="O34" s="415">
        <v>0</v>
      </c>
      <c r="P34" s="415">
        <v>0</v>
      </c>
      <c r="Q34" s="415">
        <v>0</v>
      </c>
      <c r="R34" s="714">
        <v>0</v>
      </c>
      <c r="S34" s="415">
        <v>0</v>
      </c>
      <c r="T34" s="415">
        <v>0</v>
      </c>
      <c r="U34" s="415">
        <v>0</v>
      </c>
      <c r="V34" s="414">
        <f t="shared" si="2"/>
        <v>159.2</v>
      </c>
      <c r="W34" s="1015"/>
      <c r="X34" s="316"/>
      <c r="Y34" s="303"/>
    </row>
    <row r="35" spans="1:24" ht="20.25" customHeight="1">
      <c r="A35" s="1019"/>
      <c r="B35" s="329"/>
      <c r="C35" s="305" t="s">
        <v>119</v>
      </c>
      <c r="D35" s="321" t="s">
        <v>258</v>
      </c>
      <c r="E35" s="321" t="s">
        <v>146</v>
      </c>
      <c r="F35" s="321" t="s">
        <v>8</v>
      </c>
      <c r="G35" s="321" t="s">
        <v>181</v>
      </c>
      <c r="H35" s="321" t="s">
        <v>122</v>
      </c>
      <c r="I35" s="413"/>
      <c r="J35" s="413"/>
      <c r="K35" s="413"/>
      <c r="L35" s="413"/>
      <c r="M35" s="413">
        <v>1793.5</v>
      </c>
      <c r="N35" s="413">
        <f>997.2+439.6+80+167.8</f>
        <v>1684.6000000000001</v>
      </c>
      <c r="O35" s="413">
        <v>1317.2</v>
      </c>
      <c r="P35" s="413">
        <v>0</v>
      </c>
      <c r="Q35" s="413">
        <v>0</v>
      </c>
      <c r="R35" s="712">
        <v>0</v>
      </c>
      <c r="S35" s="413">
        <v>0</v>
      </c>
      <c r="T35" s="413">
        <v>0</v>
      </c>
      <c r="U35" s="413">
        <v>0</v>
      </c>
      <c r="V35" s="414">
        <f t="shared" si="2"/>
        <v>4795.3</v>
      </c>
      <c r="W35" s="1015"/>
      <c r="X35" s="303"/>
    </row>
    <row r="36" spans="1:24" ht="203.25" customHeight="1">
      <c r="A36" s="310" t="s">
        <v>467</v>
      </c>
      <c r="B36" s="329"/>
      <c r="C36" s="305" t="s">
        <v>119</v>
      </c>
      <c r="D36" s="321" t="s">
        <v>258</v>
      </c>
      <c r="E36" s="321" t="s">
        <v>146</v>
      </c>
      <c r="F36" s="321" t="s">
        <v>8</v>
      </c>
      <c r="G36" s="321" t="s">
        <v>392</v>
      </c>
      <c r="H36" s="321" t="s">
        <v>122</v>
      </c>
      <c r="I36" s="413"/>
      <c r="J36" s="413"/>
      <c r="K36" s="413"/>
      <c r="L36" s="413"/>
      <c r="M36" s="413"/>
      <c r="N36" s="413">
        <v>42.3</v>
      </c>
      <c r="O36" s="413"/>
      <c r="P36" s="413"/>
      <c r="Q36" s="413"/>
      <c r="R36" s="712"/>
      <c r="S36" s="413"/>
      <c r="T36" s="413"/>
      <c r="U36" s="413"/>
      <c r="V36" s="414">
        <f t="shared" si="2"/>
        <v>42.3</v>
      </c>
      <c r="W36" s="1015"/>
      <c r="X36" s="303"/>
    </row>
    <row r="37" spans="1:24" ht="28.5" customHeight="1">
      <c r="A37" s="998" t="s">
        <v>287</v>
      </c>
      <c r="B37" s="329"/>
      <c r="C37" s="305" t="s">
        <v>119</v>
      </c>
      <c r="D37" s="321" t="s">
        <v>258</v>
      </c>
      <c r="E37" s="321" t="s">
        <v>146</v>
      </c>
      <c r="F37" s="321" t="s">
        <v>8</v>
      </c>
      <c r="G37" s="321" t="s">
        <v>288</v>
      </c>
      <c r="H37" s="321" t="s">
        <v>121</v>
      </c>
      <c r="I37" s="413"/>
      <c r="J37" s="413"/>
      <c r="K37" s="413"/>
      <c r="L37" s="413"/>
      <c r="M37" s="413">
        <v>14.8</v>
      </c>
      <c r="N37" s="413"/>
      <c r="O37" s="413"/>
      <c r="P37" s="413"/>
      <c r="Q37" s="413"/>
      <c r="R37" s="712"/>
      <c r="S37" s="413"/>
      <c r="T37" s="413"/>
      <c r="U37" s="413"/>
      <c r="V37" s="414">
        <f t="shared" si="2"/>
        <v>14.8</v>
      </c>
      <c r="W37" s="1015"/>
      <c r="X37" s="303"/>
    </row>
    <row r="38" spans="1:24" ht="28.5" customHeight="1">
      <c r="A38" s="999"/>
      <c r="B38" s="329"/>
      <c r="C38" s="305" t="s">
        <v>119</v>
      </c>
      <c r="D38" s="321" t="s">
        <v>258</v>
      </c>
      <c r="E38" s="321" t="s">
        <v>146</v>
      </c>
      <c r="F38" s="321" t="s">
        <v>8</v>
      </c>
      <c r="G38" s="321" t="s">
        <v>289</v>
      </c>
      <c r="H38" s="321" t="s">
        <v>122</v>
      </c>
      <c r="I38" s="413"/>
      <c r="J38" s="413"/>
      <c r="K38" s="413"/>
      <c r="L38" s="413"/>
      <c r="M38" s="413">
        <v>402.2</v>
      </c>
      <c r="N38" s="413"/>
      <c r="O38" s="413"/>
      <c r="P38" s="413"/>
      <c r="Q38" s="413"/>
      <c r="R38" s="712"/>
      <c r="S38" s="413"/>
      <c r="T38" s="413"/>
      <c r="U38" s="413"/>
      <c r="V38" s="414">
        <f t="shared" si="2"/>
        <v>402.2</v>
      </c>
      <c r="W38" s="1015"/>
      <c r="X38" s="303"/>
    </row>
    <row r="39" spans="1:24" ht="28.5" customHeight="1">
      <c r="A39" s="1000"/>
      <c r="B39" s="329"/>
      <c r="C39" s="305" t="s">
        <v>119</v>
      </c>
      <c r="D39" s="321" t="s">
        <v>271</v>
      </c>
      <c r="E39" s="321" t="s">
        <v>146</v>
      </c>
      <c r="F39" s="321" t="s">
        <v>8</v>
      </c>
      <c r="G39" s="321" t="s">
        <v>288</v>
      </c>
      <c r="H39" s="321" t="s">
        <v>121</v>
      </c>
      <c r="I39" s="413"/>
      <c r="J39" s="413"/>
      <c r="K39" s="413"/>
      <c r="L39" s="413"/>
      <c r="M39" s="413">
        <v>24.8</v>
      </c>
      <c r="N39" s="413"/>
      <c r="O39" s="413"/>
      <c r="P39" s="413"/>
      <c r="Q39" s="413"/>
      <c r="R39" s="712"/>
      <c r="S39" s="413"/>
      <c r="T39" s="413"/>
      <c r="U39" s="413"/>
      <c r="V39" s="414">
        <f t="shared" si="2"/>
        <v>24.8</v>
      </c>
      <c r="W39" s="1015"/>
      <c r="X39" s="303"/>
    </row>
    <row r="40" spans="1:24" ht="213" customHeight="1">
      <c r="A40" s="310" t="s">
        <v>290</v>
      </c>
      <c r="B40" s="329"/>
      <c r="C40" s="305" t="s">
        <v>119</v>
      </c>
      <c r="D40" s="321" t="s">
        <v>258</v>
      </c>
      <c r="E40" s="321" t="s">
        <v>146</v>
      </c>
      <c r="F40" s="321" t="s">
        <v>8</v>
      </c>
      <c r="G40" s="321" t="s">
        <v>291</v>
      </c>
      <c r="H40" s="321" t="s">
        <v>122</v>
      </c>
      <c r="I40" s="413"/>
      <c r="J40" s="413"/>
      <c r="K40" s="413"/>
      <c r="L40" s="413"/>
      <c r="M40" s="413"/>
      <c r="N40" s="413">
        <v>962.6</v>
      </c>
      <c r="O40" s="413">
        <v>757.1</v>
      </c>
      <c r="P40" s="413"/>
      <c r="Q40" s="413"/>
      <c r="R40" s="712"/>
      <c r="S40" s="413"/>
      <c r="T40" s="413"/>
      <c r="U40" s="413"/>
      <c r="V40" s="414">
        <f t="shared" si="2"/>
        <v>1719.7</v>
      </c>
      <c r="W40" s="1015"/>
      <c r="X40" s="303"/>
    </row>
    <row r="41" spans="1:24" ht="90" customHeight="1">
      <c r="A41" s="998" t="s">
        <v>290</v>
      </c>
      <c r="B41" s="329"/>
      <c r="C41" s="305" t="s">
        <v>119</v>
      </c>
      <c r="D41" s="321" t="s">
        <v>271</v>
      </c>
      <c r="E41" s="321" t="s">
        <v>146</v>
      </c>
      <c r="F41" s="321" t="s">
        <v>8</v>
      </c>
      <c r="G41" s="321" t="s">
        <v>413</v>
      </c>
      <c r="H41" s="321" t="s">
        <v>121</v>
      </c>
      <c r="I41" s="413"/>
      <c r="J41" s="413"/>
      <c r="K41" s="413"/>
      <c r="L41" s="413"/>
      <c r="M41" s="413"/>
      <c r="N41" s="413"/>
      <c r="O41" s="413">
        <v>167.2</v>
      </c>
      <c r="P41" s="413"/>
      <c r="Q41" s="413"/>
      <c r="R41" s="712"/>
      <c r="S41" s="413"/>
      <c r="T41" s="413"/>
      <c r="U41" s="413"/>
      <c r="V41" s="414">
        <f t="shared" si="2"/>
        <v>167.2</v>
      </c>
      <c r="W41" s="1015"/>
      <c r="X41" s="303"/>
    </row>
    <row r="42" spans="1:24" ht="117.75" customHeight="1">
      <c r="A42" s="1000"/>
      <c r="B42" s="329"/>
      <c r="C42" s="305" t="s">
        <v>119</v>
      </c>
      <c r="D42" s="321" t="s">
        <v>258</v>
      </c>
      <c r="E42" s="321" t="s">
        <v>146</v>
      </c>
      <c r="F42" s="321" t="s">
        <v>8</v>
      </c>
      <c r="G42" s="321" t="s">
        <v>413</v>
      </c>
      <c r="H42" s="321" t="s">
        <v>122</v>
      </c>
      <c r="I42" s="413"/>
      <c r="J42" s="413"/>
      <c r="K42" s="413"/>
      <c r="L42" s="413"/>
      <c r="M42" s="413"/>
      <c r="N42" s="413"/>
      <c r="O42" s="413">
        <v>133.8</v>
      </c>
      <c r="P42" s="413"/>
      <c r="Q42" s="413"/>
      <c r="R42" s="712"/>
      <c r="S42" s="413"/>
      <c r="T42" s="413"/>
      <c r="U42" s="413"/>
      <c r="V42" s="414">
        <f t="shared" si="2"/>
        <v>133.8</v>
      </c>
      <c r="W42" s="1015"/>
      <c r="X42" s="303"/>
    </row>
    <row r="43" spans="1:24" ht="36" customHeight="1">
      <c r="A43" s="998" t="s">
        <v>434</v>
      </c>
      <c r="B43" s="329"/>
      <c r="C43" s="305" t="s">
        <v>119</v>
      </c>
      <c r="D43" s="321" t="s">
        <v>258</v>
      </c>
      <c r="E43" s="321" t="s">
        <v>146</v>
      </c>
      <c r="F43" s="321" t="s">
        <v>8</v>
      </c>
      <c r="G43" s="321" t="s">
        <v>433</v>
      </c>
      <c r="H43" s="321" t="s">
        <v>121</v>
      </c>
      <c r="I43" s="413"/>
      <c r="J43" s="413"/>
      <c r="K43" s="413"/>
      <c r="L43" s="413"/>
      <c r="M43" s="413"/>
      <c r="N43" s="413"/>
      <c r="O43" s="413">
        <v>4</v>
      </c>
      <c r="P43" s="413"/>
      <c r="Q43" s="413"/>
      <c r="R43" s="712"/>
      <c r="S43" s="413"/>
      <c r="T43" s="413"/>
      <c r="U43" s="413"/>
      <c r="V43" s="414">
        <f t="shared" si="2"/>
        <v>4</v>
      </c>
      <c r="W43" s="1015"/>
      <c r="X43" s="303"/>
    </row>
    <row r="44" spans="1:24" ht="36" customHeight="1">
      <c r="A44" s="999"/>
      <c r="B44" s="329"/>
      <c r="C44" s="305" t="s">
        <v>119</v>
      </c>
      <c r="D44" s="321" t="s">
        <v>258</v>
      </c>
      <c r="E44" s="321" t="s">
        <v>146</v>
      </c>
      <c r="F44" s="321" t="s">
        <v>8</v>
      </c>
      <c r="G44" s="321" t="s">
        <v>433</v>
      </c>
      <c r="H44" s="321" t="s">
        <v>122</v>
      </c>
      <c r="I44" s="413"/>
      <c r="J44" s="413"/>
      <c r="K44" s="413"/>
      <c r="L44" s="413"/>
      <c r="M44" s="413"/>
      <c r="N44" s="413"/>
      <c r="O44" s="413">
        <v>26.9</v>
      </c>
      <c r="P44" s="413"/>
      <c r="Q44" s="413"/>
      <c r="R44" s="712"/>
      <c r="S44" s="413"/>
      <c r="T44" s="413"/>
      <c r="U44" s="413"/>
      <c r="V44" s="414">
        <f t="shared" si="2"/>
        <v>26.9</v>
      </c>
      <c r="W44" s="1015"/>
      <c r="X44" s="303"/>
    </row>
    <row r="45" spans="1:24" ht="36" customHeight="1">
      <c r="A45" s="1000"/>
      <c r="B45" s="329"/>
      <c r="C45" s="305" t="s">
        <v>119</v>
      </c>
      <c r="D45" s="321" t="s">
        <v>271</v>
      </c>
      <c r="E45" s="321" t="s">
        <v>146</v>
      </c>
      <c r="F45" s="321" t="s">
        <v>8</v>
      </c>
      <c r="G45" s="321" t="s">
        <v>433</v>
      </c>
      <c r="H45" s="321" t="s">
        <v>121</v>
      </c>
      <c r="I45" s="413"/>
      <c r="J45" s="413"/>
      <c r="K45" s="413"/>
      <c r="L45" s="413"/>
      <c r="M45" s="413"/>
      <c r="N45" s="413"/>
      <c r="O45" s="413">
        <v>29.5</v>
      </c>
      <c r="P45" s="413"/>
      <c r="Q45" s="413"/>
      <c r="R45" s="712"/>
      <c r="S45" s="413"/>
      <c r="T45" s="413"/>
      <c r="U45" s="413"/>
      <c r="V45" s="414">
        <f t="shared" si="2"/>
        <v>29.5</v>
      </c>
      <c r="W45" s="1015"/>
      <c r="X45" s="303"/>
    </row>
    <row r="46" spans="1:24" ht="148.5" customHeight="1">
      <c r="A46" s="490" t="s">
        <v>509</v>
      </c>
      <c r="B46" s="329"/>
      <c r="C46" s="305" t="s">
        <v>119</v>
      </c>
      <c r="D46" s="321" t="s">
        <v>258</v>
      </c>
      <c r="E46" s="321" t="s">
        <v>146</v>
      </c>
      <c r="F46" s="321" t="s">
        <v>8</v>
      </c>
      <c r="G46" s="321" t="s">
        <v>508</v>
      </c>
      <c r="H46" s="321" t="s">
        <v>122</v>
      </c>
      <c r="I46" s="413"/>
      <c r="J46" s="413"/>
      <c r="K46" s="413"/>
      <c r="L46" s="413"/>
      <c r="M46" s="413"/>
      <c r="N46" s="413"/>
      <c r="O46" s="413"/>
      <c r="P46" s="413"/>
      <c r="Q46" s="413">
        <v>182.3</v>
      </c>
      <c r="R46" s="712"/>
      <c r="S46" s="413"/>
      <c r="T46" s="413"/>
      <c r="U46" s="413"/>
      <c r="V46" s="414">
        <f t="shared" si="2"/>
        <v>182.3</v>
      </c>
      <c r="W46" s="1015"/>
      <c r="X46" s="303"/>
    </row>
    <row r="47" spans="1:24" ht="148.5" customHeight="1">
      <c r="A47" s="490" t="s">
        <v>509</v>
      </c>
      <c r="B47" s="329"/>
      <c r="C47" s="305" t="s">
        <v>119</v>
      </c>
      <c r="D47" s="321" t="s">
        <v>271</v>
      </c>
      <c r="E47" s="321" t="s">
        <v>146</v>
      </c>
      <c r="F47" s="321" t="s">
        <v>8</v>
      </c>
      <c r="G47" s="321" t="s">
        <v>508</v>
      </c>
      <c r="H47" s="321" t="s">
        <v>121</v>
      </c>
      <c r="I47" s="413"/>
      <c r="J47" s="413"/>
      <c r="K47" s="413"/>
      <c r="L47" s="413"/>
      <c r="M47" s="413"/>
      <c r="N47" s="413"/>
      <c r="O47" s="413"/>
      <c r="P47" s="413"/>
      <c r="Q47" s="413">
        <v>202.6</v>
      </c>
      <c r="R47" s="712"/>
      <c r="S47" s="413"/>
      <c r="T47" s="413"/>
      <c r="U47" s="413"/>
      <c r="V47" s="414">
        <f t="shared" si="2"/>
        <v>202.6</v>
      </c>
      <c r="W47" s="1015"/>
      <c r="X47" s="303"/>
    </row>
    <row r="48" spans="1:24" ht="101.25" customHeight="1">
      <c r="A48" s="998" t="s">
        <v>407</v>
      </c>
      <c r="B48" s="329"/>
      <c r="C48" s="305" t="s">
        <v>119</v>
      </c>
      <c r="D48" s="321" t="s">
        <v>258</v>
      </c>
      <c r="E48" s="321" t="s">
        <v>146</v>
      </c>
      <c r="F48" s="321" t="s">
        <v>8</v>
      </c>
      <c r="G48" s="321" t="s">
        <v>406</v>
      </c>
      <c r="H48" s="321" t="s">
        <v>122</v>
      </c>
      <c r="I48" s="413"/>
      <c r="J48" s="413"/>
      <c r="K48" s="413"/>
      <c r="L48" s="413"/>
      <c r="M48" s="413"/>
      <c r="N48" s="413">
        <v>73.4</v>
      </c>
      <c r="O48" s="413"/>
      <c r="P48" s="413"/>
      <c r="Q48" s="413"/>
      <c r="R48" s="712"/>
      <c r="S48" s="413"/>
      <c r="T48" s="413"/>
      <c r="U48" s="413"/>
      <c r="V48" s="414">
        <f t="shared" si="2"/>
        <v>73.4</v>
      </c>
      <c r="W48" s="1015"/>
      <c r="X48" s="303"/>
    </row>
    <row r="49" spans="1:24" ht="45" customHeight="1">
      <c r="A49" s="1000"/>
      <c r="B49" s="329"/>
      <c r="C49" s="305" t="s">
        <v>119</v>
      </c>
      <c r="D49" s="321" t="s">
        <v>258</v>
      </c>
      <c r="E49" s="321" t="s">
        <v>146</v>
      </c>
      <c r="F49" s="321" t="s">
        <v>8</v>
      </c>
      <c r="G49" s="321" t="s">
        <v>406</v>
      </c>
      <c r="H49" s="321" t="s">
        <v>121</v>
      </c>
      <c r="I49" s="413"/>
      <c r="J49" s="413"/>
      <c r="K49" s="413"/>
      <c r="L49" s="413"/>
      <c r="M49" s="413"/>
      <c r="N49" s="413">
        <v>15.5</v>
      </c>
      <c r="O49" s="413"/>
      <c r="P49" s="413"/>
      <c r="Q49" s="413"/>
      <c r="R49" s="712"/>
      <c r="S49" s="413"/>
      <c r="T49" s="413"/>
      <c r="U49" s="413"/>
      <c r="V49" s="414">
        <f t="shared" si="2"/>
        <v>15.5</v>
      </c>
      <c r="W49" s="1015"/>
      <c r="X49" s="303"/>
    </row>
    <row r="50" spans="1:24" ht="40.5" customHeight="1">
      <c r="A50" s="998" t="s">
        <v>401</v>
      </c>
      <c r="B50" s="329"/>
      <c r="C50" s="305" t="s">
        <v>119</v>
      </c>
      <c r="D50" s="321" t="s">
        <v>258</v>
      </c>
      <c r="E50" s="321" t="s">
        <v>146</v>
      </c>
      <c r="F50" s="321" t="s">
        <v>8</v>
      </c>
      <c r="G50" s="321" t="s">
        <v>402</v>
      </c>
      <c r="H50" s="321" t="s">
        <v>122</v>
      </c>
      <c r="I50" s="413"/>
      <c r="J50" s="413"/>
      <c r="K50" s="413"/>
      <c r="L50" s="413"/>
      <c r="M50" s="413"/>
      <c r="N50" s="413">
        <v>19.4</v>
      </c>
      <c r="O50" s="413"/>
      <c r="P50" s="413"/>
      <c r="Q50" s="413"/>
      <c r="R50" s="712"/>
      <c r="S50" s="413"/>
      <c r="T50" s="413"/>
      <c r="U50" s="413"/>
      <c r="V50" s="414">
        <f t="shared" si="2"/>
        <v>19.4</v>
      </c>
      <c r="W50" s="1015"/>
      <c r="X50" s="303"/>
    </row>
    <row r="51" spans="1:24" ht="40.5" customHeight="1">
      <c r="A51" s="1000"/>
      <c r="B51" s="329"/>
      <c r="C51" s="305" t="s">
        <v>119</v>
      </c>
      <c r="D51" s="321" t="s">
        <v>258</v>
      </c>
      <c r="E51" s="321" t="s">
        <v>146</v>
      </c>
      <c r="F51" s="321" t="s">
        <v>8</v>
      </c>
      <c r="G51" s="321" t="s">
        <v>402</v>
      </c>
      <c r="H51" s="321" t="s">
        <v>121</v>
      </c>
      <c r="I51" s="413"/>
      <c r="J51" s="413"/>
      <c r="K51" s="413"/>
      <c r="L51" s="413"/>
      <c r="M51" s="413"/>
      <c r="N51" s="413">
        <v>4.2</v>
      </c>
      <c r="O51" s="413"/>
      <c r="P51" s="413"/>
      <c r="Q51" s="413"/>
      <c r="R51" s="712"/>
      <c r="S51" s="413"/>
      <c r="T51" s="413"/>
      <c r="U51" s="413"/>
      <c r="V51" s="414">
        <f t="shared" si="2"/>
        <v>4.2</v>
      </c>
      <c r="W51" s="1015"/>
      <c r="X51" s="303"/>
    </row>
    <row r="52" spans="1:24" ht="40.5" customHeight="1">
      <c r="A52" s="998" t="s">
        <v>435</v>
      </c>
      <c r="B52" s="329"/>
      <c r="C52" s="305" t="s">
        <v>119</v>
      </c>
      <c r="D52" s="321" t="s">
        <v>271</v>
      </c>
      <c r="E52" s="321" t="s">
        <v>146</v>
      </c>
      <c r="F52" s="321" t="s">
        <v>8</v>
      </c>
      <c r="G52" s="321" t="s">
        <v>425</v>
      </c>
      <c r="H52" s="321" t="s">
        <v>121</v>
      </c>
      <c r="I52" s="413"/>
      <c r="J52" s="413"/>
      <c r="K52" s="413"/>
      <c r="L52" s="413"/>
      <c r="M52" s="413"/>
      <c r="N52" s="413"/>
      <c r="O52" s="413">
        <v>220.6</v>
      </c>
      <c r="P52" s="413"/>
      <c r="Q52" s="413"/>
      <c r="R52" s="712"/>
      <c r="S52" s="413"/>
      <c r="T52" s="413"/>
      <c r="U52" s="413"/>
      <c r="V52" s="414">
        <f t="shared" si="2"/>
        <v>220.6</v>
      </c>
      <c r="W52" s="1015"/>
      <c r="X52" s="303"/>
    </row>
    <row r="53" spans="1:24" ht="40.5" customHeight="1">
      <c r="A53" s="1000"/>
      <c r="B53" s="329"/>
      <c r="C53" s="305" t="s">
        <v>119</v>
      </c>
      <c r="D53" s="321" t="s">
        <v>258</v>
      </c>
      <c r="E53" s="321" t="s">
        <v>146</v>
      </c>
      <c r="F53" s="321" t="s">
        <v>8</v>
      </c>
      <c r="G53" s="321" t="s">
        <v>425</v>
      </c>
      <c r="H53" s="321" t="s">
        <v>122</v>
      </c>
      <c r="I53" s="413"/>
      <c r="J53" s="413"/>
      <c r="K53" s="413"/>
      <c r="L53" s="413"/>
      <c r="M53" s="413"/>
      <c r="N53" s="413"/>
      <c r="O53" s="413">
        <v>151.3</v>
      </c>
      <c r="P53" s="413"/>
      <c r="Q53" s="413"/>
      <c r="R53" s="712"/>
      <c r="S53" s="413"/>
      <c r="T53" s="413"/>
      <c r="U53" s="413"/>
      <c r="V53" s="414">
        <f t="shared" si="2"/>
        <v>151.3</v>
      </c>
      <c r="W53" s="1015"/>
      <c r="X53" s="303"/>
    </row>
    <row r="54" spans="1:24" ht="125.25" customHeight="1">
      <c r="A54" s="310" t="s">
        <v>293</v>
      </c>
      <c r="B54" s="329"/>
      <c r="C54" s="305" t="s">
        <v>119</v>
      </c>
      <c r="D54" s="321" t="s">
        <v>258</v>
      </c>
      <c r="E54" s="321" t="s">
        <v>146</v>
      </c>
      <c r="F54" s="321" t="s">
        <v>8</v>
      </c>
      <c r="G54" s="321" t="s">
        <v>294</v>
      </c>
      <c r="H54" s="321" t="s">
        <v>122</v>
      </c>
      <c r="I54" s="413"/>
      <c r="J54" s="413"/>
      <c r="K54" s="413"/>
      <c r="L54" s="413"/>
      <c r="M54" s="413">
        <v>310.6</v>
      </c>
      <c r="N54" s="413">
        <v>287.9</v>
      </c>
      <c r="O54" s="413"/>
      <c r="P54" s="413">
        <v>0</v>
      </c>
      <c r="Q54" s="413">
        <v>0</v>
      </c>
      <c r="R54" s="712">
        <v>0</v>
      </c>
      <c r="S54" s="413">
        <v>0</v>
      </c>
      <c r="T54" s="413">
        <v>0</v>
      </c>
      <c r="U54" s="413">
        <v>0</v>
      </c>
      <c r="V54" s="414">
        <f t="shared" si="2"/>
        <v>598.5</v>
      </c>
      <c r="W54" s="1015"/>
      <c r="X54" s="303"/>
    </row>
    <row r="55" spans="1:24" ht="63" customHeight="1">
      <c r="A55" s="310" t="s">
        <v>401</v>
      </c>
      <c r="B55" s="329"/>
      <c r="C55" s="305" t="s">
        <v>119</v>
      </c>
      <c r="D55" s="321" t="s">
        <v>271</v>
      </c>
      <c r="E55" s="321" t="s">
        <v>146</v>
      </c>
      <c r="F55" s="321" t="s">
        <v>8</v>
      </c>
      <c r="G55" s="321" t="s">
        <v>402</v>
      </c>
      <c r="H55" s="321" t="s">
        <v>121</v>
      </c>
      <c r="I55" s="413"/>
      <c r="J55" s="413"/>
      <c r="K55" s="413"/>
      <c r="L55" s="413"/>
      <c r="M55" s="413"/>
      <c r="N55" s="413">
        <v>19</v>
      </c>
      <c r="O55" s="413"/>
      <c r="P55" s="413"/>
      <c r="Q55" s="413"/>
      <c r="R55" s="712"/>
      <c r="S55" s="413"/>
      <c r="T55" s="413"/>
      <c r="U55" s="413"/>
      <c r="V55" s="414">
        <f t="shared" si="2"/>
        <v>19</v>
      </c>
      <c r="W55" s="1015"/>
      <c r="X55" s="303"/>
    </row>
    <row r="56" spans="1:24" ht="123.75" customHeight="1">
      <c r="A56" s="310" t="s">
        <v>293</v>
      </c>
      <c r="B56" s="329"/>
      <c r="C56" s="305" t="s">
        <v>119</v>
      </c>
      <c r="D56" s="321" t="s">
        <v>258</v>
      </c>
      <c r="E56" s="321" t="s">
        <v>146</v>
      </c>
      <c r="F56" s="321" t="s">
        <v>8</v>
      </c>
      <c r="G56" s="321" t="s">
        <v>389</v>
      </c>
      <c r="H56" s="321" t="s">
        <v>122</v>
      </c>
      <c r="I56" s="413"/>
      <c r="J56" s="413"/>
      <c r="K56" s="413"/>
      <c r="L56" s="413"/>
      <c r="M56" s="413">
        <v>333.8</v>
      </c>
      <c r="N56" s="413">
        <v>146.4</v>
      </c>
      <c r="O56" s="413"/>
      <c r="P56" s="413">
        <v>0</v>
      </c>
      <c r="Q56" s="413">
        <v>0</v>
      </c>
      <c r="R56" s="712">
        <v>0</v>
      </c>
      <c r="S56" s="413">
        <v>0</v>
      </c>
      <c r="T56" s="413">
        <v>0</v>
      </c>
      <c r="U56" s="413">
        <v>0</v>
      </c>
      <c r="V56" s="414">
        <f t="shared" si="2"/>
        <v>480.20000000000005</v>
      </c>
      <c r="W56" s="1016"/>
      <c r="X56" s="303"/>
    </row>
    <row r="57" spans="1:29" ht="48.75" customHeight="1">
      <c r="A57" s="1003" t="s">
        <v>466</v>
      </c>
      <c r="B57" s="329"/>
      <c r="C57" s="308">
        <v>964</v>
      </c>
      <c r="D57" s="321" t="s">
        <v>258</v>
      </c>
      <c r="E57" s="321" t="s">
        <v>146</v>
      </c>
      <c r="F57" s="321" t="s">
        <v>8</v>
      </c>
      <c r="G57" s="321" t="s">
        <v>210</v>
      </c>
      <c r="H57" s="321" t="s">
        <v>123</v>
      </c>
      <c r="I57" s="413"/>
      <c r="J57" s="413"/>
      <c r="K57" s="413"/>
      <c r="L57" s="413">
        <v>3000</v>
      </c>
      <c r="M57" s="413"/>
      <c r="N57" s="413"/>
      <c r="O57" s="413">
        <v>4200</v>
      </c>
      <c r="P57" s="413"/>
      <c r="Q57" s="413"/>
      <c r="R57" s="712"/>
      <c r="S57" s="413"/>
      <c r="T57" s="413"/>
      <c r="U57" s="413"/>
      <c r="V57" s="414">
        <f t="shared" si="2"/>
        <v>7200</v>
      </c>
      <c r="W57" s="1024" t="s">
        <v>499</v>
      </c>
      <c r="X57" s="372" t="s">
        <v>380</v>
      </c>
      <c r="Y57" s="366">
        <f>O11+O13+O31+O32+O27+O15+O22+O33+O23+O65+O61+O70+O58+O81+O74+O77+O88+O18+O21+O35+O56+O54</f>
        <v>22385.699999999997</v>
      </c>
      <c r="Z57" s="367">
        <f>ПР2ПП2!P11+ПР2ПП2!P12+ПР2ПП2!P16+ПР2ПП2!P17+ПР2ПП2!P18+ПР2ПП2!P19+ПР2ПП2!P34+ПР2ПП2!P35+ПР2ПП2!P41+ПР2ПП2!P42+ПР2ПП2!P23+ПР2ПП2!P56+ПР2ПП2!P40</f>
        <v>9855.7</v>
      </c>
      <c r="AA57" s="368">
        <f>'ПР.2ПП4'!P10+'ПР.2ПП4'!P13+'ПР.2ПП4'!P14+'ПР.2ПП4'!P15</f>
        <v>60.8</v>
      </c>
      <c r="AB57" s="367">
        <f>Y57+Z57+AA57</f>
        <v>32302.199999999997</v>
      </c>
      <c r="AC57" s="370"/>
    </row>
    <row r="58" spans="1:28" ht="48.75" customHeight="1">
      <c r="A58" s="1004"/>
      <c r="B58" s="329"/>
      <c r="C58" s="305" t="s">
        <v>119</v>
      </c>
      <c r="D58" s="321" t="s">
        <v>258</v>
      </c>
      <c r="E58" s="321" t="s">
        <v>146</v>
      </c>
      <c r="F58" s="321" t="s">
        <v>8</v>
      </c>
      <c r="G58" s="321" t="s">
        <v>259</v>
      </c>
      <c r="H58" s="321" t="s">
        <v>123</v>
      </c>
      <c r="I58" s="413"/>
      <c r="J58" s="413"/>
      <c r="K58" s="413"/>
      <c r="L58" s="413">
        <v>1893.4</v>
      </c>
      <c r="M58" s="413"/>
      <c r="N58" s="413"/>
      <c r="O58" s="413">
        <f>400+236.4</f>
        <v>636.4</v>
      </c>
      <c r="P58" s="413"/>
      <c r="Q58" s="413"/>
      <c r="R58" s="712"/>
      <c r="S58" s="413"/>
      <c r="T58" s="413"/>
      <c r="U58" s="413"/>
      <c r="V58" s="414">
        <f t="shared" si="2"/>
        <v>2529.8</v>
      </c>
      <c r="W58" s="1030"/>
      <c r="X58" s="369"/>
      <c r="Y58" s="370"/>
      <c r="Z58" s="370" t="s">
        <v>411</v>
      </c>
      <c r="AA58" s="370" t="s">
        <v>412</v>
      </c>
      <c r="AB58" s="370"/>
    </row>
    <row r="59" spans="1:28" ht="48.75" customHeight="1">
      <c r="A59" s="1004"/>
      <c r="B59" s="329"/>
      <c r="C59" s="308">
        <v>964</v>
      </c>
      <c r="D59" s="321" t="s">
        <v>271</v>
      </c>
      <c r="E59" s="321" t="s">
        <v>146</v>
      </c>
      <c r="F59" s="321" t="s">
        <v>8</v>
      </c>
      <c r="G59" s="321" t="s">
        <v>210</v>
      </c>
      <c r="H59" s="321" t="s">
        <v>123</v>
      </c>
      <c r="I59" s="413"/>
      <c r="J59" s="413"/>
      <c r="K59" s="413"/>
      <c r="L59" s="413"/>
      <c r="M59" s="413">
        <v>1980</v>
      </c>
      <c r="N59" s="413"/>
      <c r="O59" s="413"/>
      <c r="P59" s="413">
        <v>3273.1</v>
      </c>
      <c r="Q59" s="413">
        <f>5000-5000</f>
        <v>0</v>
      </c>
      <c r="R59" s="712"/>
      <c r="S59" s="413"/>
      <c r="T59" s="413"/>
      <c r="U59" s="413"/>
      <c r="V59" s="414">
        <f t="shared" si="2"/>
        <v>5253.1</v>
      </c>
      <c r="W59" s="1030"/>
      <c r="X59" s="369"/>
      <c r="Y59" s="370"/>
      <c r="Z59" s="371">
        <f>Y70+Z70+AA70</f>
        <v>0</v>
      </c>
      <c r="AA59" s="374">
        <f>Y57+Y65+Z65+Z57+AA70</f>
        <v>45158.600000000006</v>
      </c>
      <c r="AB59" s="370"/>
    </row>
    <row r="60" spans="1:28" ht="48.75" customHeight="1">
      <c r="A60" s="1004"/>
      <c r="B60" s="329"/>
      <c r="C60" s="308">
        <v>965</v>
      </c>
      <c r="D60" s="321" t="s">
        <v>271</v>
      </c>
      <c r="E60" s="321" t="s">
        <v>146</v>
      </c>
      <c r="F60" s="321" t="s">
        <v>8</v>
      </c>
      <c r="G60" s="321" t="s">
        <v>259</v>
      </c>
      <c r="H60" s="321" t="s">
        <v>123</v>
      </c>
      <c r="I60" s="413"/>
      <c r="J60" s="413"/>
      <c r="K60" s="413"/>
      <c r="L60" s="413"/>
      <c r="M60" s="413"/>
      <c r="N60" s="413"/>
      <c r="O60" s="413"/>
      <c r="P60" s="413"/>
      <c r="Q60" s="413">
        <v>5000</v>
      </c>
      <c r="R60" s="712"/>
      <c r="S60" s="413"/>
      <c r="T60" s="413"/>
      <c r="U60" s="413"/>
      <c r="V60" s="414">
        <f t="shared" si="2"/>
        <v>5000</v>
      </c>
      <c r="W60" s="1030"/>
      <c r="X60" s="369"/>
      <c r="Y60" s="370"/>
      <c r="Z60" s="371"/>
      <c r="AA60" s="374"/>
      <c r="AB60" s="370"/>
    </row>
    <row r="61" spans="1:29" ht="48.75" customHeight="1">
      <c r="A61" s="1004"/>
      <c r="B61" s="329"/>
      <c r="C61" s="308">
        <v>964</v>
      </c>
      <c r="D61" s="321" t="s">
        <v>271</v>
      </c>
      <c r="E61" s="321" t="s">
        <v>146</v>
      </c>
      <c r="F61" s="321" t="s">
        <v>8</v>
      </c>
      <c r="G61" s="321" t="s">
        <v>259</v>
      </c>
      <c r="H61" s="321" t="s">
        <v>123</v>
      </c>
      <c r="I61" s="413"/>
      <c r="J61" s="413"/>
      <c r="K61" s="413"/>
      <c r="L61" s="413"/>
      <c r="M61" s="413">
        <v>2870</v>
      </c>
      <c r="N61" s="413"/>
      <c r="O61" s="413"/>
      <c r="P61" s="413">
        <v>172.4</v>
      </c>
      <c r="Q61" s="413">
        <v>500</v>
      </c>
      <c r="R61" s="712"/>
      <c r="S61" s="413"/>
      <c r="T61" s="413"/>
      <c r="U61" s="413"/>
      <c r="V61" s="414">
        <f t="shared" si="2"/>
        <v>3542.4</v>
      </c>
      <c r="W61" s="1025"/>
      <c r="X61" s="372" t="s">
        <v>393</v>
      </c>
      <c r="Y61" s="382">
        <f>O95</f>
        <v>4015.9</v>
      </c>
      <c r="Z61" s="367">
        <f>ПР2ПП2!P60</f>
        <v>5142.1</v>
      </c>
      <c r="AA61" s="368"/>
      <c r="AB61" s="367">
        <f>Y61+Z61+AA61</f>
        <v>9158</v>
      </c>
      <c r="AC61" s="370"/>
    </row>
    <row r="62" spans="1:29" ht="48.75" customHeight="1">
      <c r="A62" s="1004"/>
      <c r="B62" s="329"/>
      <c r="C62" s="308">
        <v>964</v>
      </c>
      <c r="D62" s="321" t="s">
        <v>572</v>
      </c>
      <c r="E62" s="321" t="s">
        <v>146</v>
      </c>
      <c r="F62" s="321" t="s">
        <v>8</v>
      </c>
      <c r="G62" s="321" t="s">
        <v>259</v>
      </c>
      <c r="H62" s="321" t="s">
        <v>154</v>
      </c>
      <c r="I62" s="413"/>
      <c r="J62" s="413"/>
      <c r="K62" s="413"/>
      <c r="L62" s="413"/>
      <c r="M62" s="413"/>
      <c r="N62" s="413"/>
      <c r="O62" s="413"/>
      <c r="P62" s="413"/>
      <c r="Q62" s="413"/>
      <c r="R62" s="712">
        <v>9450</v>
      </c>
      <c r="S62" s="413"/>
      <c r="T62" s="413"/>
      <c r="U62" s="413"/>
      <c r="V62" s="414">
        <f t="shared" si="2"/>
        <v>9450</v>
      </c>
      <c r="W62" s="586"/>
      <c r="X62" s="372"/>
      <c r="Y62" s="382"/>
      <c r="Z62" s="367"/>
      <c r="AA62" s="368"/>
      <c r="AB62" s="367"/>
      <c r="AC62" s="370"/>
    </row>
    <row r="63" spans="1:29" ht="48.75" customHeight="1">
      <c r="A63" s="1005"/>
      <c r="B63" s="329"/>
      <c r="C63" s="308">
        <v>964</v>
      </c>
      <c r="D63" s="321" t="s">
        <v>572</v>
      </c>
      <c r="E63" s="321" t="s">
        <v>146</v>
      </c>
      <c r="F63" s="321" t="s">
        <v>8</v>
      </c>
      <c r="G63" s="321" t="s">
        <v>259</v>
      </c>
      <c r="H63" s="321" t="s">
        <v>154</v>
      </c>
      <c r="I63" s="413"/>
      <c r="J63" s="413"/>
      <c r="K63" s="413"/>
      <c r="L63" s="413"/>
      <c r="M63" s="413"/>
      <c r="N63" s="413"/>
      <c r="O63" s="413"/>
      <c r="P63" s="413"/>
      <c r="Q63" s="413"/>
      <c r="R63" s="712">
        <v>400</v>
      </c>
      <c r="S63" s="413"/>
      <c r="T63" s="413"/>
      <c r="U63" s="413"/>
      <c r="V63" s="414">
        <f t="shared" si="2"/>
        <v>400</v>
      </c>
      <c r="W63" s="586"/>
      <c r="X63" s="372"/>
      <c r="Y63" s="382"/>
      <c r="Z63" s="367"/>
      <c r="AA63" s="368"/>
      <c r="AB63" s="367"/>
      <c r="AC63" s="370"/>
    </row>
    <row r="64" spans="1:29" ht="58.5" customHeight="1">
      <c r="A64" s="1001" t="s">
        <v>211</v>
      </c>
      <c r="B64" s="329"/>
      <c r="C64" s="308">
        <v>964</v>
      </c>
      <c r="D64" s="320" t="s">
        <v>101</v>
      </c>
      <c r="E64" s="321" t="s">
        <v>146</v>
      </c>
      <c r="F64" s="321" t="s">
        <v>8</v>
      </c>
      <c r="G64" s="321" t="s">
        <v>212</v>
      </c>
      <c r="H64" s="321" t="s">
        <v>123</v>
      </c>
      <c r="I64" s="413">
        <v>0</v>
      </c>
      <c r="J64" s="413">
        <v>0</v>
      </c>
      <c r="K64" s="413">
        <v>375</v>
      </c>
      <c r="L64" s="413">
        <v>0</v>
      </c>
      <c r="M64" s="413">
        <v>0</v>
      </c>
      <c r="N64" s="413">
        <f>M64</f>
        <v>0</v>
      </c>
      <c r="O64" s="413">
        <v>0</v>
      </c>
      <c r="P64" s="413">
        <v>0</v>
      </c>
      <c r="Q64" s="413">
        <v>0</v>
      </c>
      <c r="R64" s="712">
        <v>0</v>
      </c>
      <c r="S64" s="413">
        <v>0</v>
      </c>
      <c r="T64" s="413">
        <v>0</v>
      </c>
      <c r="U64" s="413">
        <v>0</v>
      </c>
      <c r="V64" s="414">
        <f t="shared" si="2"/>
        <v>375</v>
      </c>
      <c r="W64" s="1028" t="s">
        <v>483</v>
      </c>
      <c r="X64" s="369"/>
      <c r="Y64" s="370"/>
      <c r="Z64" s="370"/>
      <c r="AA64" s="370"/>
      <c r="AB64" s="370"/>
      <c r="AC64" s="370"/>
    </row>
    <row r="65" spans="1:29" ht="58.5" customHeight="1">
      <c r="A65" s="1002"/>
      <c r="B65" s="329"/>
      <c r="C65" s="308">
        <v>964</v>
      </c>
      <c r="D65" s="320" t="s">
        <v>101</v>
      </c>
      <c r="E65" s="321" t="s">
        <v>146</v>
      </c>
      <c r="F65" s="321" t="s">
        <v>8</v>
      </c>
      <c r="G65" s="321" t="s">
        <v>213</v>
      </c>
      <c r="H65" s="321" t="s">
        <v>123</v>
      </c>
      <c r="I65" s="413">
        <v>0</v>
      </c>
      <c r="J65" s="413">
        <v>0</v>
      </c>
      <c r="K65" s="413">
        <v>15</v>
      </c>
      <c r="L65" s="413">
        <v>0</v>
      </c>
      <c r="M65" s="413">
        <v>0</v>
      </c>
      <c r="N65" s="413">
        <f>M65</f>
        <v>0</v>
      </c>
      <c r="O65" s="413">
        <v>0</v>
      </c>
      <c r="P65" s="413">
        <v>0</v>
      </c>
      <c r="Q65" s="413">
        <v>0</v>
      </c>
      <c r="R65" s="712">
        <v>0</v>
      </c>
      <c r="S65" s="413">
        <v>0</v>
      </c>
      <c r="T65" s="413">
        <v>0</v>
      </c>
      <c r="U65" s="413">
        <v>0</v>
      </c>
      <c r="V65" s="414">
        <f t="shared" si="2"/>
        <v>15</v>
      </c>
      <c r="W65" s="1029"/>
      <c r="X65" s="372" t="s">
        <v>379</v>
      </c>
      <c r="Y65" s="366">
        <f>O64+O57+O68+O73+O59+O80+O75+O86+O36+O37+O38+O39+O40+O41+O42+O48+O49+O50+O51+O55</f>
        <v>9739.9</v>
      </c>
      <c r="Z65" s="367">
        <f>ПР2ПП2!P38+ПР2ПП2!P39+ПР2ПП2!P20+ПР2ПП2!P21+ПР2ПП2!P22+ПР2ПП2!P24+ПР2ПП2!P55+ПР2ПП2!P57+ПР2ПП2!P25+ПР2ПП2!P26+ПР2ПП2!P29</f>
        <v>3177.3</v>
      </c>
      <c r="AA65" s="368">
        <f>'ПР.2ПП4'!P20+'ПР.2ПП4'!P19+'ПР.2ПП4'!P17+'ПР.2ПП4'!P16</f>
        <v>0</v>
      </c>
      <c r="AB65" s="367">
        <f>Y65+Z65+AA65</f>
        <v>12917.2</v>
      </c>
      <c r="AC65" s="370"/>
    </row>
    <row r="66" spans="1:29" ht="58.5" customHeight="1">
      <c r="A66" s="1001" t="s">
        <v>575</v>
      </c>
      <c r="B66" s="329"/>
      <c r="C66" s="308">
        <v>964</v>
      </c>
      <c r="D66" s="320" t="s">
        <v>101</v>
      </c>
      <c r="E66" s="321" t="s">
        <v>146</v>
      </c>
      <c r="F66" s="321" t="s">
        <v>8</v>
      </c>
      <c r="G66" s="321" t="s">
        <v>212</v>
      </c>
      <c r="H66" s="321" t="s">
        <v>123</v>
      </c>
      <c r="I66" s="413"/>
      <c r="J66" s="413"/>
      <c r="K66" s="413"/>
      <c r="L66" s="413"/>
      <c r="M66" s="413"/>
      <c r="N66" s="413"/>
      <c r="O66" s="413"/>
      <c r="P66" s="413"/>
      <c r="Q66" s="413"/>
      <c r="R66" s="712">
        <v>35000</v>
      </c>
      <c r="S66" s="413"/>
      <c r="T66" s="413"/>
      <c r="U66" s="413"/>
      <c r="V66" s="414">
        <f t="shared" si="2"/>
        <v>35000</v>
      </c>
      <c r="W66" s="588"/>
      <c r="X66" s="372"/>
      <c r="Y66" s="366"/>
      <c r="Z66" s="367"/>
      <c r="AA66" s="368"/>
      <c r="AB66" s="367"/>
      <c r="AC66" s="370"/>
    </row>
    <row r="67" spans="1:29" ht="58.5" customHeight="1">
      <c r="A67" s="1002"/>
      <c r="B67" s="329"/>
      <c r="C67" s="308">
        <v>964</v>
      </c>
      <c r="D67" s="320" t="s">
        <v>101</v>
      </c>
      <c r="E67" s="321" t="s">
        <v>146</v>
      </c>
      <c r="F67" s="321" t="s">
        <v>8</v>
      </c>
      <c r="G67" s="321" t="s">
        <v>213</v>
      </c>
      <c r="H67" s="321" t="s">
        <v>123</v>
      </c>
      <c r="I67" s="413"/>
      <c r="J67" s="413"/>
      <c r="K67" s="413"/>
      <c r="L67" s="413"/>
      <c r="M67" s="413"/>
      <c r="N67" s="413"/>
      <c r="O67" s="413"/>
      <c r="P67" s="413"/>
      <c r="Q67" s="413"/>
      <c r="R67" s="712">
        <v>1400</v>
      </c>
      <c r="S67" s="413"/>
      <c r="T67" s="413"/>
      <c r="U67" s="413"/>
      <c r="V67" s="414">
        <f t="shared" si="2"/>
        <v>1400</v>
      </c>
      <c r="W67" s="588"/>
      <c r="X67" s="372"/>
      <c r="Y67" s="366"/>
      <c r="Z67" s="367"/>
      <c r="AA67" s="368"/>
      <c r="AB67" s="367"/>
      <c r="AC67" s="370"/>
    </row>
    <row r="68" spans="1:29" ht="126.75" customHeight="1">
      <c r="A68" s="1003" t="s">
        <v>469</v>
      </c>
      <c r="B68" s="329"/>
      <c r="C68" s="308">
        <v>964</v>
      </c>
      <c r="D68" s="321" t="s">
        <v>258</v>
      </c>
      <c r="E68" s="321" t="s">
        <v>146</v>
      </c>
      <c r="F68" s="321" t="s">
        <v>8</v>
      </c>
      <c r="G68" s="321" t="s">
        <v>390</v>
      </c>
      <c r="H68" s="321" t="s">
        <v>154</v>
      </c>
      <c r="I68" s="413"/>
      <c r="J68" s="413"/>
      <c r="K68" s="413"/>
      <c r="L68" s="413"/>
      <c r="M68" s="413"/>
      <c r="N68" s="413">
        <v>2160.4</v>
      </c>
      <c r="O68" s="413"/>
      <c r="P68" s="413">
        <v>832.1</v>
      </c>
      <c r="Q68" s="413">
        <f>1120.5-1120.5</f>
        <v>0</v>
      </c>
      <c r="R68" s="712"/>
      <c r="S68" s="413"/>
      <c r="T68" s="413"/>
      <c r="U68" s="413"/>
      <c r="V68" s="414">
        <f t="shared" si="2"/>
        <v>2992.5</v>
      </c>
      <c r="W68" s="1028" t="s">
        <v>481</v>
      </c>
      <c r="X68" s="372" t="s">
        <v>410</v>
      </c>
      <c r="Y68" s="366">
        <f>SUM(Y57:Y61)</f>
        <v>26401.6</v>
      </c>
      <c r="Z68" s="366">
        <f>SUM(Z57:Z61)</f>
        <v>14997.800000000001</v>
      </c>
      <c r="AA68" s="366">
        <f>SUM(AA57:AA61)</f>
        <v>45219.40000000001</v>
      </c>
      <c r="AB68" s="370"/>
      <c r="AC68" s="370"/>
    </row>
    <row r="69" spans="1:29" ht="126.75" customHeight="1">
      <c r="A69" s="1004"/>
      <c r="B69" s="329"/>
      <c r="C69" s="308">
        <v>964</v>
      </c>
      <c r="D69" s="321" t="s">
        <v>258</v>
      </c>
      <c r="E69" s="321" t="s">
        <v>146</v>
      </c>
      <c r="F69" s="321" t="s">
        <v>8</v>
      </c>
      <c r="G69" s="321" t="s">
        <v>391</v>
      </c>
      <c r="H69" s="321" t="s">
        <v>154</v>
      </c>
      <c r="I69" s="413"/>
      <c r="J69" s="413"/>
      <c r="K69" s="413"/>
      <c r="L69" s="413"/>
      <c r="M69" s="413"/>
      <c r="N69" s="413"/>
      <c r="O69" s="413"/>
      <c r="P69" s="413"/>
      <c r="Q69" s="413">
        <v>1120.5</v>
      </c>
      <c r="R69" s="712"/>
      <c r="S69" s="413"/>
      <c r="T69" s="413"/>
      <c r="U69" s="413"/>
      <c r="V69" s="414">
        <f t="shared" si="2"/>
        <v>1120.5</v>
      </c>
      <c r="W69" s="1054"/>
      <c r="X69" s="372"/>
      <c r="Y69" s="366"/>
      <c r="Z69" s="366"/>
      <c r="AA69" s="366"/>
      <c r="AB69" s="370"/>
      <c r="AC69" s="370"/>
    </row>
    <row r="70" spans="1:28" ht="141" customHeight="1">
      <c r="A70" s="1004"/>
      <c r="B70" s="329"/>
      <c r="C70" s="308">
        <v>964</v>
      </c>
      <c r="D70" s="321" t="s">
        <v>258</v>
      </c>
      <c r="E70" s="321" t="s">
        <v>146</v>
      </c>
      <c r="F70" s="321" t="s">
        <v>8</v>
      </c>
      <c r="G70" s="321" t="s">
        <v>391</v>
      </c>
      <c r="H70" s="321" t="s">
        <v>154</v>
      </c>
      <c r="I70" s="413"/>
      <c r="J70" s="413"/>
      <c r="K70" s="413"/>
      <c r="L70" s="413"/>
      <c r="M70" s="413"/>
      <c r="N70" s="413">
        <v>86.5</v>
      </c>
      <c r="O70" s="413"/>
      <c r="P70" s="413">
        <v>82.3</v>
      </c>
      <c r="Q70" s="413">
        <v>110.8</v>
      </c>
      <c r="R70" s="712"/>
      <c r="S70" s="413"/>
      <c r="T70" s="413"/>
      <c r="U70" s="413"/>
      <c r="V70" s="414">
        <f t="shared" si="2"/>
        <v>279.6</v>
      </c>
      <c r="W70" s="1054"/>
      <c r="X70" s="369"/>
      <c r="Y70" s="373"/>
      <c r="Z70" s="367"/>
      <c r="AA70" s="368"/>
      <c r="AB70" s="370"/>
    </row>
    <row r="71" spans="1:28" ht="141" customHeight="1">
      <c r="A71" s="1004"/>
      <c r="B71" s="329"/>
      <c r="C71" s="308">
        <v>964</v>
      </c>
      <c r="D71" s="321" t="s">
        <v>572</v>
      </c>
      <c r="E71" s="321" t="s">
        <v>146</v>
      </c>
      <c r="F71" s="321" t="s">
        <v>8</v>
      </c>
      <c r="G71" s="321" t="s">
        <v>391</v>
      </c>
      <c r="H71" s="321" t="s">
        <v>154</v>
      </c>
      <c r="I71" s="413"/>
      <c r="J71" s="413"/>
      <c r="K71" s="413"/>
      <c r="L71" s="413"/>
      <c r="M71" s="413"/>
      <c r="N71" s="413"/>
      <c r="O71" s="413"/>
      <c r="P71" s="413"/>
      <c r="Q71" s="413"/>
      <c r="R71" s="712">
        <v>740.5</v>
      </c>
      <c r="S71" s="413"/>
      <c r="T71" s="413"/>
      <c r="U71" s="413"/>
      <c r="V71" s="414">
        <f t="shared" si="2"/>
        <v>740.5</v>
      </c>
      <c r="W71" s="1054"/>
      <c r="X71" s="369"/>
      <c r="Y71" s="373"/>
      <c r="Z71" s="367"/>
      <c r="AA71" s="368"/>
      <c r="AB71" s="370"/>
    </row>
    <row r="72" spans="1:28" ht="141" customHeight="1">
      <c r="A72" s="1005"/>
      <c r="B72" s="329"/>
      <c r="C72" s="308">
        <v>964</v>
      </c>
      <c r="D72" s="321" t="s">
        <v>572</v>
      </c>
      <c r="E72" s="321" t="s">
        <v>146</v>
      </c>
      <c r="F72" s="321" t="s">
        <v>8</v>
      </c>
      <c r="G72" s="321" t="s">
        <v>391</v>
      </c>
      <c r="H72" s="321" t="s">
        <v>154</v>
      </c>
      <c r="I72" s="413"/>
      <c r="J72" s="413"/>
      <c r="K72" s="413"/>
      <c r="L72" s="413"/>
      <c r="M72" s="413"/>
      <c r="N72" s="413"/>
      <c r="O72" s="413"/>
      <c r="P72" s="413"/>
      <c r="Q72" s="413"/>
      <c r="R72" s="712">
        <v>48</v>
      </c>
      <c r="S72" s="413"/>
      <c r="T72" s="413"/>
      <c r="U72" s="413"/>
      <c r="V72" s="414">
        <f t="shared" si="2"/>
        <v>48</v>
      </c>
      <c r="W72" s="1029"/>
      <c r="X72" s="369"/>
      <c r="Y72" s="373"/>
      <c r="Z72" s="367"/>
      <c r="AA72" s="368"/>
      <c r="AB72" s="370"/>
    </row>
    <row r="73" spans="1:28" ht="70.5" customHeight="1">
      <c r="A73" s="998" t="s">
        <v>378</v>
      </c>
      <c r="B73" s="329"/>
      <c r="C73" s="308">
        <v>964</v>
      </c>
      <c r="D73" s="321" t="s">
        <v>258</v>
      </c>
      <c r="E73" s="321" t="s">
        <v>146</v>
      </c>
      <c r="F73" s="321" t="s">
        <v>8</v>
      </c>
      <c r="G73" s="321" t="s">
        <v>215</v>
      </c>
      <c r="H73" s="321" t="s">
        <v>154</v>
      </c>
      <c r="I73" s="413"/>
      <c r="J73" s="413"/>
      <c r="K73" s="413"/>
      <c r="L73" s="413"/>
      <c r="M73" s="413">
        <v>386.7</v>
      </c>
      <c r="N73" s="413">
        <v>358.4</v>
      </c>
      <c r="O73" s="413">
        <v>198.2</v>
      </c>
      <c r="P73" s="413">
        <v>673.5</v>
      </c>
      <c r="Q73" s="413"/>
      <c r="R73" s="712"/>
      <c r="S73" s="413"/>
      <c r="T73" s="413"/>
      <c r="U73" s="413"/>
      <c r="V73" s="414">
        <f t="shared" si="2"/>
        <v>1616.8</v>
      </c>
      <c r="W73" s="1028" t="s">
        <v>486</v>
      </c>
      <c r="X73" s="369"/>
      <c r="Y73" s="370"/>
      <c r="Z73" s="370"/>
      <c r="AA73" s="370"/>
      <c r="AB73" s="370"/>
    </row>
    <row r="74" spans="1:24" ht="81" customHeight="1">
      <c r="A74" s="1000"/>
      <c r="B74" s="329"/>
      <c r="C74" s="305" t="s">
        <v>119</v>
      </c>
      <c r="D74" s="321" t="s">
        <v>258</v>
      </c>
      <c r="E74" s="321" t="s">
        <v>146</v>
      </c>
      <c r="F74" s="321" t="s">
        <v>8</v>
      </c>
      <c r="G74" s="321" t="s">
        <v>217</v>
      </c>
      <c r="H74" s="321" t="s">
        <v>154</v>
      </c>
      <c r="I74" s="413"/>
      <c r="J74" s="413"/>
      <c r="K74" s="413"/>
      <c r="L74" s="413"/>
      <c r="M74" s="413">
        <v>15.5</v>
      </c>
      <c r="N74" s="413">
        <v>24</v>
      </c>
      <c r="O74" s="413">
        <v>9</v>
      </c>
      <c r="P74" s="413">
        <v>31.5</v>
      </c>
      <c r="Q74" s="413"/>
      <c r="R74" s="712"/>
      <c r="S74" s="413"/>
      <c r="T74" s="413"/>
      <c r="U74" s="413"/>
      <c r="V74" s="414">
        <f t="shared" si="2"/>
        <v>80</v>
      </c>
      <c r="W74" s="1029"/>
      <c r="X74" s="303"/>
    </row>
    <row r="75" spans="1:24" ht="108.75" customHeight="1">
      <c r="A75" s="1009" t="s">
        <v>470</v>
      </c>
      <c r="B75" s="329"/>
      <c r="C75" s="305" t="s">
        <v>119</v>
      </c>
      <c r="D75" s="321" t="s">
        <v>258</v>
      </c>
      <c r="E75" s="321" t="s">
        <v>146</v>
      </c>
      <c r="F75" s="321" t="s">
        <v>8</v>
      </c>
      <c r="G75" s="321" t="s">
        <v>254</v>
      </c>
      <c r="H75" s="321" t="s">
        <v>154</v>
      </c>
      <c r="I75" s="413"/>
      <c r="J75" s="413"/>
      <c r="K75" s="413"/>
      <c r="L75" s="413"/>
      <c r="M75" s="413"/>
      <c r="N75" s="413">
        <v>779.2</v>
      </c>
      <c r="O75" s="413">
        <v>283.6</v>
      </c>
      <c r="P75" s="413">
        <v>51.9</v>
      </c>
      <c r="Q75" s="413">
        <f>73.7-73.7</f>
        <v>0</v>
      </c>
      <c r="R75" s="712"/>
      <c r="S75" s="413"/>
      <c r="T75" s="413"/>
      <c r="U75" s="413"/>
      <c r="V75" s="414">
        <f t="shared" si="2"/>
        <v>1114.7000000000003</v>
      </c>
      <c r="W75" s="1028" t="s">
        <v>482</v>
      </c>
      <c r="X75" s="303"/>
    </row>
    <row r="76" spans="1:24" ht="108.75" customHeight="1">
      <c r="A76" s="1010"/>
      <c r="B76" s="329"/>
      <c r="C76" s="305" t="s">
        <v>119</v>
      </c>
      <c r="D76" s="321" t="s">
        <v>258</v>
      </c>
      <c r="E76" s="321" t="s">
        <v>146</v>
      </c>
      <c r="F76" s="321" t="s">
        <v>8</v>
      </c>
      <c r="G76" s="321" t="s">
        <v>384</v>
      </c>
      <c r="H76" s="321" t="s">
        <v>154</v>
      </c>
      <c r="I76" s="413"/>
      <c r="J76" s="413"/>
      <c r="K76" s="413"/>
      <c r="L76" s="413"/>
      <c r="M76" s="413"/>
      <c r="N76" s="413"/>
      <c r="O76" s="413"/>
      <c r="P76" s="413"/>
      <c r="Q76" s="413">
        <v>73.7</v>
      </c>
      <c r="R76" s="712"/>
      <c r="S76" s="413"/>
      <c r="T76" s="413"/>
      <c r="U76" s="413"/>
      <c r="V76" s="414">
        <f t="shared" si="2"/>
        <v>73.7</v>
      </c>
      <c r="W76" s="1054"/>
      <c r="X76" s="303"/>
    </row>
    <row r="77" spans="1:24" ht="121.5" customHeight="1">
      <c r="A77" s="1010"/>
      <c r="B77" s="329"/>
      <c r="C77" s="305" t="s">
        <v>119</v>
      </c>
      <c r="D77" s="321" t="s">
        <v>258</v>
      </c>
      <c r="E77" s="321" t="s">
        <v>146</v>
      </c>
      <c r="F77" s="321" t="s">
        <v>8</v>
      </c>
      <c r="G77" s="321" t="s">
        <v>384</v>
      </c>
      <c r="H77" s="321" t="s">
        <v>154</v>
      </c>
      <c r="I77" s="413"/>
      <c r="J77" s="413"/>
      <c r="K77" s="413"/>
      <c r="L77" s="413"/>
      <c r="M77" s="413"/>
      <c r="N77" s="413">
        <v>8</v>
      </c>
      <c r="O77" s="413">
        <v>2.9</v>
      </c>
      <c r="P77" s="413">
        <v>2.2</v>
      </c>
      <c r="Q77" s="413">
        <v>3.1</v>
      </c>
      <c r="R77" s="712"/>
      <c r="S77" s="413"/>
      <c r="T77" s="413"/>
      <c r="U77" s="413"/>
      <c r="V77" s="414">
        <f aca="true" t="shared" si="3" ref="V77:V95">SUM(I77:U77)</f>
        <v>16.200000000000003</v>
      </c>
      <c r="W77" s="1054"/>
      <c r="X77" s="303"/>
    </row>
    <row r="78" spans="1:24" ht="121.5" customHeight="1">
      <c r="A78" s="1010"/>
      <c r="B78" s="329"/>
      <c r="C78" s="305" t="s">
        <v>119</v>
      </c>
      <c r="D78" s="321" t="s">
        <v>572</v>
      </c>
      <c r="E78" s="321" t="s">
        <v>146</v>
      </c>
      <c r="F78" s="321" t="s">
        <v>8</v>
      </c>
      <c r="G78" s="321" t="s">
        <v>384</v>
      </c>
      <c r="H78" s="321" t="s">
        <v>154</v>
      </c>
      <c r="I78" s="413"/>
      <c r="J78" s="413"/>
      <c r="K78" s="413"/>
      <c r="L78" s="413"/>
      <c r="M78" s="413"/>
      <c r="N78" s="413"/>
      <c r="O78" s="413"/>
      <c r="P78" s="413"/>
      <c r="Q78" s="413"/>
      <c r="R78" s="712">
        <v>162.1</v>
      </c>
      <c r="S78" s="413"/>
      <c r="T78" s="413"/>
      <c r="U78" s="413"/>
      <c r="V78" s="414">
        <f t="shared" si="3"/>
        <v>162.1</v>
      </c>
      <c r="W78" s="1054"/>
      <c r="X78" s="303"/>
    </row>
    <row r="79" spans="1:24" ht="121.5" customHeight="1">
      <c r="A79" s="1011"/>
      <c r="B79" s="329"/>
      <c r="C79" s="305" t="s">
        <v>119</v>
      </c>
      <c r="D79" s="321" t="s">
        <v>572</v>
      </c>
      <c r="E79" s="321" t="s">
        <v>146</v>
      </c>
      <c r="F79" s="321" t="s">
        <v>8</v>
      </c>
      <c r="G79" s="321" t="s">
        <v>384</v>
      </c>
      <c r="H79" s="321" t="s">
        <v>154</v>
      </c>
      <c r="I79" s="413"/>
      <c r="J79" s="413"/>
      <c r="K79" s="413"/>
      <c r="L79" s="413"/>
      <c r="M79" s="413"/>
      <c r="N79" s="413"/>
      <c r="O79" s="413"/>
      <c r="P79" s="413"/>
      <c r="Q79" s="413"/>
      <c r="R79" s="712">
        <v>1.7</v>
      </c>
      <c r="S79" s="413"/>
      <c r="T79" s="413"/>
      <c r="U79" s="413"/>
      <c r="V79" s="414">
        <f t="shared" si="3"/>
        <v>1.7</v>
      </c>
      <c r="W79" s="1029"/>
      <c r="X79" s="303"/>
    </row>
    <row r="80" spans="1:24" ht="36.75" customHeight="1">
      <c r="A80" s="1006" t="s">
        <v>270</v>
      </c>
      <c r="B80" s="329"/>
      <c r="C80" s="305" t="s">
        <v>119</v>
      </c>
      <c r="D80" s="321" t="s">
        <v>271</v>
      </c>
      <c r="E80" s="321" t="s">
        <v>146</v>
      </c>
      <c r="F80" s="321" t="s">
        <v>8</v>
      </c>
      <c r="G80" s="321" t="s">
        <v>272</v>
      </c>
      <c r="H80" s="321" t="s">
        <v>123</v>
      </c>
      <c r="I80" s="413"/>
      <c r="J80" s="413"/>
      <c r="K80" s="413"/>
      <c r="L80" s="413">
        <v>1030</v>
      </c>
      <c r="M80" s="413">
        <v>3800</v>
      </c>
      <c r="N80" s="413">
        <v>3000</v>
      </c>
      <c r="O80" s="413">
        <v>3000</v>
      </c>
      <c r="P80" s="413"/>
      <c r="Q80" s="413"/>
      <c r="R80" s="712"/>
      <c r="S80" s="413"/>
      <c r="T80" s="413"/>
      <c r="U80" s="413"/>
      <c r="V80" s="414">
        <f t="shared" si="3"/>
        <v>10830</v>
      </c>
      <c r="W80" s="1028" t="s">
        <v>484</v>
      </c>
      <c r="X80" s="303"/>
    </row>
    <row r="81" spans="1:24" ht="33.75" customHeight="1">
      <c r="A81" s="1007"/>
      <c r="B81" s="329"/>
      <c r="C81" s="305" t="s">
        <v>119</v>
      </c>
      <c r="D81" s="321" t="s">
        <v>271</v>
      </c>
      <c r="E81" s="321" t="s">
        <v>146</v>
      </c>
      <c r="F81" s="321" t="s">
        <v>8</v>
      </c>
      <c r="G81" s="321" t="s">
        <v>273</v>
      </c>
      <c r="H81" s="321" t="s">
        <v>123</v>
      </c>
      <c r="I81" s="413"/>
      <c r="J81" s="413"/>
      <c r="K81" s="413"/>
      <c r="L81" s="413">
        <v>120.5</v>
      </c>
      <c r="M81" s="413">
        <v>879</v>
      </c>
      <c r="N81" s="413">
        <f>120+180</f>
        <v>300</v>
      </c>
      <c r="O81" s="413">
        <v>800</v>
      </c>
      <c r="P81" s="413"/>
      <c r="Q81" s="413"/>
      <c r="R81" s="712"/>
      <c r="S81" s="413"/>
      <c r="T81" s="413"/>
      <c r="U81" s="413"/>
      <c r="V81" s="414">
        <f t="shared" si="3"/>
        <v>2099.5</v>
      </c>
      <c r="W81" s="1029"/>
      <c r="X81" s="315"/>
    </row>
    <row r="82" spans="1:24" ht="33.75" customHeight="1">
      <c r="A82" s="1007"/>
      <c r="B82" s="329"/>
      <c r="C82" s="305" t="s">
        <v>119</v>
      </c>
      <c r="D82" s="321" t="s">
        <v>572</v>
      </c>
      <c r="E82" s="321" t="s">
        <v>146</v>
      </c>
      <c r="F82" s="321" t="s">
        <v>8</v>
      </c>
      <c r="G82" s="321" t="s">
        <v>495</v>
      </c>
      <c r="H82" s="321" t="s">
        <v>154</v>
      </c>
      <c r="I82" s="413"/>
      <c r="J82" s="413"/>
      <c r="K82" s="413"/>
      <c r="L82" s="413"/>
      <c r="M82" s="413"/>
      <c r="N82" s="413"/>
      <c r="O82" s="413"/>
      <c r="P82" s="413"/>
      <c r="Q82" s="413"/>
      <c r="R82" s="712">
        <f>3850-3850</f>
        <v>0</v>
      </c>
      <c r="S82" s="413"/>
      <c r="T82" s="413"/>
      <c r="U82" s="413"/>
      <c r="V82" s="414">
        <f t="shared" si="3"/>
        <v>0</v>
      </c>
      <c r="W82" s="588"/>
      <c r="X82" s="315"/>
    </row>
    <row r="83" spans="1:24" ht="33.75" customHeight="1">
      <c r="A83" s="1007"/>
      <c r="B83" s="329"/>
      <c r="C83" s="305" t="s">
        <v>119</v>
      </c>
      <c r="D83" s="321" t="s">
        <v>572</v>
      </c>
      <c r="E83" s="321" t="s">
        <v>146</v>
      </c>
      <c r="F83" s="321" t="s">
        <v>8</v>
      </c>
      <c r="G83" s="321" t="s">
        <v>496</v>
      </c>
      <c r="H83" s="321" t="s">
        <v>154</v>
      </c>
      <c r="I83" s="413"/>
      <c r="J83" s="413"/>
      <c r="K83" s="413"/>
      <c r="L83" s="413"/>
      <c r="M83" s="413"/>
      <c r="N83" s="413"/>
      <c r="O83" s="413"/>
      <c r="P83" s="413"/>
      <c r="Q83" s="413"/>
      <c r="R83" s="712">
        <f>200-200</f>
        <v>0</v>
      </c>
      <c r="S83" s="413"/>
      <c r="T83" s="413"/>
      <c r="U83" s="413"/>
      <c r="V83" s="414">
        <f t="shared" si="3"/>
        <v>0</v>
      </c>
      <c r="W83" s="588"/>
      <c r="X83" s="315"/>
    </row>
    <row r="84" spans="1:24" ht="33.75" customHeight="1">
      <c r="A84" s="1007"/>
      <c r="B84" s="329"/>
      <c r="C84" s="305" t="s">
        <v>119</v>
      </c>
      <c r="D84" s="321" t="s">
        <v>271</v>
      </c>
      <c r="E84" s="321" t="s">
        <v>146</v>
      </c>
      <c r="F84" s="321" t="s">
        <v>8</v>
      </c>
      <c r="G84" s="321" t="s">
        <v>495</v>
      </c>
      <c r="H84" s="321" t="s">
        <v>123</v>
      </c>
      <c r="I84" s="413"/>
      <c r="J84" s="413"/>
      <c r="K84" s="413"/>
      <c r="L84" s="413"/>
      <c r="M84" s="413"/>
      <c r="N84" s="413"/>
      <c r="O84" s="413"/>
      <c r="P84" s="413"/>
      <c r="Q84" s="413"/>
      <c r="R84" s="712">
        <v>7700</v>
      </c>
      <c r="S84" s="413"/>
      <c r="T84" s="413"/>
      <c r="U84" s="413"/>
      <c r="V84" s="414">
        <f t="shared" si="3"/>
        <v>7700</v>
      </c>
      <c r="W84" s="588"/>
      <c r="X84" s="315"/>
    </row>
    <row r="85" spans="1:24" ht="33.75" customHeight="1">
      <c r="A85" s="1008"/>
      <c r="B85" s="329"/>
      <c r="C85" s="305" t="s">
        <v>119</v>
      </c>
      <c r="D85" s="321" t="s">
        <v>271</v>
      </c>
      <c r="E85" s="321" t="s">
        <v>146</v>
      </c>
      <c r="F85" s="321" t="s">
        <v>8</v>
      </c>
      <c r="G85" s="321" t="s">
        <v>496</v>
      </c>
      <c r="H85" s="321" t="s">
        <v>123</v>
      </c>
      <c r="I85" s="413"/>
      <c r="J85" s="413"/>
      <c r="K85" s="413"/>
      <c r="L85" s="413"/>
      <c r="M85" s="413"/>
      <c r="N85" s="413"/>
      <c r="O85" s="413"/>
      <c r="P85" s="413"/>
      <c r="Q85" s="413"/>
      <c r="R85" s="712">
        <v>400</v>
      </c>
      <c r="S85" s="413"/>
      <c r="T85" s="413"/>
      <c r="U85" s="413"/>
      <c r="V85" s="414">
        <f t="shared" si="3"/>
        <v>400</v>
      </c>
      <c r="W85" s="588"/>
      <c r="X85" s="315"/>
    </row>
    <row r="86" spans="1:24" ht="35.25" customHeight="1">
      <c r="A86" s="998" t="s">
        <v>274</v>
      </c>
      <c r="B86" s="329"/>
      <c r="C86" s="305" t="s">
        <v>119</v>
      </c>
      <c r="D86" s="321" t="s">
        <v>271</v>
      </c>
      <c r="E86" s="321" t="s">
        <v>146</v>
      </c>
      <c r="F86" s="321" t="s">
        <v>8</v>
      </c>
      <c r="G86" s="321" t="s">
        <v>275</v>
      </c>
      <c r="H86" s="321" t="s">
        <v>123</v>
      </c>
      <c r="I86" s="413"/>
      <c r="J86" s="413"/>
      <c r="K86" s="413"/>
      <c r="L86" s="413">
        <v>500</v>
      </c>
      <c r="M86" s="413">
        <v>1000</v>
      </c>
      <c r="N86" s="413">
        <v>1000</v>
      </c>
      <c r="O86" s="413">
        <v>1000</v>
      </c>
      <c r="P86" s="413">
        <v>1000</v>
      </c>
      <c r="Q86" s="413">
        <v>1373</v>
      </c>
      <c r="R86" s="712"/>
      <c r="S86" s="413"/>
      <c r="T86" s="413"/>
      <c r="U86" s="413"/>
      <c r="V86" s="414">
        <f t="shared" si="3"/>
        <v>5873</v>
      </c>
      <c r="W86" s="1024" t="s">
        <v>485</v>
      </c>
      <c r="X86" s="303"/>
    </row>
    <row r="87" spans="1:24" ht="35.25" customHeight="1">
      <c r="A87" s="999"/>
      <c r="B87" s="329"/>
      <c r="C87" s="305" t="s">
        <v>119</v>
      </c>
      <c r="D87" s="321" t="s">
        <v>572</v>
      </c>
      <c r="E87" s="321" t="s">
        <v>146</v>
      </c>
      <c r="F87" s="321" t="s">
        <v>8</v>
      </c>
      <c r="G87" s="321" t="s">
        <v>275</v>
      </c>
      <c r="H87" s="321" t="s">
        <v>154</v>
      </c>
      <c r="I87" s="413"/>
      <c r="J87" s="413"/>
      <c r="K87" s="413"/>
      <c r="L87" s="413"/>
      <c r="M87" s="413"/>
      <c r="N87" s="413"/>
      <c r="O87" s="413"/>
      <c r="P87" s="413"/>
      <c r="Q87" s="413"/>
      <c r="R87" s="712">
        <v>674.1</v>
      </c>
      <c r="S87" s="413"/>
      <c r="T87" s="413"/>
      <c r="U87" s="413"/>
      <c r="V87" s="414">
        <f t="shared" si="3"/>
        <v>674.1</v>
      </c>
      <c r="W87" s="1030"/>
      <c r="X87" s="303"/>
    </row>
    <row r="88" spans="1:24" ht="29.25" customHeight="1">
      <c r="A88" s="1000"/>
      <c r="B88" s="329"/>
      <c r="C88" s="305" t="s">
        <v>119</v>
      </c>
      <c r="D88" s="321" t="s">
        <v>271</v>
      </c>
      <c r="E88" s="321" t="s">
        <v>146</v>
      </c>
      <c r="F88" s="321" t="s">
        <v>8</v>
      </c>
      <c r="G88" s="321" t="s">
        <v>276</v>
      </c>
      <c r="H88" s="321" t="s">
        <v>123</v>
      </c>
      <c r="I88" s="413"/>
      <c r="J88" s="413"/>
      <c r="K88" s="413"/>
      <c r="L88" s="413">
        <v>20</v>
      </c>
      <c r="M88" s="413">
        <v>40</v>
      </c>
      <c r="N88" s="413">
        <v>40</v>
      </c>
      <c r="O88" s="413">
        <v>42</v>
      </c>
      <c r="P88" s="413">
        <v>45</v>
      </c>
      <c r="Q88" s="413"/>
      <c r="R88" s="712"/>
      <c r="S88" s="413"/>
      <c r="T88" s="413"/>
      <c r="U88" s="413"/>
      <c r="V88" s="414">
        <f t="shared" si="3"/>
        <v>187</v>
      </c>
      <c r="W88" s="1025"/>
      <c r="X88" s="303"/>
    </row>
    <row r="89" spans="1:24" ht="35.25" customHeight="1">
      <c r="A89" s="998" t="s">
        <v>274</v>
      </c>
      <c r="B89" s="329"/>
      <c r="C89" s="305" t="s">
        <v>119</v>
      </c>
      <c r="D89" s="321" t="s">
        <v>271</v>
      </c>
      <c r="E89" s="321" t="s">
        <v>146</v>
      </c>
      <c r="F89" s="321" t="s">
        <v>8</v>
      </c>
      <c r="G89" s="321" t="s">
        <v>495</v>
      </c>
      <c r="H89" s="321" t="s">
        <v>123</v>
      </c>
      <c r="I89" s="413"/>
      <c r="J89" s="413"/>
      <c r="K89" s="413"/>
      <c r="L89" s="413"/>
      <c r="M89" s="413"/>
      <c r="N89" s="413"/>
      <c r="O89" s="413"/>
      <c r="P89" s="413"/>
      <c r="Q89" s="413">
        <v>4000</v>
      </c>
      <c r="R89" s="712"/>
      <c r="S89" s="413"/>
      <c r="T89" s="413"/>
      <c r="U89" s="413"/>
      <c r="V89" s="414">
        <f t="shared" si="3"/>
        <v>4000</v>
      </c>
      <c r="W89" s="1024" t="s">
        <v>498</v>
      </c>
      <c r="X89" s="303"/>
    </row>
    <row r="90" spans="1:24" ht="29.25" customHeight="1">
      <c r="A90" s="1000"/>
      <c r="B90" s="329"/>
      <c r="C90" s="305" t="s">
        <v>119</v>
      </c>
      <c r="D90" s="321" t="s">
        <v>271</v>
      </c>
      <c r="E90" s="321" t="s">
        <v>146</v>
      </c>
      <c r="F90" s="321" t="s">
        <v>8</v>
      </c>
      <c r="G90" s="321" t="s">
        <v>496</v>
      </c>
      <c r="H90" s="321" t="s">
        <v>123</v>
      </c>
      <c r="I90" s="413"/>
      <c r="J90" s="413"/>
      <c r="K90" s="413"/>
      <c r="L90" s="413"/>
      <c r="M90" s="413"/>
      <c r="N90" s="413"/>
      <c r="O90" s="413"/>
      <c r="P90" s="413"/>
      <c r="Q90" s="413">
        <v>170</v>
      </c>
      <c r="R90" s="712"/>
      <c r="S90" s="413"/>
      <c r="T90" s="413"/>
      <c r="U90" s="413"/>
      <c r="V90" s="414">
        <f t="shared" si="3"/>
        <v>170</v>
      </c>
      <c r="W90" s="1025"/>
      <c r="X90" s="303"/>
    </row>
    <row r="91" spans="1:24" ht="135.75" customHeight="1">
      <c r="A91" s="589" t="s">
        <v>503</v>
      </c>
      <c r="B91" s="329"/>
      <c r="C91" s="305" t="s">
        <v>119</v>
      </c>
      <c r="D91" s="321" t="s">
        <v>258</v>
      </c>
      <c r="E91" s="321" t="s">
        <v>146</v>
      </c>
      <c r="F91" s="321" t="s">
        <v>8</v>
      </c>
      <c r="G91" s="321" t="s">
        <v>210</v>
      </c>
      <c r="H91" s="321" t="s">
        <v>154</v>
      </c>
      <c r="I91" s="413"/>
      <c r="J91" s="413"/>
      <c r="K91" s="413"/>
      <c r="L91" s="413"/>
      <c r="M91" s="413"/>
      <c r="N91" s="413"/>
      <c r="O91" s="413"/>
      <c r="P91" s="413"/>
      <c r="Q91" s="413">
        <f>4750-4750</f>
        <v>0</v>
      </c>
      <c r="R91" s="712"/>
      <c r="S91" s="413"/>
      <c r="T91" s="413"/>
      <c r="U91" s="413"/>
      <c r="V91" s="414">
        <f t="shared" si="3"/>
        <v>0</v>
      </c>
      <c r="W91" s="587" t="s">
        <v>506</v>
      </c>
      <c r="X91" s="303"/>
    </row>
    <row r="92" spans="1:24" ht="167.25" customHeight="1">
      <c r="A92" s="589" t="s">
        <v>582</v>
      </c>
      <c r="B92" s="329"/>
      <c r="C92" s="305" t="s">
        <v>119</v>
      </c>
      <c r="D92" s="321" t="s">
        <v>271</v>
      </c>
      <c r="E92" s="321" t="s">
        <v>146</v>
      </c>
      <c r="F92" s="321" t="s">
        <v>8</v>
      </c>
      <c r="G92" s="321" t="s">
        <v>583</v>
      </c>
      <c r="H92" s="321" t="s">
        <v>123</v>
      </c>
      <c r="I92" s="413"/>
      <c r="J92" s="413"/>
      <c r="K92" s="413"/>
      <c r="L92" s="413"/>
      <c r="M92" s="413"/>
      <c r="N92" s="413"/>
      <c r="O92" s="413"/>
      <c r="P92" s="413"/>
      <c r="Q92" s="413">
        <f>4750-4750</f>
        <v>0</v>
      </c>
      <c r="R92" s="712">
        <v>6600</v>
      </c>
      <c r="S92" s="413"/>
      <c r="T92" s="413"/>
      <c r="U92" s="413"/>
      <c r="V92" s="414">
        <f>SUM(I92:U92)</f>
        <v>6600</v>
      </c>
      <c r="W92" s="587" t="s">
        <v>506</v>
      </c>
      <c r="X92" s="303"/>
    </row>
    <row r="93" spans="1:24" ht="135.75" customHeight="1">
      <c r="A93" s="589" t="s">
        <v>503</v>
      </c>
      <c r="B93" s="329"/>
      <c r="C93" s="305" t="s">
        <v>119</v>
      </c>
      <c r="D93" s="321" t="s">
        <v>258</v>
      </c>
      <c r="E93" s="321" t="s">
        <v>146</v>
      </c>
      <c r="F93" s="321" t="s">
        <v>8</v>
      </c>
      <c r="G93" s="321" t="s">
        <v>259</v>
      </c>
      <c r="H93" s="321" t="s">
        <v>154</v>
      </c>
      <c r="I93" s="413"/>
      <c r="J93" s="413"/>
      <c r="K93" s="413"/>
      <c r="L93" s="413"/>
      <c r="M93" s="413"/>
      <c r="N93" s="413"/>
      <c r="O93" s="413"/>
      <c r="P93" s="413"/>
      <c r="Q93" s="413">
        <v>4750</v>
      </c>
      <c r="R93" s="712"/>
      <c r="S93" s="413"/>
      <c r="T93" s="413"/>
      <c r="U93" s="413"/>
      <c r="V93" s="414">
        <f t="shared" si="3"/>
        <v>4750</v>
      </c>
      <c r="W93" s="587"/>
      <c r="X93" s="303"/>
    </row>
    <row r="94" spans="1:24" ht="232.5" customHeight="1">
      <c r="A94" s="589" t="s">
        <v>505</v>
      </c>
      <c r="B94" s="329"/>
      <c r="C94" s="305" t="s">
        <v>119</v>
      </c>
      <c r="D94" s="321" t="s">
        <v>258</v>
      </c>
      <c r="E94" s="321" t="s">
        <v>146</v>
      </c>
      <c r="F94" s="321" t="s">
        <v>8</v>
      </c>
      <c r="G94" s="321" t="s">
        <v>259</v>
      </c>
      <c r="H94" s="321" t="s">
        <v>154</v>
      </c>
      <c r="I94" s="413"/>
      <c r="J94" s="413"/>
      <c r="K94" s="413"/>
      <c r="L94" s="413"/>
      <c r="M94" s="413"/>
      <c r="N94" s="413"/>
      <c r="O94" s="413"/>
      <c r="P94" s="413"/>
      <c r="Q94" s="413">
        <v>250</v>
      </c>
      <c r="R94" s="712"/>
      <c r="S94" s="413"/>
      <c r="T94" s="413"/>
      <c r="U94" s="413"/>
      <c r="V94" s="414">
        <f t="shared" si="3"/>
        <v>250</v>
      </c>
      <c r="W94" s="587" t="s">
        <v>507</v>
      </c>
      <c r="X94" s="303"/>
    </row>
    <row r="95" spans="1:24" ht="23.25">
      <c r="A95" s="310" t="s">
        <v>74</v>
      </c>
      <c r="B95" s="309"/>
      <c r="C95" s="305"/>
      <c r="D95" s="321"/>
      <c r="E95" s="321"/>
      <c r="F95" s="321"/>
      <c r="G95" s="321"/>
      <c r="H95" s="321"/>
      <c r="I95" s="413">
        <v>3536.3</v>
      </c>
      <c r="J95" s="413">
        <v>4708.5</v>
      </c>
      <c r="K95" s="413">
        <v>3801</v>
      </c>
      <c r="L95" s="413">
        <v>3369.6</v>
      </c>
      <c r="M95" s="413">
        <v>5229</v>
      </c>
      <c r="N95" s="413">
        <f>5579+281.1+13.1</f>
        <v>5873.200000000001</v>
      </c>
      <c r="O95" s="413">
        <f>3642.8+352.5+20.6</f>
        <v>4015.9</v>
      </c>
      <c r="P95" s="413">
        <f>40.5+5824</f>
        <v>5864.5</v>
      </c>
      <c r="Q95" s="413">
        <v>7327.6</v>
      </c>
      <c r="R95" s="712">
        <f>(7523.2+24.8+235.5)+(10.6+90.9)</f>
        <v>7885</v>
      </c>
      <c r="S95" s="413">
        <v>7523.2</v>
      </c>
      <c r="T95" s="413">
        <v>7523.2</v>
      </c>
      <c r="U95" s="413">
        <v>7523.2</v>
      </c>
      <c r="V95" s="414">
        <f t="shared" si="3"/>
        <v>74180.2</v>
      </c>
      <c r="W95" s="309"/>
      <c r="X95" s="303"/>
    </row>
    <row r="96" spans="1:23" ht="32.25" customHeight="1">
      <c r="A96" s="311"/>
      <c r="B96" s="312"/>
      <c r="C96" s="312"/>
      <c r="D96" s="312"/>
      <c r="E96" s="312"/>
      <c r="F96" s="312"/>
      <c r="G96" s="313"/>
      <c r="H96" s="312"/>
      <c r="I96" s="314"/>
      <c r="J96" s="314"/>
      <c r="K96" s="314"/>
      <c r="L96" s="314"/>
      <c r="M96" s="317"/>
      <c r="N96" s="314"/>
      <c r="O96" s="314"/>
      <c r="P96" s="314"/>
      <c r="Q96" s="314"/>
      <c r="R96" s="716"/>
      <c r="S96" s="314"/>
      <c r="T96" s="314"/>
      <c r="U96" s="314"/>
      <c r="V96" s="314"/>
      <c r="W96" s="312"/>
    </row>
    <row r="97" spans="1:22" ht="48" customHeight="1">
      <c r="A97" s="997" t="s">
        <v>248</v>
      </c>
      <c r="B97" s="997"/>
      <c r="C97" s="997"/>
      <c r="D97" s="997"/>
      <c r="E97" s="256"/>
      <c r="F97" s="256"/>
      <c r="G97" s="256"/>
      <c r="H97" s="256"/>
      <c r="I97" s="256"/>
      <c r="J97" s="256"/>
      <c r="K97" s="256"/>
      <c r="L97" s="256"/>
      <c r="M97" s="318"/>
      <c r="N97" s="1027" t="s">
        <v>186</v>
      </c>
      <c r="O97" s="1027"/>
      <c r="P97" s="1027"/>
      <c r="Q97" s="1027"/>
      <c r="R97" s="1027"/>
      <c r="S97" s="1027"/>
      <c r="T97" s="1027"/>
      <c r="U97" s="1027"/>
      <c r="V97" s="1027"/>
    </row>
    <row r="98" spans="1:23" ht="152.25" customHeight="1" hidden="1">
      <c r="A98" s="736"/>
      <c r="B98" s="736"/>
      <c r="C98" s="736"/>
      <c r="D98" s="736"/>
      <c r="E98" s="257"/>
      <c r="F98" s="257"/>
      <c r="G98" s="257"/>
      <c r="H98" s="257"/>
      <c r="I98" s="257"/>
      <c r="J98" s="257"/>
      <c r="K98" s="257"/>
      <c r="L98" s="257"/>
      <c r="M98" s="319"/>
      <c r="N98" s="257"/>
      <c r="O98" s="257"/>
      <c r="P98" s="257"/>
      <c r="Q98" s="257"/>
      <c r="R98" s="541"/>
      <c r="S98" s="257"/>
      <c r="T98" s="257"/>
      <c r="U98" s="257"/>
      <c r="V98" s="257"/>
      <c r="W98" s="257"/>
    </row>
  </sheetData>
  <sheetProtection/>
  <mergeCells count="80">
    <mergeCell ref="W73:W74"/>
    <mergeCell ref="W80:W81"/>
    <mergeCell ref="W86:W88"/>
    <mergeCell ref="W75:W79"/>
    <mergeCell ref="W68:W72"/>
    <mergeCell ref="H2:J2"/>
    <mergeCell ref="K2:W2"/>
    <mergeCell ref="A3:W3"/>
    <mergeCell ref="R6:R7"/>
    <mergeCell ref="I5:V5"/>
    <mergeCell ref="I6:I7"/>
    <mergeCell ref="D6:D7"/>
    <mergeCell ref="M6:M7"/>
    <mergeCell ref="N6:N7"/>
    <mergeCell ref="C5:H5"/>
    <mergeCell ref="B5:B7"/>
    <mergeCell ref="L6:L7"/>
    <mergeCell ref="S6:S7"/>
    <mergeCell ref="T6:T7"/>
    <mergeCell ref="U6:U7"/>
    <mergeCell ref="W5:W7"/>
    <mergeCell ref="W57:W61"/>
    <mergeCell ref="A98:D98"/>
    <mergeCell ref="K6:K7"/>
    <mergeCell ref="J6:J7"/>
    <mergeCell ref="E6:G7"/>
    <mergeCell ref="H6:H7"/>
    <mergeCell ref="A5:A7"/>
    <mergeCell ref="A9:A10"/>
    <mergeCell ref="C9:C10"/>
    <mergeCell ref="D9:D10"/>
    <mergeCell ref="E9:E10"/>
    <mergeCell ref="F9:F10"/>
    <mergeCell ref="A11:A13"/>
    <mergeCell ref="C6:C7"/>
    <mergeCell ref="A32:A35"/>
    <mergeCell ref="G9:G10"/>
    <mergeCell ref="W89:W90"/>
    <mergeCell ref="K1:W1"/>
    <mergeCell ref="K9:K10"/>
    <mergeCell ref="N97:V97"/>
    <mergeCell ref="V6:V7"/>
    <mergeCell ref="O6:O7"/>
    <mergeCell ref="P6:P7"/>
    <mergeCell ref="Q6:Q7"/>
    <mergeCell ref="N9:N10"/>
    <mergeCell ref="O9:O10"/>
    <mergeCell ref="V9:V10"/>
    <mergeCell ref="Q9:Q10"/>
    <mergeCell ref="P9:P10"/>
    <mergeCell ref="M9:M10"/>
    <mergeCell ref="W64:W65"/>
    <mergeCell ref="W9:W56"/>
    <mergeCell ref="A52:A53"/>
    <mergeCell ref="A37:A39"/>
    <mergeCell ref="A41:A42"/>
    <mergeCell ref="B8:B10"/>
    <mergeCell ref="H9:H10"/>
    <mergeCell ref="A50:A51"/>
    <mergeCell ref="L9:L10"/>
    <mergeCell ref="R9:R10"/>
    <mergeCell ref="A48:A49"/>
    <mergeCell ref="A14:A25"/>
    <mergeCell ref="A28:A30"/>
    <mergeCell ref="U9:U10"/>
    <mergeCell ref="T9:T10"/>
    <mergeCell ref="S9:S10"/>
    <mergeCell ref="A97:D97"/>
    <mergeCell ref="A43:A45"/>
    <mergeCell ref="A64:A65"/>
    <mergeCell ref="A66:A67"/>
    <mergeCell ref="A89:A90"/>
    <mergeCell ref="A57:A63"/>
    <mergeCell ref="A86:A88"/>
    <mergeCell ref="A73:A74"/>
    <mergeCell ref="A80:A85"/>
    <mergeCell ref="A75:A79"/>
    <mergeCell ref="A68:A72"/>
    <mergeCell ref="I9:I10"/>
    <mergeCell ref="J9:J10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landscape" paperSize="9" scale="35" r:id="rId1"/>
  <rowBreaks count="4" manualBreakCount="4">
    <brk id="25" max="20" man="1"/>
    <brk id="46" max="22" man="1"/>
    <brk id="67" max="22" man="1"/>
    <brk id="80" max="2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5"/>
  <sheetViews>
    <sheetView tabSelected="1" view="pageBreakPreview" zoomScale="75" zoomScaleNormal="75" zoomScaleSheetLayoutView="75" zoomScalePageLayoutView="0" workbookViewId="0" topLeftCell="A43">
      <pane xSplit="9" topLeftCell="Q1" activePane="topRight" state="frozen"/>
      <selection pane="topLeft" activeCell="A4" sqref="A4"/>
      <selection pane="topRight" activeCell="U59" sqref="U59"/>
    </sheetView>
  </sheetViews>
  <sheetFormatPr defaultColWidth="9.140625" defaultRowHeight="152.25" customHeight="1"/>
  <cols>
    <col min="1" max="1" width="6.57421875" style="447" customWidth="1"/>
    <col min="2" max="2" width="48.00390625" style="228" customWidth="1"/>
    <col min="3" max="3" width="16.57421875" style="228" customWidth="1"/>
    <col min="4" max="4" width="9.28125" style="228" customWidth="1"/>
    <col min="5" max="5" width="12.00390625" style="228" customWidth="1"/>
    <col min="6" max="6" width="7.8515625" style="228" customWidth="1"/>
    <col min="7" max="7" width="7.421875" style="445" customWidth="1"/>
    <col min="8" max="8" width="20.57421875" style="229" customWidth="1"/>
    <col min="9" max="9" width="16.140625" style="228" customWidth="1"/>
    <col min="10" max="14" width="15.28125" style="228" customWidth="1"/>
    <col min="15" max="18" width="15.28125" style="316" customWidth="1"/>
    <col min="19" max="19" width="15.28125" style="542" customWidth="1"/>
    <col min="20" max="22" width="15.28125" style="316" customWidth="1"/>
    <col min="23" max="23" width="15.421875" style="228" customWidth="1"/>
    <col min="24" max="24" width="24.00390625" style="228" customWidth="1"/>
    <col min="25" max="26" width="23.00390625" style="228" customWidth="1"/>
    <col min="27" max="27" width="15.00390625" style="228" bestFit="1" customWidth="1"/>
    <col min="28" max="28" width="5.00390625" style="228" customWidth="1"/>
    <col min="29" max="30" width="19.8515625" style="228" customWidth="1"/>
    <col min="31" max="31" width="9.28125" style="228" customWidth="1"/>
    <col min="32" max="16384" width="9.140625" style="228" customWidth="1"/>
  </cols>
  <sheetData>
    <row r="1" spans="12:24" ht="77.25" customHeight="1">
      <c r="L1" s="1026" t="s">
        <v>590</v>
      </c>
      <c r="M1" s="1026"/>
      <c r="N1" s="1026"/>
      <c r="O1" s="427"/>
      <c r="P1" s="427"/>
      <c r="Q1" s="427"/>
      <c r="R1" s="427"/>
      <c r="S1" s="427"/>
      <c r="T1" s="427"/>
      <c r="U1" s="427"/>
      <c r="V1" s="427"/>
      <c r="W1" s="427"/>
      <c r="X1" s="427"/>
    </row>
    <row r="2" spans="2:24" ht="44.25" customHeight="1">
      <c r="B2" s="227"/>
      <c r="C2" s="227"/>
      <c r="D2" s="227"/>
      <c r="I2" s="1078"/>
      <c r="J2" s="1078"/>
      <c r="K2" s="1078"/>
      <c r="L2" s="1079" t="s">
        <v>620</v>
      </c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80"/>
      <c r="X2" s="1080"/>
    </row>
    <row r="3" spans="1:24" ht="28.5" customHeight="1">
      <c r="A3" s="1081" t="s">
        <v>617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</row>
    <row r="4" spans="2:19" ht="17.25" customHeight="1">
      <c r="B4" s="297"/>
      <c r="C4" s="297"/>
      <c r="D4" s="297"/>
      <c r="E4" s="225"/>
      <c r="F4" s="225"/>
      <c r="G4" s="446"/>
      <c r="H4" s="226"/>
      <c r="I4" s="225"/>
      <c r="J4" s="225"/>
      <c r="K4" s="225"/>
      <c r="S4" s="316"/>
    </row>
    <row r="5" spans="1:24" s="298" customFormat="1" ht="36" customHeight="1">
      <c r="A5" s="1076"/>
      <c r="B5" s="1067" t="s">
        <v>88</v>
      </c>
      <c r="C5" s="1067" t="s">
        <v>159</v>
      </c>
      <c r="D5" s="1067" t="s">
        <v>48</v>
      </c>
      <c r="E5" s="1067"/>
      <c r="F5" s="1067"/>
      <c r="G5" s="1067"/>
      <c r="H5" s="1067"/>
      <c r="I5" s="1067"/>
      <c r="J5" s="1067" t="s">
        <v>79</v>
      </c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 t="s">
        <v>80</v>
      </c>
    </row>
    <row r="6" spans="1:24" s="298" customFormat="1" ht="15" customHeight="1">
      <c r="A6" s="1076"/>
      <c r="B6" s="1067"/>
      <c r="C6" s="1067"/>
      <c r="D6" s="1067" t="s">
        <v>159</v>
      </c>
      <c r="E6" s="1067" t="s">
        <v>45</v>
      </c>
      <c r="F6" s="1067" t="s">
        <v>44</v>
      </c>
      <c r="G6" s="1067"/>
      <c r="H6" s="1067"/>
      <c r="I6" s="1067" t="s">
        <v>43</v>
      </c>
      <c r="J6" s="1066" t="s">
        <v>33</v>
      </c>
      <c r="K6" s="1066" t="s">
        <v>219</v>
      </c>
      <c r="L6" s="1066" t="s">
        <v>31</v>
      </c>
      <c r="M6" s="1066" t="s">
        <v>115</v>
      </c>
      <c r="N6" s="1014" t="s">
        <v>218</v>
      </c>
      <c r="O6" s="1052" t="s">
        <v>422</v>
      </c>
      <c r="P6" s="1052" t="s">
        <v>112</v>
      </c>
      <c r="Q6" s="1052" t="s">
        <v>111</v>
      </c>
      <c r="R6" s="1052" t="s">
        <v>110</v>
      </c>
      <c r="S6" s="1052" t="s">
        <v>109</v>
      </c>
      <c r="T6" s="1052" t="s">
        <v>108</v>
      </c>
      <c r="U6" s="1052" t="s">
        <v>249</v>
      </c>
      <c r="V6" s="1052" t="s">
        <v>577</v>
      </c>
      <c r="W6" s="1067" t="s">
        <v>579</v>
      </c>
      <c r="X6" s="1067"/>
    </row>
    <row r="7" spans="1:24" s="298" customFormat="1" ht="87.75" customHeight="1">
      <c r="A7" s="1076"/>
      <c r="B7" s="1067"/>
      <c r="C7" s="1067"/>
      <c r="D7" s="1067"/>
      <c r="E7" s="1067"/>
      <c r="F7" s="1067"/>
      <c r="G7" s="1067"/>
      <c r="H7" s="1067"/>
      <c r="I7" s="1067"/>
      <c r="J7" s="1066"/>
      <c r="K7" s="1066"/>
      <c r="L7" s="1066"/>
      <c r="M7" s="1066"/>
      <c r="N7" s="1016"/>
      <c r="O7" s="1053"/>
      <c r="P7" s="1053"/>
      <c r="Q7" s="1053"/>
      <c r="R7" s="1053"/>
      <c r="S7" s="1053"/>
      <c r="T7" s="1053"/>
      <c r="U7" s="1053"/>
      <c r="V7" s="1053"/>
      <c r="W7" s="1067"/>
      <c r="X7" s="1067"/>
    </row>
    <row r="8" spans="1:26" ht="74.25" customHeight="1">
      <c r="A8" s="448"/>
      <c r="B8" s="383" t="s">
        <v>169</v>
      </c>
      <c r="C8" s="384" t="s">
        <v>89</v>
      </c>
      <c r="D8" s="308">
        <v>964</v>
      </c>
      <c r="E8" s="385" t="s">
        <v>120</v>
      </c>
      <c r="F8" s="308" t="s">
        <v>120</v>
      </c>
      <c r="G8" s="305" t="s">
        <v>120</v>
      </c>
      <c r="H8" s="305" t="s">
        <v>120</v>
      </c>
      <c r="I8" s="386" t="s">
        <v>120</v>
      </c>
      <c r="J8" s="387">
        <f aca="true" t="shared" si="0" ref="J8:O8">J9</f>
        <v>8322.9</v>
      </c>
      <c r="K8" s="387">
        <f t="shared" si="0"/>
        <v>8249</v>
      </c>
      <c r="L8" s="387">
        <f>L9</f>
        <v>9030.740000000003</v>
      </c>
      <c r="M8" s="387">
        <f t="shared" si="0"/>
        <v>9893.5</v>
      </c>
      <c r="N8" s="387">
        <f t="shared" si="0"/>
        <v>11851</v>
      </c>
      <c r="O8" s="387">
        <f t="shared" si="0"/>
        <v>10606.100000000002</v>
      </c>
      <c r="P8" s="387">
        <f aca="true" t="shared" si="1" ref="P8:V8">P9</f>
        <v>34832.899999999994</v>
      </c>
      <c r="Q8" s="387">
        <f t="shared" si="1"/>
        <v>56125.600000000006</v>
      </c>
      <c r="R8" s="387">
        <f t="shared" si="1"/>
        <v>25604.6</v>
      </c>
      <c r="S8" s="387">
        <f t="shared" si="1"/>
        <v>27885.4</v>
      </c>
      <c r="T8" s="387">
        <f t="shared" si="1"/>
        <v>21571.7</v>
      </c>
      <c r="U8" s="387">
        <f t="shared" si="1"/>
        <v>21256.9</v>
      </c>
      <c r="V8" s="387">
        <f t="shared" si="1"/>
        <v>21256.9</v>
      </c>
      <c r="W8" s="387">
        <f>SUM(J8:V8)</f>
        <v>266487.24</v>
      </c>
      <c r="X8" s="1070" t="s">
        <v>468</v>
      </c>
      <c r="Y8" s="228" t="s">
        <v>491</v>
      </c>
      <c r="Z8" s="228" t="s">
        <v>490</v>
      </c>
    </row>
    <row r="9" spans="1:26" ht="239.25" customHeight="1">
      <c r="A9" s="449"/>
      <c r="B9" s="388" t="s">
        <v>454</v>
      </c>
      <c r="C9" s="389" t="s">
        <v>39</v>
      </c>
      <c r="D9" s="390"/>
      <c r="E9" s="390"/>
      <c r="F9" s="390"/>
      <c r="G9" s="385"/>
      <c r="H9" s="391"/>
      <c r="I9" s="390"/>
      <c r="J9" s="387">
        <f>J11+J12+J16+J17+J18+J19+J34+J35+J38+J39+J41+J42+J20+J21+J22+J23+J24+J60</f>
        <v>8322.9</v>
      </c>
      <c r="K9" s="387">
        <f>K11+K12+K16+K17+K18+K19+K34+K35+K39+K38+K41+K42+K20+K21+K22+K23+K24+K55+K56+K57+K40+K25+K60</f>
        <v>8249</v>
      </c>
      <c r="L9" s="387">
        <f>L11+L16+L18+L12+L19+L34+L35+L38+L39+L41+L42+L20+L21+L22+L23+L24+L55+L56+L57+L40+L25+L60</f>
        <v>9030.740000000003</v>
      </c>
      <c r="M9" s="387">
        <f>M11+M12+M16+M17+M18+M19+M34+M35+M38+M39+M41+M42+M20+M21+M22+M23+M24+M55+M56+M57+M60</f>
        <v>9893.5</v>
      </c>
      <c r="N9" s="387">
        <f aca="true" t="shared" si="2" ref="N9:U9">SUM(N11:N60)</f>
        <v>11851</v>
      </c>
      <c r="O9" s="387">
        <f t="shared" si="2"/>
        <v>10606.100000000002</v>
      </c>
      <c r="P9" s="387">
        <f t="shared" si="2"/>
        <v>34832.899999999994</v>
      </c>
      <c r="Q9" s="387">
        <f t="shared" si="2"/>
        <v>56125.600000000006</v>
      </c>
      <c r="R9" s="387">
        <f t="shared" si="2"/>
        <v>25604.6</v>
      </c>
      <c r="S9" s="387">
        <f>SUM(S11:S60)</f>
        <v>27885.4</v>
      </c>
      <c r="T9" s="387">
        <f t="shared" si="2"/>
        <v>21571.7</v>
      </c>
      <c r="U9" s="387">
        <f t="shared" si="2"/>
        <v>21256.9</v>
      </c>
      <c r="V9" s="387">
        <f>SUM(V11:V60)</f>
        <v>21256.9</v>
      </c>
      <c r="W9" s="387">
        <f aca="true" t="shared" si="3" ref="W9:W60">SUM(J9:V9)</f>
        <v>266487.24</v>
      </c>
      <c r="X9" s="1071"/>
      <c r="Y9" s="480">
        <f>R9-R60</f>
        <v>16996.6</v>
      </c>
      <c r="Z9" s="480">
        <f>S9-S60</f>
        <v>19715.800000000003</v>
      </c>
    </row>
    <row r="10" spans="1:24" ht="75" customHeight="1" hidden="1">
      <c r="A10" s="449" t="s">
        <v>8</v>
      </c>
      <c r="B10" s="392" t="s">
        <v>125</v>
      </c>
      <c r="C10" s="392" t="s">
        <v>92</v>
      </c>
      <c r="D10" s="308">
        <v>964</v>
      </c>
      <c r="E10" s="385" t="s">
        <v>100</v>
      </c>
      <c r="F10" s="308" t="s">
        <v>120</v>
      </c>
      <c r="G10" s="305" t="s">
        <v>120</v>
      </c>
      <c r="H10" s="305" t="s">
        <v>120</v>
      </c>
      <c r="I10" s="386" t="s">
        <v>123</v>
      </c>
      <c r="J10" s="393">
        <v>870.62</v>
      </c>
      <c r="K10" s="393">
        <v>915.1</v>
      </c>
      <c r="L10" s="393">
        <v>961.7</v>
      </c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87">
        <f t="shared" si="3"/>
        <v>2747.42</v>
      </c>
      <c r="X10" s="1071"/>
    </row>
    <row r="11" spans="1:24" ht="46.5" customHeight="1">
      <c r="A11" s="1055" t="s">
        <v>8</v>
      </c>
      <c r="B11" s="1064" t="s">
        <v>126</v>
      </c>
      <c r="C11" s="1024" t="s">
        <v>82</v>
      </c>
      <c r="D11" s="308">
        <v>964</v>
      </c>
      <c r="E11" s="454" t="s">
        <v>100</v>
      </c>
      <c r="F11" s="455" t="s">
        <v>146</v>
      </c>
      <c r="G11" s="449" t="s">
        <v>7</v>
      </c>
      <c r="H11" s="449" t="s">
        <v>179</v>
      </c>
      <c r="I11" s="456" t="s">
        <v>121</v>
      </c>
      <c r="J11" s="496">
        <v>0</v>
      </c>
      <c r="K11" s="496">
        <v>0</v>
      </c>
      <c r="L11" s="496">
        <v>5901.6</v>
      </c>
      <c r="M11" s="496">
        <v>6629.1</v>
      </c>
      <c r="N11" s="496">
        <v>7232.5</v>
      </c>
      <c r="O11" s="496">
        <v>6360.7</v>
      </c>
      <c r="P11" s="496">
        <v>6539.5</v>
      </c>
      <c r="Q11" s="496">
        <f>861.9-Q14</f>
        <v>735.9</v>
      </c>
      <c r="R11" s="496">
        <f>1060.1-R13-R14</f>
        <v>889.0999999999999</v>
      </c>
      <c r="S11" s="496">
        <f>1310.7-S13-S14-S15-0.1</f>
        <v>1122.6000000000001</v>
      </c>
      <c r="T11" s="496">
        <f>1310.7-T13-T14-T15</f>
        <v>1122.7</v>
      </c>
      <c r="U11" s="496">
        <f>1310.7-U13-U14-U15</f>
        <v>1122.7</v>
      </c>
      <c r="V11" s="496">
        <f>1310.7-V13-V14-V15</f>
        <v>1122.7</v>
      </c>
      <c r="W11" s="387">
        <f t="shared" si="3"/>
        <v>38779.09999999999</v>
      </c>
      <c r="X11" s="1071"/>
    </row>
    <row r="12" spans="1:24" ht="36.75" customHeight="1">
      <c r="A12" s="1061"/>
      <c r="B12" s="1065"/>
      <c r="C12" s="1030"/>
      <c r="D12" s="308">
        <v>964</v>
      </c>
      <c r="E12" s="454" t="s">
        <v>100</v>
      </c>
      <c r="F12" s="455" t="s">
        <v>146</v>
      </c>
      <c r="G12" s="449" t="s">
        <v>7</v>
      </c>
      <c r="H12" s="449" t="s">
        <v>223</v>
      </c>
      <c r="I12" s="456" t="s">
        <v>121</v>
      </c>
      <c r="J12" s="496">
        <v>5439.7</v>
      </c>
      <c r="K12" s="496">
        <v>5540.1</v>
      </c>
      <c r="L12" s="496">
        <v>0</v>
      </c>
      <c r="M12" s="496">
        <v>0</v>
      </c>
      <c r="N12" s="496">
        <v>0</v>
      </c>
      <c r="O12" s="496">
        <v>0</v>
      </c>
      <c r="P12" s="496">
        <v>0</v>
      </c>
      <c r="Q12" s="496">
        <v>0</v>
      </c>
      <c r="R12" s="496">
        <v>0</v>
      </c>
      <c r="S12" s="496">
        <v>0</v>
      </c>
      <c r="T12" s="496">
        <v>0</v>
      </c>
      <c r="U12" s="496">
        <v>0</v>
      </c>
      <c r="V12" s="496">
        <v>0</v>
      </c>
      <c r="W12" s="387">
        <f t="shared" si="3"/>
        <v>10979.8</v>
      </c>
      <c r="X12" s="1071"/>
    </row>
    <row r="13" spans="1:24" ht="46.5" customHeight="1">
      <c r="A13" s="1061"/>
      <c r="B13" s="389" t="s">
        <v>452</v>
      </c>
      <c r="C13" s="1030"/>
      <c r="D13" s="308">
        <v>964</v>
      </c>
      <c r="E13" s="454" t="s">
        <v>100</v>
      </c>
      <c r="F13" s="455" t="s">
        <v>146</v>
      </c>
      <c r="G13" s="449" t="s">
        <v>7</v>
      </c>
      <c r="H13" s="449" t="s">
        <v>179</v>
      </c>
      <c r="I13" s="456" t="s">
        <v>121</v>
      </c>
      <c r="J13" s="496">
        <v>0</v>
      </c>
      <c r="K13" s="496">
        <v>0</v>
      </c>
      <c r="L13" s="496">
        <v>0</v>
      </c>
      <c r="M13" s="496">
        <v>0</v>
      </c>
      <c r="N13" s="496">
        <v>0</v>
      </c>
      <c r="O13" s="496">
        <v>0</v>
      </c>
      <c r="P13" s="496">
        <v>0</v>
      </c>
      <c r="Q13" s="496">
        <v>0</v>
      </c>
      <c r="R13" s="496">
        <v>45</v>
      </c>
      <c r="S13" s="496">
        <v>45</v>
      </c>
      <c r="T13" s="496">
        <v>45</v>
      </c>
      <c r="U13" s="496">
        <v>45</v>
      </c>
      <c r="V13" s="496">
        <v>45</v>
      </c>
      <c r="W13" s="387">
        <f t="shared" si="3"/>
        <v>225</v>
      </c>
      <c r="X13" s="1071"/>
    </row>
    <row r="14" spans="1:24" ht="58.5" customHeight="1">
      <c r="A14" s="1061"/>
      <c r="B14" s="389" t="s">
        <v>453</v>
      </c>
      <c r="C14" s="1030"/>
      <c r="D14" s="308">
        <v>964</v>
      </c>
      <c r="E14" s="454" t="s">
        <v>100</v>
      </c>
      <c r="F14" s="455" t="s">
        <v>146</v>
      </c>
      <c r="G14" s="449" t="s">
        <v>7</v>
      </c>
      <c r="H14" s="449" t="s">
        <v>179</v>
      </c>
      <c r="I14" s="456" t="s">
        <v>121</v>
      </c>
      <c r="J14" s="496">
        <v>0</v>
      </c>
      <c r="K14" s="496">
        <v>0</v>
      </c>
      <c r="L14" s="496">
        <v>0</v>
      </c>
      <c r="M14" s="496">
        <v>0</v>
      </c>
      <c r="N14" s="496">
        <v>0</v>
      </c>
      <c r="O14" s="496">
        <v>0</v>
      </c>
      <c r="P14" s="496">
        <v>0</v>
      </c>
      <c r="Q14" s="496">
        <v>126</v>
      </c>
      <c r="R14" s="496">
        <v>126</v>
      </c>
      <c r="S14" s="496">
        <v>126</v>
      </c>
      <c r="T14" s="496">
        <v>126</v>
      </c>
      <c r="U14" s="496">
        <v>126</v>
      </c>
      <c r="V14" s="496">
        <v>126</v>
      </c>
      <c r="W14" s="387">
        <f t="shared" si="3"/>
        <v>756</v>
      </c>
      <c r="X14" s="1071"/>
    </row>
    <row r="15" spans="1:24" ht="39.75" customHeight="1">
      <c r="A15" s="1056"/>
      <c r="B15" s="543" t="s">
        <v>534</v>
      </c>
      <c r="C15" s="1030"/>
      <c r="D15" s="308">
        <v>964</v>
      </c>
      <c r="E15" s="454" t="s">
        <v>100</v>
      </c>
      <c r="F15" s="455" t="s">
        <v>146</v>
      </c>
      <c r="G15" s="449" t="s">
        <v>7</v>
      </c>
      <c r="H15" s="449" t="s">
        <v>179</v>
      </c>
      <c r="I15" s="456" t="s">
        <v>121</v>
      </c>
      <c r="J15" s="496">
        <v>0</v>
      </c>
      <c r="K15" s="496">
        <v>0</v>
      </c>
      <c r="L15" s="496">
        <v>0</v>
      </c>
      <c r="M15" s="496">
        <v>0</v>
      </c>
      <c r="N15" s="496">
        <v>0</v>
      </c>
      <c r="O15" s="496">
        <v>0</v>
      </c>
      <c r="P15" s="496">
        <v>0</v>
      </c>
      <c r="Q15" s="496">
        <v>0</v>
      </c>
      <c r="R15" s="496">
        <v>0</v>
      </c>
      <c r="S15" s="496">
        <v>17</v>
      </c>
      <c r="T15" s="496">
        <v>17</v>
      </c>
      <c r="U15" s="496">
        <v>17</v>
      </c>
      <c r="V15" s="496">
        <v>17</v>
      </c>
      <c r="W15" s="387">
        <f t="shared" si="3"/>
        <v>68</v>
      </c>
      <c r="X15" s="1071"/>
    </row>
    <row r="16" spans="1:24" ht="30.75" customHeight="1">
      <c r="A16" s="1055" t="s">
        <v>7</v>
      </c>
      <c r="B16" s="1064" t="s">
        <v>150</v>
      </c>
      <c r="C16" s="1030"/>
      <c r="D16" s="308">
        <v>964</v>
      </c>
      <c r="E16" s="454" t="s">
        <v>100</v>
      </c>
      <c r="F16" s="455" t="s">
        <v>146</v>
      </c>
      <c r="G16" s="449" t="s">
        <v>7</v>
      </c>
      <c r="H16" s="449" t="s">
        <v>181</v>
      </c>
      <c r="I16" s="456" t="s">
        <v>121</v>
      </c>
      <c r="J16" s="496">
        <v>0</v>
      </c>
      <c r="K16" s="496">
        <v>0</v>
      </c>
      <c r="L16" s="496">
        <v>695.27</v>
      </c>
      <c r="M16" s="496">
        <v>812.9</v>
      </c>
      <c r="N16" s="496">
        <v>1155.4</v>
      </c>
      <c r="O16" s="496">
        <v>963.1</v>
      </c>
      <c r="P16" s="496">
        <v>1769.1</v>
      </c>
      <c r="Q16" s="496">
        <v>0</v>
      </c>
      <c r="R16" s="496">
        <v>0</v>
      </c>
      <c r="S16" s="496">
        <v>0</v>
      </c>
      <c r="T16" s="496">
        <v>0</v>
      </c>
      <c r="U16" s="496">
        <v>0</v>
      </c>
      <c r="V16" s="496">
        <v>0</v>
      </c>
      <c r="W16" s="387">
        <f t="shared" si="3"/>
        <v>5395.77</v>
      </c>
      <c r="X16" s="1071"/>
    </row>
    <row r="17" spans="1:24" ht="30" customHeight="1">
      <c r="A17" s="1056"/>
      <c r="B17" s="1065"/>
      <c r="C17" s="1030"/>
      <c r="D17" s="308">
        <v>964</v>
      </c>
      <c r="E17" s="454" t="s">
        <v>100</v>
      </c>
      <c r="F17" s="455" t="s">
        <v>146</v>
      </c>
      <c r="G17" s="449" t="s">
        <v>7</v>
      </c>
      <c r="H17" s="449" t="s">
        <v>224</v>
      </c>
      <c r="I17" s="456" t="s">
        <v>121</v>
      </c>
      <c r="J17" s="496">
        <v>217.8</v>
      </c>
      <c r="K17" s="496">
        <v>329.8</v>
      </c>
      <c r="L17" s="496">
        <v>0</v>
      </c>
      <c r="M17" s="496">
        <v>0</v>
      </c>
      <c r="N17" s="496">
        <v>0</v>
      </c>
      <c r="O17" s="496">
        <v>0</v>
      </c>
      <c r="P17" s="496"/>
      <c r="Q17" s="496"/>
      <c r="R17" s="496"/>
      <c r="S17" s="496"/>
      <c r="T17" s="496"/>
      <c r="U17" s="496"/>
      <c r="V17" s="496"/>
      <c r="W17" s="387">
        <f t="shared" si="3"/>
        <v>547.6</v>
      </c>
      <c r="X17" s="1071"/>
    </row>
    <row r="18" spans="1:24" ht="30.75" customHeight="1">
      <c r="A18" s="1055" t="s">
        <v>5</v>
      </c>
      <c r="B18" s="1064" t="s">
        <v>152</v>
      </c>
      <c r="C18" s="452"/>
      <c r="D18" s="308">
        <v>964</v>
      </c>
      <c r="E18" s="454" t="s">
        <v>100</v>
      </c>
      <c r="F18" s="455" t="s">
        <v>146</v>
      </c>
      <c r="G18" s="449" t="s">
        <v>7</v>
      </c>
      <c r="H18" s="449" t="s">
        <v>182</v>
      </c>
      <c r="I18" s="456" t="s">
        <v>121</v>
      </c>
      <c r="J18" s="496">
        <v>0</v>
      </c>
      <c r="K18" s="496">
        <v>0</v>
      </c>
      <c r="L18" s="496">
        <v>198.47</v>
      </c>
      <c r="M18" s="496">
        <v>78.9</v>
      </c>
      <c r="N18" s="496">
        <v>78.4</v>
      </c>
      <c r="O18" s="496">
        <v>52</v>
      </c>
      <c r="P18" s="496"/>
      <c r="Q18" s="496">
        <v>0</v>
      </c>
      <c r="R18" s="496">
        <v>0</v>
      </c>
      <c r="S18" s="496">
        <v>0</v>
      </c>
      <c r="T18" s="496">
        <v>0</v>
      </c>
      <c r="U18" s="496">
        <v>0</v>
      </c>
      <c r="V18" s="496">
        <v>0</v>
      </c>
      <c r="W18" s="387">
        <f t="shared" si="3"/>
        <v>407.77</v>
      </c>
      <c r="X18" s="1071"/>
    </row>
    <row r="19" spans="1:24" ht="27.75" customHeight="1">
      <c r="A19" s="1056"/>
      <c r="B19" s="1065"/>
      <c r="C19" s="452"/>
      <c r="D19" s="308">
        <v>964</v>
      </c>
      <c r="E19" s="454" t="s">
        <v>100</v>
      </c>
      <c r="F19" s="455" t="s">
        <v>146</v>
      </c>
      <c r="G19" s="449" t="s">
        <v>7</v>
      </c>
      <c r="H19" s="449" t="s">
        <v>225</v>
      </c>
      <c r="I19" s="456" t="s">
        <v>121</v>
      </c>
      <c r="J19" s="496">
        <v>82.5</v>
      </c>
      <c r="K19" s="496">
        <v>247.5</v>
      </c>
      <c r="L19" s="496">
        <v>0</v>
      </c>
      <c r="M19" s="496">
        <v>0</v>
      </c>
      <c r="N19" s="496">
        <v>0</v>
      </c>
      <c r="O19" s="496">
        <v>0</v>
      </c>
      <c r="P19" s="496">
        <v>0</v>
      </c>
      <c r="Q19" s="496">
        <v>0</v>
      </c>
      <c r="R19" s="496">
        <v>0</v>
      </c>
      <c r="S19" s="496">
        <v>0</v>
      </c>
      <c r="T19" s="496">
        <v>0</v>
      </c>
      <c r="U19" s="496">
        <v>0</v>
      </c>
      <c r="V19" s="496">
        <v>0</v>
      </c>
      <c r="W19" s="387">
        <f t="shared" si="3"/>
        <v>330</v>
      </c>
      <c r="X19" s="1071"/>
    </row>
    <row r="20" spans="1:24" ht="35.25" customHeight="1">
      <c r="A20" s="1055" t="s">
        <v>4</v>
      </c>
      <c r="B20" s="1068" t="s">
        <v>206</v>
      </c>
      <c r="C20" s="452"/>
      <c r="D20" s="395">
        <v>964</v>
      </c>
      <c r="E20" s="457" t="s">
        <v>100</v>
      </c>
      <c r="F20" s="458" t="s">
        <v>146</v>
      </c>
      <c r="G20" s="457" t="s">
        <v>7</v>
      </c>
      <c r="H20" s="459">
        <v>10430</v>
      </c>
      <c r="I20" s="460" t="s">
        <v>121</v>
      </c>
      <c r="J20" s="497">
        <v>0</v>
      </c>
      <c r="K20" s="497">
        <f>240.7-240.7</f>
        <v>0</v>
      </c>
      <c r="L20" s="497">
        <v>0</v>
      </c>
      <c r="M20" s="497">
        <v>0</v>
      </c>
      <c r="N20" s="497">
        <v>671</v>
      </c>
      <c r="O20" s="497">
        <v>0</v>
      </c>
      <c r="P20" s="497">
        <v>0</v>
      </c>
      <c r="Q20" s="497">
        <v>0</v>
      </c>
      <c r="R20" s="497">
        <v>0</v>
      </c>
      <c r="S20" s="497">
        <v>0</v>
      </c>
      <c r="T20" s="497">
        <v>0</v>
      </c>
      <c r="U20" s="497">
        <v>0</v>
      </c>
      <c r="V20" s="497">
        <v>0</v>
      </c>
      <c r="W20" s="387">
        <f t="shared" si="3"/>
        <v>671</v>
      </c>
      <c r="X20" s="1071"/>
    </row>
    <row r="21" spans="1:24" s="396" customFormat="1" ht="33.75" customHeight="1">
      <c r="A21" s="1056"/>
      <c r="B21" s="1069"/>
      <c r="C21" s="452"/>
      <c r="D21" s="395">
        <v>964</v>
      </c>
      <c r="E21" s="457" t="s">
        <v>100</v>
      </c>
      <c r="F21" s="458" t="s">
        <v>146</v>
      </c>
      <c r="G21" s="457" t="s">
        <v>7</v>
      </c>
      <c r="H21" s="457" t="s">
        <v>207</v>
      </c>
      <c r="I21" s="460" t="s">
        <v>121</v>
      </c>
      <c r="J21" s="497">
        <v>0</v>
      </c>
      <c r="K21" s="497">
        <v>0</v>
      </c>
      <c r="L21" s="497">
        <v>240.7</v>
      </c>
      <c r="M21" s="497">
        <v>382.2</v>
      </c>
      <c r="N21" s="497">
        <v>0</v>
      </c>
      <c r="O21" s="497">
        <v>0</v>
      </c>
      <c r="P21" s="497">
        <v>0</v>
      </c>
      <c r="Q21" s="497">
        <v>0</v>
      </c>
      <c r="R21" s="497">
        <v>0</v>
      </c>
      <c r="S21" s="497">
        <v>0</v>
      </c>
      <c r="T21" s="497">
        <v>0</v>
      </c>
      <c r="U21" s="497">
        <v>0</v>
      </c>
      <c r="V21" s="497">
        <v>0</v>
      </c>
      <c r="W21" s="387">
        <f t="shared" si="3"/>
        <v>622.9</v>
      </c>
      <c r="X21" s="1071"/>
    </row>
    <row r="22" spans="1:24" s="396" customFormat="1" ht="57.75" customHeight="1">
      <c r="A22" s="449" t="s">
        <v>3</v>
      </c>
      <c r="B22" s="392" t="s">
        <v>153</v>
      </c>
      <c r="C22" s="452"/>
      <c r="D22" s="395">
        <v>964</v>
      </c>
      <c r="E22" s="457" t="s">
        <v>100</v>
      </c>
      <c r="F22" s="458" t="s">
        <v>146</v>
      </c>
      <c r="G22" s="457" t="s">
        <v>7</v>
      </c>
      <c r="H22" s="459">
        <v>7701</v>
      </c>
      <c r="I22" s="460" t="s">
        <v>121</v>
      </c>
      <c r="J22" s="497">
        <v>350</v>
      </c>
      <c r="K22" s="497">
        <v>0</v>
      </c>
      <c r="L22" s="497">
        <v>0</v>
      </c>
      <c r="M22" s="497">
        <v>0</v>
      </c>
      <c r="N22" s="497">
        <v>0</v>
      </c>
      <c r="O22" s="497">
        <v>0</v>
      </c>
      <c r="P22" s="497">
        <v>0</v>
      </c>
      <c r="Q22" s="497">
        <v>0</v>
      </c>
      <c r="R22" s="497">
        <v>0</v>
      </c>
      <c r="S22" s="497">
        <v>0</v>
      </c>
      <c r="T22" s="497">
        <v>0</v>
      </c>
      <c r="U22" s="497">
        <v>0</v>
      </c>
      <c r="V22" s="497">
        <v>0</v>
      </c>
      <c r="W22" s="387">
        <f t="shared" si="3"/>
        <v>350</v>
      </c>
      <c r="X22" s="1071"/>
    </row>
    <row r="23" spans="1:24" s="396" customFormat="1" ht="88.5" customHeight="1">
      <c r="A23" s="449" t="s">
        <v>139</v>
      </c>
      <c r="B23" s="397" t="s">
        <v>155</v>
      </c>
      <c r="C23" s="452"/>
      <c r="D23" s="395">
        <v>964</v>
      </c>
      <c r="E23" s="457" t="s">
        <v>100</v>
      </c>
      <c r="F23" s="458" t="s">
        <v>146</v>
      </c>
      <c r="G23" s="457" t="s">
        <v>7</v>
      </c>
      <c r="H23" s="459">
        <v>8857</v>
      </c>
      <c r="I23" s="460" t="s">
        <v>121</v>
      </c>
      <c r="J23" s="497">
        <v>3.5</v>
      </c>
      <c r="K23" s="497">
        <v>0</v>
      </c>
      <c r="L23" s="497">
        <v>0</v>
      </c>
      <c r="M23" s="497">
        <v>0</v>
      </c>
      <c r="N23" s="497">
        <v>0</v>
      </c>
      <c r="O23" s="497">
        <v>0</v>
      </c>
      <c r="P23" s="497">
        <v>0</v>
      </c>
      <c r="Q23" s="497">
        <v>0</v>
      </c>
      <c r="R23" s="497">
        <v>0</v>
      </c>
      <c r="S23" s="497">
        <v>0</v>
      </c>
      <c r="T23" s="497">
        <v>0</v>
      </c>
      <c r="U23" s="497">
        <v>0</v>
      </c>
      <c r="V23" s="497">
        <v>0</v>
      </c>
      <c r="W23" s="387">
        <f t="shared" si="3"/>
        <v>3.5</v>
      </c>
      <c r="X23" s="1071"/>
    </row>
    <row r="24" spans="1:24" s="396" customFormat="1" ht="141" customHeight="1">
      <c r="A24" s="590" t="s">
        <v>140</v>
      </c>
      <c r="B24" s="398" t="s">
        <v>436</v>
      </c>
      <c r="C24" s="452"/>
      <c r="D24" s="399">
        <v>964</v>
      </c>
      <c r="E24" s="461" t="s">
        <v>100</v>
      </c>
      <c r="F24" s="462" t="s">
        <v>146</v>
      </c>
      <c r="G24" s="461" t="s">
        <v>7</v>
      </c>
      <c r="H24" s="463">
        <v>1022</v>
      </c>
      <c r="I24" s="464" t="s">
        <v>121</v>
      </c>
      <c r="J24" s="498">
        <v>6.5</v>
      </c>
      <c r="K24" s="498">
        <v>0</v>
      </c>
      <c r="L24" s="498">
        <v>0</v>
      </c>
      <c r="M24" s="498">
        <v>0</v>
      </c>
      <c r="N24" s="498">
        <v>0</v>
      </c>
      <c r="O24" s="498">
        <v>0</v>
      </c>
      <c r="P24" s="498">
        <v>0</v>
      </c>
      <c r="Q24" s="498">
        <v>0</v>
      </c>
      <c r="R24" s="498">
        <v>0</v>
      </c>
      <c r="S24" s="498">
        <v>0</v>
      </c>
      <c r="T24" s="498">
        <v>0</v>
      </c>
      <c r="U24" s="498">
        <v>0</v>
      </c>
      <c r="V24" s="498">
        <v>0</v>
      </c>
      <c r="W24" s="387">
        <f t="shared" si="3"/>
        <v>6.5</v>
      </c>
      <c r="X24" s="1071"/>
    </row>
    <row r="25" spans="1:24" s="396" customFormat="1" ht="75">
      <c r="A25" s="449" t="s">
        <v>263</v>
      </c>
      <c r="B25" s="397" t="s">
        <v>298</v>
      </c>
      <c r="C25" s="452"/>
      <c r="D25" s="395">
        <v>964</v>
      </c>
      <c r="E25" s="449" t="s">
        <v>100</v>
      </c>
      <c r="F25" s="455" t="s">
        <v>146</v>
      </c>
      <c r="G25" s="449" t="s">
        <v>7</v>
      </c>
      <c r="H25" s="449" t="s">
        <v>299</v>
      </c>
      <c r="I25" s="456" t="s">
        <v>121</v>
      </c>
      <c r="J25" s="499"/>
      <c r="K25" s="497"/>
      <c r="L25" s="497"/>
      <c r="M25" s="497"/>
      <c r="N25" s="497">
        <v>258.7</v>
      </c>
      <c r="O25" s="497"/>
      <c r="P25" s="497"/>
      <c r="Q25" s="497"/>
      <c r="R25" s="497"/>
      <c r="S25" s="497"/>
      <c r="T25" s="497"/>
      <c r="U25" s="497"/>
      <c r="V25" s="497"/>
      <c r="W25" s="387">
        <f t="shared" si="3"/>
        <v>258.7</v>
      </c>
      <c r="X25" s="1071"/>
    </row>
    <row r="26" spans="1:24" s="396" customFormat="1" ht="75">
      <c r="A26" s="449" t="s">
        <v>264</v>
      </c>
      <c r="B26" s="397" t="s">
        <v>403</v>
      </c>
      <c r="C26" s="452"/>
      <c r="D26" s="395">
        <v>964</v>
      </c>
      <c r="E26" s="449" t="s">
        <v>100</v>
      </c>
      <c r="F26" s="455" t="s">
        <v>146</v>
      </c>
      <c r="G26" s="449" t="s">
        <v>7</v>
      </c>
      <c r="H26" s="449" t="s">
        <v>404</v>
      </c>
      <c r="I26" s="456" t="s">
        <v>121</v>
      </c>
      <c r="J26" s="499"/>
      <c r="K26" s="497"/>
      <c r="L26" s="497"/>
      <c r="M26" s="497"/>
      <c r="N26" s="497"/>
      <c r="O26" s="497">
        <v>49.6</v>
      </c>
      <c r="P26" s="497"/>
      <c r="Q26" s="497"/>
      <c r="R26" s="497"/>
      <c r="S26" s="497"/>
      <c r="T26" s="497"/>
      <c r="U26" s="497"/>
      <c r="V26" s="497"/>
      <c r="W26" s="387">
        <f t="shared" si="3"/>
        <v>49.6</v>
      </c>
      <c r="X26" s="1071"/>
    </row>
    <row r="27" spans="1:24" s="396" customFormat="1" ht="97.5" customHeight="1">
      <c r="A27" s="449" t="s">
        <v>265</v>
      </c>
      <c r="B27" s="397" t="s">
        <v>435</v>
      </c>
      <c r="C27" s="452"/>
      <c r="D27" s="395">
        <v>964</v>
      </c>
      <c r="E27" s="449" t="s">
        <v>100</v>
      </c>
      <c r="F27" s="455" t="s">
        <v>146</v>
      </c>
      <c r="G27" s="449" t="s">
        <v>7</v>
      </c>
      <c r="H27" s="449" t="s">
        <v>425</v>
      </c>
      <c r="I27" s="456" t="s">
        <v>121</v>
      </c>
      <c r="J27" s="499"/>
      <c r="K27" s="497"/>
      <c r="L27" s="497"/>
      <c r="M27" s="497"/>
      <c r="N27" s="497"/>
      <c r="O27" s="497"/>
      <c r="P27" s="497">
        <v>303.1</v>
      </c>
      <c r="Q27" s="497"/>
      <c r="R27" s="497"/>
      <c r="S27" s="497"/>
      <c r="T27" s="497"/>
      <c r="U27" s="497"/>
      <c r="V27" s="497"/>
      <c r="W27" s="387">
        <f t="shared" si="3"/>
        <v>303.1</v>
      </c>
      <c r="X27" s="1071"/>
    </row>
    <row r="28" spans="1:24" s="396" customFormat="1" ht="234" customHeight="1">
      <c r="A28" s="449" t="s">
        <v>266</v>
      </c>
      <c r="B28" s="397" t="s">
        <v>407</v>
      </c>
      <c r="C28" s="452"/>
      <c r="D28" s="395">
        <v>964</v>
      </c>
      <c r="E28" s="449" t="s">
        <v>100</v>
      </c>
      <c r="F28" s="455" t="s">
        <v>146</v>
      </c>
      <c r="G28" s="449" t="s">
        <v>7</v>
      </c>
      <c r="H28" s="449" t="s">
        <v>406</v>
      </c>
      <c r="I28" s="456" t="s">
        <v>121</v>
      </c>
      <c r="J28" s="499"/>
      <c r="K28" s="497"/>
      <c r="L28" s="497"/>
      <c r="M28" s="497"/>
      <c r="N28" s="497"/>
      <c r="O28" s="497">
        <v>6.2</v>
      </c>
      <c r="P28" s="497"/>
      <c r="Q28" s="497"/>
      <c r="R28" s="497"/>
      <c r="S28" s="497"/>
      <c r="T28" s="497"/>
      <c r="U28" s="497"/>
      <c r="V28" s="497"/>
      <c r="W28" s="387">
        <f t="shared" si="3"/>
        <v>6.2</v>
      </c>
      <c r="X28" s="1071"/>
    </row>
    <row r="29" spans="1:24" s="396" customFormat="1" ht="243" customHeight="1">
      <c r="A29" s="449" t="s">
        <v>267</v>
      </c>
      <c r="B29" s="397" t="s">
        <v>407</v>
      </c>
      <c r="C29" s="452"/>
      <c r="D29" s="395">
        <v>964</v>
      </c>
      <c r="E29" s="449" t="s">
        <v>100</v>
      </c>
      <c r="F29" s="455" t="s">
        <v>146</v>
      </c>
      <c r="G29" s="449" t="s">
        <v>7</v>
      </c>
      <c r="H29" s="449" t="s">
        <v>413</v>
      </c>
      <c r="I29" s="456" t="s">
        <v>121</v>
      </c>
      <c r="J29" s="499"/>
      <c r="K29" s="497"/>
      <c r="L29" s="497"/>
      <c r="M29" s="497"/>
      <c r="N29" s="497"/>
      <c r="O29" s="497"/>
      <c r="P29" s="497">
        <v>166.8</v>
      </c>
      <c r="Q29" s="497"/>
      <c r="R29" s="497"/>
      <c r="S29" s="497"/>
      <c r="T29" s="497"/>
      <c r="U29" s="497"/>
      <c r="V29" s="497"/>
      <c r="W29" s="387">
        <f t="shared" si="3"/>
        <v>166.8</v>
      </c>
      <c r="X29" s="1071"/>
    </row>
    <row r="30" spans="1:24" s="396" customFormat="1" ht="101.25" customHeight="1">
      <c r="A30" s="449" t="s">
        <v>284</v>
      </c>
      <c r="B30" s="491" t="s">
        <v>434</v>
      </c>
      <c r="C30" s="452"/>
      <c r="D30" s="395">
        <v>964</v>
      </c>
      <c r="E30" s="449" t="s">
        <v>100</v>
      </c>
      <c r="F30" s="455" t="s">
        <v>146</v>
      </c>
      <c r="G30" s="449" t="s">
        <v>7</v>
      </c>
      <c r="H30" s="449" t="s">
        <v>433</v>
      </c>
      <c r="I30" s="456" t="s">
        <v>121</v>
      </c>
      <c r="J30" s="499"/>
      <c r="K30" s="497"/>
      <c r="L30" s="497"/>
      <c r="M30" s="497"/>
      <c r="N30" s="497"/>
      <c r="O30" s="497"/>
      <c r="P30" s="497">
        <v>43.3</v>
      </c>
      <c r="Q30" s="497"/>
      <c r="R30" s="497"/>
      <c r="S30" s="497"/>
      <c r="T30" s="497"/>
      <c r="U30" s="497"/>
      <c r="V30" s="497"/>
      <c r="W30" s="387">
        <f t="shared" si="3"/>
        <v>43.3</v>
      </c>
      <c r="X30" s="1071"/>
    </row>
    <row r="31" spans="1:24" s="396" customFormat="1" ht="175.5" customHeight="1">
      <c r="A31" s="449"/>
      <c r="B31" s="491" t="s">
        <v>509</v>
      </c>
      <c r="C31" s="452"/>
      <c r="D31" s="395">
        <v>964</v>
      </c>
      <c r="E31" s="449" t="s">
        <v>510</v>
      </c>
      <c r="F31" s="455" t="s">
        <v>146</v>
      </c>
      <c r="G31" s="449" t="s">
        <v>7</v>
      </c>
      <c r="H31" s="449" t="s">
        <v>508</v>
      </c>
      <c r="I31" s="456" t="s">
        <v>121</v>
      </c>
      <c r="J31" s="499"/>
      <c r="K31" s="497"/>
      <c r="L31" s="497"/>
      <c r="M31" s="497"/>
      <c r="N31" s="497"/>
      <c r="O31" s="497"/>
      <c r="P31" s="497"/>
      <c r="Q31" s="497"/>
      <c r="R31" s="497">
        <v>222.9</v>
      </c>
      <c r="S31" s="497"/>
      <c r="T31" s="497"/>
      <c r="U31" s="497"/>
      <c r="V31" s="497"/>
      <c r="W31" s="387">
        <f t="shared" si="3"/>
        <v>222.9</v>
      </c>
      <c r="X31" s="1071"/>
    </row>
    <row r="32" spans="1:24" s="396" customFormat="1" ht="117" customHeight="1">
      <c r="A32" s="449" t="s">
        <v>295</v>
      </c>
      <c r="B32" s="426" t="s">
        <v>438</v>
      </c>
      <c r="C32" s="452"/>
      <c r="D32" s="395">
        <v>964</v>
      </c>
      <c r="E32" s="449" t="s">
        <v>100</v>
      </c>
      <c r="F32" s="455" t="s">
        <v>146</v>
      </c>
      <c r="G32" s="449" t="s">
        <v>7</v>
      </c>
      <c r="H32" s="449" t="s">
        <v>439</v>
      </c>
      <c r="I32" s="456" t="s">
        <v>121</v>
      </c>
      <c r="J32" s="499"/>
      <c r="K32" s="497"/>
      <c r="L32" s="497"/>
      <c r="M32" s="497"/>
      <c r="N32" s="497"/>
      <c r="O32" s="497"/>
      <c r="P32" s="497">
        <v>0</v>
      </c>
      <c r="Q32" s="497">
        <v>8451.4</v>
      </c>
      <c r="R32" s="497">
        <f>8717+751+118.4+248.1</f>
        <v>9834.5</v>
      </c>
      <c r="S32" s="497">
        <f>9994+188.6+219.2+576.4</f>
        <v>10978.2</v>
      </c>
      <c r="T32" s="497">
        <v>9994</v>
      </c>
      <c r="U32" s="497">
        <v>9994</v>
      </c>
      <c r="V32" s="497">
        <v>9994</v>
      </c>
      <c r="W32" s="387">
        <f t="shared" si="3"/>
        <v>59246.100000000006</v>
      </c>
      <c r="X32" s="1071"/>
    </row>
    <row r="33" spans="1:24" s="396" customFormat="1" ht="118.5" customHeight="1">
      <c r="A33" s="449" t="s">
        <v>297</v>
      </c>
      <c r="B33" s="426" t="s">
        <v>438</v>
      </c>
      <c r="C33" s="452"/>
      <c r="D33" s="395">
        <v>964</v>
      </c>
      <c r="E33" s="449" t="s">
        <v>100</v>
      </c>
      <c r="F33" s="455" t="s">
        <v>146</v>
      </c>
      <c r="G33" s="449" t="s">
        <v>7</v>
      </c>
      <c r="H33" s="449" t="s">
        <v>451</v>
      </c>
      <c r="I33" s="456" t="s">
        <v>121</v>
      </c>
      <c r="J33" s="499"/>
      <c r="K33" s="497"/>
      <c r="L33" s="497"/>
      <c r="M33" s="497"/>
      <c r="N33" s="497"/>
      <c r="O33" s="497"/>
      <c r="P33" s="497">
        <v>0</v>
      </c>
      <c r="Q33" s="497">
        <v>1009.5</v>
      </c>
      <c r="R33" s="497">
        <v>1110.1</v>
      </c>
      <c r="S33" s="497">
        <v>1401.7</v>
      </c>
      <c r="T33" s="497">
        <v>1401.7</v>
      </c>
      <c r="U33" s="497">
        <v>1401.7</v>
      </c>
      <c r="V33" s="497">
        <v>1401.7</v>
      </c>
      <c r="W33" s="387">
        <f t="shared" si="3"/>
        <v>7726.4</v>
      </c>
      <c r="X33" s="1071"/>
    </row>
    <row r="34" spans="1:24" ht="33" customHeight="1">
      <c r="A34" s="1055" t="s">
        <v>301</v>
      </c>
      <c r="B34" s="1064" t="s">
        <v>156</v>
      </c>
      <c r="C34" s="452"/>
      <c r="D34" s="308">
        <v>964</v>
      </c>
      <c r="E34" s="454" t="s">
        <v>100</v>
      </c>
      <c r="F34" s="455" t="s">
        <v>146</v>
      </c>
      <c r="G34" s="449" t="s">
        <v>7</v>
      </c>
      <c r="H34" s="449" t="s">
        <v>179</v>
      </c>
      <c r="I34" s="456" t="s">
        <v>123</v>
      </c>
      <c r="J34" s="496">
        <v>0</v>
      </c>
      <c r="K34" s="496">
        <v>0</v>
      </c>
      <c r="L34" s="496">
        <v>549.8</v>
      </c>
      <c r="M34" s="496">
        <v>181.8</v>
      </c>
      <c r="N34" s="496">
        <v>870.4</v>
      </c>
      <c r="O34" s="496">
        <v>713.2</v>
      </c>
      <c r="P34" s="496">
        <v>1250</v>
      </c>
      <c r="Q34" s="496">
        <v>2033.4</v>
      </c>
      <c r="R34" s="496">
        <f>806+319</f>
        <v>1125</v>
      </c>
      <c r="S34" s="496">
        <f>1000+120</f>
        <v>1120</v>
      </c>
      <c r="T34" s="496">
        <v>1000</v>
      </c>
      <c r="U34" s="496">
        <v>1000</v>
      </c>
      <c r="V34" s="496">
        <v>1000</v>
      </c>
      <c r="W34" s="387">
        <f t="shared" si="3"/>
        <v>10843.6</v>
      </c>
      <c r="X34" s="1071"/>
    </row>
    <row r="35" spans="1:32" ht="33" customHeight="1">
      <c r="A35" s="1056"/>
      <c r="B35" s="1065"/>
      <c r="C35" s="452"/>
      <c r="D35" s="308">
        <v>964</v>
      </c>
      <c r="E35" s="454" t="s">
        <v>100</v>
      </c>
      <c r="F35" s="455" t="s">
        <v>146</v>
      </c>
      <c r="G35" s="449" t="s">
        <v>7</v>
      </c>
      <c r="H35" s="449" t="s">
        <v>223</v>
      </c>
      <c r="I35" s="456" t="s">
        <v>123</v>
      </c>
      <c r="J35" s="496">
        <v>41.7</v>
      </c>
      <c r="K35" s="496">
        <v>563.2</v>
      </c>
      <c r="L35" s="496">
        <v>0</v>
      </c>
      <c r="M35" s="496">
        <v>0</v>
      </c>
      <c r="N35" s="496">
        <v>0</v>
      </c>
      <c r="O35" s="496">
        <v>0</v>
      </c>
      <c r="P35" s="496">
        <v>0</v>
      </c>
      <c r="Q35" s="496">
        <v>0</v>
      </c>
      <c r="R35" s="496">
        <v>0</v>
      </c>
      <c r="S35" s="496">
        <v>0</v>
      </c>
      <c r="T35" s="496">
        <v>0</v>
      </c>
      <c r="U35" s="496">
        <v>0</v>
      </c>
      <c r="V35" s="496">
        <v>0</v>
      </c>
      <c r="W35" s="387">
        <f t="shared" si="3"/>
        <v>604.9000000000001</v>
      </c>
      <c r="X35" s="1072"/>
      <c r="AF35" s="394"/>
    </row>
    <row r="36" spans="1:24" s="396" customFormat="1" ht="39.75" customHeight="1">
      <c r="A36" s="1055" t="s">
        <v>443</v>
      </c>
      <c r="B36" s="1068" t="s">
        <v>473</v>
      </c>
      <c r="C36" s="452"/>
      <c r="D36" s="395">
        <v>964</v>
      </c>
      <c r="E36" s="449" t="s">
        <v>100</v>
      </c>
      <c r="F36" s="455" t="s">
        <v>146</v>
      </c>
      <c r="G36" s="449" t="s">
        <v>7</v>
      </c>
      <c r="H36" s="449" t="s">
        <v>430</v>
      </c>
      <c r="I36" s="456" t="s">
        <v>123</v>
      </c>
      <c r="J36" s="499"/>
      <c r="K36" s="497"/>
      <c r="L36" s="497"/>
      <c r="M36" s="497"/>
      <c r="N36" s="497"/>
      <c r="O36" s="497"/>
      <c r="P36" s="497">
        <v>10000</v>
      </c>
      <c r="Q36" s="497">
        <v>3461.3</v>
      </c>
      <c r="R36" s="497"/>
      <c r="S36" s="497"/>
      <c r="T36" s="497"/>
      <c r="U36" s="497"/>
      <c r="V36" s="497"/>
      <c r="W36" s="387">
        <f t="shared" si="3"/>
        <v>13461.3</v>
      </c>
      <c r="X36" s="1062" t="s">
        <v>475</v>
      </c>
    </row>
    <row r="37" spans="1:24" s="396" customFormat="1" ht="39.75" customHeight="1">
      <c r="A37" s="1056"/>
      <c r="B37" s="1069"/>
      <c r="C37" s="452"/>
      <c r="D37" s="395">
        <v>964</v>
      </c>
      <c r="E37" s="449" t="s">
        <v>100</v>
      </c>
      <c r="F37" s="455" t="s">
        <v>146</v>
      </c>
      <c r="G37" s="449" t="s">
        <v>7</v>
      </c>
      <c r="H37" s="449" t="s">
        <v>429</v>
      </c>
      <c r="I37" s="456" t="s">
        <v>123</v>
      </c>
      <c r="J37" s="499"/>
      <c r="K37" s="497"/>
      <c r="L37" s="497"/>
      <c r="M37" s="497"/>
      <c r="N37" s="497"/>
      <c r="O37" s="497"/>
      <c r="P37" s="497">
        <v>6311.4</v>
      </c>
      <c r="Q37" s="497">
        <v>2183.4</v>
      </c>
      <c r="R37" s="497"/>
      <c r="S37" s="497"/>
      <c r="T37" s="497"/>
      <c r="U37" s="497"/>
      <c r="V37" s="497"/>
      <c r="W37" s="387">
        <f t="shared" si="3"/>
        <v>8494.8</v>
      </c>
      <c r="X37" s="1063"/>
    </row>
    <row r="38" spans="1:24" ht="29.25" customHeight="1">
      <c r="A38" s="1055" t="s">
        <v>444</v>
      </c>
      <c r="B38" s="1064" t="s">
        <v>149</v>
      </c>
      <c r="C38" s="452"/>
      <c r="D38" s="308">
        <v>964</v>
      </c>
      <c r="E38" s="454" t="s">
        <v>100</v>
      </c>
      <c r="F38" s="455" t="s">
        <v>146</v>
      </c>
      <c r="G38" s="449" t="s">
        <v>7</v>
      </c>
      <c r="H38" s="449" t="s">
        <v>226</v>
      </c>
      <c r="I38" s="456" t="s">
        <v>123</v>
      </c>
      <c r="J38" s="496">
        <v>592.1</v>
      </c>
      <c r="K38" s="496">
        <v>598.2</v>
      </c>
      <c r="L38" s="496">
        <v>0</v>
      </c>
      <c r="M38" s="496">
        <v>0</v>
      </c>
      <c r="N38" s="496">
        <v>0</v>
      </c>
      <c r="O38" s="496">
        <v>0</v>
      </c>
      <c r="P38" s="496">
        <v>0</v>
      </c>
      <c r="Q38" s="496">
        <v>0</v>
      </c>
      <c r="R38" s="496">
        <v>0</v>
      </c>
      <c r="S38" s="496">
        <v>0</v>
      </c>
      <c r="T38" s="496">
        <v>0</v>
      </c>
      <c r="U38" s="496">
        <v>0</v>
      </c>
      <c r="V38" s="496">
        <v>0</v>
      </c>
      <c r="W38" s="387">
        <f t="shared" si="3"/>
        <v>1190.3000000000002</v>
      </c>
      <c r="X38" s="1062" t="s">
        <v>476</v>
      </c>
    </row>
    <row r="39" spans="1:24" ht="30.75" customHeight="1">
      <c r="A39" s="1056"/>
      <c r="B39" s="1065"/>
      <c r="C39" s="452"/>
      <c r="D39" s="308">
        <v>964</v>
      </c>
      <c r="E39" s="454" t="s">
        <v>100</v>
      </c>
      <c r="F39" s="455" t="s">
        <v>146</v>
      </c>
      <c r="G39" s="449" t="s">
        <v>7</v>
      </c>
      <c r="H39" s="449" t="s">
        <v>183</v>
      </c>
      <c r="I39" s="456" t="s">
        <v>123</v>
      </c>
      <c r="J39" s="496">
        <v>0</v>
      </c>
      <c r="K39" s="496">
        <v>0</v>
      </c>
      <c r="L39" s="496">
        <v>589.3</v>
      </c>
      <c r="M39" s="496">
        <v>593.3</v>
      </c>
      <c r="N39" s="496">
        <v>825.9</v>
      </c>
      <c r="O39" s="496">
        <v>812.8</v>
      </c>
      <c r="P39" s="496">
        <v>810.5</v>
      </c>
      <c r="Q39" s="496">
        <v>781.8</v>
      </c>
      <c r="R39" s="496">
        <v>1016.4</v>
      </c>
      <c r="S39" s="496">
        <v>998.1</v>
      </c>
      <c r="T39" s="496">
        <v>810.5</v>
      </c>
      <c r="U39" s="496">
        <v>810.5</v>
      </c>
      <c r="V39" s="496">
        <v>810.5</v>
      </c>
      <c r="W39" s="387">
        <f t="shared" si="3"/>
        <v>8859.6</v>
      </c>
      <c r="X39" s="1082"/>
    </row>
    <row r="40" spans="1:24" s="396" customFormat="1" ht="118.5" customHeight="1">
      <c r="A40" s="449" t="s">
        <v>445</v>
      </c>
      <c r="B40" s="397" t="s">
        <v>296</v>
      </c>
      <c r="C40" s="452"/>
      <c r="D40" s="395">
        <v>964</v>
      </c>
      <c r="E40" s="449" t="s">
        <v>100</v>
      </c>
      <c r="F40" s="455" t="s">
        <v>146</v>
      </c>
      <c r="G40" s="449" t="s">
        <v>7</v>
      </c>
      <c r="H40" s="449" t="s">
        <v>377</v>
      </c>
      <c r="I40" s="456" t="s">
        <v>123</v>
      </c>
      <c r="J40" s="499"/>
      <c r="K40" s="497"/>
      <c r="L40" s="497"/>
      <c r="M40" s="497"/>
      <c r="N40" s="497">
        <v>165.2</v>
      </c>
      <c r="O40" s="497">
        <v>162.6</v>
      </c>
      <c r="P40" s="497">
        <v>202.6</v>
      </c>
      <c r="Q40" s="497">
        <v>202.6</v>
      </c>
      <c r="R40" s="497">
        <v>202.6</v>
      </c>
      <c r="S40" s="497">
        <f>160+30.1+0.1</f>
        <v>190.2</v>
      </c>
      <c r="T40" s="497">
        <v>160</v>
      </c>
      <c r="U40" s="497">
        <v>160</v>
      </c>
      <c r="V40" s="497">
        <v>160</v>
      </c>
      <c r="W40" s="387">
        <f t="shared" si="3"/>
        <v>1605.8</v>
      </c>
      <c r="X40" s="1063"/>
    </row>
    <row r="41" spans="1:24" ht="33.75" customHeight="1">
      <c r="A41" s="1055" t="s">
        <v>446</v>
      </c>
      <c r="B41" s="1073" t="s">
        <v>151</v>
      </c>
      <c r="C41" s="452"/>
      <c r="D41" s="308">
        <v>964</v>
      </c>
      <c r="E41" s="454" t="s">
        <v>100</v>
      </c>
      <c r="F41" s="455" t="s">
        <v>146</v>
      </c>
      <c r="G41" s="449" t="s">
        <v>7</v>
      </c>
      <c r="H41" s="449" t="s">
        <v>184</v>
      </c>
      <c r="I41" s="456" t="s">
        <v>123</v>
      </c>
      <c r="J41" s="496">
        <v>0</v>
      </c>
      <c r="K41" s="496">
        <v>0</v>
      </c>
      <c r="L41" s="496">
        <v>693.4</v>
      </c>
      <c r="M41" s="496">
        <v>623.3</v>
      </c>
      <c r="N41" s="496">
        <v>0</v>
      </c>
      <c r="O41" s="496">
        <v>0</v>
      </c>
      <c r="P41" s="496">
        <v>0</v>
      </c>
      <c r="Q41" s="496">
        <v>0</v>
      </c>
      <c r="R41" s="496">
        <v>0</v>
      </c>
      <c r="S41" s="496">
        <v>0</v>
      </c>
      <c r="T41" s="496">
        <v>0</v>
      </c>
      <c r="U41" s="496">
        <v>0</v>
      </c>
      <c r="V41" s="496">
        <v>0</v>
      </c>
      <c r="W41" s="387">
        <f t="shared" si="3"/>
        <v>1316.6999999999998</v>
      </c>
      <c r="X41" s="1062" t="s">
        <v>477</v>
      </c>
    </row>
    <row r="42" spans="1:24" ht="87" customHeight="1">
      <c r="A42" s="1056"/>
      <c r="B42" s="1074"/>
      <c r="C42" s="452"/>
      <c r="D42" s="308">
        <v>964</v>
      </c>
      <c r="E42" s="454" t="s">
        <v>100</v>
      </c>
      <c r="F42" s="455" t="s">
        <v>146</v>
      </c>
      <c r="G42" s="449" t="s">
        <v>7</v>
      </c>
      <c r="H42" s="449" t="s">
        <v>227</v>
      </c>
      <c r="I42" s="456" t="s">
        <v>123</v>
      </c>
      <c r="J42" s="496">
        <v>632</v>
      </c>
      <c r="K42" s="496">
        <v>658.6</v>
      </c>
      <c r="L42" s="496">
        <v>0</v>
      </c>
      <c r="M42" s="496">
        <v>0</v>
      </c>
      <c r="N42" s="496">
        <v>0</v>
      </c>
      <c r="O42" s="496">
        <v>0</v>
      </c>
      <c r="P42" s="496">
        <v>0</v>
      </c>
      <c r="Q42" s="496">
        <v>0</v>
      </c>
      <c r="R42" s="496">
        <v>0</v>
      </c>
      <c r="S42" s="496">
        <v>0</v>
      </c>
      <c r="T42" s="496">
        <v>0</v>
      </c>
      <c r="U42" s="496">
        <v>0</v>
      </c>
      <c r="V42" s="496">
        <v>0</v>
      </c>
      <c r="W42" s="387">
        <f t="shared" si="3"/>
        <v>1290.6</v>
      </c>
      <c r="X42" s="1063"/>
    </row>
    <row r="43" spans="1:24" ht="86.25" customHeight="1">
      <c r="A43" s="1055" t="s">
        <v>447</v>
      </c>
      <c r="B43" s="1085" t="s">
        <v>472</v>
      </c>
      <c r="C43" s="452"/>
      <c r="D43" s="308">
        <v>964</v>
      </c>
      <c r="E43" s="454" t="s">
        <v>100</v>
      </c>
      <c r="F43" s="455" t="s">
        <v>146</v>
      </c>
      <c r="G43" s="449" t="s">
        <v>7</v>
      </c>
      <c r="H43" s="449" t="s">
        <v>461</v>
      </c>
      <c r="I43" s="456" t="s">
        <v>123</v>
      </c>
      <c r="J43" s="496"/>
      <c r="K43" s="496"/>
      <c r="L43" s="496"/>
      <c r="M43" s="496"/>
      <c r="N43" s="496"/>
      <c r="O43" s="496"/>
      <c r="P43" s="496"/>
      <c r="Q43" s="496">
        <v>550</v>
      </c>
      <c r="R43" s="496"/>
      <c r="S43" s="496">
        <v>550</v>
      </c>
      <c r="T43" s="496"/>
      <c r="U43" s="496"/>
      <c r="V43" s="496"/>
      <c r="W43" s="387">
        <f t="shared" si="3"/>
        <v>1100</v>
      </c>
      <c r="X43" s="1062" t="s">
        <v>478</v>
      </c>
    </row>
    <row r="44" spans="1:24" ht="63" customHeight="1">
      <c r="A44" s="1056"/>
      <c r="B44" s="1086"/>
      <c r="C44" s="452"/>
      <c r="D44" s="308">
        <v>964</v>
      </c>
      <c r="E44" s="454" t="s">
        <v>100</v>
      </c>
      <c r="F44" s="455" t="s">
        <v>146</v>
      </c>
      <c r="G44" s="449" t="s">
        <v>7</v>
      </c>
      <c r="H44" s="449" t="s">
        <v>462</v>
      </c>
      <c r="I44" s="456" t="s">
        <v>123</v>
      </c>
      <c r="J44" s="496"/>
      <c r="K44" s="496"/>
      <c r="L44" s="496"/>
      <c r="M44" s="496"/>
      <c r="N44" s="496"/>
      <c r="O44" s="496"/>
      <c r="P44" s="496"/>
      <c r="Q44" s="496">
        <v>46.5</v>
      </c>
      <c r="R44" s="496"/>
      <c r="S44" s="496">
        <v>18</v>
      </c>
      <c r="T44" s="496"/>
      <c r="U44" s="496"/>
      <c r="V44" s="496"/>
      <c r="W44" s="387">
        <f t="shared" si="3"/>
        <v>64.5</v>
      </c>
      <c r="X44" s="1063"/>
    </row>
    <row r="45" spans="1:24" ht="49.5" customHeight="1">
      <c r="A45" s="1057" t="s">
        <v>448</v>
      </c>
      <c r="B45" s="1059" t="s">
        <v>501</v>
      </c>
      <c r="C45" s="452"/>
      <c r="D45" s="308">
        <v>964</v>
      </c>
      <c r="E45" s="454" t="s">
        <v>100</v>
      </c>
      <c r="F45" s="455" t="s">
        <v>146</v>
      </c>
      <c r="G45" s="465">
        <v>2</v>
      </c>
      <c r="H45" s="449" t="s">
        <v>500</v>
      </c>
      <c r="I45" s="465">
        <v>622</v>
      </c>
      <c r="J45" s="497"/>
      <c r="K45" s="497"/>
      <c r="L45" s="497"/>
      <c r="M45" s="497"/>
      <c r="N45" s="497"/>
      <c r="O45" s="497"/>
      <c r="P45" s="497"/>
      <c r="Q45" s="497"/>
      <c r="R45" s="497">
        <v>1600</v>
      </c>
      <c r="S45" s="497">
        <v>2400</v>
      </c>
      <c r="T45" s="497"/>
      <c r="U45" s="497"/>
      <c r="V45" s="497"/>
      <c r="W45" s="387">
        <f t="shared" si="3"/>
        <v>4000</v>
      </c>
      <c r="X45" s="1062" t="s">
        <v>504</v>
      </c>
    </row>
    <row r="46" spans="1:24" ht="49.5" customHeight="1">
      <c r="A46" s="1058"/>
      <c r="B46" s="1060"/>
      <c r="C46" s="452"/>
      <c r="D46" s="308">
        <v>964</v>
      </c>
      <c r="E46" s="454" t="s">
        <v>100</v>
      </c>
      <c r="F46" s="455" t="s">
        <v>146</v>
      </c>
      <c r="G46" s="449" t="s">
        <v>7</v>
      </c>
      <c r="H46" s="449" t="s">
        <v>502</v>
      </c>
      <c r="I46" s="456" t="s">
        <v>123</v>
      </c>
      <c r="J46" s="497"/>
      <c r="K46" s="497"/>
      <c r="L46" s="497"/>
      <c r="M46" s="497"/>
      <c r="N46" s="497"/>
      <c r="O46" s="497"/>
      <c r="P46" s="497"/>
      <c r="Q46" s="497"/>
      <c r="R46" s="497">
        <v>100</v>
      </c>
      <c r="S46" s="497">
        <v>24</v>
      </c>
      <c r="T46" s="497"/>
      <c r="U46" s="497"/>
      <c r="V46" s="497"/>
      <c r="W46" s="387">
        <f t="shared" si="3"/>
        <v>124</v>
      </c>
      <c r="X46" s="1063"/>
    </row>
    <row r="47" spans="1:24" ht="26.25" customHeight="1" hidden="1">
      <c r="A47" s="449"/>
      <c r="B47" s="473"/>
      <c r="C47" s="452"/>
      <c r="D47" s="308">
        <v>964</v>
      </c>
      <c r="E47" s="454" t="s">
        <v>100</v>
      </c>
      <c r="F47" s="455" t="s">
        <v>146</v>
      </c>
      <c r="G47" s="465">
        <v>2</v>
      </c>
      <c r="H47" s="449"/>
      <c r="I47" s="465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387">
        <f t="shared" si="3"/>
        <v>0</v>
      </c>
      <c r="X47" s="476"/>
    </row>
    <row r="48" spans="1:24" ht="26.25" customHeight="1" hidden="1">
      <c r="A48" s="449"/>
      <c r="B48" s="473"/>
      <c r="C48" s="452"/>
      <c r="D48" s="308">
        <v>964</v>
      </c>
      <c r="E48" s="454" t="s">
        <v>100</v>
      </c>
      <c r="F48" s="455" t="s">
        <v>146</v>
      </c>
      <c r="G48" s="465">
        <v>2</v>
      </c>
      <c r="H48" s="449"/>
      <c r="I48" s="465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387">
        <f t="shared" si="3"/>
        <v>0</v>
      </c>
      <c r="X48" s="476"/>
    </row>
    <row r="49" spans="1:24" ht="26.25" customHeight="1" hidden="1">
      <c r="A49" s="449"/>
      <c r="B49" s="473"/>
      <c r="C49" s="452"/>
      <c r="D49" s="308">
        <v>964</v>
      </c>
      <c r="E49" s="454" t="s">
        <v>100</v>
      </c>
      <c r="F49" s="455" t="s">
        <v>146</v>
      </c>
      <c r="G49" s="449" t="s">
        <v>7</v>
      </c>
      <c r="H49" s="449"/>
      <c r="I49" s="456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387">
        <f t="shared" si="3"/>
        <v>0</v>
      </c>
      <c r="X49" s="476"/>
    </row>
    <row r="50" spans="1:24" ht="26.25" customHeight="1" hidden="1">
      <c r="A50" s="449"/>
      <c r="B50" s="473"/>
      <c r="C50" s="452"/>
      <c r="D50" s="308">
        <v>964</v>
      </c>
      <c r="E50" s="454" t="s">
        <v>100</v>
      </c>
      <c r="F50" s="455" t="s">
        <v>146</v>
      </c>
      <c r="G50" s="465">
        <v>2</v>
      </c>
      <c r="H50" s="449"/>
      <c r="I50" s="465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387">
        <f t="shared" si="3"/>
        <v>0</v>
      </c>
      <c r="X50" s="476"/>
    </row>
    <row r="51" spans="1:24" ht="26.25" customHeight="1" hidden="1">
      <c r="A51" s="449"/>
      <c r="B51" s="473"/>
      <c r="C51" s="452"/>
      <c r="D51" s="308">
        <v>964</v>
      </c>
      <c r="E51" s="454" t="s">
        <v>100</v>
      </c>
      <c r="F51" s="455" t="s">
        <v>146</v>
      </c>
      <c r="G51" s="466">
        <v>2</v>
      </c>
      <c r="H51" s="467"/>
      <c r="I51" s="468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387">
        <f t="shared" si="3"/>
        <v>0</v>
      </c>
      <c r="X51" s="476"/>
    </row>
    <row r="52" spans="1:24" ht="26.25" customHeight="1" hidden="1">
      <c r="A52" s="449"/>
      <c r="B52" s="473"/>
      <c r="C52" s="452"/>
      <c r="D52" s="308">
        <v>964</v>
      </c>
      <c r="E52" s="454" t="s">
        <v>100</v>
      </c>
      <c r="F52" s="455" t="s">
        <v>146</v>
      </c>
      <c r="G52" s="466">
        <v>2</v>
      </c>
      <c r="H52" s="467"/>
      <c r="I52" s="468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387">
        <f t="shared" si="3"/>
        <v>0</v>
      </c>
      <c r="X52" s="476"/>
    </row>
    <row r="53" spans="1:24" ht="26.25" customHeight="1" hidden="1">
      <c r="A53" s="449"/>
      <c r="B53" s="473"/>
      <c r="C53" s="452"/>
      <c r="D53" s="308">
        <v>964</v>
      </c>
      <c r="E53" s="454" t="s">
        <v>100</v>
      </c>
      <c r="F53" s="455" t="s">
        <v>146</v>
      </c>
      <c r="G53" s="466">
        <v>2</v>
      </c>
      <c r="H53" s="467"/>
      <c r="I53" s="468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387">
        <f t="shared" si="3"/>
        <v>0</v>
      </c>
      <c r="X53" s="476"/>
    </row>
    <row r="54" spans="1:24" ht="26.25" customHeight="1" hidden="1">
      <c r="A54" s="449"/>
      <c r="B54" s="473"/>
      <c r="C54" s="452"/>
      <c r="D54" s="308">
        <v>964</v>
      </c>
      <c r="E54" s="469" t="s">
        <v>100</v>
      </c>
      <c r="F54" s="470" t="s">
        <v>5</v>
      </c>
      <c r="G54" s="590" t="s">
        <v>7</v>
      </c>
      <c r="H54" s="590" t="s">
        <v>177</v>
      </c>
      <c r="I54" s="471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387">
        <f t="shared" si="3"/>
        <v>0</v>
      </c>
      <c r="X54" s="476"/>
    </row>
    <row r="55" spans="1:24" s="396" customFormat="1" ht="67.5" customHeight="1">
      <c r="A55" s="1055" t="s">
        <v>449</v>
      </c>
      <c r="B55" s="1083" t="s">
        <v>471</v>
      </c>
      <c r="C55" s="452"/>
      <c r="D55" s="395">
        <v>964</v>
      </c>
      <c r="E55" s="449" t="s">
        <v>100</v>
      </c>
      <c r="F55" s="455" t="s">
        <v>146</v>
      </c>
      <c r="G55" s="449" t="s">
        <v>7</v>
      </c>
      <c r="H55" s="449" t="s">
        <v>268</v>
      </c>
      <c r="I55" s="456" t="s">
        <v>123</v>
      </c>
      <c r="J55" s="497"/>
      <c r="K55" s="497"/>
      <c r="L55" s="497"/>
      <c r="M55" s="497">
        <v>86.5</v>
      </c>
      <c r="N55" s="497"/>
      <c r="O55" s="497">
        <v>75.7</v>
      </c>
      <c r="P55" s="497">
        <v>2200</v>
      </c>
      <c r="Q55" s="497">
        <v>0</v>
      </c>
      <c r="R55" s="497">
        <v>200</v>
      </c>
      <c r="S55" s="497">
        <v>200</v>
      </c>
      <c r="T55" s="497">
        <v>0</v>
      </c>
      <c r="U55" s="497">
        <v>0</v>
      </c>
      <c r="V55" s="497">
        <v>0</v>
      </c>
      <c r="W55" s="387">
        <f t="shared" si="3"/>
        <v>2762.2</v>
      </c>
      <c r="X55" s="1062" t="s">
        <v>479</v>
      </c>
    </row>
    <row r="56" spans="1:24" s="396" customFormat="1" ht="72.75" customHeight="1">
      <c r="A56" s="1056"/>
      <c r="B56" s="1084"/>
      <c r="C56" s="452"/>
      <c r="D56" s="305" t="s">
        <v>119</v>
      </c>
      <c r="E56" s="449" t="s">
        <v>100</v>
      </c>
      <c r="F56" s="455" t="s">
        <v>146</v>
      </c>
      <c r="G56" s="449" t="s">
        <v>7</v>
      </c>
      <c r="H56" s="449" t="s">
        <v>269</v>
      </c>
      <c r="I56" s="456" t="s">
        <v>123</v>
      </c>
      <c r="J56" s="497"/>
      <c r="K56" s="497"/>
      <c r="L56" s="497"/>
      <c r="M56" s="497">
        <v>10</v>
      </c>
      <c r="N56" s="497"/>
      <c r="O56" s="497">
        <v>10</v>
      </c>
      <c r="P56" s="497">
        <v>94.5</v>
      </c>
      <c r="Q56" s="497">
        <v>0</v>
      </c>
      <c r="R56" s="497">
        <v>14</v>
      </c>
      <c r="S56" s="497">
        <v>14</v>
      </c>
      <c r="T56" s="497">
        <v>0</v>
      </c>
      <c r="U56" s="497">
        <v>0</v>
      </c>
      <c r="V56" s="497">
        <v>0</v>
      </c>
      <c r="W56" s="387">
        <f t="shared" si="3"/>
        <v>142.5</v>
      </c>
      <c r="X56" s="1063"/>
    </row>
    <row r="57" spans="1:24" s="396" customFormat="1" ht="141.75" customHeight="1">
      <c r="A57" s="449" t="s">
        <v>450</v>
      </c>
      <c r="B57" s="472" t="s">
        <v>285</v>
      </c>
      <c r="C57" s="452"/>
      <c r="D57" s="395">
        <v>964</v>
      </c>
      <c r="E57" s="457" t="s">
        <v>100</v>
      </c>
      <c r="F57" s="455" t="s">
        <v>146</v>
      </c>
      <c r="G57" s="449" t="s">
        <v>7</v>
      </c>
      <c r="H57" s="449" t="s">
        <v>286</v>
      </c>
      <c r="I57" s="456" t="s">
        <v>123</v>
      </c>
      <c r="J57" s="499"/>
      <c r="K57" s="497"/>
      <c r="L57" s="497"/>
      <c r="M57" s="497">
        <v>220</v>
      </c>
      <c r="N57" s="497"/>
      <c r="O57" s="497"/>
      <c r="P57" s="497"/>
      <c r="Q57" s="497"/>
      <c r="R57" s="497"/>
      <c r="S57" s="497"/>
      <c r="T57" s="497"/>
      <c r="U57" s="497"/>
      <c r="V57" s="497"/>
      <c r="W57" s="387">
        <f t="shared" si="3"/>
        <v>220</v>
      </c>
      <c r="X57" s="476"/>
    </row>
    <row r="58" spans="1:24" s="396" customFormat="1" ht="240" customHeight="1">
      <c r="A58" s="449" t="s">
        <v>458</v>
      </c>
      <c r="B58" s="474" t="s">
        <v>497</v>
      </c>
      <c r="C58" s="452"/>
      <c r="D58" s="395">
        <v>964</v>
      </c>
      <c r="E58" s="449" t="s">
        <v>100</v>
      </c>
      <c r="F58" s="455" t="s">
        <v>146</v>
      </c>
      <c r="G58" s="449" t="s">
        <v>7</v>
      </c>
      <c r="H58" s="449" t="s">
        <v>487</v>
      </c>
      <c r="I58" s="456" t="s">
        <v>123</v>
      </c>
      <c r="J58" s="499"/>
      <c r="K58" s="497"/>
      <c r="L58" s="497"/>
      <c r="M58" s="497"/>
      <c r="N58" s="497"/>
      <c r="O58" s="497"/>
      <c r="P58" s="497">
        <v>0</v>
      </c>
      <c r="Q58" s="497">
        <v>0</v>
      </c>
      <c r="R58" s="497">
        <v>500</v>
      </c>
      <c r="S58" s="497">
        <v>500</v>
      </c>
      <c r="T58" s="497">
        <v>0</v>
      </c>
      <c r="U58" s="497">
        <v>0</v>
      </c>
      <c r="V58" s="497">
        <v>0</v>
      </c>
      <c r="W58" s="387">
        <f t="shared" si="3"/>
        <v>1000</v>
      </c>
      <c r="X58" s="477" t="s">
        <v>480</v>
      </c>
    </row>
    <row r="59" spans="1:24" s="396" customFormat="1" ht="240" customHeight="1">
      <c r="A59" s="449" t="s">
        <v>459</v>
      </c>
      <c r="B59" s="474" t="s">
        <v>474</v>
      </c>
      <c r="C59" s="452"/>
      <c r="D59" s="395">
        <v>964</v>
      </c>
      <c r="E59" s="449" t="s">
        <v>100</v>
      </c>
      <c r="F59" s="455" t="s">
        <v>146</v>
      </c>
      <c r="G59" s="449" t="s">
        <v>7</v>
      </c>
      <c r="H59" s="449" t="s">
        <v>487</v>
      </c>
      <c r="I59" s="456" t="s">
        <v>123</v>
      </c>
      <c r="J59" s="499"/>
      <c r="K59" s="497"/>
      <c r="L59" s="497"/>
      <c r="M59" s="497"/>
      <c r="N59" s="497"/>
      <c r="O59" s="497"/>
      <c r="P59" s="497">
        <v>0</v>
      </c>
      <c r="Q59" s="497">
        <v>0</v>
      </c>
      <c r="R59" s="497">
        <v>11</v>
      </c>
      <c r="S59" s="497">
        <v>11</v>
      </c>
      <c r="T59" s="497">
        <v>11</v>
      </c>
      <c r="U59" s="497">
        <v>11</v>
      </c>
      <c r="V59" s="497">
        <v>11</v>
      </c>
      <c r="W59" s="387">
        <f t="shared" si="3"/>
        <v>55</v>
      </c>
      <c r="X59" s="477" t="s">
        <v>480</v>
      </c>
    </row>
    <row r="60" spans="1:24" s="396" customFormat="1" ht="27" customHeight="1">
      <c r="A60" s="449" t="s">
        <v>460</v>
      </c>
      <c r="B60" s="397" t="s">
        <v>74</v>
      </c>
      <c r="C60" s="453"/>
      <c r="D60" s="395"/>
      <c r="E60" s="449"/>
      <c r="F60" s="455"/>
      <c r="G60" s="449"/>
      <c r="H60" s="449"/>
      <c r="I60" s="456"/>
      <c r="J60" s="497">
        <v>957.1</v>
      </c>
      <c r="K60" s="497">
        <v>311.6</v>
      </c>
      <c r="L60" s="497">
        <v>162.2</v>
      </c>
      <c r="M60" s="497">
        <v>275.5</v>
      </c>
      <c r="N60" s="497">
        <v>593.5</v>
      </c>
      <c r="O60" s="497">
        <f>15+4+178+1203.2</f>
        <v>1400.2</v>
      </c>
      <c r="P60" s="497">
        <f>15+1936.5+3190.6</f>
        <v>5142.1</v>
      </c>
      <c r="Q60" s="497">
        <v>36543.8</v>
      </c>
      <c r="R60" s="497">
        <v>8608</v>
      </c>
      <c r="S60" s="497">
        <f>132.3+8.7+283.6+2504.1+5240.9</f>
        <v>8169.599999999999</v>
      </c>
      <c r="T60" s="497">
        <f>6519+314.8+50</f>
        <v>6883.8</v>
      </c>
      <c r="U60" s="497">
        <f>6519+50</f>
        <v>6569</v>
      </c>
      <c r="V60" s="497">
        <f>6519+50</f>
        <v>6569</v>
      </c>
      <c r="W60" s="387">
        <f t="shared" si="3"/>
        <v>82185.4</v>
      </c>
      <c r="X60" s="400"/>
    </row>
    <row r="61" spans="1:24" s="396" customFormat="1" ht="39" customHeight="1">
      <c r="A61" s="406"/>
      <c r="B61" s="401"/>
      <c r="C61" s="402"/>
      <c r="D61" s="403"/>
      <c r="E61" s="404"/>
      <c r="F61" s="405"/>
      <c r="G61" s="406"/>
      <c r="H61" s="406"/>
      <c r="I61" s="407"/>
      <c r="J61" s="408"/>
      <c r="K61" s="409"/>
      <c r="L61" s="409"/>
      <c r="M61" s="409"/>
      <c r="N61" s="409"/>
      <c r="O61" s="410"/>
      <c r="P61" s="410"/>
      <c r="Q61" s="410"/>
      <c r="R61" s="410"/>
      <c r="S61" s="410"/>
      <c r="T61" s="410"/>
      <c r="U61" s="410"/>
      <c r="V61" s="410"/>
      <c r="W61" s="409"/>
      <c r="X61" s="411"/>
    </row>
    <row r="62" spans="1:24" ht="48.75" customHeight="1">
      <c r="A62" s="1075" t="s">
        <v>248</v>
      </c>
      <c r="B62" s="1075"/>
      <c r="C62" s="1075"/>
      <c r="D62" s="1075"/>
      <c r="E62" s="619"/>
      <c r="F62" s="619"/>
      <c r="G62" s="620"/>
      <c r="H62" s="619"/>
      <c r="I62" s="619"/>
      <c r="J62" s="621"/>
      <c r="K62" s="619"/>
      <c r="L62" s="1077" t="s">
        <v>186</v>
      </c>
      <c r="M62" s="1077"/>
      <c r="N62" s="1077"/>
      <c r="O62" s="1077"/>
      <c r="P62" s="1077"/>
      <c r="Q62" s="1077"/>
      <c r="R62" s="1077"/>
      <c r="S62" s="1077"/>
      <c r="T62" s="1077"/>
      <c r="U62" s="1077"/>
      <c r="V62" s="1077"/>
      <c r="W62" s="1077"/>
      <c r="X62" s="1077"/>
    </row>
    <row r="63" spans="19:23" ht="48.75" customHeight="1">
      <c r="S63" s="316"/>
      <c r="W63" s="444"/>
    </row>
    <row r="64" ht="152.25" customHeight="1">
      <c r="S64" s="316"/>
    </row>
    <row r="65" ht="152.25" customHeight="1">
      <c r="S65" s="316"/>
    </row>
  </sheetData>
  <sheetProtection/>
  <mergeCells count="60">
    <mergeCell ref="X38:X40"/>
    <mergeCell ref="B55:B56"/>
    <mergeCell ref="B43:B44"/>
    <mergeCell ref="X45:X46"/>
    <mergeCell ref="X55:X56"/>
    <mergeCell ref="L1:N1"/>
    <mergeCell ref="L62:X62"/>
    <mergeCell ref="E6:E7"/>
    <mergeCell ref="F6:H7"/>
    <mergeCell ref="W6:W7"/>
    <mergeCell ref="J5:W5"/>
    <mergeCell ref="P6:P7"/>
    <mergeCell ref="I6:I7"/>
    <mergeCell ref="J6:J7"/>
    <mergeCell ref="Q6:Q7"/>
    <mergeCell ref="I2:K2"/>
    <mergeCell ref="L2:X2"/>
    <mergeCell ref="A3:X3"/>
    <mergeCell ref="X5:X7"/>
    <mergeCell ref="O6:O7"/>
    <mergeCell ref="R6:R7"/>
    <mergeCell ref="A62:D62"/>
    <mergeCell ref="B20:B21"/>
    <mergeCell ref="B18:B19"/>
    <mergeCell ref="M6:M7"/>
    <mergeCell ref="N6:N7"/>
    <mergeCell ref="L6:L7"/>
    <mergeCell ref="A20:A21"/>
    <mergeCell ref="A18:A19"/>
    <mergeCell ref="A5:A7"/>
    <mergeCell ref="D6:D7"/>
    <mergeCell ref="B5:B7"/>
    <mergeCell ref="A16:A17"/>
    <mergeCell ref="A38:A39"/>
    <mergeCell ref="D5:I5"/>
    <mergeCell ref="C11:C17"/>
    <mergeCell ref="A55:A56"/>
    <mergeCell ref="X36:X37"/>
    <mergeCell ref="X43:X44"/>
    <mergeCell ref="T6:T7"/>
    <mergeCell ref="B34:B35"/>
    <mergeCell ref="A34:A35"/>
    <mergeCell ref="B38:B39"/>
    <mergeCell ref="B11:B12"/>
    <mergeCell ref="B16:B17"/>
    <mergeCell ref="K6:K7"/>
    <mergeCell ref="C5:C7"/>
    <mergeCell ref="S6:S7"/>
    <mergeCell ref="B36:B37"/>
    <mergeCell ref="A36:A37"/>
    <mergeCell ref="X8:X35"/>
    <mergeCell ref="B41:B42"/>
    <mergeCell ref="X41:X42"/>
    <mergeCell ref="V6:V7"/>
    <mergeCell ref="U6:U7"/>
    <mergeCell ref="A41:A42"/>
    <mergeCell ref="A43:A44"/>
    <mergeCell ref="A45:A46"/>
    <mergeCell ref="B45:B46"/>
    <mergeCell ref="A11:A15"/>
  </mergeCells>
  <printOptions/>
  <pageMargins left="0.15748031496062992" right="0.15748031496062992" top="0.5905511811023623" bottom="0.5905511811023623" header="0.5118110236220472" footer="0.5118110236220472"/>
  <pageSetup fitToHeight="0" fitToWidth="1" horizontalDpi="600" verticalDpi="600" orientation="landscape" paperSize="9" scale="38" r:id="rId1"/>
  <rowBreaks count="2" manualBreakCount="2">
    <brk id="23" max="23" man="1"/>
    <brk id="29" max="2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70" zoomScaleNormal="60" zoomScaleSheetLayoutView="70" zoomScalePageLayoutView="0" workbookViewId="0" topLeftCell="A5">
      <selection activeCell="U8" sqref="U8"/>
    </sheetView>
  </sheetViews>
  <sheetFormatPr defaultColWidth="17.421875" defaultRowHeight="114" customHeight="1"/>
  <cols>
    <col min="1" max="1" width="42.57421875" style="225" customWidth="1"/>
    <col min="2" max="2" width="17.421875" style="225" customWidth="1"/>
    <col min="3" max="3" width="7.00390625" style="225" customWidth="1"/>
    <col min="4" max="4" width="7.421875" style="225" customWidth="1"/>
    <col min="5" max="5" width="6.140625" style="225" customWidth="1"/>
    <col min="6" max="6" width="5.7109375" style="225" customWidth="1"/>
    <col min="7" max="7" width="10.28125" style="226" customWidth="1"/>
    <col min="8" max="8" width="7.7109375" style="225" customWidth="1"/>
    <col min="9" max="9" width="13.140625" style="225" customWidth="1"/>
    <col min="10" max="10" width="10.28125" style="225" customWidth="1"/>
    <col min="11" max="11" width="11.8515625" style="225" customWidth="1"/>
    <col min="12" max="12" width="11.00390625" style="225" customWidth="1"/>
    <col min="13" max="13" width="13.28125" style="225" customWidth="1"/>
    <col min="14" max="21" width="12.28125" style="225" customWidth="1"/>
    <col min="22" max="22" width="16.7109375" style="225" customWidth="1"/>
    <col min="23" max="23" width="31.00390625" style="225" customWidth="1"/>
    <col min="24" max="16384" width="17.421875" style="225" customWidth="1"/>
  </cols>
  <sheetData>
    <row r="1" spans="11:23" ht="29.25" customHeight="1">
      <c r="K1" s="1087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</row>
    <row r="2" spans="1:23" ht="62.25" customHeight="1">
      <c r="A2" s="227"/>
      <c r="B2" s="227"/>
      <c r="C2" s="227"/>
      <c r="D2" s="228"/>
      <c r="E2" s="228"/>
      <c r="F2" s="228"/>
      <c r="G2" s="229"/>
      <c r="H2" s="1044"/>
      <c r="I2" s="1078"/>
      <c r="J2" s="1078"/>
      <c r="K2" s="1045" t="s">
        <v>621</v>
      </c>
      <c r="L2" s="1045"/>
      <c r="M2" s="1045"/>
      <c r="N2" s="1045"/>
      <c r="O2" s="1045"/>
      <c r="P2" s="1045"/>
      <c r="Q2" s="1045"/>
      <c r="R2" s="1045"/>
      <c r="S2" s="1045"/>
      <c r="T2" s="1045"/>
      <c r="U2" s="1045"/>
      <c r="V2" s="1045"/>
      <c r="W2" s="1045"/>
    </row>
    <row r="3" spans="1:23" ht="51.75" customHeight="1">
      <c r="A3" s="1090" t="s">
        <v>622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</row>
    <row r="4" spans="1:23" ht="114" customHeight="1" hidden="1">
      <c r="A4" s="230"/>
      <c r="B4" s="230"/>
      <c r="C4" s="230"/>
      <c r="D4" s="228"/>
      <c r="E4" s="228"/>
      <c r="F4" s="228"/>
      <c r="G4" s="229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3" s="231" customFormat="1" ht="114" customHeight="1">
      <c r="A5" s="1089" t="s">
        <v>78</v>
      </c>
      <c r="B5" s="1089" t="s">
        <v>159</v>
      </c>
      <c r="C5" s="1089" t="s">
        <v>48</v>
      </c>
      <c r="D5" s="1089"/>
      <c r="E5" s="1089"/>
      <c r="F5" s="1089"/>
      <c r="G5" s="1089"/>
      <c r="H5" s="1089"/>
      <c r="I5" s="1089" t="s">
        <v>79</v>
      </c>
      <c r="J5" s="1089"/>
      <c r="K5" s="1089"/>
      <c r="L5" s="1089"/>
      <c r="M5" s="1089"/>
      <c r="N5" s="1089"/>
      <c r="O5" s="1089"/>
      <c r="P5" s="1089"/>
      <c r="Q5" s="1089"/>
      <c r="R5" s="1089"/>
      <c r="S5" s="1089"/>
      <c r="T5" s="1089"/>
      <c r="U5" s="1089"/>
      <c r="V5" s="1089"/>
      <c r="W5" s="1089" t="s">
        <v>80</v>
      </c>
    </row>
    <row r="6" spans="1:23" s="231" customFormat="1" ht="111" customHeight="1">
      <c r="A6" s="1089"/>
      <c r="B6" s="1089"/>
      <c r="C6" s="1089" t="s">
        <v>159</v>
      </c>
      <c r="D6" s="1089" t="s">
        <v>45</v>
      </c>
      <c r="E6" s="1089" t="s">
        <v>44</v>
      </c>
      <c r="F6" s="1089"/>
      <c r="G6" s="1089"/>
      <c r="H6" s="1089" t="s">
        <v>43</v>
      </c>
      <c r="I6" s="1089" t="s">
        <v>33</v>
      </c>
      <c r="J6" s="1067" t="s">
        <v>219</v>
      </c>
      <c r="K6" s="1067" t="s">
        <v>31</v>
      </c>
      <c r="L6" s="1067" t="s">
        <v>222</v>
      </c>
      <c r="M6" s="1028" t="s">
        <v>221</v>
      </c>
      <c r="N6" s="1028" t="s">
        <v>220</v>
      </c>
      <c r="O6" s="422" t="s">
        <v>112</v>
      </c>
      <c r="P6" s="422" t="s">
        <v>111</v>
      </c>
      <c r="Q6" s="422" t="s">
        <v>110</v>
      </c>
      <c r="R6" s="450" t="s">
        <v>109</v>
      </c>
      <c r="S6" s="450" t="s">
        <v>108</v>
      </c>
      <c r="T6" s="709" t="s">
        <v>249</v>
      </c>
      <c r="U6" s="709" t="s">
        <v>577</v>
      </c>
      <c r="V6" s="1089" t="s">
        <v>578</v>
      </c>
      <c r="W6" s="1089"/>
    </row>
    <row r="7" spans="1:23" s="231" customFormat="1" ht="51" customHeight="1" hidden="1">
      <c r="A7" s="1089"/>
      <c r="B7" s="1089"/>
      <c r="C7" s="1089"/>
      <c r="D7" s="1089"/>
      <c r="E7" s="1089"/>
      <c r="F7" s="1089"/>
      <c r="G7" s="1089"/>
      <c r="H7" s="1089"/>
      <c r="I7" s="1089"/>
      <c r="J7" s="1067"/>
      <c r="K7" s="1067"/>
      <c r="L7" s="1067"/>
      <c r="M7" s="1029"/>
      <c r="N7" s="1029"/>
      <c r="O7" s="423"/>
      <c r="P7" s="423"/>
      <c r="Q7" s="423"/>
      <c r="R7" s="451"/>
      <c r="S7" s="423"/>
      <c r="T7" s="489"/>
      <c r="U7" s="552"/>
      <c r="V7" s="1089"/>
      <c r="W7" s="1089"/>
    </row>
    <row r="8" spans="1:23" ht="114" customHeight="1">
      <c r="A8" s="232" t="s">
        <v>81</v>
      </c>
      <c r="B8" s="421" t="s">
        <v>82</v>
      </c>
      <c r="C8" s="233">
        <v>964</v>
      </c>
      <c r="D8" s="233" t="s">
        <v>83</v>
      </c>
      <c r="E8" s="233" t="s">
        <v>83</v>
      </c>
      <c r="F8" s="233" t="s">
        <v>83</v>
      </c>
      <c r="G8" s="234" t="s">
        <v>83</v>
      </c>
      <c r="H8" s="233" t="s">
        <v>83</v>
      </c>
      <c r="I8" s="116">
        <f>I9+I14</f>
        <v>17259.451</v>
      </c>
      <c r="J8" s="116">
        <f>J9+J14</f>
        <v>15169.133</v>
      </c>
      <c r="K8" s="116">
        <f>K9+K14</f>
        <v>16271.446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>
        <f>K8+J8+I8</f>
        <v>48700.03</v>
      </c>
      <c r="W8" s="233" t="s">
        <v>83</v>
      </c>
    </row>
    <row r="9" spans="1:23" ht="114" customHeight="1">
      <c r="A9" s="232" t="s">
        <v>84</v>
      </c>
      <c r="B9" s="421"/>
      <c r="C9" s="233">
        <v>964</v>
      </c>
      <c r="D9" s="233" t="s">
        <v>120</v>
      </c>
      <c r="E9" s="233" t="s">
        <v>120</v>
      </c>
      <c r="F9" s="233" t="s">
        <v>120</v>
      </c>
      <c r="G9" s="234" t="s">
        <v>120</v>
      </c>
      <c r="H9" s="233" t="s">
        <v>120</v>
      </c>
      <c r="I9" s="116">
        <f>I10+I11+I12</f>
        <v>5336.251</v>
      </c>
      <c r="J9" s="116">
        <f>J10+J11+J12</f>
        <v>796.133</v>
      </c>
      <c r="K9" s="116">
        <f>K10+K11+K12</f>
        <v>838.668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>
        <f>SUM(I9:U9)</f>
        <v>6971.052</v>
      </c>
      <c r="W9" s="233"/>
    </row>
    <row r="10" spans="1:23" ht="114" customHeight="1">
      <c r="A10" s="235" t="s">
        <v>128</v>
      </c>
      <c r="B10" s="421" t="s">
        <v>82</v>
      </c>
      <c r="C10" s="236">
        <v>964</v>
      </c>
      <c r="D10" s="237" t="s">
        <v>101</v>
      </c>
      <c r="E10" s="236" t="s">
        <v>120</v>
      </c>
      <c r="F10" s="238" t="s">
        <v>120</v>
      </c>
      <c r="G10" s="238" t="s">
        <v>120</v>
      </c>
      <c r="H10" s="238" t="s">
        <v>121</v>
      </c>
      <c r="I10" s="114">
        <v>386.7</v>
      </c>
      <c r="J10" s="114">
        <v>425.355</v>
      </c>
      <c r="K10" s="114">
        <v>467.89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6">
        <f aca="true" t="shared" si="0" ref="V10:V39">SUM(I10:U10)</f>
        <v>1279.9450000000002</v>
      </c>
      <c r="W10" s="424" t="s">
        <v>85</v>
      </c>
    </row>
    <row r="11" spans="1:23" ht="69.75" customHeight="1">
      <c r="A11" s="1092" t="s">
        <v>127</v>
      </c>
      <c r="B11" s="1096" t="s">
        <v>82</v>
      </c>
      <c r="C11" s="236">
        <v>964</v>
      </c>
      <c r="D11" s="237" t="s">
        <v>102</v>
      </c>
      <c r="E11" s="238" t="s">
        <v>120</v>
      </c>
      <c r="F11" s="238" t="s">
        <v>120</v>
      </c>
      <c r="G11" s="238" t="s">
        <v>120</v>
      </c>
      <c r="H11" s="238" t="s">
        <v>121</v>
      </c>
      <c r="I11" s="114">
        <f>357.536</f>
        <v>357.536</v>
      </c>
      <c r="J11" s="114">
        <f>370.778</f>
        <v>370.778</v>
      </c>
      <c r="K11" s="114">
        <f>370.778</f>
        <v>370.778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6">
        <f t="shared" si="0"/>
        <v>1099.092</v>
      </c>
      <c r="W11" s="235" t="s">
        <v>86</v>
      </c>
    </row>
    <row r="12" spans="1:23" ht="84.75" customHeight="1">
      <c r="A12" s="1092"/>
      <c r="B12" s="1096"/>
      <c r="C12" s="236">
        <v>964</v>
      </c>
      <c r="D12" s="237" t="s">
        <v>102</v>
      </c>
      <c r="E12" s="238" t="s">
        <v>120</v>
      </c>
      <c r="F12" s="238" t="s">
        <v>120</v>
      </c>
      <c r="G12" s="238" t="s">
        <v>120</v>
      </c>
      <c r="H12" s="238" t="s">
        <v>123</v>
      </c>
      <c r="I12" s="114">
        <v>4592.015</v>
      </c>
      <c r="J12" s="114">
        <v>0</v>
      </c>
      <c r="K12" s="114">
        <v>0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6">
        <f t="shared" si="0"/>
        <v>4592.015</v>
      </c>
      <c r="W12" s="235"/>
    </row>
    <row r="13" spans="1:24" ht="63.75" customHeight="1">
      <c r="A13" s="232" t="s">
        <v>136</v>
      </c>
      <c r="B13" s="1096" t="s">
        <v>82</v>
      </c>
      <c r="C13" s="236"/>
      <c r="D13" s="237"/>
      <c r="E13" s="238"/>
      <c r="F13" s="238"/>
      <c r="G13" s="238"/>
      <c r="H13" s="238"/>
      <c r="I13" s="116">
        <f>I15+I16+I18+I19+I20+I21+I22+I23+I26+I27+I28+I29+I30+I31+I32+I33+I34+I35</f>
        <v>11923.2</v>
      </c>
      <c r="J13" s="116">
        <f>J15+J16+J18+J19+J20+J21+J22+J23+J26+J27+J28+J29+J30+J31+J32+J33+J34+J35</f>
        <v>14373</v>
      </c>
      <c r="K13" s="116">
        <f aca="true" t="shared" si="1" ref="K13:U13">K14</f>
        <v>15432.778</v>
      </c>
      <c r="L13" s="116">
        <f t="shared" si="1"/>
        <v>14178.100000000002</v>
      </c>
      <c r="M13" s="116">
        <f t="shared" si="1"/>
        <v>0</v>
      </c>
      <c r="N13" s="116">
        <f t="shared" si="1"/>
        <v>0</v>
      </c>
      <c r="O13" s="116">
        <f t="shared" si="1"/>
        <v>0</v>
      </c>
      <c r="P13" s="116">
        <f t="shared" si="1"/>
        <v>0</v>
      </c>
      <c r="Q13" s="116">
        <f t="shared" si="1"/>
        <v>0</v>
      </c>
      <c r="R13" s="116">
        <f t="shared" si="1"/>
        <v>0</v>
      </c>
      <c r="S13" s="116">
        <f t="shared" si="1"/>
        <v>0</v>
      </c>
      <c r="T13" s="116">
        <f t="shared" si="1"/>
        <v>0</v>
      </c>
      <c r="U13" s="116">
        <f t="shared" si="1"/>
        <v>0</v>
      </c>
      <c r="V13" s="116">
        <f t="shared" si="0"/>
        <v>55907.07800000001</v>
      </c>
      <c r="W13" s="239"/>
      <c r="X13" s="240"/>
    </row>
    <row r="14" spans="1:24" ht="114" customHeight="1">
      <c r="A14" s="241" t="s">
        <v>346</v>
      </c>
      <c r="B14" s="1096"/>
      <c r="C14" s="236"/>
      <c r="D14" s="237"/>
      <c r="E14" s="238"/>
      <c r="F14" s="236"/>
      <c r="G14" s="238"/>
      <c r="H14" s="238"/>
      <c r="I14" s="116">
        <f aca="true" t="shared" si="2" ref="I14:O14">I15+I16+I18+I19+I20+I21+I22+I23+I26+I27+I28+I29+I30+I32+I33+I34+I35+I36</f>
        <v>11923.2</v>
      </c>
      <c r="J14" s="116">
        <f t="shared" si="2"/>
        <v>14373</v>
      </c>
      <c r="K14" s="116">
        <f t="shared" si="2"/>
        <v>15432.778</v>
      </c>
      <c r="L14" s="116">
        <f>L15+L16+L17+L18+L19+L20+L21+L22+L23+L26+L27+L28+L29+L30+L32+L33+L34+L35+L36+L37+L38+L39</f>
        <v>14178.100000000002</v>
      </c>
      <c r="M14" s="116">
        <f t="shared" si="2"/>
        <v>0</v>
      </c>
      <c r="N14" s="116">
        <f t="shared" si="2"/>
        <v>0</v>
      </c>
      <c r="O14" s="116">
        <f t="shared" si="2"/>
        <v>0</v>
      </c>
      <c r="P14" s="116">
        <f aca="true" t="shared" si="3" ref="P14:U14">P15+P16+P18+P19+P20+P21+P22+P23+P26+P27+P28+P29+P30+P32+P33+P34+P35+P36</f>
        <v>0</v>
      </c>
      <c r="Q14" s="116">
        <f t="shared" si="3"/>
        <v>0</v>
      </c>
      <c r="R14" s="116">
        <f t="shared" si="3"/>
        <v>0</v>
      </c>
      <c r="S14" s="116">
        <f t="shared" si="3"/>
        <v>0</v>
      </c>
      <c r="T14" s="116">
        <f t="shared" si="3"/>
        <v>0</v>
      </c>
      <c r="U14" s="116">
        <f t="shared" si="3"/>
        <v>0</v>
      </c>
      <c r="V14" s="116">
        <f t="shared" si="0"/>
        <v>55907.07800000001</v>
      </c>
      <c r="W14" s="424"/>
      <c r="X14" s="240"/>
    </row>
    <row r="15" spans="1:24" ht="46.5" customHeight="1">
      <c r="A15" s="1093" t="s">
        <v>228</v>
      </c>
      <c r="B15" s="1092" t="s">
        <v>82</v>
      </c>
      <c r="C15" s="236">
        <v>964</v>
      </c>
      <c r="D15" s="237" t="s">
        <v>260</v>
      </c>
      <c r="E15" s="238" t="s">
        <v>146</v>
      </c>
      <c r="F15" s="238" t="s">
        <v>5</v>
      </c>
      <c r="G15" s="238" t="s">
        <v>187</v>
      </c>
      <c r="H15" s="238" t="s">
        <v>122</v>
      </c>
      <c r="I15" s="114">
        <v>0</v>
      </c>
      <c r="J15" s="114">
        <v>0</v>
      </c>
      <c r="K15" s="114">
        <v>11940.2</v>
      </c>
      <c r="L15" s="114">
        <f>11677.2+51</f>
        <v>11728.2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6">
        <f t="shared" si="0"/>
        <v>23668.4</v>
      </c>
      <c r="W15" s="1091"/>
      <c r="X15" s="240"/>
    </row>
    <row r="16" spans="1:24" ht="48.75" customHeight="1">
      <c r="A16" s="1094"/>
      <c r="B16" s="1092"/>
      <c r="C16" s="236">
        <v>964</v>
      </c>
      <c r="D16" s="237" t="s">
        <v>103</v>
      </c>
      <c r="E16" s="238" t="s">
        <v>146</v>
      </c>
      <c r="F16" s="238" t="s">
        <v>5</v>
      </c>
      <c r="G16" s="238" t="s">
        <v>229</v>
      </c>
      <c r="H16" s="238" t="s">
        <v>122</v>
      </c>
      <c r="I16" s="114">
        <v>10908.9</v>
      </c>
      <c r="J16" s="114">
        <v>12006.7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6">
        <f t="shared" si="0"/>
        <v>22915.6</v>
      </c>
      <c r="W16" s="1091"/>
      <c r="X16" s="240"/>
    </row>
    <row r="17" spans="1:24" ht="48.75" customHeight="1">
      <c r="A17" s="1095"/>
      <c r="B17" s="1092"/>
      <c r="C17" s="238">
        <v>964</v>
      </c>
      <c r="D17" s="238" t="s">
        <v>260</v>
      </c>
      <c r="E17" s="238" t="s">
        <v>146</v>
      </c>
      <c r="F17" s="238" t="s">
        <v>5</v>
      </c>
      <c r="G17" s="238" t="s">
        <v>187</v>
      </c>
      <c r="H17" s="238" t="s">
        <v>154</v>
      </c>
      <c r="I17" s="114"/>
      <c r="J17" s="114"/>
      <c r="K17" s="114"/>
      <c r="L17" s="114">
        <f>252.6-51</f>
        <v>201.6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6">
        <f t="shared" si="0"/>
        <v>201.6</v>
      </c>
      <c r="W17" s="1091"/>
      <c r="X17" s="240"/>
    </row>
    <row r="18" spans="1:24" ht="50.25" customHeight="1">
      <c r="A18" s="1093" t="s">
        <v>231</v>
      </c>
      <c r="B18" s="1092"/>
      <c r="C18" s="236">
        <v>964</v>
      </c>
      <c r="D18" s="237" t="s">
        <v>260</v>
      </c>
      <c r="E18" s="238" t="s">
        <v>146</v>
      </c>
      <c r="F18" s="238" t="s">
        <v>5</v>
      </c>
      <c r="G18" s="238" t="s">
        <v>181</v>
      </c>
      <c r="H18" s="238" t="s">
        <v>122</v>
      </c>
      <c r="I18" s="114">
        <v>0</v>
      </c>
      <c r="J18" s="114">
        <v>0</v>
      </c>
      <c r="K18" s="114">
        <v>1314.2</v>
      </c>
      <c r="L18" s="114">
        <v>1356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6">
        <f t="shared" si="0"/>
        <v>2670.2</v>
      </c>
      <c r="W18" s="1091"/>
      <c r="X18" s="240"/>
    </row>
    <row r="19" spans="1:24" ht="50.25" customHeight="1">
      <c r="A19" s="1095"/>
      <c r="B19" s="1092"/>
      <c r="C19" s="236">
        <v>964</v>
      </c>
      <c r="D19" s="237" t="s">
        <v>103</v>
      </c>
      <c r="E19" s="238" t="s">
        <v>146</v>
      </c>
      <c r="F19" s="238" t="s">
        <v>5</v>
      </c>
      <c r="G19" s="238" t="s">
        <v>230</v>
      </c>
      <c r="H19" s="238" t="s">
        <v>122</v>
      </c>
      <c r="I19" s="114">
        <v>347</v>
      </c>
      <c r="J19" s="114">
        <v>846.7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6">
        <f t="shared" si="0"/>
        <v>1193.7</v>
      </c>
      <c r="W19" s="1091"/>
      <c r="X19" s="240"/>
    </row>
    <row r="20" spans="1:24" ht="50.25" customHeight="1">
      <c r="A20" s="1093" t="s">
        <v>233</v>
      </c>
      <c r="B20" s="1092"/>
      <c r="C20" s="236">
        <v>964</v>
      </c>
      <c r="D20" s="237" t="s">
        <v>260</v>
      </c>
      <c r="E20" s="238" t="s">
        <v>146</v>
      </c>
      <c r="F20" s="238" t="s">
        <v>5</v>
      </c>
      <c r="G20" s="242" t="s">
        <v>182</v>
      </c>
      <c r="H20" s="238" t="s">
        <v>122</v>
      </c>
      <c r="I20" s="114">
        <v>0</v>
      </c>
      <c r="J20" s="114">
        <v>0</v>
      </c>
      <c r="K20" s="114">
        <v>67.16</v>
      </c>
      <c r="L20" s="114">
        <v>98.9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6">
        <f t="shared" si="0"/>
        <v>166.06</v>
      </c>
      <c r="W20" s="1091"/>
      <c r="X20" s="240"/>
    </row>
    <row r="21" spans="1:24" ht="48" customHeight="1">
      <c r="A21" s="1095"/>
      <c r="B21" s="421"/>
      <c r="C21" s="236">
        <v>964</v>
      </c>
      <c r="D21" s="237" t="s">
        <v>103</v>
      </c>
      <c r="E21" s="238" t="s">
        <v>146</v>
      </c>
      <c r="F21" s="238" t="s">
        <v>5</v>
      </c>
      <c r="G21" s="242" t="s">
        <v>232</v>
      </c>
      <c r="H21" s="238" t="s">
        <v>122</v>
      </c>
      <c r="I21" s="114">
        <v>126.7</v>
      </c>
      <c r="J21" s="114">
        <v>128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6">
        <f t="shared" si="0"/>
        <v>254.7</v>
      </c>
      <c r="W21" s="424"/>
      <c r="X21" s="240"/>
    </row>
    <row r="22" spans="1:24" ht="111" customHeight="1">
      <c r="A22" s="243" t="s">
        <v>188</v>
      </c>
      <c r="B22" s="421"/>
      <c r="C22" s="236">
        <v>964</v>
      </c>
      <c r="D22" s="237" t="s">
        <v>103</v>
      </c>
      <c r="E22" s="238" t="s">
        <v>146</v>
      </c>
      <c r="F22" s="238" t="s">
        <v>5</v>
      </c>
      <c r="G22" s="242" t="s">
        <v>189</v>
      </c>
      <c r="H22" s="238" t="s">
        <v>122</v>
      </c>
      <c r="I22" s="114">
        <v>0</v>
      </c>
      <c r="J22" s="114">
        <v>0</v>
      </c>
      <c r="K22" s="114">
        <v>286.238</v>
      </c>
      <c r="L22" s="114">
        <v>291.5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6">
        <f t="shared" si="0"/>
        <v>577.738</v>
      </c>
      <c r="W22" s="244"/>
      <c r="X22" s="240"/>
    </row>
    <row r="23" spans="1:24" ht="30.75" customHeight="1">
      <c r="A23" s="1093" t="s">
        <v>157</v>
      </c>
      <c r="B23" s="245"/>
      <c r="C23" s="236">
        <v>964</v>
      </c>
      <c r="D23" s="237" t="s">
        <v>103</v>
      </c>
      <c r="E23" s="238" t="s">
        <v>146</v>
      </c>
      <c r="F23" s="238" t="s">
        <v>5</v>
      </c>
      <c r="G23" s="238" t="s">
        <v>187</v>
      </c>
      <c r="H23" s="238" t="s">
        <v>154</v>
      </c>
      <c r="I23" s="115">
        <v>0</v>
      </c>
      <c r="J23" s="115">
        <v>0</v>
      </c>
      <c r="K23" s="115">
        <v>412.4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6">
        <f t="shared" si="0"/>
        <v>412.4</v>
      </c>
      <c r="W23" s="246"/>
      <c r="X23" s="240"/>
    </row>
    <row r="24" spans="1:24" ht="30.75" customHeight="1">
      <c r="A24" s="1094"/>
      <c r="B24" s="245"/>
      <c r="C24" s="236">
        <v>964</v>
      </c>
      <c r="D24" s="237" t="s">
        <v>103</v>
      </c>
      <c r="E24" s="238" t="s">
        <v>146</v>
      </c>
      <c r="F24" s="238" t="s">
        <v>5</v>
      </c>
      <c r="G24" s="238">
        <v>1022</v>
      </c>
      <c r="H24" s="238" t="s">
        <v>122</v>
      </c>
      <c r="I24" s="114">
        <v>15.1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/>
      <c r="P24" s="114"/>
      <c r="Q24" s="114"/>
      <c r="R24" s="114"/>
      <c r="S24" s="114"/>
      <c r="T24" s="114"/>
      <c r="U24" s="114"/>
      <c r="V24" s="116">
        <f t="shared" si="0"/>
        <v>15.1</v>
      </c>
      <c r="W24" s="246"/>
      <c r="X24" s="240"/>
    </row>
    <row r="25" spans="1:24" ht="30.75" customHeight="1">
      <c r="A25" s="1094"/>
      <c r="B25" s="245"/>
      <c r="C25" s="236">
        <v>964</v>
      </c>
      <c r="D25" s="237" t="s">
        <v>103</v>
      </c>
      <c r="E25" s="238" t="s">
        <v>146</v>
      </c>
      <c r="F25" s="238" t="s">
        <v>5</v>
      </c>
      <c r="G25" s="238">
        <v>8062</v>
      </c>
      <c r="H25" s="238" t="s">
        <v>154</v>
      </c>
      <c r="I25" s="114">
        <v>0</v>
      </c>
      <c r="J25" s="114">
        <v>1036.5</v>
      </c>
      <c r="K25" s="114">
        <v>0</v>
      </c>
      <c r="L25" s="114">
        <v>0</v>
      </c>
      <c r="M25" s="114">
        <v>0</v>
      </c>
      <c r="N25" s="114">
        <v>0</v>
      </c>
      <c r="O25" s="114"/>
      <c r="P25" s="114"/>
      <c r="Q25" s="114"/>
      <c r="R25" s="114"/>
      <c r="S25" s="114"/>
      <c r="T25" s="114"/>
      <c r="U25" s="114"/>
      <c r="V25" s="116">
        <f t="shared" si="0"/>
        <v>1036.5</v>
      </c>
      <c r="W25" s="246"/>
      <c r="X25" s="240"/>
    </row>
    <row r="26" spans="1:24" ht="30.75" customHeight="1">
      <c r="A26" s="1095"/>
      <c r="B26" s="245"/>
      <c r="C26" s="236">
        <v>964</v>
      </c>
      <c r="D26" s="237" t="s">
        <v>103</v>
      </c>
      <c r="E26" s="238" t="s">
        <v>146</v>
      </c>
      <c r="F26" s="238" t="s">
        <v>5</v>
      </c>
      <c r="G26" s="238" t="s">
        <v>229</v>
      </c>
      <c r="H26" s="238" t="s">
        <v>154</v>
      </c>
      <c r="I26" s="114">
        <v>172</v>
      </c>
      <c r="J26" s="114">
        <v>1214.3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6">
        <f t="shared" si="0"/>
        <v>1386.3</v>
      </c>
      <c r="W26" s="246"/>
      <c r="X26" s="240"/>
    </row>
    <row r="27" spans="1:24" ht="30.75" customHeight="1">
      <c r="A27" s="421" t="s">
        <v>157</v>
      </c>
      <c r="B27" s="245"/>
      <c r="C27" s="236">
        <v>964</v>
      </c>
      <c r="D27" s="237" t="s">
        <v>103</v>
      </c>
      <c r="E27" s="238" t="s">
        <v>146</v>
      </c>
      <c r="F27" s="238" t="s">
        <v>5</v>
      </c>
      <c r="G27" s="238" t="s">
        <v>236</v>
      </c>
      <c r="H27" s="238" t="s">
        <v>154</v>
      </c>
      <c r="I27" s="114">
        <v>0</v>
      </c>
      <c r="J27" s="114">
        <v>177.3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6">
        <f t="shared" si="0"/>
        <v>177.3</v>
      </c>
      <c r="W27" s="246"/>
      <c r="X27" s="240"/>
    </row>
    <row r="28" spans="1:24" ht="183" customHeight="1">
      <c r="A28" s="247" t="s">
        <v>176</v>
      </c>
      <c r="B28" s="245"/>
      <c r="C28" s="236">
        <v>964</v>
      </c>
      <c r="D28" s="237" t="s">
        <v>103</v>
      </c>
      <c r="E28" s="238" t="s">
        <v>146</v>
      </c>
      <c r="F28" s="238" t="s">
        <v>5</v>
      </c>
      <c r="G28" s="248">
        <v>1022</v>
      </c>
      <c r="H28" s="238" t="s">
        <v>122</v>
      </c>
      <c r="I28" s="114">
        <v>15.1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6">
        <f t="shared" si="0"/>
        <v>15.1</v>
      </c>
      <c r="W28" s="246"/>
      <c r="X28" s="240"/>
    </row>
    <row r="29" spans="1:24" ht="78.75" customHeight="1">
      <c r="A29" s="421" t="s">
        <v>234</v>
      </c>
      <c r="B29" s="245"/>
      <c r="C29" s="236">
        <v>964</v>
      </c>
      <c r="D29" s="237" t="s">
        <v>103</v>
      </c>
      <c r="E29" s="238" t="s">
        <v>146</v>
      </c>
      <c r="F29" s="238" t="s">
        <v>5</v>
      </c>
      <c r="G29" s="238" t="s">
        <v>235</v>
      </c>
      <c r="H29" s="238" t="s">
        <v>154</v>
      </c>
      <c r="I29" s="114">
        <v>350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6">
        <f t="shared" si="0"/>
        <v>350</v>
      </c>
      <c r="W29" s="246"/>
      <c r="X29" s="240"/>
    </row>
    <row r="30" spans="1:24" ht="100.5" customHeight="1">
      <c r="A30" s="421" t="s">
        <v>237</v>
      </c>
      <c r="B30" s="245"/>
      <c r="C30" s="236">
        <v>964</v>
      </c>
      <c r="D30" s="237" t="s">
        <v>103</v>
      </c>
      <c r="E30" s="238" t="s">
        <v>146</v>
      </c>
      <c r="F30" s="238" t="s">
        <v>5</v>
      </c>
      <c r="G30" s="248">
        <v>8856</v>
      </c>
      <c r="H30" s="238" t="s">
        <v>154</v>
      </c>
      <c r="I30" s="114">
        <v>3.5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6">
        <f t="shared" si="0"/>
        <v>3.5</v>
      </c>
      <c r="W30" s="246"/>
      <c r="X30" s="240"/>
    </row>
    <row r="31" spans="1:24" ht="56.25" customHeight="1">
      <c r="A31" s="421" t="s">
        <v>157</v>
      </c>
      <c r="B31" s="245"/>
      <c r="C31" s="236">
        <v>964</v>
      </c>
      <c r="D31" s="237" t="s">
        <v>103</v>
      </c>
      <c r="E31" s="238" t="s">
        <v>146</v>
      </c>
      <c r="F31" s="238" t="s">
        <v>5</v>
      </c>
      <c r="G31" s="248">
        <v>8062</v>
      </c>
      <c r="H31" s="238" t="s">
        <v>154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/>
      <c r="P31" s="114"/>
      <c r="Q31" s="114"/>
      <c r="R31" s="114"/>
      <c r="S31" s="114"/>
      <c r="T31" s="114"/>
      <c r="U31" s="114"/>
      <c r="V31" s="116">
        <f t="shared" si="0"/>
        <v>0</v>
      </c>
      <c r="W31" s="246"/>
      <c r="X31" s="240"/>
    </row>
    <row r="32" spans="1:24" ht="120" customHeight="1">
      <c r="A32" s="243" t="s">
        <v>208</v>
      </c>
      <c r="B32" s="245"/>
      <c r="C32" s="236">
        <v>964</v>
      </c>
      <c r="D32" s="237" t="s">
        <v>103</v>
      </c>
      <c r="E32" s="238" t="s">
        <v>146</v>
      </c>
      <c r="F32" s="238" t="s">
        <v>5</v>
      </c>
      <c r="G32" s="238" t="s">
        <v>210</v>
      </c>
      <c r="H32" s="238" t="s">
        <v>154</v>
      </c>
      <c r="I32" s="114">
        <v>0</v>
      </c>
      <c r="J32" s="114">
        <v>0</v>
      </c>
      <c r="K32" s="114">
        <v>1000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6">
        <f t="shared" si="0"/>
        <v>1000</v>
      </c>
      <c r="W32" s="246"/>
      <c r="X32" s="240"/>
    </row>
    <row r="33" spans="1:24" ht="124.5" customHeight="1">
      <c r="A33" s="421" t="s">
        <v>209</v>
      </c>
      <c r="B33" s="245"/>
      <c r="C33" s="236">
        <v>964</v>
      </c>
      <c r="D33" s="237" t="s">
        <v>103</v>
      </c>
      <c r="E33" s="238" t="s">
        <v>146</v>
      </c>
      <c r="F33" s="238" t="s">
        <v>5</v>
      </c>
      <c r="G33" s="238" t="s">
        <v>210</v>
      </c>
      <c r="H33" s="238" t="s">
        <v>154</v>
      </c>
      <c r="I33" s="114">
        <v>0</v>
      </c>
      <c r="J33" s="114">
        <v>0</v>
      </c>
      <c r="K33" s="114">
        <v>97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6">
        <f t="shared" si="0"/>
        <v>97</v>
      </c>
      <c r="W33" s="246"/>
      <c r="X33" s="240"/>
    </row>
    <row r="34" spans="1:24" ht="44.25" customHeight="1">
      <c r="A34" s="249" t="s">
        <v>214</v>
      </c>
      <c r="B34" s="245"/>
      <c r="C34" s="236">
        <v>964</v>
      </c>
      <c r="D34" s="237" t="s">
        <v>103</v>
      </c>
      <c r="E34" s="238" t="s">
        <v>146</v>
      </c>
      <c r="F34" s="238" t="s">
        <v>5</v>
      </c>
      <c r="G34" s="238" t="s">
        <v>215</v>
      </c>
      <c r="H34" s="238" t="s">
        <v>154</v>
      </c>
      <c r="I34" s="114">
        <v>0</v>
      </c>
      <c r="J34" s="114">
        <v>0</v>
      </c>
      <c r="K34" s="114">
        <v>127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6">
        <f t="shared" si="0"/>
        <v>127</v>
      </c>
      <c r="W34" s="246"/>
      <c r="X34" s="240"/>
    </row>
    <row r="35" spans="1:24" ht="114" customHeight="1">
      <c r="A35" s="421" t="s">
        <v>216</v>
      </c>
      <c r="B35" s="245"/>
      <c r="C35" s="236">
        <v>964</v>
      </c>
      <c r="D35" s="237" t="s">
        <v>103</v>
      </c>
      <c r="E35" s="238" t="s">
        <v>146</v>
      </c>
      <c r="F35" s="238" t="s">
        <v>5</v>
      </c>
      <c r="G35" s="238" t="s">
        <v>217</v>
      </c>
      <c r="H35" s="238" t="s">
        <v>154</v>
      </c>
      <c r="I35" s="114">
        <v>0</v>
      </c>
      <c r="J35" s="114">
        <v>0</v>
      </c>
      <c r="K35" s="114">
        <v>5.08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6">
        <f t="shared" si="0"/>
        <v>5.08</v>
      </c>
      <c r="W35" s="246"/>
      <c r="X35" s="240"/>
    </row>
    <row r="36" spans="1:24" ht="114" customHeight="1">
      <c r="A36" s="243" t="s">
        <v>253</v>
      </c>
      <c r="B36" s="245"/>
      <c r="C36" s="236">
        <v>964</v>
      </c>
      <c r="D36" s="237" t="s">
        <v>103</v>
      </c>
      <c r="E36" s="238" t="s">
        <v>146</v>
      </c>
      <c r="F36" s="238" t="s">
        <v>5</v>
      </c>
      <c r="G36" s="238" t="s">
        <v>254</v>
      </c>
      <c r="H36" s="238" t="s">
        <v>154</v>
      </c>
      <c r="I36" s="114">
        <v>0</v>
      </c>
      <c r="J36" s="114">
        <v>0</v>
      </c>
      <c r="K36" s="114">
        <v>183.5</v>
      </c>
      <c r="L36" s="114">
        <v>0</v>
      </c>
      <c r="M36" s="114">
        <v>0</v>
      </c>
      <c r="N36" s="114">
        <v>0</v>
      </c>
      <c r="O36" s="114">
        <v>0</v>
      </c>
      <c r="P36" s="114">
        <v>0</v>
      </c>
      <c r="Q36" s="114">
        <v>0</v>
      </c>
      <c r="R36" s="114">
        <v>0</v>
      </c>
      <c r="S36" s="114">
        <v>0</v>
      </c>
      <c r="T36" s="114">
        <v>0</v>
      </c>
      <c r="U36" s="114">
        <v>0</v>
      </c>
      <c r="V36" s="116">
        <f t="shared" si="0"/>
        <v>183.5</v>
      </c>
      <c r="W36" s="246"/>
      <c r="X36" s="240"/>
    </row>
    <row r="37" spans="1:24" ht="96" customHeight="1">
      <c r="A37" s="243" t="s">
        <v>261</v>
      </c>
      <c r="B37" s="245"/>
      <c r="C37" s="236">
        <v>964</v>
      </c>
      <c r="D37" s="238" t="s">
        <v>260</v>
      </c>
      <c r="E37" s="238" t="s">
        <v>146</v>
      </c>
      <c r="F37" s="238" t="s">
        <v>5</v>
      </c>
      <c r="G37" s="238" t="s">
        <v>262</v>
      </c>
      <c r="H37" s="238" t="s">
        <v>122</v>
      </c>
      <c r="I37" s="114"/>
      <c r="J37" s="114"/>
      <c r="K37" s="114"/>
      <c r="L37" s="114">
        <v>392.7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6">
        <f t="shared" si="0"/>
        <v>392.7</v>
      </c>
      <c r="W37" s="246"/>
      <c r="X37" s="240"/>
    </row>
    <row r="38" spans="1:24" ht="136.5" customHeight="1">
      <c r="A38" s="243" t="s">
        <v>281</v>
      </c>
      <c r="B38" s="245"/>
      <c r="C38" s="236">
        <v>964</v>
      </c>
      <c r="D38" s="238" t="s">
        <v>282</v>
      </c>
      <c r="E38" s="238" t="s">
        <v>146</v>
      </c>
      <c r="F38" s="238" t="s">
        <v>5</v>
      </c>
      <c r="G38" s="238" t="s">
        <v>215</v>
      </c>
      <c r="H38" s="238" t="s">
        <v>154</v>
      </c>
      <c r="I38" s="114"/>
      <c r="J38" s="114"/>
      <c r="K38" s="114"/>
      <c r="L38" s="114">
        <v>105</v>
      </c>
      <c r="M38" s="114">
        <v>0</v>
      </c>
      <c r="N38" s="114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4">
        <v>0</v>
      </c>
      <c r="V38" s="116">
        <f t="shared" si="0"/>
        <v>105</v>
      </c>
      <c r="W38" s="246"/>
      <c r="X38" s="240"/>
    </row>
    <row r="39" spans="1:24" ht="160.5" customHeight="1">
      <c r="A39" s="243" t="s">
        <v>283</v>
      </c>
      <c r="B39" s="245"/>
      <c r="C39" s="236">
        <v>964</v>
      </c>
      <c r="D39" s="238" t="s">
        <v>282</v>
      </c>
      <c r="E39" s="238" t="s">
        <v>146</v>
      </c>
      <c r="F39" s="238" t="s">
        <v>5</v>
      </c>
      <c r="G39" s="238" t="s">
        <v>217</v>
      </c>
      <c r="H39" s="238" t="s">
        <v>154</v>
      </c>
      <c r="I39" s="114"/>
      <c r="J39" s="114"/>
      <c r="K39" s="114"/>
      <c r="L39" s="114">
        <v>4.2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4">
        <v>0</v>
      </c>
      <c r="V39" s="116">
        <f t="shared" si="0"/>
        <v>4.2</v>
      </c>
      <c r="W39" s="246"/>
      <c r="X39" s="240"/>
    </row>
    <row r="40" spans="1:24" ht="33.75" customHeight="1">
      <c r="A40" s="420"/>
      <c r="B40" s="250"/>
      <c r="C40" s="251"/>
      <c r="D40" s="252"/>
      <c r="E40" s="253"/>
      <c r="F40" s="253"/>
      <c r="G40" s="253"/>
      <c r="H40" s="253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5"/>
      <c r="X40" s="240"/>
    </row>
    <row r="41" spans="1:23" ht="78.75" customHeight="1">
      <c r="A41" s="997" t="s">
        <v>246</v>
      </c>
      <c r="B41" s="997"/>
      <c r="C41" s="997"/>
      <c r="D41" s="997"/>
      <c r="E41" s="256"/>
      <c r="F41" s="256"/>
      <c r="G41" s="256"/>
      <c r="H41" s="256"/>
      <c r="I41" s="256"/>
      <c r="J41" s="256"/>
      <c r="K41" s="1027" t="s">
        <v>247</v>
      </c>
      <c r="L41" s="1027"/>
      <c r="M41" s="1027"/>
      <c r="N41" s="1027"/>
      <c r="O41" s="1027"/>
      <c r="P41" s="1027"/>
      <c r="Q41" s="1027"/>
      <c r="R41" s="1027"/>
      <c r="S41" s="1027"/>
      <c r="T41" s="1027"/>
      <c r="U41" s="1027"/>
      <c r="V41" s="1027"/>
      <c r="W41" s="228"/>
    </row>
    <row r="42" spans="1:23" ht="114" customHeight="1">
      <c r="A42" s="736"/>
      <c r="B42" s="736"/>
      <c r="C42" s="736"/>
      <c r="D42" s="73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</row>
  </sheetData>
  <sheetProtection/>
  <mergeCells count="32">
    <mergeCell ref="I6:I7"/>
    <mergeCell ref="H6:H7"/>
    <mergeCell ref="A18:A19"/>
    <mergeCell ref="A23:A26"/>
    <mergeCell ref="B13:B14"/>
    <mergeCell ref="A20:A21"/>
    <mergeCell ref="E6:G7"/>
    <mergeCell ref="D6:D7"/>
    <mergeCell ref="A5:A7"/>
    <mergeCell ref="C5:H5"/>
    <mergeCell ref="C6:C7"/>
    <mergeCell ref="A42:D42"/>
    <mergeCell ref="A15:A17"/>
    <mergeCell ref="A41:D41"/>
    <mergeCell ref="A11:A12"/>
    <mergeCell ref="B11:B12"/>
    <mergeCell ref="K41:V41"/>
    <mergeCell ref="K1:W1"/>
    <mergeCell ref="H2:J2"/>
    <mergeCell ref="I5:V5"/>
    <mergeCell ref="K2:W2"/>
    <mergeCell ref="L6:L7"/>
    <mergeCell ref="M6:M7"/>
    <mergeCell ref="J6:J7"/>
    <mergeCell ref="A3:W3"/>
    <mergeCell ref="W5:W7"/>
    <mergeCell ref="B5:B7"/>
    <mergeCell ref="V6:V7"/>
    <mergeCell ref="N6:N7"/>
    <mergeCell ref="K6:K7"/>
    <mergeCell ref="W15:W20"/>
    <mergeCell ref="B15:B2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43" r:id="rId1"/>
  <rowBreaks count="1" manualBreakCount="1">
    <brk id="4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Y27"/>
  <sheetViews>
    <sheetView view="pageBreakPreview" zoomScale="80" zoomScaleNormal="85" zoomScaleSheetLayoutView="80" zoomScalePageLayoutView="0" workbookViewId="0" topLeftCell="F1">
      <selection activeCell="W10" sqref="W10"/>
    </sheetView>
  </sheetViews>
  <sheetFormatPr defaultColWidth="9.140625" defaultRowHeight="15"/>
  <cols>
    <col min="1" max="1" width="7.7109375" style="258" customWidth="1"/>
    <col min="2" max="2" width="30.8515625" style="259" customWidth="1"/>
    <col min="3" max="3" width="16.140625" style="259" customWidth="1"/>
    <col min="4" max="5" width="9.140625" style="259" customWidth="1"/>
    <col min="6" max="6" width="4.57421875" style="259" customWidth="1"/>
    <col min="7" max="7" width="2.421875" style="259" customWidth="1"/>
    <col min="8" max="8" width="7.57421875" style="259" customWidth="1"/>
    <col min="9" max="9" width="10.28125" style="259" customWidth="1"/>
    <col min="10" max="10" width="13.57421875" style="259" customWidth="1"/>
    <col min="11" max="11" width="13.28125" style="259" customWidth="1"/>
    <col min="12" max="18" width="14.57421875" style="259" customWidth="1"/>
    <col min="19" max="19" width="14.57421875" style="549" customWidth="1"/>
    <col min="20" max="22" width="14.57421875" style="259" customWidth="1"/>
    <col min="23" max="23" width="15.140625" style="259" customWidth="1"/>
    <col min="24" max="24" width="26.28125" style="259" customWidth="1"/>
    <col min="25" max="25" width="14.421875" style="259" customWidth="1"/>
    <col min="26" max="16384" width="9.140625" style="259" customWidth="1"/>
  </cols>
  <sheetData>
    <row r="1" spans="12:24" ht="30.75" customHeight="1">
      <c r="L1" s="1109" t="s">
        <v>590</v>
      </c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</row>
    <row r="2" spans="5:25" ht="55.5" customHeight="1">
      <c r="E2" s="1110"/>
      <c r="F2" s="1111"/>
      <c r="G2" s="1111"/>
      <c r="L2" s="1112" t="s">
        <v>594</v>
      </c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  <c r="X2" s="1112"/>
      <c r="Y2" s="425"/>
    </row>
    <row r="3" spans="1:24" ht="39" customHeight="1">
      <c r="A3" s="1113" t="s">
        <v>624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1113"/>
    </row>
    <row r="4" spans="5:19" ht="12" customHeight="1">
      <c r="E4" s="260"/>
      <c r="F4" s="261"/>
      <c r="G4" s="260"/>
      <c r="H4" s="260"/>
      <c r="I4" s="260"/>
      <c r="S4" s="630"/>
    </row>
    <row r="5" spans="1:24" ht="18" customHeight="1">
      <c r="A5" s="1114" t="s">
        <v>36</v>
      </c>
      <c r="B5" s="1119" t="s">
        <v>49</v>
      </c>
      <c r="C5" s="1118" t="s">
        <v>160</v>
      </c>
      <c r="D5" s="1118" t="s">
        <v>48</v>
      </c>
      <c r="E5" s="1118"/>
      <c r="F5" s="1118"/>
      <c r="G5" s="1118"/>
      <c r="H5" s="1118"/>
      <c r="I5" s="1118"/>
      <c r="J5" s="1115" t="s">
        <v>47</v>
      </c>
      <c r="K5" s="1116"/>
      <c r="L5" s="1116"/>
      <c r="M5" s="1116"/>
      <c r="N5" s="1116"/>
      <c r="O5" s="1116"/>
      <c r="P5" s="1116"/>
      <c r="Q5" s="1116"/>
      <c r="R5" s="1116"/>
      <c r="S5" s="1116"/>
      <c r="T5" s="1116"/>
      <c r="U5" s="1116"/>
      <c r="V5" s="1116"/>
      <c r="W5" s="1117"/>
      <c r="X5" s="1118" t="s">
        <v>46</v>
      </c>
    </row>
    <row r="6" spans="1:24" ht="33" customHeight="1">
      <c r="A6" s="1114"/>
      <c r="B6" s="1120"/>
      <c r="C6" s="1118"/>
      <c r="D6" s="593" t="s">
        <v>159</v>
      </c>
      <c r="E6" s="593" t="s">
        <v>45</v>
      </c>
      <c r="F6" s="1115" t="s">
        <v>44</v>
      </c>
      <c r="G6" s="1116"/>
      <c r="H6" s="1117"/>
      <c r="I6" s="593" t="s">
        <v>43</v>
      </c>
      <c r="J6" s="593" t="s">
        <v>33</v>
      </c>
      <c r="K6" s="593" t="s">
        <v>32</v>
      </c>
      <c r="L6" s="593" t="s">
        <v>31</v>
      </c>
      <c r="M6" s="593" t="s">
        <v>115</v>
      </c>
      <c r="N6" s="593" t="s">
        <v>114</v>
      </c>
      <c r="O6" s="593" t="s">
        <v>113</v>
      </c>
      <c r="P6" s="593" t="s">
        <v>112</v>
      </c>
      <c r="Q6" s="593" t="s">
        <v>111</v>
      </c>
      <c r="R6" s="593" t="s">
        <v>110</v>
      </c>
      <c r="S6" s="631" t="s">
        <v>109</v>
      </c>
      <c r="T6" s="593" t="s">
        <v>108</v>
      </c>
      <c r="U6" s="593" t="s">
        <v>249</v>
      </c>
      <c r="V6" s="593" t="s">
        <v>577</v>
      </c>
      <c r="W6" s="593" t="s">
        <v>580</v>
      </c>
      <c r="X6" s="1118"/>
    </row>
    <row r="7" spans="1:24" ht="15.75" customHeight="1">
      <c r="A7" s="592"/>
      <c r="B7" s="1121" t="s">
        <v>42</v>
      </c>
      <c r="C7" s="1122"/>
      <c r="D7" s="1122"/>
      <c r="E7" s="1122"/>
      <c r="F7" s="1122"/>
      <c r="G7" s="1122"/>
      <c r="H7" s="1122"/>
      <c r="I7" s="1122"/>
      <c r="J7" s="1122"/>
      <c r="K7" s="1122"/>
      <c r="L7" s="1122"/>
      <c r="M7" s="1122"/>
      <c r="N7" s="1122"/>
      <c r="O7" s="1122"/>
      <c r="P7" s="1122"/>
      <c r="Q7" s="1122"/>
      <c r="R7" s="1122"/>
      <c r="S7" s="1122"/>
      <c r="T7" s="1122"/>
      <c r="U7" s="1122"/>
      <c r="V7" s="1122"/>
      <c r="W7" s="1123"/>
      <c r="X7" s="593"/>
    </row>
    <row r="8" spans="1:24" ht="42" customHeight="1">
      <c r="A8" s="262" t="s">
        <v>8</v>
      </c>
      <c r="B8" s="1121" t="s">
        <v>345</v>
      </c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2"/>
      <c r="R8" s="1122"/>
      <c r="S8" s="1122"/>
      <c r="T8" s="1122"/>
      <c r="U8" s="1122"/>
      <c r="V8" s="1122"/>
      <c r="W8" s="1123"/>
      <c r="X8" s="591"/>
    </row>
    <row r="9" spans="1:25" ht="55.5" customHeight="1">
      <c r="A9" s="1100" t="s">
        <v>130</v>
      </c>
      <c r="B9" s="1119" t="s">
        <v>129</v>
      </c>
      <c r="C9" s="1103" t="s">
        <v>82</v>
      </c>
      <c r="D9" s="592" t="s">
        <v>119</v>
      </c>
      <c r="E9" s="325" t="s">
        <v>104</v>
      </c>
      <c r="F9" s="1097" t="s">
        <v>145</v>
      </c>
      <c r="G9" s="1098"/>
      <c r="H9" s="1099"/>
      <c r="I9" s="325" t="s">
        <v>255</v>
      </c>
      <c r="J9" s="502">
        <v>0</v>
      </c>
      <c r="K9" s="502">
        <v>0</v>
      </c>
      <c r="L9" s="502">
        <v>1635.2</v>
      </c>
      <c r="M9" s="502">
        <v>1669</v>
      </c>
      <c r="N9" s="502">
        <v>1760.7</v>
      </c>
      <c r="O9" s="502">
        <f>2047.6+106</f>
        <v>2153.6</v>
      </c>
      <c r="P9" s="502">
        <f>1594.1+472.1</f>
        <v>2066.2</v>
      </c>
      <c r="Q9" s="502">
        <v>2621.3</v>
      </c>
      <c r="R9" s="502">
        <f>2483.4+750-63</f>
        <v>3170.4</v>
      </c>
      <c r="S9" s="503">
        <f>3326+112</f>
        <v>3438</v>
      </c>
      <c r="T9" s="502">
        <v>3326</v>
      </c>
      <c r="U9" s="502">
        <v>3326</v>
      </c>
      <c r="V9" s="502">
        <v>3326</v>
      </c>
      <c r="W9" s="502">
        <f>SUM(J9:V9)</f>
        <v>28492.4</v>
      </c>
      <c r="X9" s="1106" t="s">
        <v>41</v>
      </c>
      <c r="Y9" s="263"/>
    </row>
    <row r="10" spans="1:25" ht="44.25" customHeight="1">
      <c r="A10" s="1101"/>
      <c r="B10" s="1124"/>
      <c r="C10" s="1104"/>
      <c r="D10" s="592" t="s">
        <v>119</v>
      </c>
      <c r="E10" s="325" t="s">
        <v>104</v>
      </c>
      <c r="F10" s="1097" t="s">
        <v>238</v>
      </c>
      <c r="G10" s="1098"/>
      <c r="H10" s="1099"/>
      <c r="I10" s="325" t="s">
        <v>255</v>
      </c>
      <c r="J10" s="502">
        <v>997</v>
      </c>
      <c r="K10" s="502">
        <v>1641.2</v>
      </c>
      <c r="L10" s="502">
        <v>0</v>
      </c>
      <c r="M10" s="502">
        <v>0</v>
      </c>
      <c r="N10" s="502">
        <f>-O15</f>
        <v>0</v>
      </c>
      <c r="O10" s="502">
        <v>0</v>
      </c>
      <c r="P10" s="502"/>
      <c r="Q10" s="502"/>
      <c r="R10" s="502"/>
      <c r="S10" s="503"/>
      <c r="T10" s="502"/>
      <c r="U10" s="502"/>
      <c r="V10" s="502"/>
      <c r="W10" s="502">
        <f aca="true" t="shared" si="0" ref="W10:W22">SUM(J10:V10)</f>
        <v>2638.2</v>
      </c>
      <c r="X10" s="1107"/>
      <c r="Y10" s="263"/>
    </row>
    <row r="11" spans="1:25" ht="48" customHeight="1" hidden="1">
      <c r="A11" s="1101"/>
      <c r="B11" s="1124"/>
      <c r="C11" s="1104"/>
      <c r="D11" s="592" t="s">
        <v>119</v>
      </c>
      <c r="E11" s="325" t="s">
        <v>104</v>
      </c>
      <c r="F11" s="1097" t="s">
        <v>238</v>
      </c>
      <c r="G11" s="1098"/>
      <c r="H11" s="1099"/>
      <c r="I11" s="325" t="s">
        <v>131</v>
      </c>
      <c r="J11" s="502">
        <v>0</v>
      </c>
      <c r="K11" s="502">
        <v>0</v>
      </c>
      <c r="L11" s="502">
        <v>0</v>
      </c>
      <c r="M11" s="502">
        <v>0</v>
      </c>
      <c r="N11" s="502">
        <v>0</v>
      </c>
      <c r="O11" s="502">
        <v>0</v>
      </c>
      <c r="P11" s="502"/>
      <c r="Q11" s="502"/>
      <c r="R11" s="502"/>
      <c r="S11" s="503"/>
      <c r="T11" s="502"/>
      <c r="U11" s="502"/>
      <c r="V11" s="502"/>
      <c r="W11" s="502">
        <f t="shared" si="0"/>
        <v>0</v>
      </c>
      <c r="X11" s="1107"/>
      <c r="Y11" s="263"/>
    </row>
    <row r="12" spans="1:25" ht="53.25" customHeight="1" hidden="1">
      <c r="A12" s="1101"/>
      <c r="B12" s="1124"/>
      <c r="C12" s="1104"/>
      <c r="D12" s="592" t="s">
        <v>119</v>
      </c>
      <c r="E12" s="325" t="s">
        <v>104</v>
      </c>
      <c r="F12" s="1097" t="s">
        <v>145</v>
      </c>
      <c r="G12" s="1098"/>
      <c r="H12" s="1099"/>
      <c r="I12" s="325" t="s">
        <v>131</v>
      </c>
      <c r="J12" s="502">
        <v>0</v>
      </c>
      <c r="K12" s="502">
        <v>0</v>
      </c>
      <c r="L12" s="502">
        <v>0</v>
      </c>
      <c r="M12" s="502">
        <v>0</v>
      </c>
      <c r="N12" s="502">
        <v>0</v>
      </c>
      <c r="O12" s="502">
        <v>0</v>
      </c>
      <c r="P12" s="502"/>
      <c r="Q12" s="502"/>
      <c r="R12" s="502"/>
      <c r="S12" s="503"/>
      <c r="T12" s="502"/>
      <c r="U12" s="502"/>
      <c r="V12" s="502"/>
      <c r="W12" s="502">
        <f t="shared" si="0"/>
        <v>0</v>
      </c>
      <c r="X12" s="1107"/>
      <c r="Y12" s="263"/>
    </row>
    <row r="13" spans="1:25" ht="52.5" customHeight="1">
      <c r="A13" s="1101"/>
      <c r="B13" s="1124"/>
      <c r="C13" s="1104"/>
      <c r="D13" s="592" t="s">
        <v>119</v>
      </c>
      <c r="E13" s="325" t="s">
        <v>104</v>
      </c>
      <c r="F13" s="1097" t="s">
        <v>238</v>
      </c>
      <c r="G13" s="1098"/>
      <c r="H13" s="1099"/>
      <c r="I13" s="325" t="s">
        <v>124</v>
      </c>
      <c r="J13" s="502">
        <v>100</v>
      </c>
      <c r="K13" s="502">
        <v>61.8</v>
      </c>
      <c r="L13" s="502">
        <v>0</v>
      </c>
      <c r="M13" s="502">
        <v>0</v>
      </c>
      <c r="N13" s="502">
        <v>0</v>
      </c>
      <c r="O13" s="502">
        <v>0</v>
      </c>
      <c r="P13" s="502"/>
      <c r="Q13" s="502"/>
      <c r="R13" s="502"/>
      <c r="S13" s="503"/>
      <c r="T13" s="502"/>
      <c r="U13" s="502"/>
      <c r="V13" s="502"/>
      <c r="W13" s="502">
        <f t="shared" si="0"/>
        <v>161.8</v>
      </c>
      <c r="X13" s="1107"/>
      <c r="Y13" s="263"/>
    </row>
    <row r="14" spans="1:25" ht="49.5" customHeight="1">
      <c r="A14" s="1101"/>
      <c r="B14" s="1124"/>
      <c r="C14" s="1104"/>
      <c r="D14" s="592" t="s">
        <v>119</v>
      </c>
      <c r="E14" s="325" t="s">
        <v>104</v>
      </c>
      <c r="F14" s="1097" t="s">
        <v>145</v>
      </c>
      <c r="G14" s="1098"/>
      <c r="H14" s="1099"/>
      <c r="I14" s="325" t="s">
        <v>124</v>
      </c>
      <c r="J14" s="502">
        <v>0</v>
      </c>
      <c r="K14" s="502">
        <v>0</v>
      </c>
      <c r="L14" s="502">
        <v>153.8</v>
      </c>
      <c r="M14" s="502">
        <v>39</v>
      </c>
      <c r="N14" s="502">
        <v>46</v>
      </c>
      <c r="O14" s="502">
        <v>24.4</v>
      </c>
      <c r="P14" s="502">
        <v>60.8</v>
      </c>
      <c r="Q14" s="502">
        <v>167.3</v>
      </c>
      <c r="R14" s="502">
        <v>64</v>
      </c>
      <c r="S14" s="503">
        <v>104.5</v>
      </c>
      <c r="T14" s="502">
        <v>104.5</v>
      </c>
      <c r="U14" s="502">
        <v>104.5</v>
      </c>
      <c r="V14" s="502">
        <v>104.5</v>
      </c>
      <c r="W14" s="502">
        <f t="shared" si="0"/>
        <v>973.3</v>
      </c>
      <c r="X14" s="1107"/>
      <c r="Y14" s="363"/>
    </row>
    <row r="15" spans="1:25" ht="29.25" customHeight="1">
      <c r="A15" s="1102"/>
      <c r="B15" s="1120"/>
      <c r="C15" s="1105"/>
      <c r="D15" s="592" t="s">
        <v>119</v>
      </c>
      <c r="E15" s="325" t="s">
        <v>104</v>
      </c>
      <c r="F15" s="1097" t="s">
        <v>145</v>
      </c>
      <c r="G15" s="1098"/>
      <c r="H15" s="1099"/>
      <c r="I15" s="325" t="s">
        <v>158</v>
      </c>
      <c r="J15" s="502">
        <v>90.5</v>
      </c>
      <c r="K15" s="502"/>
      <c r="L15" s="502"/>
      <c r="M15" s="502"/>
      <c r="N15" s="502">
        <v>0.1</v>
      </c>
      <c r="O15" s="502"/>
      <c r="P15" s="502"/>
      <c r="Q15" s="502"/>
      <c r="R15" s="502"/>
      <c r="S15" s="503"/>
      <c r="T15" s="502"/>
      <c r="U15" s="502"/>
      <c r="V15" s="502"/>
      <c r="W15" s="502">
        <f t="shared" si="0"/>
        <v>90.6</v>
      </c>
      <c r="X15" s="1107"/>
      <c r="Y15" s="263"/>
    </row>
    <row r="16" spans="1:25" ht="82.5" customHeight="1">
      <c r="A16" s="594" t="s">
        <v>300</v>
      </c>
      <c r="B16" s="264" t="s">
        <v>298</v>
      </c>
      <c r="C16" s="595"/>
      <c r="D16" s="592" t="s">
        <v>119</v>
      </c>
      <c r="E16" s="325" t="s">
        <v>104</v>
      </c>
      <c r="F16" s="1097" t="s">
        <v>376</v>
      </c>
      <c r="G16" s="1098"/>
      <c r="H16" s="1099"/>
      <c r="I16" s="325" t="s">
        <v>255</v>
      </c>
      <c r="J16" s="502"/>
      <c r="K16" s="502"/>
      <c r="L16" s="502"/>
      <c r="M16" s="502"/>
      <c r="N16" s="502">
        <v>67.8</v>
      </c>
      <c r="O16" s="502"/>
      <c r="P16" s="502"/>
      <c r="Q16" s="502"/>
      <c r="R16" s="502"/>
      <c r="S16" s="503"/>
      <c r="T16" s="502"/>
      <c r="U16" s="502"/>
      <c r="V16" s="502"/>
      <c r="W16" s="502">
        <f t="shared" si="0"/>
        <v>67.8</v>
      </c>
      <c r="X16" s="1107"/>
      <c r="Y16" s="263"/>
    </row>
    <row r="17" spans="1:25" ht="96" customHeight="1">
      <c r="A17" s="594" t="s">
        <v>385</v>
      </c>
      <c r="B17" s="264" t="s">
        <v>403</v>
      </c>
      <c r="C17" s="595"/>
      <c r="D17" s="592" t="s">
        <v>119</v>
      </c>
      <c r="E17" s="325" t="s">
        <v>104</v>
      </c>
      <c r="F17" s="1097" t="s">
        <v>405</v>
      </c>
      <c r="G17" s="1098"/>
      <c r="H17" s="1099"/>
      <c r="I17" s="325" t="s">
        <v>255</v>
      </c>
      <c r="J17" s="502"/>
      <c r="K17" s="502"/>
      <c r="L17" s="502"/>
      <c r="M17" s="502"/>
      <c r="N17" s="502"/>
      <c r="O17" s="502">
        <v>27.3</v>
      </c>
      <c r="P17" s="502"/>
      <c r="Q17" s="502"/>
      <c r="R17" s="502"/>
      <c r="S17" s="503"/>
      <c r="T17" s="502"/>
      <c r="U17" s="502"/>
      <c r="V17" s="502"/>
      <c r="W17" s="502">
        <f t="shared" si="0"/>
        <v>27.3</v>
      </c>
      <c r="X17" s="1107"/>
      <c r="Y17" s="263"/>
    </row>
    <row r="18" spans="1:25" ht="82.5" customHeight="1">
      <c r="A18" s="594" t="s">
        <v>386</v>
      </c>
      <c r="B18" s="264" t="s">
        <v>427</v>
      </c>
      <c r="C18" s="595"/>
      <c r="D18" s="592" t="s">
        <v>119</v>
      </c>
      <c r="E18" s="325" t="s">
        <v>104</v>
      </c>
      <c r="F18" s="1097" t="s">
        <v>428</v>
      </c>
      <c r="G18" s="1098"/>
      <c r="H18" s="1099"/>
      <c r="I18" s="325" t="s">
        <v>255</v>
      </c>
      <c r="J18" s="502"/>
      <c r="K18" s="502"/>
      <c r="L18" s="502"/>
      <c r="M18" s="502"/>
      <c r="N18" s="502"/>
      <c r="O18" s="502"/>
      <c r="P18" s="502">
        <v>269.3</v>
      </c>
      <c r="Q18" s="502"/>
      <c r="R18" s="502"/>
      <c r="S18" s="503"/>
      <c r="T18" s="502"/>
      <c r="U18" s="502"/>
      <c r="V18" s="502"/>
      <c r="W18" s="502">
        <f t="shared" si="0"/>
        <v>269.3</v>
      </c>
      <c r="X18" s="1107"/>
      <c r="Y18" s="263"/>
    </row>
    <row r="19" spans="1:25" ht="218.25" customHeight="1">
      <c r="A19" s="594" t="s">
        <v>423</v>
      </c>
      <c r="B19" s="710" t="s">
        <v>382</v>
      </c>
      <c r="C19" s="595"/>
      <c r="D19" s="592" t="s">
        <v>119</v>
      </c>
      <c r="E19" s="325" t="s">
        <v>104</v>
      </c>
      <c r="F19" s="1097" t="s">
        <v>381</v>
      </c>
      <c r="G19" s="1098"/>
      <c r="H19" s="1099"/>
      <c r="I19" s="325" t="s">
        <v>255</v>
      </c>
      <c r="J19" s="502"/>
      <c r="K19" s="502"/>
      <c r="L19" s="502"/>
      <c r="M19" s="502"/>
      <c r="N19" s="502">
        <v>128.3</v>
      </c>
      <c r="O19" s="502"/>
      <c r="P19" s="502"/>
      <c r="Q19" s="502"/>
      <c r="R19" s="502"/>
      <c r="S19" s="503"/>
      <c r="T19" s="502"/>
      <c r="U19" s="502"/>
      <c r="V19" s="502"/>
      <c r="W19" s="502">
        <f t="shared" si="0"/>
        <v>128.3</v>
      </c>
      <c r="X19" s="1107"/>
      <c r="Y19" s="263"/>
    </row>
    <row r="20" spans="1:25" ht="180" customHeight="1">
      <c r="A20" s="594" t="s">
        <v>426</v>
      </c>
      <c r="B20" s="711" t="s">
        <v>387</v>
      </c>
      <c r="C20" s="595"/>
      <c r="D20" s="592" t="s">
        <v>119</v>
      </c>
      <c r="E20" s="325" t="s">
        <v>104</v>
      </c>
      <c r="F20" s="1097" t="s">
        <v>388</v>
      </c>
      <c r="G20" s="1098"/>
      <c r="H20" s="1099"/>
      <c r="I20" s="325" t="s">
        <v>255</v>
      </c>
      <c r="J20" s="502"/>
      <c r="K20" s="502"/>
      <c r="L20" s="502"/>
      <c r="M20" s="502"/>
      <c r="N20" s="502"/>
      <c r="O20" s="502">
        <v>36.4</v>
      </c>
      <c r="P20" s="502"/>
      <c r="Q20" s="502"/>
      <c r="R20" s="502"/>
      <c r="S20" s="503"/>
      <c r="T20" s="502"/>
      <c r="U20" s="502"/>
      <c r="V20" s="502"/>
      <c r="W20" s="502">
        <f t="shared" si="0"/>
        <v>36.4</v>
      </c>
      <c r="X20" s="1108"/>
      <c r="Y20" s="263"/>
    </row>
    <row r="21" spans="1:25" ht="18.75">
      <c r="A21" s="592"/>
      <c r="B21" s="73" t="s">
        <v>40</v>
      </c>
      <c r="C21" s="265"/>
      <c r="D21" s="73"/>
      <c r="E21" s="326"/>
      <c r="F21" s="1097"/>
      <c r="G21" s="1098"/>
      <c r="H21" s="1099"/>
      <c r="I21" s="326"/>
      <c r="J21" s="502">
        <f>J15+J14+J13+J12+J11+J10</f>
        <v>1187.5</v>
      </c>
      <c r="K21" s="502">
        <f>K15+K14+K13+K12+K11+K10</f>
        <v>1703</v>
      </c>
      <c r="L21" s="502">
        <f>L14+L12+L9</f>
        <v>1789</v>
      </c>
      <c r="M21" s="502">
        <f>M14+M12+M9</f>
        <v>1708</v>
      </c>
      <c r="N21" s="502">
        <f>N14+N12+N9+N16+N15+N19</f>
        <v>2002.8999999999999</v>
      </c>
      <c r="O21" s="502">
        <f>O14+O12+O9+O16+O20+O17</f>
        <v>2241.7000000000003</v>
      </c>
      <c r="P21" s="502">
        <f>P14+P12+P9+P16+P18</f>
        <v>2396.3</v>
      </c>
      <c r="Q21" s="502">
        <f aca="true" t="shared" si="1" ref="Q21:V21">Q14+Q12+Q9+Q16</f>
        <v>2788.6000000000004</v>
      </c>
      <c r="R21" s="502">
        <f t="shared" si="1"/>
        <v>3234.4</v>
      </c>
      <c r="S21" s="503">
        <f t="shared" si="1"/>
        <v>3542.5</v>
      </c>
      <c r="T21" s="502">
        <f t="shared" si="1"/>
        <v>3430.5</v>
      </c>
      <c r="U21" s="502">
        <f t="shared" si="1"/>
        <v>3430.5</v>
      </c>
      <c r="V21" s="502">
        <f t="shared" si="1"/>
        <v>3430.5</v>
      </c>
      <c r="W21" s="502">
        <f t="shared" si="0"/>
        <v>32885.4</v>
      </c>
      <c r="X21" s="266"/>
      <c r="Y21" s="267"/>
    </row>
    <row r="22" spans="1:25" ht="18.75">
      <c r="A22" s="592"/>
      <c r="B22" s="73" t="s">
        <v>91</v>
      </c>
      <c r="C22" s="73"/>
      <c r="D22" s="73"/>
      <c r="E22" s="326"/>
      <c r="F22" s="1097"/>
      <c r="G22" s="1098"/>
      <c r="H22" s="1099"/>
      <c r="I22" s="326"/>
      <c r="J22" s="503">
        <f aca="true" t="shared" si="2" ref="J22:P22">J21</f>
        <v>1187.5</v>
      </c>
      <c r="K22" s="503">
        <f t="shared" si="2"/>
        <v>1703</v>
      </c>
      <c r="L22" s="503">
        <f t="shared" si="2"/>
        <v>1789</v>
      </c>
      <c r="M22" s="503">
        <f t="shared" si="2"/>
        <v>1708</v>
      </c>
      <c r="N22" s="503">
        <f t="shared" si="2"/>
        <v>2002.8999999999999</v>
      </c>
      <c r="O22" s="503">
        <f t="shared" si="2"/>
        <v>2241.7000000000003</v>
      </c>
      <c r="P22" s="503">
        <f t="shared" si="2"/>
        <v>2396.3</v>
      </c>
      <c r="Q22" s="503">
        <f aca="true" t="shared" si="3" ref="Q22:V22">Q21</f>
        <v>2788.6000000000004</v>
      </c>
      <c r="R22" s="503">
        <f t="shared" si="3"/>
        <v>3234.4</v>
      </c>
      <c r="S22" s="503">
        <f t="shared" si="3"/>
        <v>3542.5</v>
      </c>
      <c r="T22" s="503">
        <f t="shared" si="3"/>
        <v>3430.5</v>
      </c>
      <c r="U22" s="503">
        <f t="shared" si="3"/>
        <v>3430.5</v>
      </c>
      <c r="V22" s="503">
        <f t="shared" si="3"/>
        <v>3430.5</v>
      </c>
      <c r="W22" s="502">
        <f t="shared" si="0"/>
        <v>32885.4</v>
      </c>
      <c r="X22" s="73"/>
      <c r="Y22" s="267"/>
    </row>
    <row r="23" spans="1:24" s="269" customFormat="1" ht="35.25" customHeight="1">
      <c r="A23" s="268"/>
      <c r="K23" s="270"/>
      <c r="S23" s="632"/>
      <c r="X23" s="270"/>
    </row>
    <row r="24" spans="1:24" s="269" customFormat="1" ht="60.75" customHeight="1">
      <c r="A24" s="736" t="s">
        <v>252</v>
      </c>
      <c r="B24" s="736"/>
      <c r="C24" s="736"/>
      <c r="D24" s="736"/>
      <c r="E24" s="257"/>
      <c r="F24" s="257"/>
      <c r="G24" s="257"/>
      <c r="H24" s="257"/>
      <c r="I24" s="257"/>
      <c r="J24" s="271"/>
      <c r="K24" s="257"/>
      <c r="L24" s="742" t="s">
        <v>186</v>
      </c>
      <c r="M24" s="742"/>
      <c r="N24" s="742"/>
      <c r="O24" s="742"/>
      <c r="P24" s="742"/>
      <c r="Q24" s="742"/>
      <c r="R24" s="742"/>
      <c r="S24" s="742"/>
      <c r="T24" s="742"/>
      <c r="U24" s="742"/>
      <c r="V24" s="742"/>
      <c r="W24" s="742"/>
      <c r="X24" s="742"/>
    </row>
    <row r="25" spans="1:24" s="269" customFormat="1" ht="35.25" customHeight="1">
      <c r="A25" s="268"/>
      <c r="L25" s="270"/>
      <c r="M25" s="270"/>
      <c r="N25" s="270"/>
      <c r="O25" s="270"/>
      <c r="P25" s="270"/>
      <c r="Q25" s="270"/>
      <c r="R25" s="270"/>
      <c r="S25" s="551"/>
      <c r="T25" s="270"/>
      <c r="U25" s="270"/>
      <c r="V25" s="270"/>
      <c r="X25" s="270"/>
    </row>
    <row r="26" spans="1:19" s="269" customFormat="1" ht="35.25" customHeight="1">
      <c r="A26" s="268"/>
      <c r="J26" s="272"/>
      <c r="S26" s="550"/>
    </row>
    <row r="27" spans="10:25" ht="15.75">
      <c r="J27" s="267"/>
      <c r="Y27" s="267"/>
    </row>
  </sheetData>
  <sheetProtection/>
  <mergeCells count="33">
    <mergeCell ref="B7:W7"/>
    <mergeCell ref="B9:B15"/>
    <mergeCell ref="F13:H13"/>
    <mergeCell ref="F11:H11"/>
    <mergeCell ref="F18:H18"/>
    <mergeCell ref="F15:H15"/>
    <mergeCell ref="F12:H12"/>
    <mergeCell ref="F10:H10"/>
    <mergeCell ref="F16:H16"/>
    <mergeCell ref="B8:W8"/>
    <mergeCell ref="L1:X1"/>
    <mergeCell ref="E2:G2"/>
    <mergeCell ref="L2:X2"/>
    <mergeCell ref="A3:X3"/>
    <mergeCell ref="A5:A6"/>
    <mergeCell ref="J5:W5"/>
    <mergeCell ref="X5:X6"/>
    <mergeCell ref="C5:C6"/>
    <mergeCell ref="F6:H6"/>
    <mergeCell ref="B5:B6"/>
    <mergeCell ref="D5:I5"/>
    <mergeCell ref="A24:D24"/>
    <mergeCell ref="L24:X24"/>
    <mergeCell ref="F14:H14"/>
    <mergeCell ref="A9:A15"/>
    <mergeCell ref="C9:C15"/>
    <mergeCell ref="F19:H19"/>
    <mergeCell ref="F17:H17"/>
    <mergeCell ref="F20:H20"/>
    <mergeCell ref="F9:H9"/>
    <mergeCell ref="F22:H22"/>
    <mergeCell ref="F21:H21"/>
    <mergeCell ref="X9:X20"/>
  </mergeCells>
  <printOptions/>
  <pageMargins left="0.35" right="0.25" top="0.44" bottom="0.41" header="0.39" footer="0.31"/>
  <pageSetup fitToHeight="17" horizontalDpi="600" verticalDpi="6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60" zoomScaleNormal="85" zoomScalePageLayoutView="0" workbookViewId="0" topLeftCell="A1">
      <selection activeCell="A40" sqref="A40:Q40"/>
    </sheetView>
  </sheetViews>
  <sheetFormatPr defaultColWidth="9.140625" defaultRowHeight="15"/>
  <cols>
    <col min="2" max="2" width="66.28125" style="0" customWidth="1"/>
    <col min="3" max="3" width="19.57421875" style="0" customWidth="1"/>
    <col min="4" max="4" width="23.57421875" style="0" customWidth="1"/>
    <col min="5" max="5" width="13.7109375" style="0" customWidth="1"/>
    <col min="6" max="7" width="13.00390625" style="0" customWidth="1"/>
    <col min="8" max="8" width="12.7109375" style="0" customWidth="1"/>
    <col min="9" max="9" width="12.421875" style="0" customWidth="1"/>
    <col min="10" max="10" width="12.28125" style="0" customWidth="1"/>
    <col min="11" max="11" width="14.140625" style="0" customWidth="1"/>
    <col min="12" max="12" width="13.00390625" style="0" customWidth="1"/>
    <col min="13" max="13" width="13.8515625" style="0" customWidth="1"/>
    <col min="14" max="15" width="11.57421875" style="0" customWidth="1"/>
    <col min="16" max="16" width="12.140625" style="0" customWidth="1"/>
    <col min="17" max="17" width="14.00390625" style="0" customWidth="1"/>
  </cols>
  <sheetData>
    <row r="1" spans="1:17" ht="15">
      <c r="A1" s="1"/>
      <c r="B1" s="1"/>
      <c r="C1" s="1"/>
      <c r="D1" s="1"/>
      <c r="E1" s="1"/>
      <c r="F1" s="803"/>
      <c r="G1" s="804"/>
      <c r="H1" s="804"/>
      <c r="I1" s="804"/>
      <c r="J1" s="804"/>
      <c r="K1" s="804"/>
      <c r="L1" s="1"/>
      <c r="M1" s="1"/>
      <c r="N1" s="1"/>
      <c r="O1" s="1"/>
      <c r="P1" s="1"/>
      <c r="Q1" s="1"/>
    </row>
    <row r="2" spans="1:17" ht="62.25" customHeight="1">
      <c r="A2" s="12"/>
      <c r="B2" s="12"/>
      <c r="C2" s="12"/>
      <c r="D2" s="12"/>
      <c r="E2" s="12"/>
      <c r="J2" s="654"/>
      <c r="K2" s="12"/>
      <c r="L2" s="12"/>
      <c r="M2" s="1153" t="s">
        <v>603</v>
      </c>
      <c r="N2" s="1153"/>
      <c r="O2" s="1153"/>
      <c r="P2" s="1153"/>
      <c r="Q2" s="686"/>
    </row>
    <row r="3" spans="1:17" ht="15.75">
      <c r="A3" s="813"/>
      <c r="B3" s="813"/>
      <c r="C3" s="813"/>
      <c r="D3" s="813"/>
      <c r="E3" s="813"/>
      <c r="F3" s="813"/>
      <c r="G3" s="813"/>
      <c r="H3" s="813"/>
      <c r="I3" s="1"/>
      <c r="J3" s="1"/>
      <c r="K3" s="1"/>
      <c r="L3" s="1"/>
      <c r="M3" s="1"/>
      <c r="N3" s="1"/>
      <c r="O3" s="1"/>
      <c r="P3" s="1"/>
      <c r="Q3" s="1"/>
    </row>
    <row r="4" spans="1:17" ht="22.5" customHeight="1">
      <c r="A4" s="1154" t="s">
        <v>604</v>
      </c>
      <c r="B4" s="1154"/>
      <c r="C4" s="1154"/>
      <c r="D4" s="1154"/>
      <c r="E4" s="1154"/>
      <c r="F4" s="1154"/>
      <c r="G4" s="1154"/>
      <c r="H4" s="1154"/>
      <c r="I4" s="1155"/>
      <c r="J4" s="1155"/>
      <c r="K4" s="1155"/>
      <c r="L4" s="1155"/>
      <c r="M4" s="1155"/>
      <c r="N4" s="1155"/>
      <c r="O4" s="1155"/>
      <c r="P4" s="885"/>
      <c r="Q4" s="885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7"/>
      <c r="M5" s="1"/>
      <c r="N5" s="1"/>
      <c r="O5" s="1"/>
      <c r="P5" s="1"/>
      <c r="Q5" s="1"/>
    </row>
    <row r="6" spans="1:17" ht="15">
      <c r="A6" s="808" t="s">
        <v>17</v>
      </c>
      <c r="B6" s="808" t="s">
        <v>16</v>
      </c>
      <c r="C6" s="809" t="s">
        <v>15</v>
      </c>
      <c r="D6" s="809" t="s">
        <v>14</v>
      </c>
      <c r="E6" s="809" t="s">
        <v>13</v>
      </c>
      <c r="F6" s="809" t="s">
        <v>12</v>
      </c>
      <c r="G6" s="809" t="s">
        <v>11</v>
      </c>
      <c r="H6" s="809" t="s">
        <v>163</v>
      </c>
      <c r="I6" s="809" t="s">
        <v>239</v>
      </c>
      <c r="J6" s="809" t="s">
        <v>240</v>
      </c>
      <c r="K6" s="809" t="s">
        <v>280</v>
      </c>
      <c r="L6" s="882" t="s">
        <v>111</v>
      </c>
      <c r="M6" s="882" t="s">
        <v>110</v>
      </c>
      <c r="N6" s="882" t="s">
        <v>109</v>
      </c>
      <c r="O6" s="882" t="s">
        <v>108</v>
      </c>
      <c r="P6" s="882" t="s">
        <v>249</v>
      </c>
      <c r="Q6" s="882" t="s">
        <v>577</v>
      </c>
    </row>
    <row r="7" spans="1:17" ht="15">
      <c r="A7" s="808"/>
      <c r="B7" s="808"/>
      <c r="C7" s="809"/>
      <c r="D7" s="809"/>
      <c r="E7" s="809" t="s">
        <v>10</v>
      </c>
      <c r="F7" s="809" t="s">
        <v>10</v>
      </c>
      <c r="G7" s="809" t="s">
        <v>10</v>
      </c>
      <c r="H7" s="809" t="s">
        <v>10</v>
      </c>
      <c r="I7" s="809" t="s">
        <v>10</v>
      </c>
      <c r="J7" s="809" t="s">
        <v>10</v>
      </c>
      <c r="K7" s="809" t="s">
        <v>10</v>
      </c>
      <c r="L7" s="882"/>
      <c r="M7" s="882"/>
      <c r="N7" s="883"/>
      <c r="O7" s="882"/>
      <c r="P7" s="882"/>
      <c r="Q7" s="882"/>
    </row>
    <row r="8" spans="1:17" ht="26.25" customHeight="1">
      <c r="A8" s="1150" t="s">
        <v>626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1"/>
      <c r="Q8" s="1152"/>
    </row>
    <row r="9" spans="1:17" ht="35.25" customHeight="1">
      <c r="A9" s="653"/>
      <c r="B9" s="13" t="s">
        <v>9</v>
      </c>
      <c r="C9" s="1147" t="s">
        <v>347</v>
      </c>
      <c r="D9" s="1148"/>
      <c r="E9" s="1148"/>
      <c r="F9" s="1148"/>
      <c r="G9" s="1148"/>
      <c r="H9" s="1148"/>
      <c r="I9" s="1148"/>
      <c r="J9" s="1148"/>
      <c r="K9" s="1148"/>
      <c r="L9" s="1148"/>
      <c r="M9" s="1148"/>
      <c r="N9" s="1148"/>
      <c r="O9" s="1148"/>
      <c r="P9" s="1148"/>
      <c r="Q9" s="1149"/>
    </row>
    <row r="10" spans="1:17" ht="26.25" customHeight="1">
      <c r="A10" s="8"/>
      <c r="B10" s="15" t="s">
        <v>23</v>
      </c>
      <c r="C10" s="516"/>
      <c r="D10" s="516"/>
      <c r="E10" s="516"/>
      <c r="F10" s="516"/>
      <c r="G10" s="516"/>
      <c r="H10" s="516"/>
      <c r="I10" s="516"/>
      <c r="J10" s="516"/>
      <c r="K10" s="517"/>
      <c r="L10" s="517"/>
      <c r="M10" s="517"/>
      <c r="N10" s="518"/>
      <c r="O10" s="517"/>
      <c r="P10" s="93"/>
      <c r="Q10" s="93"/>
    </row>
    <row r="11" spans="1:17" ht="60.75" customHeight="1">
      <c r="A11" s="8" t="s">
        <v>336</v>
      </c>
      <c r="B11" s="687" t="s">
        <v>608</v>
      </c>
      <c r="C11" s="6" t="s">
        <v>2</v>
      </c>
      <c r="D11" s="5" t="s">
        <v>0</v>
      </c>
      <c r="E11" s="6">
        <v>29.5</v>
      </c>
      <c r="F11" s="8" t="s">
        <v>318</v>
      </c>
      <c r="G11" s="8" t="s">
        <v>319</v>
      </c>
      <c r="H11" s="8" t="s">
        <v>320</v>
      </c>
      <c r="I11" s="144" t="s">
        <v>321</v>
      </c>
      <c r="J11" s="8" t="s">
        <v>456</v>
      </c>
      <c r="K11" s="145" t="s">
        <v>457</v>
      </c>
      <c r="L11" s="145" t="s">
        <v>463</v>
      </c>
      <c r="M11" s="553" t="s">
        <v>515</v>
      </c>
      <c r="N11" s="553" t="s">
        <v>516</v>
      </c>
      <c r="O11" s="553" t="s">
        <v>517</v>
      </c>
      <c r="P11" s="553" t="s">
        <v>517</v>
      </c>
      <c r="Q11" s="567" t="s">
        <v>584</v>
      </c>
    </row>
    <row r="12" spans="1:17" ht="90" customHeight="1">
      <c r="A12" s="8" t="s">
        <v>337</v>
      </c>
      <c r="B12" s="147" t="s">
        <v>6</v>
      </c>
      <c r="C12" s="6" t="s">
        <v>2</v>
      </c>
      <c r="D12" s="5" t="s">
        <v>0</v>
      </c>
      <c r="E12" s="14">
        <v>6.6</v>
      </c>
      <c r="F12" s="14">
        <v>6.89</v>
      </c>
      <c r="G12" s="50">
        <v>8.7</v>
      </c>
      <c r="H12" s="50">
        <v>8.7</v>
      </c>
      <c r="I12" s="148">
        <v>8.8</v>
      </c>
      <c r="J12" s="50">
        <v>8.9</v>
      </c>
      <c r="K12" s="94">
        <v>9</v>
      </c>
      <c r="L12" s="94">
        <v>17.5</v>
      </c>
      <c r="M12" s="554">
        <v>18.1</v>
      </c>
      <c r="N12" s="554">
        <v>18.4</v>
      </c>
      <c r="O12" s="554">
        <v>18.5</v>
      </c>
      <c r="P12" s="554">
        <v>18.6</v>
      </c>
      <c r="Q12" s="568">
        <v>18.7</v>
      </c>
    </row>
    <row r="13" spans="1:17" ht="59.25" customHeight="1">
      <c r="A13" s="144" t="s">
        <v>338</v>
      </c>
      <c r="B13" s="147" t="s">
        <v>514</v>
      </c>
      <c r="C13" s="209" t="s">
        <v>2</v>
      </c>
      <c r="D13" s="210" t="s">
        <v>0</v>
      </c>
      <c r="E13" s="515">
        <v>0</v>
      </c>
      <c r="F13" s="515">
        <v>0</v>
      </c>
      <c r="G13" s="8">
        <v>0</v>
      </c>
      <c r="H13" s="8">
        <v>0</v>
      </c>
      <c r="I13" s="144">
        <v>0</v>
      </c>
      <c r="J13" s="8">
        <v>0</v>
      </c>
      <c r="K13" s="8">
        <v>0</v>
      </c>
      <c r="L13" s="8">
        <v>0</v>
      </c>
      <c r="M13" s="555" t="s">
        <v>324</v>
      </c>
      <c r="N13" s="555">
        <v>3669</v>
      </c>
      <c r="O13" s="555">
        <v>3669</v>
      </c>
      <c r="P13" s="555">
        <v>3669</v>
      </c>
      <c r="Q13" s="144">
        <v>3669</v>
      </c>
    </row>
    <row r="14" spans="1:17" ht="49.5" customHeight="1">
      <c r="A14" s="209" t="s">
        <v>339</v>
      </c>
      <c r="B14" s="147" t="s">
        <v>518</v>
      </c>
      <c r="C14" s="212" t="s">
        <v>2</v>
      </c>
      <c r="D14" s="210" t="s">
        <v>0</v>
      </c>
      <c r="E14" s="515">
        <v>0</v>
      </c>
      <c r="F14" s="515">
        <v>0</v>
      </c>
      <c r="G14" s="8">
        <v>0</v>
      </c>
      <c r="H14" s="8">
        <v>0</v>
      </c>
      <c r="I14" s="144">
        <v>0</v>
      </c>
      <c r="J14" s="8">
        <v>0</v>
      </c>
      <c r="K14" s="8">
        <v>0</v>
      </c>
      <c r="L14" s="8">
        <v>0</v>
      </c>
      <c r="M14" s="555" t="s">
        <v>324</v>
      </c>
      <c r="N14" s="555" t="s">
        <v>519</v>
      </c>
      <c r="O14" s="555" t="s">
        <v>588</v>
      </c>
      <c r="P14" s="555" t="s">
        <v>588</v>
      </c>
      <c r="Q14" s="144" t="s">
        <v>588</v>
      </c>
    </row>
    <row r="15" spans="1:17" ht="82.5" customHeight="1">
      <c r="A15" s="209" t="s">
        <v>340</v>
      </c>
      <c r="B15" s="146" t="s">
        <v>323</v>
      </c>
      <c r="C15" s="212" t="s">
        <v>2</v>
      </c>
      <c r="D15" s="210" t="s">
        <v>0</v>
      </c>
      <c r="E15" s="14">
        <v>0</v>
      </c>
      <c r="F15" s="144" t="s">
        <v>324</v>
      </c>
      <c r="G15" s="8" t="s">
        <v>324</v>
      </c>
      <c r="H15" s="8" t="s">
        <v>324</v>
      </c>
      <c r="I15" s="144" t="s">
        <v>325</v>
      </c>
      <c r="J15" s="8">
        <v>0.66</v>
      </c>
      <c r="K15" s="8">
        <v>0.68</v>
      </c>
      <c r="L15" s="8" t="s">
        <v>465</v>
      </c>
      <c r="M15" s="555" t="s">
        <v>520</v>
      </c>
      <c r="N15" s="555" t="s">
        <v>521</v>
      </c>
      <c r="O15" s="555" t="s">
        <v>522</v>
      </c>
      <c r="P15" s="555" t="s">
        <v>523</v>
      </c>
      <c r="Q15" s="144" t="s">
        <v>585</v>
      </c>
    </row>
    <row r="16" spans="1:17" ht="105" customHeight="1">
      <c r="A16" s="6" t="s">
        <v>341</v>
      </c>
      <c r="B16" s="211" t="s">
        <v>326</v>
      </c>
      <c r="C16" s="653" t="s">
        <v>332</v>
      </c>
      <c r="D16" s="5" t="s">
        <v>0</v>
      </c>
      <c r="E16" s="6">
        <v>0</v>
      </c>
      <c r="F16" s="6">
        <v>0</v>
      </c>
      <c r="G16" s="6">
        <v>0</v>
      </c>
      <c r="H16" s="8" t="s">
        <v>324</v>
      </c>
      <c r="I16" s="144" t="s">
        <v>327</v>
      </c>
      <c r="J16" s="8" t="s">
        <v>328</v>
      </c>
      <c r="K16" s="8" t="s">
        <v>329</v>
      </c>
      <c r="L16" s="8" t="s">
        <v>464</v>
      </c>
      <c r="M16" s="555" t="s">
        <v>524</v>
      </c>
      <c r="N16" s="555" t="s">
        <v>525</v>
      </c>
      <c r="O16" s="555" t="s">
        <v>526</v>
      </c>
      <c r="P16" s="555" t="s">
        <v>527</v>
      </c>
      <c r="Q16" s="144" t="s">
        <v>586</v>
      </c>
    </row>
    <row r="17" spans="1:17" ht="53.25" customHeight="1">
      <c r="A17" s="209" t="s">
        <v>342</v>
      </c>
      <c r="B17" s="211" t="s">
        <v>529</v>
      </c>
      <c r="C17" s="653" t="s">
        <v>2</v>
      </c>
      <c r="D17" s="5" t="s">
        <v>0</v>
      </c>
      <c r="E17" s="515">
        <v>0</v>
      </c>
      <c r="F17" s="515">
        <v>0</v>
      </c>
      <c r="G17" s="8">
        <v>0</v>
      </c>
      <c r="H17" s="8">
        <v>0</v>
      </c>
      <c r="I17" s="144">
        <v>0</v>
      </c>
      <c r="J17" s="8">
        <v>0</v>
      </c>
      <c r="K17" s="8">
        <v>0</v>
      </c>
      <c r="L17" s="8">
        <v>0</v>
      </c>
      <c r="M17" s="555" t="s">
        <v>324</v>
      </c>
      <c r="N17" s="555" t="s">
        <v>533</v>
      </c>
      <c r="O17" s="555" t="s">
        <v>533</v>
      </c>
      <c r="P17" s="555" t="s">
        <v>533</v>
      </c>
      <c r="Q17" s="144" t="s">
        <v>533</v>
      </c>
    </row>
    <row r="18" spans="1:17" ht="53.25" customHeight="1">
      <c r="A18" s="6" t="s">
        <v>343</v>
      </c>
      <c r="B18" s="211" t="s">
        <v>334</v>
      </c>
      <c r="C18" s="653" t="s">
        <v>2</v>
      </c>
      <c r="D18" s="5" t="s">
        <v>0</v>
      </c>
      <c r="E18" s="515">
        <v>0</v>
      </c>
      <c r="F18" s="515">
        <v>0</v>
      </c>
      <c r="G18" s="8">
        <v>0</v>
      </c>
      <c r="H18" s="8">
        <v>0</v>
      </c>
      <c r="I18" s="144">
        <v>0</v>
      </c>
      <c r="J18" s="8">
        <v>0</v>
      </c>
      <c r="K18" s="8">
        <v>0</v>
      </c>
      <c r="L18" s="8">
        <v>0</v>
      </c>
      <c r="M18" s="555" t="s">
        <v>324</v>
      </c>
      <c r="N18" s="555" t="s">
        <v>531</v>
      </c>
      <c r="O18" s="555" t="s">
        <v>532</v>
      </c>
      <c r="P18" s="555" t="s">
        <v>532</v>
      </c>
      <c r="Q18" s="144" t="s">
        <v>587</v>
      </c>
    </row>
    <row r="19" spans="1:17" ht="15.75">
      <c r="A19" s="1127" t="s">
        <v>625</v>
      </c>
      <c r="B19" s="1127"/>
      <c r="C19" s="1127"/>
      <c r="D19" s="1127"/>
      <c r="E19" s="1127"/>
      <c r="F19" s="1127"/>
      <c r="G19" s="1127"/>
      <c r="H19" s="1127"/>
      <c r="I19" s="1128"/>
      <c r="J19" s="1128"/>
      <c r="K19" s="1128"/>
      <c r="L19" s="1128"/>
      <c r="M19" s="1128"/>
      <c r="N19" s="1128"/>
      <c r="O19" s="1128"/>
      <c r="P19" s="1128"/>
      <c r="Q19" s="1128"/>
    </row>
    <row r="20" spans="1:17" ht="9.75" customHeight="1">
      <c r="A20" s="21"/>
      <c r="B20" s="36"/>
      <c r="C20" s="36"/>
      <c r="D20" s="36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5">
      <c r="A21" s="1145" t="s">
        <v>27</v>
      </c>
      <c r="B21" s="1146" t="s">
        <v>26</v>
      </c>
      <c r="C21" s="1137" t="s">
        <v>15</v>
      </c>
      <c r="D21" s="1137" t="s">
        <v>14</v>
      </c>
      <c r="E21" s="1137">
        <v>2014</v>
      </c>
      <c r="F21" s="1137">
        <v>2015</v>
      </c>
      <c r="G21" s="1137">
        <v>2016</v>
      </c>
      <c r="H21" s="1137">
        <v>2017</v>
      </c>
      <c r="I21" s="1143">
        <v>2018</v>
      </c>
      <c r="J21" s="1143">
        <v>2019</v>
      </c>
      <c r="K21" s="1137">
        <v>2020</v>
      </c>
      <c r="L21" s="1137">
        <v>2021</v>
      </c>
      <c r="M21" s="1137">
        <v>2022</v>
      </c>
      <c r="N21" s="1137">
        <v>2023</v>
      </c>
      <c r="O21" s="1137">
        <v>2024</v>
      </c>
      <c r="P21" s="1138">
        <v>2025</v>
      </c>
      <c r="Q21" s="1137">
        <v>2026</v>
      </c>
    </row>
    <row r="22" spans="1:17" ht="15">
      <c r="A22" s="1145"/>
      <c r="B22" s="1146"/>
      <c r="C22" s="1137"/>
      <c r="D22" s="1137"/>
      <c r="E22" s="1137"/>
      <c r="F22" s="1137"/>
      <c r="G22" s="1137"/>
      <c r="H22" s="1137"/>
      <c r="I22" s="1144"/>
      <c r="J22" s="1143"/>
      <c r="K22" s="1137"/>
      <c r="L22" s="1137"/>
      <c r="M22" s="1137"/>
      <c r="N22" s="1137"/>
      <c r="O22" s="1137"/>
      <c r="P22" s="1138"/>
      <c r="Q22" s="1137"/>
    </row>
    <row r="23" spans="1:17" ht="24.75" customHeight="1">
      <c r="A23" s="658"/>
      <c r="B23" s="707" t="s">
        <v>611</v>
      </c>
      <c r="C23" s="1139" t="s">
        <v>147</v>
      </c>
      <c r="D23" s="1140"/>
      <c r="E23" s="1140"/>
      <c r="F23" s="1140"/>
      <c r="G23" s="1140"/>
      <c r="H23" s="1140"/>
      <c r="I23" s="1140"/>
      <c r="J23" s="1140"/>
      <c r="K23" s="1140"/>
      <c r="L23" s="1140"/>
      <c r="M23" s="1140"/>
      <c r="N23" s="1140"/>
      <c r="O23" s="1141"/>
      <c r="P23" s="1141"/>
      <c r="Q23" s="1142"/>
    </row>
    <row r="24" spans="1:17" ht="24" customHeight="1">
      <c r="A24" s="659"/>
      <c r="B24" s="660" t="s">
        <v>23</v>
      </c>
      <c r="C24" s="661"/>
      <c r="D24" s="661"/>
      <c r="E24" s="661"/>
      <c r="F24" s="661"/>
      <c r="G24" s="661"/>
      <c r="H24" s="661"/>
      <c r="I24" s="661"/>
      <c r="J24" s="661"/>
      <c r="K24" s="662"/>
      <c r="L24" s="662"/>
      <c r="M24" s="662"/>
      <c r="N24" s="662"/>
      <c r="O24" s="662"/>
      <c r="P24" s="663"/>
      <c r="Q24" s="662"/>
    </row>
    <row r="25" spans="1:17" ht="53.25" customHeight="1">
      <c r="A25" s="664" t="s">
        <v>8</v>
      </c>
      <c r="B25" s="665" t="s">
        <v>306</v>
      </c>
      <c r="C25" s="688" t="s">
        <v>19</v>
      </c>
      <c r="D25" s="688" t="s">
        <v>18</v>
      </c>
      <c r="E25" s="689">
        <v>35</v>
      </c>
      <c r="F25" s="689">
        <v>90</v>
      </c>
      <c r="G25" s="689">
        <v>100</v>
      </c>
      <c r="H25" s="689">
        <v>100</v>
      </c>
      <c r="I25" s="689">
        <v>60</v>
      </c>
      <c r="J25" s="689">
        <v>60</v>
      </c>
      <c r="K25" s="690">
        <v>60</v>
      </c>
      <c r="L25" s="690">
        <v>60</v>
      </c>
      <c r="M25" s="690">
        <v>75</v>
      </c>
      <c r="N25" s="690">
        <v>76</v>
      </c>
      <c r="O25" s="690">
        <v>75</v>
      </c>
      <c r="P25" s="691">
        <v>75</v>
      </c>
      <c r="Q25" s="690">
        <v>75</v>
      </c>
    </row>
    <row r="26" spans="1:17" ht="79.5" customHeight="1">
      <c r="A26" s="664" t="s">
        <v>7</v>
      </c>
      <c r="B26" s="666" t="s">
        <v>307</v>
      </c>
      <c r="C26" s="688" t="s">
        <v>19</v>
      </c>
      <c r="D26" s="688" t="s">
        <v>21</v>
      </c>
      <c r="E26" s="689">
        <v>0</v>
      </c>
      <c r="F26" s="689">
        <v>0</v>
      </c>
      <c r="G26" s="689">
        <v>0</v>
      </c>
      <c r="H26" s="689">
        <v>0</v>
      </c>
      <c r="I26" s="689">
        <v>21</v>
      </c>
      <c r="J26" s="689">
        <v>21</v>
      </c>
      <c r="K26" s="689">
        <v>15</v>
      </c>
      <c r="L26" s="690">
        <v>17</v>
      </c>
      <c r="M26" s="690">
        <v>19</v>
      </c>
      <c r="N26" s="690">
        <v>19</v>
      </c>
      <c r="O26" s="690">
        <v>13</v>
      </c>
      <c r="P26" s="691">
        <v>13</v>
      </c>
      <c r="Q26" s="690">
        <v>13</v>
      </c>
    </row>
    <row r="27" spans="1:17" ht="81" customHeight="1">
      <c r="A27" s="664" t="s">
        <v>5</v>
      </c>
      <c r="B27" s="666" t="s">
        <v>304</v>
      </c>
      <c r="C27" s="688" t="s">
        <v>19</v>
      </c>
      <c r="D27" s="688" t="s">
        <v>21</v>
      </c>
      <c r="E27" s="692">
        <v>0</v>
      </c>
      <c r="F27" s="692">
        <v>0</v>
      </c>
      <c r="G27" s="692">
        <v>0</v>
      </c>
      <c r="H27" s="692">
        <v>0</v>
      </c>
      <c r="I27" s="692">
        <v>20</v>
      </c>
      <c r="J27" s="692">
        <v>20</v>
      </c>
      <c r="K27" s="692">
        <v>10</v>
      </c>
      <c r="L27" s="690">
        <v>11</v>
      </c>
      <c r="M27" s="690">
        <v>12</v>
      </c>
      <c r="N27" s="690">
        <v>12</v>
      </c>
      <c r="O27" s="690">
        <v>12</v>
      </c>
      <c r="P27" s="691">
        <v>12</v>
      </c>
      <c r="Q27" s="690">
        <v>12</v>
      </c>
    </row>
    <row r="28" spans="1:17" ht="76.5" customHeight="1">
      <c r="A28" s="664" t="s">
        <v>4</v>
      </c>
      <c r="B28" s="667" t="s">
        <v>335</v>
      </c>
      <c r="C28" s="688" t="s">
        <v>19</v>
      </c>
      <c r="D28" s="688" t="s">
        <v>21</v>
      </c>
      <c r="E28" s="689">
        <v>0</v>
      </c>
      <c r="F28" s="689">
        <v>0</v>
      </c>
      <c r="G28" s="689">
        <v>0</v>
      </c>
      <c r="H28" s="689">
        <v>0</v>
      </c>
      <c r="I28" s="689">
        <v>17</v>
      </c>
      <c r="J28" s="689">
        <v>17</v>
      </c>
      <c r="K28" s="689">
        <v>8</v>
      </c>
      <c r="L28" s="690">
        <v>9</v>
      </c>
      <c r="M28" s="690">
        <v>10</v>
      </c>
      <c r="N28" s="690">
        <v>13</v>
      </c>
      <c r="O28" s="690">
        <v>13</v>
      </c>
      <c r="P28" s="691">
        <v>13</v>
      </c>
      <c r="Q28" s="690">
        <v>13</v>
      </c>
    </row>
    <row r="29" spans="1:17" ht="38.25" customHeight="1">
      <c r="A29" s="664" t="s">
        <v>3</v>
      </c>
      <c r="B29" s="667" t="s">
        <v>305</v>
      </c>
      <c r="C29" s="688" t="s">
        <v>1</v>
      </c>
      <c r="D29" s="688" t="s">
        <v>21</v>
      </c>
      <c r="E29" s="689">
        <v>0</v>
      </c>
      <c r="F29" s="689">
        <v>0</v>
      </c>
      <c r="G29" s="689">
        <v>0</v>
      </c>
      <c r="H29" s="689">
        <v>0</v>
      </c>
      <c r="I29" s="689">
        <v>66</v>
      </c>
      <c r="J29" s="689">
        <v>68</v>
      </c>
      <c r="K29" s="690">
        <v>72</v>
      </c>
      <c r="L29" s="690">
        <v>72</v>
      </c>
      <c r="M29" s="690">
        <v>96</v>
      </c>
      <c r="N29" s="690">
        <v>52</v>
      </c>
      <c r="O29" s="690">
        <v>52</v>
      </c>
      <c r="P29" s="691">
        <v>52</v>
      </c>
      <c r="Q29" s="690">
        <v>52</v>
      </c>
    </row>
    <row r="30" spans="1:17" ht="35.25" customHeight="1">
      <c r="A30" s="664" t="s">
        <v>139</v>
      </c>
      <c r="B30" s="668" t="s">
        <v>609</v>
      </c>
      <c r="C30" s="688" t="s">
        <v>19</v>
      </c>
      <c r="D30" s="688" t="s">
        <v>18</v>
      </c>
      <c r="E30" s="689">
        <v>15</v>
      </c>
      <c r="F30" s="689">
        <v>16</v>
      </c>
      <c r="G30" s="689">
        <v>16</v>
      </c>
      <c r="H30" s="689">
        <v>18</v>
      </c>
      <c r="I30" s="689">
        <v>20</v>
      </c>
      <c r="J30" s="689">
        <v>22</v>
      </c>
      <c r="K30" s="690">
        <v>24</v>
      </c>
      <c r="L30" s="690">
        <v>24</v>
      </c>
      <c r="M30" s="690">
        <v>27</v>
      </c>
      <c r="N30" s="690">
        <v>16</v>
      </c>
      <c r="O30" s="690">
        <v>16</v>
      </c>
      <c r="P30" s="691">
        <v>16</v>
      </c>
      <c r="Q30" s="690">
        <v>16</v>
      </c>
    </row>
    <row r="31" spans="1:17" ht="33.75" customHeight="1">
      <c r="A31" s="1125" t="s">
        <v>627</v>
      </c>
      <c r="B31" s="1125"/>
      <c r="C31" s="1125"/>
      <c r="D31" s="1125"/>
      <c r="E31" s="1125"/>
      <c r="F31" s="1125"/>
      <c r="G31" s="1125"/>
      <c r="H31" s="1125"/>
      <c r="I31" s="1126"/>
      <c r="J31" s="1126"/>
      <c r="K31" s="1126"/>
      <c r="L31" s="1126"/>
      <c r="M31" s="1126"/>
      <c r="N31" s="1126"/>
      <c r="O31" s="1126"/>
      <c r="P31" s="1126"/>
      <c r="Q31" s="1126"/>
    </row>
    <row r="32" spans="1:17" ht="29.25" customHeight="1">
      <c r="A32" s="808" t="s">
        <v>17</v>
      </c>
      <c r="B32" s="808" t="s">
        <v>16</v>
      </c>
      <c r="C32" s="899" t="s">
        <v>15</v>
      </c>
      <c r="D32" s="899" t="s">
        <v>14</v>
      </c>
      <c r="E32" s="899" t="s">
        <v>13</v>
      </c>
      <c r="F32" s="899" t="s">
        <v>12</v>
      </c>
      <c r="G32" s="899" t="s">
        <v>11</v>
      </c>
      <c r="H32" s="899" t="s">
        <v>163</v>
      </c>
      <c r="I32" s="899" t="s">
        <v>239</v>
      </c>
      <c r="J32" s="899" t="s">
        <v>113</v>
      </c>
      <c r="K32" s="897" t="s">
        <v>112</v>
      </c>
      <c r="L32" s="897" t="s">
        <v>111</v>
      </c>
      <c r="M32" s="897" t="s">
        <v>110</v>
      </c>
      <c r="N32" s="897" t="s">
        <v>109</v>
      </c>
      <c r="O32" s="897" t="s">
        <v>108</v>
      </c>
      <c r="P32" s="897" t="s">
        <v>249</v>
      </c>
      <c r="Q32" s="897" t="s">
        <v>577</v>
      </c>
    </row>
    <row r="33" spans="1:17" ht="15" hidden="1">
      <c r="A33" s="808"/>
      <c r="B33" s="808"/>
      <c r="C33" s="899"/>
      <c r="D33" s="899"/>
      <c r="E33" s="899" t="s">
        <v>10</v>
      </c>
      <c r="F33" s="899" t="s">
        <v>10</v>
      </c>
      <c r="G33" s="899" t="s">
        <v>10</v>
      </c>
      <c r="H33" s="899" t="s">
        <v>10</v>
      </c>
      <c r="I33" s="899" t="s">
        <v>10</v>
      </c>
      <c r="J33" s="899"/>
      <c r="K33" s="898"/>
      <c r="L33" s="898"/>
      <c r="M33" s="898"/>
      <c r="N33" s="898"/>
      <c r="O33" s="898"/>
      <c r="P33" s="898"/>
      <c r="Q33" s="898"/>
    </row>
    <row r="34" spans="1:17" ht="21" customHeight="1">
      <c r="A34" s="653"/>
      <c r="B34" s="653" t="s">
        <v>9</v>
      </c>
      <c r="C34" s="1134" t="s">
        <v>135</v>
      </c>
      <c r="D34" s="1135"/>
      <c r="E34" s="1135"/>
      <c r="F34" s="1135"/>
      <c r="G34" s="1135"/>
      <c r="H34" s="1135"/>
      <c r="I34" s="1135"/>
      <c r="J34" s="1135"/>
      <c r="K34" s="1135"/>
      <c r="L34" s="1135"/>
      <c r="M34" s="1135"/>
      <c r="N34" s="1135"/>
      <c r="O34" s="1135"/>
      <c r="P34" s="1135"/>
      <c r="Q34" s="1136"/>
    </row>
    <row r="35" spans="1:17" ht="21.75" customHeight="1">
      <c r="A35" s="8"/>
      <c r="B35" s="15" t="s">
        <v>23</v>
      </c>
      <c r="C35" s="209"/>
      <c r="D35" s="209"/>
      <c r="E35" s="209"/>
      <c r="F35" s="209"/>
      <c r="G35" s="209"/>
      <c r="H35" s="209"/>
      <c r="I35" s="209"/>
      <c r="J35" s="209"/>
      <c r="K35" s="563"/>
      <c r="L35" s="563"/>
      <c r="M35" s="563"/>
      <c r="N35" s="563"/>
      <c r="O35" s="563"/>
      <c r="P35" s="563"/>
      <c r="Q35" s="563"/>
    </row>
    <row r="36" spans="1:17" ht="50.25" customHeight="1">
      <c r="A36" s="8" t="s">
        <v>8</v>
      </c>
      <c r="B36" s="11" t="s">
        <v>242</v>
      </c>
      <c r="C36" s="210" t="s">
        <v>1</v>
      </c>
      <c r="D36" s="210" t="s">
        <v>0</v>
      </c>
      <c r="E36" s="210">
        <v>707</v>
      </c>
      <c r="F36" s="210">
        <v>677</v>
      </c>
      <c r="G36" s="210">
        <v>670</v>
      </c>
      <c r="H36" s="564">
        <v>670</v>
      </c>
      <c r="I36" s="564">
        <v>0</v>
      </c>
      <c r="J36" s="564">
        <v>0</v>
      </c>
      <c r="K36" s="564">
        <v>0</v>
      </c>
      <c r="L36" s="564">
        <v>0</v>
      </c>
      <c r="M36" s="564">
        <v>0</v>
      </c>
      <c r="N36" s="564">
        <v>0</v>
      </c>
      <c r="O36" s="564">
        <v>0</v>
      </c>
      <c r="P36" s="564">
        <v>0</v>
      </c>
      <c r="Q36" s="564">
        <v>0</v>
      </c>
    </row>
    <row r="37" spans="1:17" ht="38.25" customHeight="1">
      <c r="A37" s="8" t="s">
        <v>7</v>
      </c>
      <c r="B37" s="99" t="s">
        <v>243</v>
      </c>
      <c r="C37" s="210" t="s">
        <v>1</v>
      </c>
      <c r="D37" s="210" t="s">
        <v>0</v>
      </c>
      <c r="E37" s="210">
        <v>5</v>
      </c>
      <c r="F37" s="210">
        <v>6</v>
      </c>
      <c r="G37" s="210">
        <v>6</v>
      </c>
      <c r="H37" s="564">
        <v>7</v>
      </c>
      <c r="I37" s="564">
        <v>0</v>
      </c>
      <c r="J37" s="564">
        <v>0</v>
      </c>
      <c r="K37" s="564">
        <v>0</v>
      </c>
      <c r="L37" s="564">
        <v>0</v>
      </c>
      <c r="M37" s="564">
        <v>0</v>
      </c>
      <c r="N37" s="564">
        <v>0</v>
      </c>
      <c r="O37" s="564">
        <v>0</v>
      </c>
      <c r="P37" s="564">
        <v>0</v>
      </c>
      <c r="Q37" s="564">
        <v>0</v>
      </c>
    </row>
    <row r="38" spans="1:17" ht="36" customHeight="1">
      <c r="A38" s="8" t="s">
        <v>5</v>
      </c>
      <c r="B38" s="11" t="s">
        <v>244</v>
      </c>
      <c r="C38" s="210" t="s">
        <v>2</v>
      </c>
      <c r="D38" s="210" t="s">
        <v>0</v>
      </c>
      <c r="E38" s="565">
        <v>3</v>
      </c>
      <c r="F38" s="565">
        <v>5</v>
      </c>
      <c r="G38" s="565">
        <v>10</v>
      </c>
      <c r="H38" s="565">
        <v>10</v>
      </c>
      <c r="I38" s="564">
        <v>0</v>
      </c>
      <c r="J38" s="564">
        <v>0</v>
      </c>
      <c r="K38" s="564">
        <v>0</v>
      </c>
      <c r="L38" s="564">
        <v>0</v>
      </c>
      <c r="M38" s="564">
        <v>0</v>
      </c>
      <c r="N38" s="564">
        <v>0</v>
      </c>
      <c r="O38" s="564">
        <v>0</v>
      </c>
      <c r="P38" s="564">
        <v>0</v>
      </c>
      <c r="Q38" s="564">
        <v>0</v>
      </c>
    </row>
    <row r="39" spans="1:17" ht="35.25" customHeight="1">
      <c r="A39" s="8" t="s">
        <v>4</v>
      </c>
      <c r="B39" s="7" t="s">
        <v>245</v>
      </c>
      <c r="C39" s="209" t="s">
        <v>1</v>
      </c>
      <c r="D39" s="210" t="s">
        <v>0</v>
      </c>
      <c r="E39" s="566">
        <v>6</v>
      </c>
      <c r="F39" s="566">
        <v>8</v>
      </c>
      <c r="G39" s="566">
        <v>10</v>
      </c>
      <c r="H39" s="566">
        <v>10</v>
      </c>
      <c r="I39" s="564">
        <v>0</v>
      </c>
      <c r="J39" s="564">
        <v>0</v>
      </c>
      <c r="K39" s="564">
        <v>0</v>
      </c>
      <c r="L39" s="564">
        <v>0</v>
      </c>
      <c r="M39" s="564">
        <v>0</v>
      </c>
      <c r="N39" s="564">
        <v>0</v>
      </c>
      <c r="O39" s="564">
        <v>0</v>
      </c>
      <c r="P39" s="564">
        <v>0</v>
      </c>
      <c r="Q39" s="564">
        <v>0</v>
      </c>
    </row>
    <row r="40" spans="1:17" ht="30" customHeight="1">
      <c r="A40" s="1125" t="s">
        <v>628</v>
      </c>
      <c r="B40" s="1125"/>
      <c r="C40" s="1125"/>
      <c r="D40" s="1125"/>
      <c r="E40" s="1125"/>
      <c r="F40" s="1125"/>
      <c r="G40" s="1125"/>
      <c r="H40" s="1125"/>
      <c r="I40" s="1126"/>
      <c r="J40" s="1126"/>
      <c r="K40" s="1126"/>
      <c r="L40" s="1126"/>
      <c r="M40" s="1126"/>
      <c r="N40" s="1126"/>
      <c r="O40" s="1126"/>
      <c r="P40" s="1126"/>
      <c r="Q40" s="1126"/>
    </row>
    <row r="41" spans="1:17" ht="30">
      <c r="A41" s="693" t="s">
        <v>36</v>
      </c>
      <c r="B41" s="693" t="s">
        <v>35</v>
      </c>
      <c r="C41" s="693" t="s">
        <v>34</v>
      </c>
      <c r="D41" s="693" t="s">
        <v>14</v>
      </c>
      <c r="E41" s="693" t="s">
        <v>33</v>
      </c>
      <c r="F41" s="693" t="s">
        <v>32</v>
      </c>
      <c r="G41" s="693" t="s">
        <v>31</v>
      </c>
      <c r="H41" s="693" t="s">
        <v>115</v>
      </c>
      <c r="I41" s="694" t="s">
        <v>114</v>
      </c>
      <c r="J41" s="694" t="s">
        <v>113</v>
      </c>
      <c r="K41" s="695" t="s">
        <v>112</v>
      </c>
      <c r="L41" s="695" t="s">
        <v>111</v>
      </c>
      <c r="M41" s="695" t="s">
        <v>110</v>
      </c>
      <c r="N41" s="695" t="s">
        <v>109</v>
      </c>
      <c r="O41" s="695" t="s">
        <v>108</v>
      </c>
      <c r="P41" s="696" t="s">
        <v>249</v>
      </c>
      <c r="Q41" s="695" t="s">
        <v>577</v>
      </c>
    </row>
    <row r="42" spans="1:17" ht="26.25" customHeight="1">
      <c r="A42" s="695"/>
      <c r="B42" s="693" t="s">
        <v>611</v>
      </c>
      <c r="C42" s="1131" t="s">
        <v>147</v>
      </c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3"/>
    </row>
    <row r="43" spans="1:17" ht="39.75" customHeight="1">
      <c r="A43" s="697">
        <v>1</v>
      </c>
      <c r="B43" s="695" t="s">
        <v>349</v>
      </c>
      <c r="C43" s="693" t="s">
        <v>29</v>
      </c>
      <c r="D43" s="693" t="s">
        <v>30</v>
      </c>
      <c r="E43" s="698">
        <v>5</v>
      </c>
      <c r="F43" s="698">
        <v>5</v>
      </c>
      <c r="G43" s="698">
        <v>5</v>
      </c>
      <c r="H43" s="698">
        <v>5</v>
      </c>
      <c r="I43" s="699">
        <v>5</v>
      </c>
      <c r="J43" s="699">
        <v>5</v>
      </c>
      <c r="K43" s="700">
        <v>5</v>
      </c>
      <c r="L43" s="700">
        <v>5</v>
      </c>
      <c r="M43" s="700">
        <v>5</v>
      </c>
      <c r="N43" s="700">
        <v>5</v>
      </c>
      <c r="O43" s="700">
        <v>5</v>
      </c>
      <c r="P43" s="701">
        <v>5</v>
      </c>
      <c r="Q43" s="702">
        <v>5</v>
      </c>
    </row>
    <row r="44" spans="1:17" ht="33.75" customHeight="1">
      <c r="A44" s="703">
        <v>2</v>
      </c>
      <c r="B44" s="702" t="s">
        <v>370</v>
      </c>
      <c r="C44" s="703" t="s">
        <v>29</v>
      </c>
      <c r="D44" s="704" t="s">
        <v>144</v>
      </c>
      <c r="E44" s="705">
        <v>5</v>
      </c>
      <c r="F44" s="705">
        <v>5</v>
      </c>
      <c r="G44" s="705">
        <v>5</v>
      </c>
      <c r="H44" s="705">
        <v>5</v>
      </c>
      <c r="I44" s="706">
        <v>5</v>
      </c>
      <c r="J44" s="706">
        <v>5</v>
      </c>
      <c r="K44" s="702">
        <v>5</v>
      </c>
      <c r="L44" s="700">
        <v>5</v>
      </c>
      <c r="M44" s="700">
        <v>5</v>
      </c>
      <c r="N44" s="700">
        <v>5</v>
      </c>
      <c r="O44" s="700">
        <v>5</v>
      </c>
      <c r="P44" s="701">
        <v>5</v>
      </c>
      <c r="Q44" s="702">
        <v>5</v>
      </c>
    </row>
    <row r="45" spans="1:17" ht="174" customHeight="1">
      <c r="A45" s="697">
        <v>3</v>
      </c>
      <c r="B45" s="695" t="s">
        <v>143</v>
      </c>
      <c r="C45" s="697" t="s">
        <v>29</v>
      </c>
      <c r="D45" s="708" t="s">
        <v>28</v>
      </c>
      <c r="E45" s="698">
        <v>5</v>
      </c>
      <c r="F45" s="698">
        <v>5</v>
      </c>
      <c r="G45" s="698">
        <v>5</v>
      </c>
      <c r="H45" s="698">
        <v>5</v>
      </c>
      <c r="I45" s="699">
        <v>5</v>
      </c>
      <c r="J45" s="699">
        <v>5</v>
      </c>
      <c r="K45" s="700">
        <v>5</v>
      </c>
      <c r="L45" s="700">
        <v>5</v>
      </c>
      <c r="M45" s="700">
        <v>5</v>
      </c>
      <c r="N45" s="700">
        <v>5</v>
      </c>
      <c r="O45" s="700">
        <v>5</v>
      </c>
      <c r="P45" s="701">
        <v>5</v>
      </c>
      <c r="Q45" s="702">
        <v>5</v>
      </c>
    </row>
    <row r="48" spans="1:9" ht="75" customHeight="1">
      <c r="A48" s="1129" t="s">
        <v>63</v>
      </c>
      <c r="B48" s="1129"/>
      <c r="C48" s="67"/>
      <c r="D48" s="67"/>
      <c r="E48" s="66"/>
      <c r="F48" s="1130" t="s">
        <v>186</v>
      </c>
      <c r="G48" s="1130"/>
      <c r="H48" s="66"/>
      <c r="I48" s="66"/>
    </row>
  </sheetData>
  <sheetProtection/>
  <mergeCells count="65">
    <mergeCell ref="F1:K1"/>
    <mergeCell ref="M2:P2"/>
    <mergeCell ref="A3:H3"/>
    <mergeCell ref="A6:A7"/>
    <mergeCell ref="B6:B7"/>
    <mergeCell ref="C6:C7"/>
    <mergeCell ref="D6:D7"/>
    <mergeCell ref="E6:E7"/>
    <mergeCell ref="F6:F7"/>
    <mergeCell ref="A4:Q4"/>
    <mergeCell ref="C9:Q9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8:Q8"/>
    <mergeCell ref="A21:A22"/>
    <mergeCell ref="B21:B22"/>
    <mergeCell ref="C21:C22"/>
    <mergeCell ref="D21:D22"/>
    <mergeCell ref="E21:E22"/>
    <mergeCell ref="A32:A33"/>
    <mergeCell ref="B32:B33"/>
    <mergeCell ref="C32:C33"/>
    <mergeCell ref="D32:D33"/>
    <mergeCell ref="E32:E33"/>
    <mergeCell ref="K32:K33"/>
    <mergeCell ref="L32:L33"/>
    <mergeCell ref="O21:O22"/>
    <mergeCell ref="P21:P22"/>
    <mergeCell ref="Q21:Q22"/>
    <mergeCell ref="C23:Q23"/>
    <mergeCell ref="F32:F33"/>
    <mergeCell ref="I21:I22"/>
    <mergeCell ref="J21:J22"/>
    <mergeCell ref="K21:K22"/>
    <mergeCell ref="L21:L22"/>
    <mergeCell ref="M21:M22"/>
    <mergeCell ref="N21:N22"/>
    <mergeCell ref="F21:F22"/>
    <mergeCell ref="G21:G22"/>
    <mergeCell ref="H21:H22"/>
    <mergeCell ref="A31:Q31"/>
    <mergeCell ref="A19:Q19"/>
    <mergeCell ref="A40:Q40"/>
    <mergeCell ref="A48:B48"/>
    <mergeCell ref="F48:G48"/>
    <mergeCell ref="C42:Q42"/>
    <mergeCell ref="M32:M33"/>
    <mergeCell ref="N32:N33"/>
    <mergeCell ref="O32:O33"/>
    <mergeCell ref="P32:P33"/>
    <mergeCell ref="Q32:Q33"/>
    <mergeCell ref="C34:Q34"/>
    <mergeCell ref="G32:G33"/>
    <mergeCell ref="H32:H33"/>
    <mergeCell ref="I32:I33"/>
    <mergeCell ref="J32:J33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4"/>
  <sheetViews>
    <sheetView view="pageBreakPreview" zoomScale="70" zoomScaleSheetLayoutView="70" zoomScalePageLayoutView="0" workbookViewId="0" topLeftCell="D1">
      <selection activeCell="Q8" sqref="Q8"/>
    </sheetView>
  </sheetViews>
  <sheetFormatPr defaultColWidth="9.140625" defaultRowHeight="15" outlineLevelRow="1"/>
  <cols>
    <col min="1" max="1" width="18.140625" style="273" customWidth="1"/>
    <col min="2" max="2" width="20.28125" style="273" customWidth="1"/>
    <col min="3" max="3" width="36.28125" style="273" customWidth="1"/>
    <col min="4" max="4" width="16.28125" style="273" customWidth="1"/>
    <col min="5" max="5" width="15.421875" style="273" customWidth="1"/>
    <col min="6" max="7" width="15.00390625" style="273" customWidth="1"/>
    <col min="8" max="8" width="15.140625" style="273" customWidth="1"/>
    <col min="9" max="12" width="16.28125" style="273" customWidth="1"/>
    <col min="13" max="16" width="16.28125" style="514" customWidth="1"/>
    <col min="17" max="17" width="21.421875" style="273" customWidth="1"/>
    <col min="18" max="18" width="13.7109375" style="273" customWidth="1"/>
    <col min="19" max="20" width="13.7109375" style="273" hidden="1" customWidth="1"/>
    <col min="21" max="21" width="0" style="273" hidden="1" customWidth="1"/>
    <col min="22" max="22" width="13.140625" style="273" bestFit="1" customWidth="1"/>
    <col min="23" max="23" width="17.57421875" style="273" customWidth="1"/>
    <col min="24" max="24" width="13.57421875" style="273" customWidth="1"/>
    <col min="25" max="25" width="11.57421875" style="273" customWidth="1"/>
    <col min="26" max="26" width="11.7109375" style="273" customWidth="1"/>
    <col min="27" max="16384" width="9.140625" style="273" customWidth="1"/>
  </cols>
  <sheetData>
    <row r="1" spans="4:17" ht="73.5" customHeight="1">
      <c r="D1" s="721" t="s">
        <v>590</v>
      </c>
      <c r="E1" s="721"/>
      <c r="F1" s="721"/>
      <c r="G1" s="274"/>
      <c r="H1" s="274"/>
      <c r="I1" s="274"/>
      <c r="J1" s="274"/>
      <c r="K1" s="274"/>
      <c r="L1" s="274"/>
      <c r="M1" s="508"/>
      <c r="N1" s="508"/>
      <c r="O1" s="508"/>
      <c r="P1" s="508"/>
      <c r="Q1" s="274"/>
    </row>
    <row r="2" spans="1:18" ht="44.25" customHeight="1">
      <c r="A2" s="275"/>
      <c r="B2" s="275"/>
      <c r="C2" s="275"/>
      <c r="D2" s="718" t="s">
        <v>612</v>
      </c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</row>
    <row r="3" spans="1:17" ht="70.5" customHeight="1">
      <c r="A3" s="719" t="s">
        <v>591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</row>
    <row r="4" spans="1:17" ht="15.7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509"/>
      <c r="N4" s="509"/>
      <c r="O4" s="509"/>
      <c r="P4" s="509"/>
      <c r="Q4" s="275"/>
    </row>
    <row r="5" spans="1:17" ht="24" customHeight="1">
      <c r="A5" s="720" t="s">
        <v>66</v>
      </c>
      <c r="B5" s="720" t="s">
        <v>67</v>
      </c>
      <c r="C5" s="720" t="s">
        <v>68</v>
      </c>
      <c r="D5" s="720" t="s">
        <v>69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</row>
    <row r="6" spans="1:17" ht="57.75" customHeight="1">
      <c r="A6" s="720"/>
      <c r="B6" s="720"/>
      <c r="C6" s="720"/>
      <c r="D6" s="416" t="s">
        <v>33</v>
      </c>
      <c r="E6" s="416" t="s">
        <v>32</v>
      </c>
      <c r="F6" s="416" t="s">
        <v>31</v>
      </c>
      <c r="G6" s="416" t="s">
        <v>115</v>
      </c>
      <c r="H6" s="416" t="s">
        <v>114</v>
      </c>
      <c r="I6" s="416" t="s">
        <v>113</v>
      </c>
      <c r="J6" s="416" t="s">
        <v>112</v>
      </c>
      <c r="K6" s="416" t="s">
        <v>111</v>
      </c>
      <c r="L6" s="495" t="s">
        <v>110</v>
      </c>
      <c r="M6" s="510" t="s">
        <v>109</v>
      </c>
      <c r="N6" s="510" t="s">
        <v>108</v>
      </c>
      <c r="O6" s="510" t="s">
        <v>249</v>
      </c>
      <c r="P6" s="510" t="s">
        <v>577</v>
      </c>
      <c r="Q6" s="488" t="s">
        <v>581</v>
      </c>
    </row>
    <row r="7" spans="1:23" ht="15.75" customHeight="1">
      <c r="A7" s="740" t="s">
        <v>54</v>
      </c>
      <c r="B7" s="740" t="s">
        <v>141</v>
      </c>
      <c r="C7" s="417" t="s">
        <v>70</v>
      </c>
      <c r="D7" s="74">
        <f>D11+D12+D10</f>
        <v>25745.1</v>
      </c>
      <c r="E7" s="74">
        <f>E11+E12+E10</f>
        <v>30198.4</v>
      </c>
      <c r="F7" s="74">
        <f>F10+F11+F12</f>
        <v>32554.9</v>
      </c>
      <c r="G7" s="74">
        <f>G11+G12+G10</f>
        <v>38095.9</v>
      </c>
      <c r="H7" s="74">
        <f>H10+H11+H12</f>
        <v>48615.399999999994</v>
      </c>
      <c r="I7" s="74">
        <f>I10+I11+I12</f>
        <v>47095</v>
      </c>
      <c r="J7" s="74">
        <f>J10+J11+J12</f>
        <v>73803</v>
      </c>
      <c r="K7" s="74">
        <f>K10+K11+K12</f>
        <v>99874.3</v>
      </c>
      <c r="L7" s="74">
        <f>L10+L11+L12</f>
        <v>88128.6</v>
      </c>
      <c r="M7" s="511">
        <f>M10+M11+M12</f>
        <v>140263.2</v>
      </c>
      <c r="N7" s="511">
        <f>N10+N11+N12</f>
        <v>63406.200000000004</v>
      </c>
      <c r="O7" s="511">
        <f>O10+O11+O12</f>
        <v>63091.40000000001</v>
      </c>
      <c r="P7" s="511">
        <f>P10+P11+P12</f>
        <v>63091.40000000001</v>
      </c>
      <c r="Q7" s="74">
        <f>SUM(D7:P7)</f>
        <v>813962.8</v>
      </c>
      <c r="R7" s="276"/>
      <c r="V7" s="277"/>
      <c r="W7" s="277"/>
    </row>
    <row r="8" spans="1:18" ht="15.75">
      <c r="A8" s="741"/>
      <c r="B8" s="741"/>
      <c r="C8" s="417" t="s">
        <v>71</v>
      </c>
      <c r="D8" s="75"/>
      <c r="E8" s="75"/>
      <c r="F8" s="75"/>
      <c r="G8" s="75"/>
      <c r="H8" s="75"/>
      <c r="I8" s="75"/>
      <c r="J8" s="75"/>
      <c r="K8" s="75"/>
      <c r="L8" s="75"/>
      <c r="M8" s="512"/>
      <c r="N8" s="512"/>
      <c r="O8" s="512"/>
      <c r="P8" s="512"/>
      <c r="Q8" s="74">
        <f aca="true" t="shared" si="0" ref="Q8:Q41">SUM(D8:P8)</f>
        <v>0</v>
      </c>
      <c r="R8" s="276"/>
    </row>
    <row r="9" spans="1:25" ht="15.75" outlineLevel="1">
      <c r="A9" s="741"/>
      <c r="B9" s="741"/>
      <c r="C9" s="278" t="s">
        <v>72</v>
      </c>
      <c r="D9" s="75">
        <v>0</v>
      </c>
      <c r="E9" s="75">
        <v>0</v>
      </c>
      <c r="F9" s="75">
        <v>0</v>
      </c>
      <c r="G9" s="75"/>
      <c r="H9" s="75"/>
      <c r="I9" s="75"/>
      <c r="J9" s="75"/>
      <c r="K9" s="75"/>
      <c r="L9" s="75"/>
      <c r="M9" s="512"/>
      <c r="N9" s="512"/>
      <c r="O9" s="512"/>
      <c r="P9" s="512"/>
      <c r="Q9" s="74">
        <f t="shared" si="0"/>
        <v>0</v>
      </c>
      <c r="R9" s="276"/>
      <c r="S9" s="276"/>
      <c r="T9" s="276"/>
      <c r="U9" s="276"/>
      <c r="V9" s="276"/>
      <c r="W9" s="276"/>
      <c r="X9" s="276"/>
      <c r="Y9" s="276"/>
    </row>
    <row r="10" spans="1:28" ht="15.75" outlineLevel="1">
      <c r="A10" s="741"/>
      <c r="B10" s="741"/>
      <c r="C10" s="278" t="s">
        <v>73</v>
      </c>
      <c r="D10" s="75">
        <f>D24+D31</f>
        <v>1292.1</v>
      </c>
      <c r="E10" s="75">
        <f>E31+E24</f>
        <v>775.5</v>
      </c>
      <c r="F10" s="75">
        <f>F17+F24+F31</f>
        <v>2515.5</v>
      </c>
      <c r="G10" s="75">
        <f>G17+G24+G31+G38</f>
        <v>6309.7</v>
      </c>
      <c r="H10" s="75">
        <f>H17+H24+H31+H38</f>
        <v>9560.2</v>
      </c>
      <c r="I10" s="75">
        <f aca="true" t="shared" si="1" ref="I10:O10">I17+I24+I38</f>
        <v>9442.4</v>
      </c>
      <c r="J10" s="75">
        <f t="shared" si="1"/>
        <v>23965.199999999997</v>
      </c>
      <c r="K10" s="75">
        <f t="shared" si="1"/>
        <v>10623.7</v>
      </c>
      <c r="L10" s="75">
        <f>L17+L24+L38</f>
        <v>20241.399999999998</v>
      </c>
      <c r="M10" s="512">
        <f>M17+M24+M38</f>
        <v>58374.799999999996</v>
      </c>
      <c r="N10" s="512">
        <f t="shared" si="1"/>
        <v>810.5</v>
      </c>
      <c r="O10" s="512">
        <f t="shared" si="1"/>
        <v>810.5</v>
      </c>
      <c r="P10" s="512">
        <f>P17+P24+P38</f>
        <v>810.5</v>
      </c>
      <c r="Q10" s="74">
        <f t="shared" si="0"/>
        <v>145532</v>
      </c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</row>
    <row r="11" spans="1:23" ht="15.75" outlineLevel="1">
      <c r="A11" s="741"/>
      <c r="B11" s="741"/>
      <c r="C11" s="278" t="s">
        <v>74</v>
      </c>
      <c r="D11" s="75">
        <f>D18+D25</f>
        <v>4493.400000000001</v>
      </c>
      <c r="E11" s="75">
        <f>E18+E25+E32</f>
        <v>5020.1</v>
      </c>
      <c r="F11" s="75">
        <f>F18+F25</f>
        <v>3963.2</v>
      </c>
      <c r="G11" s="75">
        <f>G18+G25</f>
        <v>3645.1</v>
      </c>
      <c r="H11" s="75">
        <f>H18+H25+H32</f>
        <v>5822.5</v>
      </c>
      <c r="I11" s="75">
        <f aca="true" t="shared" si="2" ref="I11:O11">I18+I25</f>
        <v>7273.400000000001</v>
      </c>
      <c r="J11" s="75">
        <f t="shared" si="2"/>
        <v>9158</v>
      </c>
      <c r="K11" s="75">
        <f t="shared" si="2"/>
        <v>42408.3</v>
      </c>
      <c r="L11" s="75">
        <f t="shared" si="2"/>
        <v>15935.6</v>
      </c>
      <c r="M11" s="512">
        <f>M18+M25</f>
        <v>16054.599999999999</v>
      </c>
      <c r="N11" s="512">
        <f t="shared" si="2"/>
        <v>14407</v>
      </c>
      <c r="O11" s="512">
        <f t="shared" si="2"/>
        <v>14092.2</v>
      </c>
      <c r="P11" s="512">
        <f>P18+P25</f>
        <v>14092.2</v>
      </c>
      <c r="Q11" s="74">
        <f t="shared" si="0"/>
        <v>156365.60000000003</v>
      </c>
      <c r="R11" s="276"/>
      <c r="V11" s="277"/>
      <c r="W11" s="279"/>
    </row>
    <row r="12" spans="1:24" ht="15.75" customHeight="1" outlineLevel="1">
      <c r="A12" s="741"/>
      <c r="B12" s="741"/>
      <c r="C12" s="278" t="s">
        <v>133</v>
      </c>
      <c r="D12" s="75">
        <f>D19+D26+D40+D33</f>
        <v>19959.6</v>
      </c>
      <c r="E12" s="75">
        <f>E40+E33+E26+E19</f>
        <v>24402.800000000003</v>
      </c>
      <c r="F12" s="75">
        <f>F26+F33+F40+F19</f>
        <v>26076.2</v>
      </c>
      <c r="G12" s="75">
        <f>G40+G33+G26+G19</f>
        <v>28141.100000000002</v>
      </c>
      <c r="H12" s="75">
        <f>H40+H33+H26+H19</f>
        <v>33232.7</v>
      </c>
      <c r="I12" s="75">
        <f>I19+I26+I40</f>
        <v>30379.200000000004</v>
      </c>
      <c r="J12" s="75">
        <f aca="true" t="shared" si="3" ref="J12:O12">J40+J33+J26+J19</f>
        <v>40679.8</v>
      </c>
      <c r="K12" s="75">
        <f t="shared" si="3"/>
        <v>46842.3</v>
      </c>
      <c r="L12" s="75">
        <f>L40+L33+L26+L19</f>
        <v>51951.600000000006</v>
      </c>
      <c r="M12" s="512">
        <f>M40+M33+M26+M19</f>
        <v>65833.8</v>
      </c>
      <c r="N12" s="512">
        <f t="shared" si="3"/>
        <v>48188.700000000004</v>
      </c>
      <c r="O12" s="512">
        <f t="shared" si="3"/>
        <v>48188.700000000004</v>
      </c>
      <c r="P12" s="512">
        <f>P40+P33+P26+P19</f>
        <v>48188.700000000004</v>
      </c>
      <c r="Q12" s="74">
        <f t="shared" si="0"/>
        <v>512065.20000000007</v>
      </c>
      <c r="R12" s="276"/>
      <c r="V12" s="277"/>
      <c r="W12" s="277"/>
      <c r="X12" s="277"/>
    </row>
    <row r="13" spans="1:23" ht="15.75" outlineLevel="1">
      <c r="A13" s="741"/>
      <c r="B13" s="741"/>
      <c r="C13" s="278" t="s">
        <v>75</v>
      </c>
      <c r="D13" s="75">
        <v>0</v>
      </c>
      <c r="E13" s="75">
        <v>0</v>
      </c>
      <c r="F13" s="75">
        <v>0</v>
      </c>
      <c r="G13" s="75"/>
      <c r="H13" s="75"/>
      <c r="I13" s="75"/>
      <c r="J13" s="75"/>
      <c r="K13" s="75"/>
      <c r="L13" s="75"/>
      <c r="M13" s="512"/>
      <c r="N13" s="512"/>
      <c r="O13" s="512"/>
      <c r="P13" s="512"/>
      <c r="Q13" s="74">
        <f t="shared" si="0"/>
        <v>0</v>
      </c>
      <c r="R13" s="276"/>
      <c r="V13" s="277"/>
      <c r="W13" s="277"/>
    </row>
    <row r="14" spans="1:23" ht="15.75" customHeight="1">
      <c r="A14" s="740" t="s">
        <v>57</v>
      </c>
      <c r="B14" s="731" t="s">
        <v>172</v>
      </c>
      <c r="C14" s="417" t="s">
        <v>70</v>
      </c>
      <c r="D14" s="74">
        <f>D18+D19</f>
        <v>4311.5</v>
      </c>
      <c r="E14" s="74">
        <f>E18+E19</f>
        <v>5873.4</v>
      </c>
      <c r="F14" s="74">
        <f aca="true" t="shared" si="4" ref="F14:K14">F17+F18+F19</f>
        <v>6302.4</v>
      </c>
      <c r="G14" s="74">
        <f t="shared" si="4"/>
        <v>12316.3</v>
      </c>
      <c r="H14" s="74">
        <f t="shared" si="4"/>
        <v>34761.5</v>
      </c>
      <c r="I14" s="74">
        <f t="shared" si="4"/>
        <v>34247.200000000004</v>
      </c>
      <c r="J14" s="74">
        <f t="shared" si="4"/>
        <v>36573.8</v>
      </c>
      <c r="K14" s="74">
        <f t="shared" si="4"/>
        <v>40960.100000000006</v>
      </c>
      <c r="L14" s="74">
        <f>L17+L18+L19</f>
        <v>59289.6</v>
      </c>
      <c r="M14" s="511">
        <f>M17+M18+M19</f>
        <v>108835.29999999999</v>
      </c>
      <c r="N14" s="511">
        <f>N17+N18+N19</f>
        <v>38404</v>
      </c>
      <c r="O14" s="511">
        <f>O17+O18+O19</f>
        <v>38404</v>
      </c>
      <c r="P14" s="511">
        <f>P17+P18+P19</f>
        <v>38404</v>
      </c>
      <c r="Q14" s="74">
        <f t="shared" si="0"/>
        <v>458683.1</v>
      </c>
      <c r="R14" s="276"/>
      <c r="V14" s="277"/>
      <c r="W14" s="277"/>
    </row>
    <row r="15" spans="1:23" ht="15.75">
      <c r="A15" s="741"/>
      <c r="B15" s="732"/>
      <c r="C15" s="417" t="s">
        <v>71</v>
      </c>
      <c r="D15" s="75"/>
      <c r="E15" s="75"/>
      <c r="F15" s="75"/>
      <c r="G15" s="75"/>
      <c r="H15" s="75"/>
      <c r="I15" s="75"/>
      <c r="J15" s="75"/>
      <c r="K15" s="75"/>
      <c r="L15" s="75"/>
      <c r="M15" s="512"/>
      <c r="N15" s="512"/>
      <c r="O15" s="512"/>
      <c r="P15" s="512"/>
      <c r="Q15" s="74">
        <f t="shared" si="0"/>
        <v>0</v>
      </c>
      <c r="R15" s="276"/>
      <c r="W15" s="277"/>
    </row>
    <row r="16" spans="1:23" ht="15.75">
      <c r="A16" s="741"/>
      <c r="B16" s="732"/>
      <c r="C16" s="278" t="s">
        <v>72</v>
      </c>
      <c r="D16" s="75">
        <v>0</v>
      </c>
      <c r="E16" s="75">
        <v>0</v>
      </c>
      <c r="F16" s="75">
        <v>0</v>
      </c>
      <c r="G16" s="75"/>
      <c r="H16" s="75"/>
      <c r="I16" s="75"/>
      <c r="J16" s="75"/>
      <c r="K16" s="75"/>
      <c r="L16" s="75"/>
      <c r="M16" s="512"/>
      <c r="N16" s="512"/>
      <c r="O16" s="512"/>
      <c r="P16" s="512"/>
      <c r="Q16" s="74">
        <f t="shared" si="0"/>
        <v>0</v>
      </c>
      <c r="R16" s="276"/>
      <c r="W16" s="277"/>
    </row>
    <row r="17" spans="1:24" ht="15.75">
      <c r="A17" s="741"/>
      <c r="B17" s="732"/>
      <c r="C17" s="278" t="s">
        <v>73</v>
      </c>
      <c r="D17" s="75">
        <v>0</v>
      </c>
      <c r="E17" s="75">
        <v>0</v>
      </c>
      <c r="F17" s="75">
        <v>375</v>
      </c>
      <c r="G17" s="75">
        <f>3000+1030+500</f>
        <v>4530</v>
      </c>
      <c r="H17" s="75">
        <f>'[14]ПР2ПП1'!M27+'[14]ПР2ПП1'!M28+'[14]ПР2ПП1'!M30+'[14]ПР2ПП1'!M35+'[14]ПР2ПП1'!M38+'[14]ПР2ПП1'!M39+'[14]ПР2ПП1'!M40++'[14]ПР2ПП1'!M41</f>
        <v>7608.5</v>
      </c>
      <c r="I17" s="75">
        <f>'[14]ПР2ПП1'!N21+'[14]ПР2ПП1'!N23+'[14]ПР2ПП1'!N27+'[14]ПР2ПП1'!N28+'[14]ПР2ПП1'!N30+'[14]ПР2ПП1'!N33+'[14]ПР2ПП1'!N35+'[14]ПР2ПП1'!N38+'[14]ПР2ПП1'!N39+'[14]ПР2ПП1'!N40+'[14]ПР2ПП1'!N41+'[14]ПР2ПП1'!N25+'[14]ПР2ПП1'!N37+'[14]ПР2ПП1'!N46+'[14]ПР2ПП1'!N47+'[14]ПР2ПП1'!N48+'[14]ПР2ПП1'!N44+'[14]ПР2ПП1'!N45</f>
        <v>8434.4</v>
      </c>
      <c r="J17" s="75">
        <f>ПР2ПП1!O57+ПР2ПП1!O73+ПР2ПП1!O80+ПР2ПП1!O75+ПР2ПП1!O86+ПР2ПП1!O40+ПР2ПП1!O41+ПР2ПП1!O42+ПР2ПП1!O43+ПР2ПП1!O44+ПР2ПП1!O45+ПР2ПП1!O52+ПР2ПП1!O53</f>
        <v>10172.199999999999</v>
      </c>
      <c r="K17" s="75">
        <f>ПР2ПП1!P59+ПР2ПП1!P68+ПР2ПП1!P73+ПР2ПП1!P75+ПР2ПП1!P86</f>
        <v>5830.599999999999</v>
      </c>
      <c r="L17" s="75">
        <f>ПР2ПП1!Q46+ПР2ПП1!Q47+ПР2ПП1!Q60+ПР2ПП1!Q69+ПР2ПП1!Q76+ПР2ПП1!Q86+ПР2ПП1!Q89+ПР2ПП1!Q93</f>
        <v>16702.1</v>
      </c>
      <c r="M17" s="603">
        <f>ПР2ПП1!R62+ПР2ПП1!R66+ПР2ПП1!R71+ПР2ПП1!R78+ПР2ПП1!R84+ПР2ПП1!R87</f>
        <v>53726.7</v>
      </c>
      <c r="N17" s="512">
        <f>ПР2ПП1!S64+ПР2ПП1!S57+ПР2ПП1!S68+ПР2ПП1!S73+ПР2ПП1!S59+ПР2ПП1!S80+ПР2ПП1!S75+ПР2ПП1!S86+ПР2ПП1!S36+ПР2ПП1!S37+ПР2ПП1!S38+ПР2ПП1!S39+ПР2ПП1!S40+ПР2ПП1!S41+ПР2ПП1!S42+ПР2ПП1!S48+ПР2ПП1!S49+ПР2ПП1!S50+ПР2ПП1!S51+ПР2ПП1!S52+ПР2ПП1!S53+ПР2ПП1!S55</f>
        <v>0</v>
      </c>
      <c r="O17" s="512">
        <f>ПР2ПП1!T64+ПР2ПП1!T57+ПР2ПП1!T68+ПР2ПП1!T73+ПР2ПП1!T59+ПР2ПП1!T80+ПР2ПП1!T75+ПР2ПП1!T86+ПР2ПП1!T36+ПР2ПП1!T37+ПР2ПП1!T38+ПР2ПП1!T39+ПР2ПП1!T40+ПР2ПП1!T41+ПР2ПП1!T42+ПР2ПП1!T48+ПР2ПП1!T49+ПР2ПП1!T50+ПР2ПП1!T51+ПР2ПП1!T52+ПР2ПП1!T53+ПР2ПП1!T55</f>
        <v>0</v>
      </c>
      <c r="P17" s="512">
        <f>ПР2ПП1!U64+ПР2ПП1!U57+ПР2ПП1!U68+ПР2ПП1!U73+ПР2ПП1!U59+ПР2ПП1!U80+ПР2ПП1!U75+ПР2ПП1!U86+ПР2ПП1!U36+ПР2ПП1!U37+ПР2ПП1!U38+ПР2ПП1!U39+ПР2ПП1!U40+ПР2ПП1!U41+ПР2ПП1!U42+ПР2ПП1!U48+ПР2ПП1!U49+ПР2ПП1!U50+ПР2ПП1!U51+ПР2ПП1!U52+ПР2ПП1!U53+ПР2ПП1!U55</f>
        <v>0</v>
      </c>
      <c r="Q17" s="74">
        <f t="shared" si="0"/>
        <v>107379.5</v>
      </c>
      <c r="R17" s="276"/>
      <c r="W17" s="277"/>
      <c r="X17" s="277"/>
    </row>
    <row r="18" spans="1:23" ht="15.75">
      <c r="A18" s="741"/>
      <c r="B18" s="732"/>
      <c r="C18" s="278" t="s">
        <v>74</v>
      </c>
      <c r="D18" s="75">
        <v>3536.3</v>
      </c>
      <c r="E18" s="75">
        <v>4708.5</v>
      </c>
      <c r="F18" s="75">
        <v>3801</v>
      </c>
      <c r="G18" s="75">
        <v>3369.6</v>
      </c>
      <c r="H18" s="75">
        <f>'[14]ПР2ПП1'!M54</f>
        <v>5229</v>
      </c>
      <c r="I18" s="75">
        <f>'[14]ПР2ПП1'!N54</f>
        <v>5873.200000000001</v>
      </c>
      <c r="J18" s="75">
        <f>ПР2ПП1!O95</f>
        <v>4015.9</v>
      </c>
      <c r="K18" s="75">
        <f>ПР2ПП1!P95</f>
        <v>5864.5</v>
      </c>
      <c r="L18" s="75">
        <f>ПР2ПП1!Q95</f>
        <v>7327.6</v>
      </c>
      <c r="M18" s="603">
        <f>ПР2ПП1!R95</f>
        <v>7885</v>
      </c>
      <c r="N18" s="512">
        <f>ПР2ПП1!S95</f>
        <v>7523.2</v>
      </c>
      <c r="O18" s="512">
        <f>ПР2ПП1!T95</f>
        <v>7523.2</v>
      </c>
      <c r="P18" s="512">
        <f>ПР2ПП1!U95</f>
        <v>7523.2</v>
      </c>
      <c r="Q18" s="74">
        <f t="shared" si="0"/>
        <v>74180.2</v>
      </c>
      <c r="R18" s="276"/>
      <c r="V18" s="277"/>
      <c r="W18" s="277"/>
    </row>
    <row r="19" spans="1:18" ht="15.75" customHeight="1">
      <c r="A19" s="741"/>
      <c r="B19" s="732"/>
      <c r="C19" s="278" t="s">
        <v>133</v>
      </c>
      <c r="D19" s="75">
        <v>775.2</v>
      </c>
      <c r="E19" s="75">
        <v>1164.9</v>
      </c>
      <c r="F19" s="75">
        <v>2126.4</v>
      </c>
      <c r="G19" s="75">
        <v>4416.7</v>
      </c>
      <c r="H19" s="75">
        <f>'[14]ПР2ПП1'!M11+'[14]ПР2ПП1'!M13+'[14]ПР2ПП1'!M14+'[14]ПР2ПП1'!M24+'[14]ПР2ПП1'!M15+'[14]ПР2ПП1'!M31+'[14]ПР2ПП1'!M32+'[14]ПР2ПП1'!M36+'[14]ПР2ПП1'!M49+'[14]ПР2ПП1'!M50+'[14]ПР2ПП1'!M51+'[14]ПР2ПП1'!M52+'[14]ПР2ПП1'!M53</f>
        <v>21923.999999999996</v>
      </c>
      <c r="I19" s="75">
        <f>'[14]ПР2ПП1'!N11+'[14]ПР2ПП1'!N12+'[14]ПР2ПП1'!N13+'[14]ПР2ПП1'!N14+'[14]ПР2ПП1'!N15+'[14]ПР2ПП1'!N16+'[14]ПР2ПП1'!N17+'[14]ПР2ПП1'!N18+'[14]ПР2ПП1'!N19+'[14]ПР2ПП1'!N20+'[14]ПР2ПП1'!N22+'[14]ПР2ПП1'!N24+'[14]ПР2ПП1'!N29+'[14]ПР2ПП1'!N31+'[14]ПР2ПП1'!N32+'[14]ПР2ПП1'!N34+'[14]ПР2ПП1'!N36+'[14]ПР2ПП1'!N49+'[14]ПР2ПП1'!N50+'[14]ПР2ПП1'!N51+'[14]ПР2ПП1'!N52+'[14]ПР2ПП1'!N53+'[14]ПР2ПП1'!N26</f>
        <v>19939.600000000002</v>
      </c>
      <c r="J19" s="75">
        <f>ПР2ПП1!O35+ПР2ПП1!O21+ПР2ПП1!O18+ПР2ПП1!O88+ПР2ПП1!O77+ПР2ПП1!O74+ПР2ПП1!O81+ПР2ПП1!O58+ПР2ПП1!O33+ПР2ПП1!O15+ПР2ПП1!O27+ПР2ПП1!O11+ПР2ПП1!O22</f>
        <v>22385.7</v>
      </c>
      <c r="K19" s="75">
        <f>ПР2ПП1!P11+ПР2ПП1!P14+ПР2ПП1!P15+ПР2ПП1!P16+ПР2ПП1!P17+ПР2ПП1!P18+ПР2ПП1!P21+ПР2ПП1!P22+ПР2ПП1!P26+ПР2ПП1!P27+ПР2ПП1!P28+ПР2ПП1!P61+ПР2ПП1!P65+ПР2ПП1!P70+ПР2ПП1!P74+ПР2ПП1!P77+ПР2ПП1!P88</f>
        <v>29265.000000000004</v>
      </c>
      <c r="L19" s="75">
        <f>ПР2ПП1!Q8-'Информация МЗ+ИЦ+ПД'!L18-'Информация МЗ+ИЦ+ПД'!L17</f>
        <v>35259.9</v>
      </c>
      <c r="M19" s="603">
        <f>ПР2ПП1!R12+ПР2ПП1!R19+ПР2ПП1!R20+ПР2ПП1!R24+ПР2ПП1!R25+ПР2ПП1!R27+ПР2ПП1!R29+ПР2ПП1!R30+ПР2ПП1!R63+ПР2ПП1!R67+ПР2ПП1!R72+ПР2ПП1!R79+ПР2ПП1!R85+ПР2ПП1!R92</f>
        <v>47223.6</v>
      </c>
      <c r="N19" s="512">
        <f>ПР2ПП1!S12+ПР2ПП1!S24+ПР2ПП1!S25+ПР2ПП1!S27+ПР2ПП1!S29+ПР2ПП1!S30</f>
        <v>30880.800000000003</v>
      </c>
      <c r="O19" s="512">
        <f>ПР2ПП1!T12+ПР2ПП1!T24+ПР2ПП1!T25+ПР2ПП1!T27+ПР2ПП1!T29+ПР2ПП1!T30</f>
        <v>30880.800000000003</v>
      </c>
      <c r="P19" s="512">
        <f>ПР2ПП1!U12+ПР2ПП1!U24+ПР2ПП1!U25+ПР2ПП1!U27+ПР2ПП1!U29+ПР2ПП1!U30</f>
        <v>30880.800000000003</v>
      </c>
      <c r="Q19" s="74">
        <f t="shared" si="0"/>
        <v>277123.39999999997</v>
      </c>
      <c r="R19" s="276"/>
    </row>
    <row r="20" spans="1:18" ht="15.75">
      <c r="A20" s="741"/>
      <c r="B20" s="732"/>
      <c r="C20" s="278" t="s">
        <v>75</v>
      </c>
      <c r="D20" s="75">
        <v>0</v>
      </c>
      <c r="E20" s="75">
        <v>0</v>
      </c>
      <c r="F20" s="75">
        <v>0</v>
      </c>
      <c r="G20" s="75"/>
      <c r="H20" s="75"/>
      <c r="I20" s="75"/>
      <c r="J20" s="75"/>
      <c r="K20" s="75"/>
      <c r="L20" s="75"/>
      <c r="M20" s="603"/>
      <c r="N20" s="512"/>
      <c r="O20" s="512"/>
      <c r="P20" s="512"/>
      <c r="Q20" s="74">
        <f t="shared" si="0"/>
        <v>0</v>
      </c>
      <c r="R20" s="276"/>
    </row>
    <row r="21" spans="1:24" ht="15.75" customHeight="1">
      <c r="A21" s="740" t="s">
        <v>59</v>
      </c>
      <c r="B21" s="731" t="s">
        <v>60</v>
      </c>
      <c r="C21" s="417" t="s">
        <v>70</v>
      </c>
      <c r="D21" s="74">
        <f>D25+D26+D24</f>
        <v>8322.9</v>
      </c>
      <c r="E21" s="74">
        <f>E25+E26+E24</f>
        <v>8249</v>
      </c>
      <c r="F21" s="74">
        <f aca="true" t="shared" si="5" ref="F21:K21">F24+F25+F26</f>
        <v>9030.7</v>
      </c>
      <c r="G21" s="74">
        <f t="shared" si="5"/>
        <v>9893.5</v>
      </c>
      <c r="H21" s="74">
        <f t="shared" si="5"/>
        <v>11851</v>
      </c>
      <c r="I21" s="74">
        <f t="shared" si="5"/>
        <v>10606.1</v>
      </c>
      <c r="J21" s="74">
        <f t="shared" si="5"/>
        <v>34832.9</v>
      </c>
      <c r="K21" s="74">
        <f t="shared" si="5"/>
        <v>56125.600000000006</v>
      </c>
      <c r="L21" s="74">
        <f>L24+L25+L26</f>
        <v>25604.6</v>
      </c>
      <c r="M21" s="604">
        <f>M24+M25+M26</f>
        <v>27885.4</v>
      </c>
      <c r="N21" s="511">
        <f>N24+N25+N26</f>
        <v>21571.7</v>
      </c>
      <c r="O21" s="511">
        <f>O24+O25+O26</f>
        <v>21256.9</v>
      </c>
      <c r="P21" s="511">
        <f>P24+P25+P26</f>
        <v>21256.9</v>
      </c>
      <c r="Q21" s="74">
        <f t="shared" si="0"/>
        <v>266487.2</v>
      </c>
      <c r="R21" s="276"/>
      <c r="S21" s="277"/>
      <c r="T21" s="277"/>
      <c r="U21" s="277"/>
      <c r="V21" s="277"/>
      <c r="W21" s="277"/>
      <c r="X21" s="277"/>
    </row>
    <row r="22" spans="1:23" ht="15.75">
      <c r="A22" s="741"/>
      <c r="B22" s="732"/>
      <c r="C22" s="417" t="s">
        <v>71</v>
      </c>
      <c r="D22" s="75"/>
      <c r="E22" s="75"/>
      <c r="F22" s="75"/>
      <c r="G22" s="75"/>
      <c r="H22" s="75"/>
      <c r="I22" s="75"/>
      <c r="J22" s="75"/>
      <c r="K22" s="75"/>
      <c r="L22" s="75"/>
      <c r="M22" s="603"/>
      <c r="N22" s="512"/>
      <c r="O22" s="512"/>
      <c r="P22" s="512"/>
      <c r="Q22" s="74">
        <f t="shared" si="0"/>
        <v>0</v>
      </c>
      <c r="R22" s="276"/>
      <c r="W22" s="277"/>
    </row>
    <row r="23" spans="1:18" ht="17.25" customHeight="1">
      <c r="A23" s="741"/>
      <c r="B23" s="732"/>
      <c r="C23" s="278" t="s">
        <v>72</v>
      </c>
      <c r="D23" s="75">
        <v>0</v>
      </c>
      <c r="E23" s="75">
        <v>0</v>
      </c>
      <c r="F23" s="75">
        <v>0</v>
      </c>
      <c r="G23" s="75"/>
      <c r="H23" s="75"/>
      <c r="I23" s="75"/>
      <c r="J23" s="75"/>
      <c r="K23" s="75"/>
      <c r="L23" s="75"/>
      <c r="M23" s="603"/>
      <c r="N23" s="512"/>
      <c r="O23" s="512"/>
      <c r="P23" s="512"/>
      <c r="Q23" s="74">
        <f t="shared" si="0"/>
        <v>0</v>
      </c>
      <c r="R23" s="276"/>
    </row>
    <row r="24" spans="1:23" ht="21.75" customHeight="1">
      <c r="A24" s="741"/>
      <c r="B24" s="732"/>
      <c r="C24" s="278" t="s">
        <v>73</v>
      </c>
      <c r="D24" s="75">
        <v>942.1</v>
      </c>
      <c r="E24" s="75">
        <v>598.2</v>
      </c>
      <c r="F24" s="75">
        <f>589.3+240.7</f>
        <v>830</v>
      </c>
      <c r="G24" s="75">
        <f>593.3+382.2+86.5+220</f>
        <v>1282</v>
      </c>
      <c r="H24" s="75">
        <f>SUM('[14]ПР2ПП2'!N20+'[14]ПР2ПП2'!N35+'[14]ПР2ПП2'!N44)</f>
        <v>1755.6000000000001</v>
      </c>
      <c r="I24" s="75">
        <f>'[14]ПР2ПП2'!O19+'[14]ПР2ПП2'!O20+'[14]ПР2ПП2'!O35+'[14]ПР2ПП2'!O36+'[14]ПР2ПП2'!O39+'[14]ПР2ПП2'!O40+'[14]ПР2ПП2'!O42+'[14]ПР2ПП2'!O44+'[14]ПР2ПП2'!O45+'[14]ПР2ПП2'!O46</f>
        <v>944.3000000000001</v>
      </c>
      <c r="J24" s="75">
        <f>ПР2ПП2!P39+ПР2ПП2!P55+ПР2ПП2!P36+ПР2ПП2!P27+ПР2ПП2!P29+ПР2ПП2!P30</f>
        <v>13523.699999999999</v>
      </c>
      <c r="K24" s="75">
        <f>ПР2ПП2!Q36+ПР2ПП2!Q39+ПР2ПП2!Q43</f>
        <v>4793.1</v>
      </c>
      <c r="L24" s="75">
        <f>ПР2ПП2!R31+ПР2ПП2!R39+ПР2ПП2!R45+ПР2ПП2!R55+ПР2ПП2!R58</f>
        <v>3539.3</v>
      </c>
      <c r="M24" s="603">
        <f>ПР2ПП2!S39+ПР2ПП2!S43+ПР2ПП2!S45+ПР2ПП2!S55+ПР2ПП2!S58</f>
        <v>4648.1</v>
      </c>
      <c r="N24" s="512">
        <f>ПР2ПП2!T58+ПР2ПП2!T39</f>
        <v>810.5</v>
      </c>
      <c r="O24" s="512">
        <f>ПР2ПП2!U58+ПР2ПП2!U39</f>
        <v>810.5</v>
      </c>
      <c r="P24" s="512">
        <f>ПР2ПП2!V58+ПР2ПП2!V39</f>
        <v>810.5</v>
      </c>
      <c r="Q24" s="74">
        <f t="shared" si="0"/>
        <v>35287.9</v>
      </c>
      <c r="R24" s="276"/>
      <c r="W24" s="277"/>
    </row>
    <row r="25" spans="1:23" ht="15.75">
      <c r="A25" s="741"/>
      <c r="B25" s="732"/>
      <c r="C25" s="278" t="s">
        <v>74</v>
      </c>
      <c r="D25" s="75">
        <v>957.1</v>
      </c>
      <c r="E25" s="75">
        <v>311.6</v>
      </c>
      <c r="F25" s="75">
        <v>162.2</v>
      </c>
      <c r="G25" s="75">
        <f>149.8+34+82.6+9.1</f>
        <v>275.5</v>
      </c>
      <c r="H25" s="75">
        <v>593.5</v>
      </c>
      <c r="I25" s="75">
        <f>'[14]ПР2ПП2'!O48</f>
        <v>1400.2</v>
      </c>
      <c r="J25" s="75">
        <f>ПР2ПП2!P60</f>
        <v>5142.1</v>
      </c>
      <c r="K25" s="75">
        <f>ПР2ПП2!Q60</f>
        <v>36543.8</v>
      </c>
      <c r="L25" s="75">
        <f>ПР2ПП2!R60</f>
        <v>8608</v>
      </c>
      <c r="M25" s="603">
        <f>ПР2ПП2!S60</f>
        <v>8169.599999999999</v>
      </c>
      <c r="N25" s="512">
        <f>ПР2ПП2!T60</f>
        <v>6883.8</v>
      </c>
      <c r="O25" s="512">
        <f>ПР2ПП2!U60</f>
        <v>6569</v>
      </c>
      <c r="P25" s="512">
        <f>ПР2ПП2!V60</f>
        <v>6569</v>
      </c>
      <c r="Q25" s="74">
        <f t="shared" si="0"/>
        <v>82185.4</v>
      </c>
      <c r="R25" s="276"/>
      <c r="V25" s="277"/>
      <c r="W25" s="277"/>
    </row>
    <row r="26" spans="1:23" ht="18" customHeight="1">
      <c r="A26" s="741"/>
      <c r="B26" s="732"/>
      <c r="C26" s="278" t="s">
        <v>133</v>
      </c>
      <c r="D26" s="75">
        <v>6423.7</v>
      </c>
      <c r="E26" s="75">
        <v>7339.2</v>
      </c>
      <c r="F26" s="75">
        <v>8038.5</v>
      </c>
      <c r="G26" s="75">
        <v>8336</v>
      </c>
      <c r="H26" s="75">
        <f>SUM('[14]ПР2ПП2'!N11+'[14]ПР2ПП2'!N13+'[14]ПР2ПП2'!N15+'[14]ПР2ПП2'!N17+'[14]ПР2ПП2'!N43)</f>
        <v>9501.9</v>
      </c>
      <c r="I26" s="75">
        <f>'[14]ПР2ПП2'!O11+'[14]ПР2ПП2'!O12+'[14]ПР2ПП2'!O13+'[14]ПР2ПП2'!O14+'[14]ПР2ПП2'!O15+'[14]ПР2ПП2'!O16+'[14]ПР2ПП2'!O17+'[14]ПР2ПП2'!O18+'[14]ПР2ПП2'!O21+'[14]ПР2ПП2'!O34+'[14]ПР2ПП2'!O38+'[14]ПР2ПП2'!O41+'[14]ПР2ПП2'!O43</f>
        <v>8261.6</v>
      </c>
      <c r="J26" s="75">
        <f>ПР2ПП2!P11+ПР2ПП2!P16+ПР2ПП2!P34+ПР2ПП2!P56+ПР2ПП2!P37+ПР2ПП2!P40</f>
        <v>16167.1</v>
      </c>
      <c r="K26" s="75">
        <f>ПР2ПП2!Q11+ПР2ПП2!Q13+ПР2ПП2!Q14+ПР2ПП2!Q34+ПР2ПП2!Q44+ПР2ПП2!Q37+ПР2ПП2!Q40+ПР2ПП2!Q32+ПР2ПП2!Q33</f>
        <v>14788.7</v>
      </c>
      <c r="L26" s="75">
        <f>ПР2ПП2!R9-'Информация МЗ+ИЦ+ПД'!L25-'Информация МЗ+ИЦ+ПД'!L24</f>
        <v>13457.3</v>
      </c>
      <c r="M26" s="603">
        <f>ПР2ПП2!S11+ПР2ПП2!S13+ПР2ПП2!S14+ПР2ПП2!S15+ПР2ПП2!S32+ПР2ПП2!S33+ПР2ПП2!S34+ПР2ПП2!S40+ПР2ПП2!S44+ПР2ПП2!S46+ПР2ПП2!S56+ПР2ПП2!S59</f>
        <v>15067.700000000003</v>
      </c>
      <c r="N26" s="512">
        <f>ПР2ПП2!T8-'Информация МЗ+ИЦ+ПД'!N24-'Информация МЗ+ИЦ+ПД'!N25</f>
        <v>13877.400000000001</v>
      </c>
      <c r="O26" s="512">
        <f>ПР2ПП2!U8-'Информация МЗ+ИЦ+ПД'!O24-'Информация МЗ+ИЦ+ПД'!O25</f>
        <v>13877.400000000001</v>
      </c>
      <c r="P26" s="512">
        <f>ПР2ПП2!V8-'Информация МЗ+ИЦ+ПД'!P24-'Информация МЗ+ИЦ+ПД'!P25</f>
        <v>13877.400000000001</v>
      </c>
      <c r="Q26" s="74">
        <f t="shared" si="0"/>
        <v>149013.9</v>
      </c>
      <c r="R26" s="276"/>
      <c r="V26" s="277"/>
      <c r="W26" s="277"/>
    </row>
    <row r="27" spans="1:23" ht="23.25" customHeight="1">
      <c r="A27" s="743"/>
      <c r="B27" s="733"/>
      <c r="C27" s="278" t="s">
        <v>75</v>
      </c>
      <c r="D27" s="75">
        <v>0</v>
      </c>
      <c r="E27" s="75">
        <v>0</v>
      </c>
      <c r="F27" s="75">
        <v>0</v>
      </c>
      <c r="G27" s="75"/>
      <c r="H27" s="75"/>
      <c r="I27" s="75"/>
      <c r="J27" s="75"/>
      <c r="K27" s="75"/>
      <c r="L27" s="75"/>
      <c r="M27" s="603"/>
      <c r="N27" s="512"/>
      <c r="O27" s="512"/>
      <c r="P27" s="512"/>
      <c r="Q27" s="74">
        <f t="shared" si="0"/>
        <v>0</v>
      </c>
      <c r="R27" s="276"/>
      <c r="W27" s="277"/>
    </row>
    <row r="28" spans="1:23" ht="18.75" customHeight="1">
      <c r="A28" s="740" t="s">
        <v>61</v>
      </c>
      <c r="B28" s="740" t="s">
        <v>137</v>
      </c>
      <c r="C28" s="417" t="s">
        <v>70</v>
      </c>
      <c r="D28" s="74">
        <f>D31+D33</f>
        <v>11923.2</v>
      </c>
      <c r="E28" s="74">
        <f>E32+E33+E31</f>
        <v>14373</v>
      </c>
      <c r="F28" s="74">
        <f>F32+F33+F31</f>
        <v>15432.8</v>
      </c>
      <c r="G28" s="74">
        <f>G33+G31</f>
        <v>14178.1</v>
      </c>
      <c r="H28" s="74">
        <f aca="true" t="shared" si="6" ref="H28:O28">H32+H33+H31</f>
        <v>0</v>
      </c>
      <c r="I28" s="74">
        <f t="shared" si="6"/>
        <v>0</v>
      </c>
      <c r="J28" s="74">
        <f t="shared" si="6"/>
        <v>0</v>
      </c>
      <c r="K28" s="74">
        <f t="shared" si="6"/>
        <v>0</v>
      </c>
      <c r="L28" s="74">
        <f t="shared" si="6"/>
        <v>0</v>
      </c>
      <c r="M28" s="511">
        <f>M32+M33+M31</f>
        <v>0</v>
      </c>
      <c r="N28" s="511">
        <f t="shared" si="6"/>
        <v>0</v>
      </c>
      <c r="O28" s="511">
        <f t="shared" si="6"/>
        <v>0</v>
      </c>
      <c r="P28" s="511">
        <f>P32+P33+P31</f>
        <v>0</v>
      </c>
      <c r="Q28" s="74">
        <f t="shared" si="0"/>
        <v>55907.1</v>
      </c>
      <c r="R28" s="276"/>
      <c r="W28" s="277"/>
    </row>
    <row r="29" spans="1:23" ht="18.75" customHeight="1">
      <c r="A29" s="741"/>
      <c r="B29" s="741"/>
      <c r="C29" s="417" t="s">
        <v>71</v>
      </c>
      <c r="D29" s="75"/>
      <c r="E29" s="75"/>
      <c r="F29" s="75"/>
      <c r="G29" s="75"/>
      <c r="H29" s="75"/>
      <c r="I29" s="75"/>
      <c r="J29" s="75"/>
      <c r="K29" s="75"/>
      <c r="L29" s="75"/>
      <c r="M29" s="512"/>
      <c r="N29" s="512"/>
      <c r="O29" s="512"/>
      <c r="P29" s="512"/>
      <c r="Q29" s="74">
        <f t="shared" si="0"/>
        <v>0</v>
      </c>
      <c r="R29" s="276"/>
      <c r="W29" s="277"/>
    </row>
    <row r="30" spans="1:23" ht="15.75" customHeight="1">
      <c r="A30" s="741"/>
      <c r="B30" s="741"/>
      <c r="C30" s="278" t="s">
        <v>72</v>
      </c>
      <c r="D30" s="75">
        <v>0</v>
      </c>
      <c r="E30" s="75">
        <v>0</v>
      </c>
      <c r="F30" s="75">
        <v>0</v>
      </c>
      <c r="G30" s="75"/>
      <c r="H30" s="75"/>
      <c r="I30" s="75"/>
      <c r="J30" s="75"/>
      <c r="K30" s="75"/>
      <c r="L30" s="75"/>
      <c r="M30" s="512"/>
      <c r="N30" s="512"/>
      <c r="O30" s="512"/>
      <c r="P30" s="512"/>
      <c r="Q30" s="74">
        <f t="shared" si="0"/>
        <v>0</v>
      </c>
      <c r="R30" s="276"/>
      <c r="V30" s="277"/>
      <c r="W30" s="277"/>
    </row>
    <row r="31" spans="1:23" ht="18.75" customHeight="1">
      <c r="A31" s="741"/>
      <c r="B31" s="741"/>
      <c r="C31" s="278" t="s">
        <v>73</v>
      </c>
      <c r="D31" s="75">
        <v>350</v>
      </c>
      <c r="E31" s="75">
        <v>177.3</v>
      </c>
      <c r="F31" s="75">
        <v>1310.5</v>
      </c>
      <c r="G31" s="75">
        <f>392.7+105</f>
        <v>497.7</v>
      </c>
      <c r="H31" s="75">
        <v>0</v>
      </c>
      <c r="I31" s="75">
        <v>0</v>
      </c>
      <c r="J31" s="75"/>
      <c r="K31" s="75"/>
      <c r="L31" s="75"/>
      <c r="M31" s="512"/>
      <c r="N31" s="512"/>
      <c r="O31" s="512"/>
      <c r="P31" s="512"/>
      <c r="Q31" s="74">
        <f t="shared" si="0"/>
        <v>2335.5</v>
      </c>
      <c r="R31" s="276"/>
      <c r="V31" s="277"/>
      <c r="W31" s="277"/>
    </row>
    <row r="32" spans="1:23" ht="20.25" customHeight="1">
      <c r="A32" s="741"/>
      <c r="B32" s="741"/>
      <c r="C32" s="278" t="s">
        <v>74</v>
      </c>
      <c r="D32" s="75">
        <v>0</v>
      </c>
      <c r="E32" s="75">
        <v>0</v>
      </c>
      <c r="F32" s="75">
        <v>0</v>
      </c>
      <c r="G32" s="75" t="s">
        <v>76</v>
      </c>
      <c r="H32" s="75">
        <v>0</v>
      </c>
      <c r="I32" s="75">
        <v>0</v>
      </c>
      <c r="J32" s="75"/>
      <c r="K32" s="75"/>
      <c r="L32" s="75"/>
      <c r="M32" s="512"/>
      <c r="N32" s="512"/>
      <c r="O32" s="512"/>
      <c r="P32" s="512"/>
      <c r="Q32" s="74">
        <f t="shared" si="0"/>
        <v>0</v>
      </c>
      <c r="R32" s="276"/>
      <c r="W32" s="277"/>
    </row>
    <row r="33" spans="1:23" ht="19.5" customHeight="1">
      <c r="A33" s="741"/>
      <c r="B33" s="741"/>
      <c r="C33" s="278" t="s">
        <v>133</v>
      </c>
      <c r="D33" s="75">
        <v>11573.2</v>
      </c>
      <c r="E33" s="75">
        <v>14195.7</v>
      </c>
      <c r="F33" s="75">
        <v>14122.3</v>
      </c>
      <c r="G33" s="75">
        <v>13680.4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512">
        <v>0</v>
      </c>
      <c r="N33" s="512">
        <v>0</v>
      </c>
      <c r="O33" s="512">
        <v>0</v>
      </c>
      <c r="P33" s="512">
        <v>0</v>
      </c>
      <c r="Q33" s="74">
        <f t="shared" si="0"/>
        <v>53571.6</v>
      </c>
      <c r="R33" s="276"/>
      <c r="V33" s="277"/>
      <c r="W33" s="277"/>
    </row>
    <row r="34" spans="1:23" ht="23.25" customHeight="1">
      <c r="A34" s="743"/>
      <c r="B34" s="743"/>
      <c r="C34" s="278" t="s">
        <v>75</v>
      </c>
      <c r="D34" s="75">
        <v>0</v>
      </c>
      <c r="E34" s="75">
        <v>0</v>
      </c>
      <c r="F34" s="75">
        <v>0</v>
      </c>
      <c r="G34" s="75">
        <v>0</v>
      </c>
      <c r="H34" s="75"/>
      <c r="I34" s="75"/>
      <c r="J34" s="75"/>
      <c r="K34" s="75"/>
      <c r="L34" s="75"/>
      <c r="M34" s="512"/>
      <c r="N34" s="512"/>
      <c r="O34" s="512"/>
      <c r="P34" s="512"/>
      <c r="Q34" s="74">
        <f t="shared" si="0"/>
        <v>0</v>
      </c>
      <c r="R34" s="276"/>
      <c r="V34" s="277"/>
      <c r="W34" s="277"/>
    </row>
    <row r="35" spans="1:23" ht="15.75" customHeight="1">
      <c r="A35" s="740" t="s">
        <v>132</v>
      </c>
      <c r="B35" s="740" t="s">
        <v>77</v>
      </c>
      <c r="C35" s="417" t="s">
        <v>70</v>
      </c>
      <c r="D35" s="74">
        <f>D40</f>
        <v>1187.5</v>
      </c>
      <c r="E35" s="74">
        <f>E40</f>
        <v>1703</v>
      </c>
      <c r="F35" s="74">
        <f aca="true" t="shared" si="7" ref="F35:K35">F39+F40</f>
        <v>1789</v>
      </c>
      <c r="G35" s="74">
        <f t="shared" si="7"/>
        <v>1708</v>
      </c>
      <c r="H35" s="74">
        <f>H40+H38</f>
        <v>2002.9</v>
      </c>
      <c r="I35" s="74">
        <f>I38+I40</f>
        <v>2241.7</v>
      </c>
      <c r="J35" s="74">
        <f>J40+J38</f>
        <v>2396.3</v>
      </c>
      <c r="K35" s="74">
        <f t="shared" si="7"/>
        <v>2788.6000000000004</v>
      </c>
      <c r="L35" s="74">
        <f>L39+L40</f>
        <v>3234.4</v>
      </c>
      <c r="M35" s="511">
        <f>M39+M40</f>
        <v>3542.5</v>
      </c>
      <c r="N35" s="511">
        <f>N39+N40</f>
        <v>3430.5</v>
      </c>
      <c r="O35" s="511">
        <f>O39+O40</f>
        <v>3430.5</v>
      </c>
      <c r="P35" s="511">
        <f>P39+P40</f>
        <v>3430.5</v>
      </c>
      <c r="Q35" s="74">
        <f t="shared" si="0"/>
        <v>32885.399999999994</v>
      </c>
      <c r="R35" s="276"/>
      <c r="W35" s="277"/>
    </row>
    <row r="36" spans="1:18" ht="15.75">
      <c r="A36" s="741"/>
      <c r="B36" s="741"/>
      <c r="C36" s="417" t="s">
        <v>71</v>
      </c>
      <c r="D36" s="75"/>
      <c r="E36" s="75"/>
      <c r="F36" s="75"/>
      <c r="G36" s="75"/>
      <c r="H36" s="75"/>
      <c r="I36" s="75"/>
      <c r="J36" s="75"/>
      <c r="K36" s="75"/>
      <c r="L36" s="75"/>
      <c r="M36" s="512"/>
      <c r="N36" s="512"/>
      <c r="O36" s="512"/>
      <c r="P36" s="512"/>
      <c r="Q36" s="74">
        <f t="shared" si="0"/>
        <v>0</v>
      </c>
      <c r="R36" s="276"/>
    </row>
    <row r="37" spans="1:18" ht="15.75">
      <c r="A37" s="741"/>
      <c r="B37" s="741"/>
      <c r="C37" s="278" t="s">
        <v>72</v>
      </c>
      <c r="D37" s="75">
        <v>0</v>
      </c>
      <c r="E37" s="75">
        <v>0</v>
      </c>
      <c r="F37" s="75">
        <v>0</v>
      </c>
      <c r="G37" s="75"/>
      <c r="H37" s="75"/>
      <c r="I37" s="75"/>
      <c r="J37" s="75"/>
      <c r="K37" s="75"/>
      <c r="L37" s="75"/>
      <c r="M37" s="512"/>
      <c r="N37" s="512"/>
      <c r="O37" s="512"/>
      <c r="P37" s="512"/>
      <c r="Q37" s="74">
        <f t="shared" si="0"/>
        <v>0</v>
      </c>
      <c r="R37" s="276"/>
    </row>
    <row r="38" spans="1:18" ht="15.75">
      <c r="A38" s="741"/>
      <c r="B38" s="741"/>
      <c r="C38" s="278" t="s">
        <v>73</v>
      </c>
      <c r="D38" s="75">
        <v>0</v>
      </c>
      <c r="E38" s="75">
        <v>0</v>
      </c>
      <c r="F38" s="75">
        <v>0</v>
      </c>
      <c r="G38" s="75"/>
      <c r="H38" s="75">
        <f>'[14]ПР.2ПП4'!N18+'[14]ПР.2ПП4'!N16</f>
        <v>196.10000000000002</v>
      </c>
      <c r="I38" s="75">
        <f>'[14]ПР.2ПП4'!O19+'[14]ПР.2ПП4'!O17</f>
        <v>63.7</v>
      </c>
      <c r="J38" s="75">
        <f>'ПР.2ПП4'!P18</f>
        <v>269.3</v>
      </c>
      <c r="K38" s="75">
        <f>'[14]ПР.2ПП4'!Q18+'[14]ПР.2ПП4'!Q16</f>
        <v>0</v>
      </c>
      <c r="L38" s="75">
        <f>'[14]ПР.2ПП4'!R18+'[14]ПР.2ПП4'!R16</f>
        <v>0</v>
      </c>
      <c r="M38" s="512">
        <f>'ПР.2ПП4'!R16+'ПР.2ПП4'!R17+'ПР.2ПП4'!R18+'ПР.2ПП4'!R19+'ПР.2ПП4'!R20</f>
        <v>0</v>
      </c>
      <c r="N38" s="512">
        <f>'ПР.2ПП4'!T16+'ПР.2ПП4'!T17+'ПР.2ПП4'!T18+'ПР.2ПП4'!T19+'ПР.2ПП4'!T20</f>
        <v>0</v>
      </c>
      <c r="O38" s="512">
        <f>'ПР.2ПП4'!U16+'ПР.2ПП4'!U17+'ПР.2ПП4'!U18+'ПР.2ПП4'!U19+'ПР.2ПП4'!U20</f>
        <v>0</v>
      </c>
      <c r="P38" s="512">
        <f>'ПР.2ПП4'!V16+'ПР.2ПП4'!V17+'ПР.2ПП4'!V18+'ПР.2ПП4'!V19+'ПР.2ПП4'!V20</f>
        <v>0</v>
      </c>
      <c r="Q38" s="74">
        <f t="shared" si="0"/>
        <v>529.1</v>
      </c>
      <c r="R38" s="276"/>
    </row>
    <row r="39" spans="1:18" ht="15.75">
      <c r="A39" s="741"/>
      <c r="B39" s="741"/>
      <c r="C39" s="278" t="s">
        <v>74</v>
      </c>
      <c r="D39" s="75">
        <v>0</v>
      </c>
      <c r="E39" s="75">
        <v>0</v>
      </c>
      <c r="F39" s="75">
        <v>0</v>
      </c>
      <c r="G39" s="75"/>
      <c r="H39" s="75"/>
      <c r="I39" s="75"/>
      <c r="J39" s="75"/>
      <c r="K39" s="75"/>
      <c r="L39" s="75"/>
      <c r="M39" s="512"/>
      <c r="N39" s="512"/>
      <c r="O39" s="512"/>
      <c r="P39" s="512"/>
      <c r="Q39" s="74">
        <f t="shared" si="0"/>
        <v>0</v>
      </c>
      <c r="R39" s="276"/>
    </row>
    <row r="40" spans="1:23" ht="15.75" customHeight="1">
      <c r="A40" s="741"/>
      <c r="B40" s="741"/>
      <c r="C40" s="278" t="s">
        <v>133</v>
      </c>
      <c r="D40" s="75">
        <v>1187.5</v>
      </c>
      <c r="E40" s="75">
        <f>'[14]ПР.2ПП4'!K21</f>
        <v>1703</v>
      </c>
      <c r="F40" s="75">
        <v>1789</v>
      </c>
      <c r="G40" s="75">
        <v>1708</v>
      </c>
      <c r="H40" s="75">
        <f>'[14]ПР.2ПП4'!N15+'[14]ПР.2ПП4'!N14+'[14]ПР.2ПП4'!N9</f>
        <v>1806.8</v>
      </c>
      <c r="I40" s="75">
        <f>'[14]ПР.2ПП4'!O15+'[14]ПР.2ПП4'!O14+'[14]ПР.2ПП4'!O9</f>
        <v>2178</v>
      </c>
      <c r="J40" s="75">
        <f>'ПР.2ПП4'!P14+'ПР.2ПП4'!P9</f>
        <v>2127</v>
      </c>
      <c r="K40" s="75">
        <f>'ПР.2ПП4'!Q9+'ПР.2ПП4'!Q14</f>
        <v>2788.6000000000004</v>
      </c>
      <c r="L40" s="75">
        <f>'ПР.2ПП4'!R9+'ПР.2ПП4'!R14</f>
        <v>3234.4</v>
      </c>
      <c r="M40" s="512">
        <f>'ПР.2ПП4'!S22</f>
        <v>3542.5</v>
      </c>
      <c r="N40" s="512">
        <f>'ПР.2ПП4'!T9+'ПР.2ПП4'!T14</f>
        <v>3430.5</v>
      </c>
      <c r="O40" s="512">
        <f>'ПР.2ПП4'!U9+'ПР.2ПП4'!U14</f>
        <v>3430.5</v>
      </c>
      <c r="P40" s="512">
        <f>'ПР.2ПП4'!V9+'ПР.2ПП4'!V14</f>
        <v>3430.5</v>
      </c>
      <c r="Q40" s="74">
        <f t="shared" si="0"/>
        <v>32356.3</v>
      </c>
      <c r="R40" s="276"/>
      <c r="V40" s="280"/>
      <c r="W40" s="277"/>
    </row>
    <row r="41" spans="1:18" ht="15.75">
      <c r="A41" s="743"/>
      <c r="B41" s="743"/>
      <c r="C41" s="278" t="s">
        <v>75</v>
      </c>
      <c r="D41" s="75">
        <v>0</v>
      </c>
      <c r="E41" s="75">
        <v>0</v>
      </c>
      <c r="F41" s="75">
        <v>0</v>
      </c>
      <c r="G41" s="75"/>
      <c r="H41" s="75"/>
      <c r="I41" s="75"/>
      <c r="J41" s="75"/>
      <c r="K41" s="75"/>
      <c r="L41" s="75"/>
      <c r="M41" s="512"/>
      <c r="N41" s="512"/>
      <c r="O41" s="512"/>
      <c r="P41" s="512"/>
      <c r="Q41" s="74">
        <f t="shared" si="0"/>
        <v>0</v>
      </c>
      <c r="R41" s="276"/>
    </row>
    <row r="42" spans="1:17" ht="15.75">
      <c r="A42" s="281"/>
      <c r="B42" s="281"/>
      <c r="C42" s="282"/>
      <c r="D42" s="283"/>
      <c r="E42" s="283"/>
      <c r="F42" s="283"/>
      <c r="G42" s="283"/>
      <c r="H42" s="283"/>
      <c r="I42" s="283"/>
      <c r="J42" s="283"/>
      <c r="K42" s="283"/>
      <c r="L42" s="283"/>
      <c r="M42" s="513"/>
      <c r="N42" s="513"/>
      <c r="O42" s="513"/>
      <c r="P42" s="513"/>
      <c r="Q42" s="283"/>
    </row>
    <row r="43" ht="12.75">
      <c r="Q43" s="277"/>
    </row>
    <row r="44" spans="1:24" ht="56.25" customHeight="1">
      <c r="A44" s="736" t="s">
        <v>63</v>
      </c>
      <c r="B44" s="736"/>
      <c r="C44" s="736"/>
      <c r="D44" s="736"/>
      <c r="E44" s="257"/>
      <c r="F44" s="257"/>
      <c r="G44" s="257"/>
      <c r="H44" s="257"/>
      <c r="I44" s="742" t="s">
        <v>186</v>
      </c>
      <c r="J44" s="742"/>
      <c r="K44" s="742"/>
      <c r="L44" s="742"/>
      <c r="M44" s="742"/>
      <c r="N44" s="742"/>
      <c r="O44" s="742"/>
      <c r="P44" s="742"/>
      <c r="Q44" s="742"/>
      <c r="R44" s="257"/>
      <c r="S44" s="742"/>
      <c r="T44" s="742"/>
      <c r="U44" s="742"/>
      <c r="V44" s="742"/>
      <c r="W44" s="742"/>
      <c r="X44" s="742"/>
    </row>
  </sheetData>
  <sheetProtection/>
  <mergeCells count="20">
    <mergeCell ref="A44:D44"/>
    <mergeCell ref="S44:X44"/>
    <mergeCell ref="I44:Q44"/>
    <mergeCell ref="D5:Q5"/>
    <mergeCell ref="A14:A20"/>
    <mergeCell ref="B14:B20"/>
    <mergeCell ref="A21:A27"/>
    <mergeCell ref="B21:B27"/>
    <mergeCell ref="A35:A41"/>
    <mergeCell ref="B35:B41"/>
    <mergeCell ref="A28:A34"/>
    <mergeCell ref="B28:B34"/>
    <mergeCell ref="B7:B13"/>
    <mergeCell ref="D1:F1"/>
    <mergeCell ref="A7:A13"/>
    <mergeCell ref="A5:A6"/>
    <mergeCell ref="B5:B6"/>
    <mergeCell ref="C5:C6"/>
    <mergeCell ref="D2:R2"/>
    <mergeCell ref="A3:Q3"/>
  </mergeCells>
  <printOptions/>
  <pageMargins left="0.1968503937007874" right="0.1968503937007874" top="0.3937007874015748" bottom="0.3937007874015748" header="0.31496062992125984" footer="0.31496062992125984"/>
  <pageSetup fitToHeight="5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3"/>
  <sheetViews>
    <sheetView view="pageBreakPreview" zoomScale="80" zoomScaleSheetLayoutView="80" zoomScalePageLayoutView="0" workbookViewId="0" topLeftCell="A1">
      <selection activeCell="L1" sqref="L1:P1"/>
    </sheetView>
  </sheetViews>
  <sheetFormatPr defaultColWidth="9.140625" defaultRowHeight="15" outlineLevelRow="2"/>
  <cols>
    <col min="1" max="1" width="30.7109375" style="52" customWidth="1"/>
    <col min="2" max="3" width="9.28125" style="52" hidden="1" customWidth="1"/>
    <col min="4" max="4" width="11.8515625" style="52" customWidth="1"/>
    <col min="5" max="5" width="11.140625" style="52" customWidth="1"/>
    <col min="6" max="6" width="12.421875" style="52" customWidth="1"/>
    <col min="7" max="7" width="11.421875" style="52" customWidth="1"/>
    <col min="8" max="8" width="10.28125" style="52" hidden="1" customWidth="1"/>
    <col min="9" max="9" width="9.7109375" style="52" hidden="1" customWidth="1"/>
    <col min="10" max="11" width="9.7109375" style="52" customWidth="1"/>
    <col min="12" max="12" width="13.28125" style="52" customWidth="1"/>
    <col min="13" max="13" width="14.421875" style="52" customWidth="1"/>
    <col min="14" max="14" width="13.28125" style="52" customWidth="1"/>
    <col min="15" max="15" width="12.7109375" style="52" customWidth="1"/>
    <col min="16" max="17" width="13.00390625" style="52" customWidth="1"/>
    <col min="18" max="18" width="12.28125" style="52" bestFit="1" customWidth="1"/>
    <col min="19" max="16384" width="9.140625" style="52" customWidth="1"/>
  </cols>
  <sheetData>
    <row r="1" spans="12:17" ht="48.75" customHeight="1">
      <c r="L1" s="763" t="s">
        <v>371</v>
      </c>
      <c r="M1" s="764"/>
      <c r="N1" s="764"/>
      <c r="O1" s="764"/>
      <c r="P1" s="764"/>
      <c r="Q1" s="81"/>
    </row>
    <row r="2" spans="12:17" s="53" customFormat="1" ht="60" customHeight="1">
      <c r="L2" s="763" t="s">
        <v>251</v>
      </c>
      <c r="M2" s="764"/>
      <c r="N2" s="764"/>
      <c r="O2" s="764"/>
      <c r="P2" s="764"/>
      <c r="Q2" s="81"/>
    </row>
    <row r="3" s="53" customFormat="1" ht="12.75" customHeight="1" hidden="1">
      <c r="Q3" s="120"/>
    </row>
    <row r="4" spans="1:17" s="53" customFormat="1" ht="18.75" customHeight="1">
      <c r="A4" s="765" t="s">
        <v>175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82"/>
    </row>
    <row r="5" spans="1:17" s="54" customFormat="1" ht="30.75" customHeight="1">
      <c r="A5" s="766" t="s">
        <v>166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83"/>
    </row>
    <row r="6" s="53" customFormat="1" ht="15">
      <c r="Q6" s="120"/>
    </row>
    <row r="7" spans="1:17" s="55" customFormat="1" ht="31.5" customHeight="1">
      <c r="A7" s="767" t="s">
        <v>93</v>
      </c>
      <c r="B7" s="770" t="s">
        <v>94</v>
      </c>
      <c r="C7" s="770"/>
      <c r="D7" s="770"/>
      <c r="E7" s="770"/>
      <c r="F7" s="770"/>
      <c r="G7" s="770"/>
      <c r="H7" s="770"/>
      <c r="I7" s="770"/>
      <c r="J7" s="770"/>
      <c r="K7" s="770"/>
      <c r="L7" s="768" t="s">
        <v>95</v>
      </c>
      <c r="M7" s="768"/>
      <c r="N7" s="768"/>
      <c r="O7" s="768"/>
      <c r="P7" s="768"/>
      <c r="Q7" s="769"/>
    </row>
    <row r="8" spans="1:17" s="55" customFormat="1" ht="25.5" customHeight="1">
      <c r="A8" s="767"/>
      <c r="B8" s="118">
        <v>2013</v>
      </c>
      <c r="C8" s="118">
        <v>2014</v>
      </c>
      <c r="D8" s="118">
        <v>2015</v>
      </c>
      <c r="E8" s="118">
        <v>2016</v>
      </c>
      <c r="F8" s="118">
        <v>2017</v>
      </c>
      <c r="G8" s="118">
        <v>2018</v>
      </c>
      <c r="H8" s="118">
        <v>2013</v>
      </c>
      <c r="I8" s="118">
        <v>2014</v>
      </c>
      <c r="J8" s="118">
        <v>2019</v>
      </c>
      <c r="K8" s="118">
        <v>2020</v>
      </c>
      <c r="L8" s="204">
        <v>2015</v>
      </c>
      <c r="M8" s="178">
        <v>2016</v>
      </c>
      <c r="N8" s="179">
        <v>2017</v>
      </c>
      <c r="O8" s="179">
        <v>2018</v>
      </c>
      <c r="P8" s="180">
        <v>2019</v>
      </c>
      <c r="Q8" s="172">
        <v>2020</v>
      </c>
    </row>
    <row r="9" spans="1:17" s="53" customFormat="1" ht="15">
      <c r="A9" s="205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  <c r="G9" s="206">
        <v>8</v>
      </c>
      <c r="H9" s="206">
        <v>7</v>
      </c>
      <c r="I9" s="206">
        <v>8</v>
      </c>
      <c r="J9" s="206">
        <v>9</v>
      </c>
      <c r="K9" s="206">
        <v>10</v>
      </c>
      <c r="L9" s="199">
        <v>11</v>
      </c>
      <c r="M9" s="199">
        <v>12</v>
      </c>
      <c r="N9" s="199">
        <v>13</v>
      </c>
      <c r="O9" s="200">
        <v>14</v>
      </c>
      <c r="P9" s="201">
        <v>15</v>
      </c>
      <c r="Q9" s="201">
        <v>16</v>
      </c>
    </row>
    <row r="10" spans="1:18" s="53" customFormat="1" ht="31.5" customHeight="1">
      <c r="A10" s="187" t="s">
        <v>96</v>
      </c>
      <c r="B10" s="756" t="s">
        <v>313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63"/>
    </row>
    <row r="11" spans="1:18" s="53" customFormat="1" ht="30" customHeight="1">
      <c r="A11" s="202" t="s">
        <v>97</v>
      </c>
      <c r="B11" s="757" t="s">
        <v>99</v>
      </c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757"/>
      <c r="P11" s="757"/>
      <c r="Q11" s="757"/>
      <c r="R11" s="63"/>
    </row>
    <row r="12" spans="1:17" s="53" customFormat="1" ht="15" customHeight="1">
      <c r="A12" s="58" t="s">
        <v>57</v>
      </c>
      <c r="B12" s="758" t="s">
        <v>174</v>
      </c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</row>
    <row r="13" spans="1:17" s="53" customFormat="1" ht="42.75" customHeight="1">
      <c r="A13" s="71" t="s">
        <v>87</v>
      </c>
      <c r="B13" s="87">
        <v>4700</v>
      </c>
      <c r="C13" s="87">
        <v>4700</v>
      </c>
      <c r="D13" s="78">
        <v>0</v>
      </c>
      <c r="E13" s="78">
        <v>17</v>
      </c>
      <c r="F13" s="78">
        <v>17</v>
      </c>
      <c r="G13" s="78">
        <v>17</v>
      </c>
      <c r="H13" s="78">
        <v>17</v>
      </c>
      <c r="I13" s="78">
        <v>17</v>
      </c>
      <c r="J13" s="78">
        <v>17</v>
      </c>
      <c r="K13" s="78">
        <v>17</v>
      </c>
      <c r="L13" s="77">
        <v>0</v>
      </c>
      <c r="M13" s="77">
        <v>0</v>
      </c>
      <c r="N13" s="77">
        <v>842.5</v>
      </c>
      <c r="O13" s="77">
        <v>621.6</v>
      </c>
      <c r="P13" s="77">
        <v>621.6</v>
      </c>
      <c r="Q13" s="77">
        <v>621.6</v>
      </c>
    </row>
    <row r="14" spans="1:17" s="53" customFormat="1" ht="15" customHeight="1">
      <c r="A14" s="203" t="s">
        <v>96</v>
      </c>
      <c r="B14" s="756" t="s">
        <v>190</v>
      </c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</row>
    <row r="15" spans="1:18" s="53" customFormat="1" ht="24" customHeight="1">
      <c r="A15" s="799" t="s">
        <v>97</v>
      </c>
      <c r="B15" s="793" t="s">
        <v>191</v>
      </c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5"/>
      <c r="R15" s="72"/>
    </row>
    <row r="16" spans="1:18" s="53" customFormat="1" ht="18.75" customHeight="1">
      <c r="A16" s="799"/>
      <c r="B16" s="105"/>
      <c r="C16" s="105"/>
      <c r="D16" s="753" t="s">
        <v>192</v>
      </c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5"/>
      <c r="R16" s="72"/>
    </row>
    <row r="17" spans="1:18" s="53" customFormat="1" ht="18.75" customHeight="1">
      <c r="A17" s="799"/>
      <c r="B17" s="105"/>
      <c r="C17" s="105"/>
      <c r="D17" s="753" t="s">
        <v>193</v>
      </c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5"/>
      <c r="R17" s="72"/>
    </row>
    <row r="18" spans="1:18" s="53" customFormat="1" ht="17.25" customHeight="1">
      <c r="A18" s="799"/>
      <c r="B18" s="105"/>
      <c r="C18" s="105"/>
      <c r="D18" s="796" t="s">
        <v>99</v>
      </c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8"/>
      <c r="R18" s="72"/>
    </row>
    <row r="19" spans="1:17" s="53" customFormat="1" ht="30.75" customHeight="1">
      <c r="A19" s="58" t="s">
        <v>57</v>
      </c>
      <c r="B19" s="758" t="s">
        <v>174</v>
      </c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</row>
    <row r="20" spans="1:17" s="53" customFormat="1" ht="31.5" customHeight="1">
      <c r="A20" s="746" t="s">
        <v>87</v>
      </c>
      <c r="B20" s="56"/>
      <c r="C20" s="56"/>
      <c r="D20" s="79">
        <v>1750</v>
      </c>
      <c r="E20" s="79">
        <v>1750</v>
      </c>
      <c r="F20" s="79">
        <v>1750</v>
      </c>
      <c r="G20" s="79">
        <v>1750</v>
      </c>
      <c r="H20" s="79">
        <v>1750</v>
      </c>
      <c r="I20" s="79">
        <v>1750</v>
      </c>
      <c r="J20" s="79">
        <v>1750</v>
      </c>
      <c r="K20" s="79">
        <v>1750</v>
      </c>
      <c r="L20" s="748">
        <v>255.5</v>
      </c>
      <c r="M20" s="748">
        <f>171.9+50+59.5</f>
        <v>281.4</v>
      </c>
      <c r="N20" s="748">
        <v>1003.2</v>
      </c>
      <c r="O20" s="748">
        <v>521</v>
      </c>
      <c r="P20" s="773">
        <v>521</v>
      </c>
      <c r="Q20" s="776">
        <v>521</v>
      </c>
    </row>
    <row r="21" spans="1:17" s="53" customFormat="1" ht="33.75" customHeight="1">
      <c r="A21" s="771"/>
      <c r="B21" s="56"/>
      <c r="C21" s="56"/>
      <c r="D21" s="79">
        <v>26</v>
      </c>
      <c r="E21" s="79">
        <v>26</v>
      </c>
      <c r="F21" s="79">
        <v>26</v>
      </c>
      <c r="G21" s="79">
        <v>26</v>
      </c>
      <c r="H21" s="79">
        <v>26</v>
      </c>
      <c r="I21" s="79">
        <v>26</v>
      </c>
      <c r="J21" s="79">
        <v>26</v>
      </c>
      <c r="K21" s="79">
        <v>26</v>
      </c>
      <c r="L21" s="772"/>
      <c r="M21" s="772"/>
      <c r="N21" s="772"/>
      <c r="O21" s="772"/>
      <c r="P21" s="774"/>
      <c r="Q21" s="776"/>
    </row>
    <row r="22" spans="1:17" s="53" customFormat="1" ht="33.75" customHeight="1">
      <c r="A22" s="771"/>
      <c r="B22" s="56"/>
      <c r="C22" s="56"/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72"/>
      <c r="M22" s="772"/>
      <c r="N22" s="772"/>
      <c r="O22" s="772"/>
      <c r="P22" s="774"/>
      <c r="Q22" s="776"/>
    </row>
    <row r="23" spans="1:22" s="53" customFormat="1" ht="25.5" customHeight="1">
      <c r="A23" s="747"/>
      <c r="B23" s="78">
        <v>6050</v>
      </c>
      <c r="C23" s="78">
        <v>6720</v>
      </c>
      <c r="D23" s="80">
        <v>29</v>
      </c>
      <c r="E23" s="80">
        <v>29</v>
      </c>
      <c r="F23" s="80">
        <v>29</v>
      </c>
      <c r="G23" s="80">
        <v>26</v>
      </c>
      <c r="H23" s="80">
        <v>26</v>
      </c>
      <c r="I23" s="80">
        <v>26</v>
      </c>
      <c r="J23" s="80">
        <v>26</v>
      </c>
      <c r="K23" s="80">
        <v>26</v>
      </c>
      <c r="L23" s="749"/>
      <c r="M23" s="749"/>
      <c r="N23" s="749"/>
      <c r="O23" s="749"/>
      <c r="P23" s="775"/>
      <c r="Q23" s="776"/>
      <c r="R23" s="63"/>
      <c r="S23" s="63"/>
      <c r="T23" s="63"/>
      <c r="U23" s="63"/>
      <c r="V23" s="63"/>
    </row>
    <row r="24" spans="1:18" s="53" customFormat="1" ht="33.75" customHeight="1">
      <c r="A24" s="56" t="s">
        <v>96</v>
      </c>
      <c r="B24" s="800" t="s">
        <v>316</v>
      </c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2"/>
      <c r="R24" s="63"/>
    </row>
    <row r="25" spans="1:18" s="53" customFormat="1" ht="33" customHeight="1">
      <c r="A25" s="126" t="s">
        <v>97</v>
      </c>
      <c r="B25" s="783" t="s">
        <v>194</v>
      </c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785"/>
      <c r="R25" s="63"/>
    </row>
    <row r="26" spans="1:17" s="53" customFormat="1" ht="20.25" customHeight="1">
      <c r="A26" s="58" t="s">
        <v>57</v>
      </c>
      <c r="B26" s="777" t="s">
        <v>174</v>
      </c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9"/>
    </row>
    <row r="27" spans="1:19" s="53" customFormat="1" ht="42" customHeight="1">
      <c r="A27" s="71" t="s">
        <v>87</v>
      </c>
      <c r="B27" s="106">
        <v>30</v>
      </c>
      <c r="C27" s="107">
        <v>30</v>
      </c>
      <c r="D27" s="80">
        <v>27620</v>
      </c>
      <c r="E27" s="80">
        <v>27620</v>
      </c>
      <c r="F27" s="80">
        <v>27700</v>
      </c>
      <c r="G27" s="80">
        <v>5760</v>
      </c>
      <c r="H27" s="80">
        <v>5760</v>
      </c>
      <c r="I27" s="80">
        <v>5760</v>
      </c>
      <c r="J27" s="80">
        <v>5760</v>
      </c>
      <c r="K27" s="80">
        <v>5760</v>
      </c>
      <c r="L27" s="137">
        <v>678.9</v>
      </c>
      <c r="M27" s="137">
        <v>1574.6</v>
      </c>
      <c r="N27" s="138">
        <f>1319.9+4.5</f>
        <v>1324.4</v>
      </c>
      <c r="O27" s="138">
        <v>704.9</v>
      </c>
      <c r="P27" s="138">
        <v>704.9</v>
      </c>
      <c r="Q27" s="138">
        <v>704.9</v>
      </c>
      <c r="R27" s="63"/>
      <c r="S27" s="63"/>
    </row>
    <row r="28" spans="1:18" s="53" customFormat="1" ht="33.75" customHeight="1">
      <c r="A28" s="56" t="s">
        <v>96</v>
      </c>
      <c r="B28" s="800" t="s">
        <v>314</v>
      </c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2"/>
      <c r="R28" s="63"/>
    </row>
    <row r="29" spans="1:18" s="53" customFormat="1" ht="33" customHeight="1">
      <c r="A29" s="126" t="s">
        <v>97</v>
      </c>
      <c r="B29" s="783" t="s">
        <v>194</v>
      </c>
      <c r="C29" s="784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5"/>
      <c r="R29" s="63"/>
    </row>
    <row r="30" spans="1:17" s="53" customFormat="1" ht="23.25" customHeight="1">
      <c r="A30" s="58" t="s">
        <v>57</v>
      </c>
      <c r="B30" s="777" t="s">
        <v>174</v>
      </c>
      <c r="C30" s="778"/>
      <c r="D30" s="778"/>
      <c r="E30" s="778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9"/>
    </row>
    <row r="31" spans="1:19" s="53" customFormat="1" ht="42" customHeight="1">
      <c r="A31" s="71" t="s">
        <v>87</v>
      </c>
      <c r="B31" s="106">
        <v>30</v>
      </c>
      <c r="C31" s="107">
        <v>30</v>
      </c>
      <c r="D31" s="80">
        <v>0</v>
      </c>
      <c r="E31" s="80">
        <v>0</v>
      </c>
      <c r="F31" s="80">
        <v>6240</v>
      </c>
      <c r="G31" s="80">
        <v>6240</v>
      </c>
      <c r="H31" s="80">
        <v>6240</v>
      </c>
      <c r="I31" s="80">
        <v>6240</v>
      </c>
      <c r="J31" s="80">
        <v>6240</v>
      </c>
      <c r="K31" s="80">
        <v>6240</v>
      </c>
      <c r="L31" s="137">
        <v>0</v>
      </c>
      <c r="M31" s="137">
        <v>0</v>
      </c>
      <c r="N31" s="138">
        <v>677.4</v>
      </c>
      <c r="O31" s="138">
        <v>1081.4</v>
      </c>
      <c r="P31" s="138">
        <v>1081.4</v>
      </c>
      <c r="Q31" s="138">
        <v>1081.4</v>
      </c>
      <c r="R31" s="63"/>
      <c r="S31" s="63"/>
    </row>
    <row r="32" spans="1:17" s="53" customFormat="1" ht="30.75" customHeight="1" outlineLevel="1">
      <c r="A32" s="56" t="s">
        <v>96</v>
      </c>
      <c r="B32" s="780" t="s">
        <v>315</v>
      </c>
      <c r="C32" s="781"/>
      <c r="D32" s="781"/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2"/>
    </row>
    <row r="33" spans="1:18" s="53" customFormat="1" ht="31.5" customHeight="1" outlineLevel="1">
      <c r="A33" s="71" t="s">
        <v>97</v>
      </c>
      <c r="B33" s="783" t="s">
        <v>99</v>
      </c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5"/>
      <c r="R33" s="63"/>
    </row>
    <row r="34" spans="1:17" s="121" customFormat="1" ht="24" customHeight="1" outlineLevel="1">
      <c r="A34" s="744" t="s">
        <v>57</v>
      </c>
      <c r="B34" s="786" t="s">
        <v>174</v>
      </c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7"/>
      <c r="P34" s="787"/>
      <c r="Q34" s="788"/>
    </row>
    <row r="35" spans="1:17" s="53" customFormat="1" ht="0.75" customHeight="1" hidden="1" outlineLevel="1">
      <c r="A35" s="745" t="s">
        <v>59</v>
      </c>
      <c r="B35" s="789"/>
      <c r="C35" s="790"/>
      <c r="D35" s="790"/>
      <c r="E35" s="790"/>
      <c r="F35" s="790"/>
      <c r="G35" s="790"/>
      <c r="H35" s="790"/>
      <c r="I35" s="790"/>
      <c r="J35" s="790"/>
      <c r="K35" s="790"/>
      <c r="L35" s="790"/>
      <c r="M35" s="790"/>
      <c r="N35" s="790"/>
      <c r="O35" s="790"/>
      <c r="P35" s="790"/>
      <c r="Q35" s="791"/>
    </row>
    <row r="36" spans="1:18" s="53" customFormat="1" ht="41.25" customHeight="1" outlineLevel="1">
      <c r="A36" s="71" t="s">
        <v>87</v>
      </c>
      <c r="B36" s="79">
        <v>3000</v>
      </c>
      <c r="C36" s="89">
        <v>3000</v>
      </c>
      <c r="D36" s="80">
        <v>0</v>
      </c>
      <c r="E36" s="80">
        <v>6</v>
      </c>
      <c r="F36" s="80">
        <v>10</v>
      </c>
      <c r="G36" s="80">
        <v>12</v>
      </c>
      <c r="H36" s="80">
        <v>12</v>
      </c>
      <c r="I36" s="80">
        <v>12</v>
      </c>
      <c r="J36" s="80">
        <v>12</v>
      </c>
      <c r="K36" s="80">
        <v>12</v>
      </c>
      <c r="L36" s="77">
        <v>0</v>
      </c>
      <c r="M36" s="77">
        <v>0</v>
      </c>
      <c r="N36" s="88">
        <v>1466</v>
      </c>
      <c r="O36" s="88">
        <v>465</v>
      </c>
      <c r="P36" s="119">
        <v>465</v>
      </c>
      <c r="Q36" s="119">
        <v>465</v>
      </c>
      <c r="R36" s="63"/>
    </row>
    <row r="37" spans="1:18" s="53" customFormat="1" ht="33" customHeight="1" outlineLevel="1">
      <c r="A37" s="56" t="s">
        <v>96</v>
      </c>
      <c r="B37" s="780" t="s">
        <v>197</v>
      </c>
      <c r="C37" s="781"/>
      <c r="D37" s="781"/>
      <c r="E37" s="781"/>
      <c r="F37" s="781"/>
      <c r="G37" s="781"/>
      <c r="H37" s="781"/>
      <c r="I37" s="781"/>
      <c r="J37" s="781"/>
      <c r="K37" s="781"/>
      <c r="L37" s="781"/>
      <c r="M37" s="781"/>
      <c r="N37" s="781"/>
      <c r="O37" s="781"/>
      <c r="P37" s="781"/>
      <c r="Q37" s="782"/>
      <c r="R37" s="63"/>
    </row>
    <row r="38" spans="1:18" s="53" customFormat="1" ht="31.5" customHeight="1" outlineLevel="1">
      <c r="A38" s="71" t="s">
        <v>97</v>
      </c>
      <c r="B38" s="783" t="s">
        <v>99</v>
      </c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5"/>
      <c r="R38" s="63"/>
    </row>
    <row r="39" spans="1:18" s="53" customFormat="1" ht="18.75" customHeight="1" outlineLevel="1">
      <c r="A39" s="744" t="s">
        <v>57</v>
      </c>
      <c r="B39" s="786" t="s">
        <v>174</v>
      </c>
      <c r="C39" s="787"/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787"/>
      <c r="O39" s="787"/>
      <c r="P39" s="787"/>
      <c r="Q39" s="788"/>
      <c r="R39" s="63"/>
    </row>
    <row r="40" spans="1:18" s="53" customFormat="1" ht="7.5" customHeight="1" outlineLevel="1">
      <c r="A40" s="745" t="s">
        <v>59</v>
      </c>
      <c r="B40" s="789"/>
      <c r="C40" s="790"/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790"/>
      <c r="P40" s="790"/>
      <c r="Q40" s="791"/>
      <c r="R40" s="63"/>
    </row>
    <row r="41" spans="1:18" s="53" customFormat="1" ht="38.25" customHeight="1" outlineLevel="1">
      <c r="A41" s="71" t="s">
        <v>87</v>
      </c>
      <c r="B41" s="79">
        <v>3000</v>
      </c>
      <c r="C41" s="89">
        <v>3000</v>
      </c>
      <c r="D41" s="80">
        <v>0</v>
      </c>
      <c r="E41" s="80">
        <v>16</v>
      </c>
      <c r="F41" s="80">
        <v>16</v>
      </c>
      <c r="G41" s="80">
        <v>14</v>
      </c>
      <c r="H41" s="80">
        <v>14</v>
      </c>
      <c r="I41" s="80">
        <v>14</v>
      </c>
      <c r="J41" s="80">
        <v>14</v>
      </c>
      <c r="K41" s="80">
        <v>14</v>
      </c>
      <c r="L41" s="77">
        <f>858.9+387</f>
        <v>1245.9</v>
      </c>
      <c r="M41" s="77">
        <v>958.9</v>
      </c>
      <c r="N41" s="77">
        <v>706.1</v>
      </c>
      <c r="O41" s="77">
        <v>858.9</v>
      </c>
      <c r="P41" s="119">
        <v>858.9</v>
      </c>
      <c r="Q41" s="77">
        <v>858.9</v>
      </c>
      <c r="R41" s="63"/>
    </row>
    <row r="42" spans="1:18" s="53" customFormat="1" ht="34.5" customHeight="1" outlineLevel="1">
      <c r="A42" s="56" t="s">
        <v>96</v>
      </c>
      <c r="B42" s="780" t="s">
        <v>317</v>
      </c>
      <c r="C42" s="781"/>
      <c r="D42" s="781"/>
      <c r="E42" s="781"/>
      <c r="F42" s="781"/>
      <c r="G42" s="781"/>
      <c r="H42" s="781"/>
      <c r="I42" s="781"/>
      <c r="J42" s="781"/>
      <c r="K42" s="781"/>
      <c r="L42" s="781"/>
      <c r="M42" s="781"/>
      <c r="N42" s="781"/>
      <c r="O42" s="781"/>
      <c r="P42" s="781"/>
      <c r="Q42" s="782"/>
      <c r="R42" s="63"/>
    </row>
    <row r="43" spans="1:18" s="53" customFormat="1" ht="36.75" customHeight="1" outlineLevel="1">
      <c r="A43" s="71" t="s">
        <v>97</v>
      </c>
      <c r="B43" s="783" t="s">
        <v>198</v>
      </c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5"/>
      <c r="R43" s="63"/>
    </row>
    <row r="44" spans="1:18" s="53" customFormat="1" ht="22.5" customHeight="1" outlineLevel="1">
      <c r="A44" s="744" t="s">
        <v>57</v>
      </c>
      <c r="B44" s="786" t="s">
        <v>174</v>
      </c>
      <c r="C44" s="787"/>
      <c r="D44" s="787"/>
      <c r="E44" s="787"/>
      <c r="F44" s="787"/>
      <c r="G44" s="787"/>
      <c r="H44" s="787"/>
      <c r="I44" s="787"/>
      <c r="J44" s="787"/>
      <c r="K44" s="787"/>
      <c r="L44" s="787"/>
      <c r="M44" s="787"/>
      <c r="N44" s="787"/>
      <c r="O44" s="787"/>
      <c r="P44" s="787"/>
      <c r="Q44" s="788"/>
      <c r="R44" s="63"/>
    </row>
    <row r="45" spans="1:18" s="53" customFormat="1" ht="3.75" customHeight="1" outlineLevel="1">
      <c r="A45" s="745" t="s">
        <v>59</v>
      </c>
      <c r="B45" s="789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N45" s="790"/>
      <c r="O45" s="790"/>
      <c r="P45" s="790"/>
      <c r="Q45" s="791"/>
      <c r="R45" s="63"/>
    </row>
    <row r="46" spans="1:18" s="53" customFormat="1" ht="43.5" customHeight="1" outlineLevel="1">
      <c r="A46" s="71" t="s">
        <v>87</v>
      </c>
      <c r="B46" s="79">
        <v>3000</v>
      </c>
      <c r="C46" s="79">
        <v>3000</v>
      </c>
      <c r="D46" s="79">
        <v>2718</v>
      </c>
      <c r="E46" s="79">
        <v>2718</v>
      </c>
      <c r="F46" s="79">
        <v>2718</v>
      </c>
      <c r="G46" s="79">
        <v>2718</v>
      </c>
      <c r="H46" s="79">
        <v>2718</v>
      </c>
      <c r="I46" s="79">
        <v>2718</v>
      </c>
      <c r="J46" s="79">
        <v>2718</v>
      </c>
      <c r="K46" s="79">
        <v>2718</v>
      </c>
      <c r="L46" s="90">
        <f>1536.9+400</f>
        <v>1936.9</v>
      </c>
      <c r="M46" s="90">
        <f>1636.9-42.9-178</f>
        <v>1416</v>
      </c>
      <c r="N46" s="90">
        <v>1767.7</v>
      </c>
      <c r="O46" s="90">
        <v>1304.3</v>
      </c>
      <c r="P46" s="90">
        <v>1304.3</v>
      </c>
      <c r="Q46" s="90">
        <v>1304.3</v>
      </c>
      <c r="R46" s="63"/>
    </row>
    <row r="47" spans="1:18" s="53" customFormat="1" ht="32.25" customHeight="1" outlineLevel="1">
      <c r="A47" s="124" t="s">
        <v>96</v>
      </c>
      <c r="B47" s="111"/>
      <c r="C47" s="111"/>
      <c r="D47" s="750" t="s">
        <v>201</v>
      </c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2"/>
      <c r="R47" s="63"/>
    </row>
    <row r="48" spans="1:18" s="53" customFormat="1" ht="33" customHeight="1" outlineLevel="1">
      <c r="A48" s="125" t="s">
        <v>97</v>
      </c>
      <c r="B48" s="111"/>
      <c r="C48" s="111"/>
      <c r="D48" s="753" t="s">
        <v>308</v>
      </c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4"/>
      <c r="Q48" s="755"/>
      <c r="R48" s="63"/>
    </row>
    <row r="49" spans="1:18" s="53" customFormat="1" ht="27.75" customHeight="1" outlineLevel="1">
      <c r="A49" s="127" t="s">
        <v>309</v>
      </c>
      <c r="B49" s="79"/>
      <c r="C49" s="79"/>
      <c r="D49" s="750" t="s">
        <v>174</v>
      </c>
      <c r="E49" s="751"/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2"/>
      <c r="R49" s="63"/>
    </row>
    <row r="50" spans="1:18" s="53" customFormat="1" ht="47.25" customHeight="1" outlineLevel="1">
      <c r="A50" s="128" t="s">
        <v>87</v>
      </c>
      <c r="B50" s="79"/>
      <c r="C50" s="79"/>
      <c r="D50" s="79">
        <v>70</v>
      </c>
      <c r="E50" s="173">
        <v>70</v>
      </c>
      <c r="F50" s="173">
        <v>70</v>
      </c>
      <c r="G50" s="131">
        <v>116</v>
      </c>
      <c r="H50" s="131">
        <v>116</v>
      </c>
      <c r="I50" s="131">
        <v>116</v>
      </c>
      <c r="J50" s="131">
        <v>116</v>
      </c>
      <c r="K50" s="131">
        <v>116</v>
      </c>
      <c r="L50" s="135">
        <v>2143.3</v>
      </c>
      <c r="M50" s="135">
        <v>2332.81</v>
      </c>
      <c r="N50" s="136">
        <f>1918.4+298.4</f>
        <v>2216.8</v>
      </c>
      <c r="O50" s="134">
        <v>2711</v>
      </c>
      <c r="P50" s="134">
        <v>2617</v>
      </c>
      <c r="Q50" s="134">
        <v>2617</v>
      </c>
      <c r="R50" s="63"/>
    </row>
    <row r="51" spans="1:18" s="53" customFormat="1" ht="41.25" customHeight="1">
      <c r="A51" s="124" t="s">
        <v>96</v>
      </c>
      <c r="B51" s="111"/>
      <c r="C51" s="111"/>
      <c r="D51" s="750" t="s">
        <v>310</v>
      </c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2"/>
      <c r="R51" s="63"/>
    </row>
    <row r="52" spans="1:18" s="53" customFormat="1" ht="33" customHeight="1">
      <c r="A52" s="125" t="s">
        <v>97</v>
      </c>
      <c r="B52" s="111"/>
      <c r="C52" s="111"/>
      <c r="D52" s="753" t="s">
        <v>99</v>
      </c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5"/>
      <c r="R52" s="63"/>
    </row>
    <row r="53" spans="1:20" s="53" customFormat="1" ht="21" customHeight="1">
      <c r="A53" s="127" t="s">
        <v>309</v>
      </c>
      <c r="B53" s="79"/>
      <c r="C53" s="79"/>
      <c r="D53" s="750" t="s">
        <v>174</v>
      </c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2"/>
      <c r="R53" s="92"/>
      <c r="S53" s="92"/>
      <c r="T53" s="92"/>
    </row>
    <row r="54" spans="1:18" s="53" customFormat="1" ht="45.75" customHeight="1">
      <c r="A54" s="128" t="s">
        <v>87</v>
      </c>
      <c r="B54" s="79"/>
      <c r="C54" s="79"/>
      <c r="D54" s="79">
        <v>0</v>
      </c>
      <c r="E54" s="130">
        <v>0</v>
      </c>
      <c r="F54" s="130">
        <v>0</v>
      </c>
      <c r="G54" s="130">
        <v>6</v>
      </c>
      <c r="H54" s="130">
        <v>6</v>
      </c>
      <c r="I54" s="130">
        <v>6</v>
      </c>
      <c r="J54" s="130">
        <v>6</v>
      </c>
      <c r="K54" s="130">
        <v>6</v>
      </c>
      <c r="L54" s="130">
        <v>0</v>
      </c>
      <c r="M54" s="130">
        <v>0</v>
      </c>
      <c r="N54" s="130">
        <v>0</v>
      </c>
      <c r="O54" s="131">
        <v>83.1</v>
      </c>
      <c r="P54" s="131">
        <v>83.1</v>
      </c>
      <c r="Q54" s="131">
        <v>83.1</v>
      </c>
      <c r="R54" s="63"/>
    </row>
    <row r="55" spans="1:18" s="53" customFormat="1" ht="41.25" customHeight="1">
      <c r="A55" s="124" t="s">
        <v>96</v>
      </c>
      <c r="B55" s="111"/>
      <c r="C55" s="111"/>
      <c r="D55" s="750" t="s">
        <v>311</v>
      </c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2"/>
      <c r="R55" s="63"/>
    </row>
    <row r="56" spans="1:17" s="53" customFormat="1" ht="29.25" customHeight="1">
      <c r="A56" s="125" t="s">
        <v>97</v>
      </c>
      <c r="B56" s="111"/>
      <c r="C56" s="111"/>
      <c r="D56" s="753" t="s">
        <v>312</v>
      </c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5"/>
    </row>
    <row r="57" spans="1:17" s="53" customFormat="1" ht="24.75" customHeight="1" outlineLevel="1">
      <c r="A57" s="127" t="s">
        <v>309</v>
      </c>
      <c r="B57" s="79"/>
      <c r="C57" s="79"/>
      <c r="D57" s="750" t="s">
        <v>174</v>
      </c>
      <c r="E57" s="751"/>
      <c r="F57" s="751"/>
      <c r="G57" s="751"/>
      <c r="H57" s="751"/>
      <c r="I57" s="751"/>
      <c r="J57" s="751"/>
      <c r="K57" s="751"/>
      <c r="L57" s="751"/>
      <c r="M57" s="751"/>
      <c r="N57" s="751"/>
      <c r="O57" s="751"/>
      <c r="P57" s="751"/>
      <c r="Q57" s="752"/>
    </row>
    <row r="58" spans="1:18" s="53" customFormat="1" ht="49.5" customHeight="1" outlineLevel="1">
      <c r="A58" s="128" t="s">
        <v>87</v>
      </c>
      <c r="B58" s="79"/>
      <c r="C58" s="79"/>
      <c r="D58" s="132">
        <v>0</v>
      </c>
      <c r="E58" s="133">
        <v>0</v>
      </c>
      <c r="F58" s="133">
        <v>0</v>
      </c>
      <c r="G58" s="133">
        <v>433</v>
      </c>
      <c r="H58" s="133">
        <v>433</v>
      </c>
      <c r="I58" s="133">
        <v>433</v>
      </c>
      <c r="J58" s="133">
        <v>433</v>
      </c>
      <c r="K58" s="133">
        <v>433</v>
      </c>
      <c r="L58" s="133">
        <v>0</v>
      </c>
      <c r="M58" s="133">
        <v>0</v>
      </c>
      <c r="N58" s="133">
        <v>0</v>
      </c>
      <c r="O58" s="133">
        <v>10389.8</v>
      </c>
      <c r="P58" s="133">
        <v>9044.1</v>
      </c>
      <c r="Q58" s="133">
        <v>9044.1</v>
      </c>
      <c r="R58" s="63"/>
    </row>
    <row r="59" spans="1:18" s="53" customFormat="1" ht="45.75" customHeight="1">
      <c r="A59" s="198" t="s">
        <v>96</v>
      </c>
      <c r="B59" s="756" t="s">
        <v>195</v>
      </c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63"/>
    </row>
    <row r="60" spans="1:18" s="53" customFormat="1" ht="45" customHeight="1">
      <c r="A60" s="181" t="s">
        <v>97</v>
      </c>
      <c r="B60" s="757" t="s">
        <v>99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7"/>
      <c r="P60" s="757"/>
      <c r="Q60" s="757"/>
      <c r="R60" s="63"/>
    </row>
    <row r="61" spans="1:20" s="53" customFormat="1" ht="21" customHeight="1">
      <c r="A61" s="182" t="s">
        <v>59</v>
      </c>
      <c r="B61" s="762" t="s">
        <v>168</v>
      </c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92"/>
      <c r="S61" s="92"/>
      <c r="T61" s="92"/>
    </row>
    <row r="62" spans="1:18" s="53" customFormat="1" ht="42.75" customHeight="1">
      <c r="A62" s="84" t="s">
        <v>87</v>
      </c>
      <c r="B62" s="62">
        <v>450</v>
      </c>
      <c r="C62" s="62">
        <v>510</v>
      </c>
      <c r="D62" s="174">
        <v>0</v>
      </c>
      <c r="E62" s="174">
        <v>23</v>
      </c>
      <c r="F62" s="174">
        <v>24</v>
      </c>
      <c r="G62" s="174">
        <v>21</v>
      </c>
      <c r="H62" s="174">
        <v>21</v>
      </c>
      <c r="I62" s="174">
        <v>21</v>
      </c>
      <c r="J62" s="174">
        <v>21</v>
      </c>
      <c r="K62" s="174">
        <v>21</v>
      </c>
      <c r="L62" s="77">
        <v>0</v>
      </c>
      <c r="M62" s="77">
        <v>0</v>
      </c>
      <c r="N62" s="88">
        <v>802.9</v>
      </c>
      <c r="O62" s="88">
        <v>1137.7</v>
      </c>
      <c r="P62" s="119">
        <v>981.7</v>
      </c>
      <c r="Q62" s="77">
        <v>981.7</v>
      </c>
      <c r="R62" s="63"/>
    </row>
    <row r="63" spans="1:18" s="53" customFormat="1" ht="37.5" customHeight="1">
      <c r="A63" s="129" t="s">
        <v>96</v>
      </c>
      <c r="B63" s="750" t="s">
        <v>196</v>
      </c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2"/>
      <c r="R63" s="63"/>
    </row>
    <row r="64" spans="1:17" s="53" customFormat="1" ht="29.25" customHeight="1">
      <c r="A64" s="108" t="s">
        <v>97</v>
      </c>
      <c r="B64" s="753" t="s">
        <v>99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</row>
    <row r="65" spans="1:17" s="53" customFormat="1" ht="18" customHeight="1" outlineLevel="1">
      <c r="A65" s="58" t="s">
        <v>59</v>
      </c>
      <c r="B65" s="759" t="s">
        <v>168</v>
      </c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  <c r="N65" s="760"/>
      <c r="O65" s="760"/>
      <c r="P65" s="760"/>
      <c r="Q65" s="761"/>
    </row>
    <row r="66" spans="1:18" s="53" customFormat="1" ht="41.25" customHeight="1" outlineLevel="1">
      <c r="A66" s="71" t="s">
        <v>90</v>
      </c>
      <c r="B66" s="78">
        <v>112</v>
      </c>
      <c r="C66" s="79">
        <v>40</v>
      </c>
      <c r="D66" s="78">
        <v>0</v>
      </c>
      <c r="E66" s="78">
        <v>18</v>
      </c>
      <c r="F66" s="78">
        <v>18</v>
      </c>
      <c r="G66" s="78">
        <v>17</v>
      </c>
      <c r="H66" s="78">
        <v>17</v>
      </c>
      <c r="I66" s="78">
        <v>17</v>
      </c>
      <c r="J66" s="78">
        <v>17</v>
      </c>
      <c r="K66" s="78">
        <v>17</v>
      </c>
      <c r="L66" s="77">
        <v>0</v>
      </c>
      <c r="M66" s="77">
        <v>0</v>
      </c>
      <c r="N66" s="77">
        <v>1117.4</v>
      </c>
      <c r="O66" s="77">
        <v>1150.9</v>
      </c>
      <c r="P66" s="119">
        <v>993.2</v>
      </c>
      <c r="Q66" s="77">
        <v>993.2</v>
      </c>
      <c r="R66" s="63"/>
    </row>
    <row r="67" spans="1:18" s="53" customFormat="1" ht="44.25" customHeight="1" outlineLevel="1">
      <c r="A67" s="129" t="s">
        <v>96</v>
      </c>
      <c r="B67" s="750" t="s">
        <v>302</v>
      </c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2"/>
      <c r="R67" s="63"/>
    </row>
    <row r="68" spans="1:18" s="53" customFormat="1" ht="28.5" customHeight="1" outlineLevel="1">
      <c r="A68" s="109" t="s">
        <v>97</v>
      </c>
      <c r="B68" s="753" t="s">
        <v>99</v>
      </c>
      <c r="C68" s="754"/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5"/>
      <c r="R68" s="63"/>
    </row>
    <row r="69" spans="1:17" s="53" customFormat="1" ht="16.5" customHeight="1" outlineLevel="1">
      <c r="A69" s="58" t="s">
        <v>59</v>
      </c>
      <c r="B69" s="759" t="s">
        <v>167</v>
      </c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1"/>
    </row>
    <row r="70" spans="1:18" s="53" customFormat="1" ht="46.5" customHeight="1" outlineLevel="1">
      <c r="A70" s="71" t="s">
        <v>87</v>
      </c>
      <c r="B70" s="79">
        <v>250</v>
      </c>
      <c r="C70" s="80">
        <v>260</v>
      </c>
      <c r="D70" s="79">
        <v>0</v>
      </c>
      <c r="E70" s="80">
        <v>14</v>
      </c>
      <c r="F70" s="79">
        <v>21</v>
      </c>
      <c r="G70" s="79">
        <v>20</v>
      </c>
      <c r="H70" s="79">
        <v>20</v>
      </c>
      <c r="I70" s="79">
        <v>20</v>
      </c>
      <c r="J70" s="79">
        <v>20</v>
      </c>
      <c r="K70" s="79">
        <v>20</v>
      </c>
      <c r="L70" s="77">
        <v>0</v>
      </c>
      <c r="M70" s="77">
        <v>0</v>
      </c>
      <c r="N70" s="77">
        <v>1126.8</v>
      </c>
      <c r="O70" s="77">
        <v>1057.1</v>
      </c>
      <c r="P70" s="77">
        <v>912.1</v>
      </c>
      <c r="Q70" s="77">
        <v>912.1</v>
      </c>
      <c r="R70" s="63"/>
    </row>
    <row r="71" spans="1:18" s="53" customFormat="1" ht="1.5" customHeight="1" outlineLevel="1">
      <c r="A71" s="110"/>
      <c r="B71" s="111"/>
      <c r="C71" s="85"/>
      <c r="D71" s="85"/>
      <c r="E71" s="85"/>
      <c r="F71" s="85"/>
      <c r="G71" s="85"/>
      <c r="H71" s="86"/>
      <c r="I71" s="86"/>
      <c r="J71" s="86"/>
      <c r="K71" s="86"/>
      <c r="L71" s="86"/>
      <c r="M71" s="86"/>
      <c r="N71" s="86"/>
      <c r="O71" s="86"/>
      <c r="P71" s="86"/>
      <c r="Q71" s="88"/>
      <c r="R71" s="63"/>
    </row>
    <row r="72" spans="1:18" s="53" customFormat="1" ht="39" customHeight="1" outlineLevel="1">
      <c r="A72" s="187" t="s">
        <v>96</v>
      </c>
      <c r="B72" s="756" t="s">
        <v>199</v>
      </c>
      <c r="C72" s="756"/>
      <c r="D72" s="756"/>
      <c r="E72" s="756"/>
      <c r="F72" s="756"/>
      <c r="G72" s="756"/>
      <c r="H72" s="756"/>
      <c r="I72" s="756"/>
      <c r="J72" s="756"/>
      <c r="K72" s="756"/>
      <c r="L72" s="756"/>
      <c r="M72" s="756"/>
      <c r="N72" s="756"/>
      <c r="O72" s="756"/>
      <c r="P72" s="756"/>
      <c r="Q72" s="756"/>
      <c r="R72" s="63"/>
    </row>
    <row r="73" spans="1:18" s="53" customFormat="1" ht="36.75" customHeight="1" outlineLevel="1">
      <c r="A73" s="105" t="s">
        <v>97</v>
      </c>
      <c r="B73" s="757" t="s">
        <v>200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63"/>
    </row>
    <row r="74" spans="1:18" s="53" customFormat="1" ht="30.75" customHeight="1" outlineLevel="1">
      <c r="A74" s="58" t="s">
        <v>61</v>
      </c>
      <c r="B74" s="758" t="s">
        <v>142</v>
      </c>
      <c r="C74" s="758"/>
      <c r="D74" s="758"/>
      <c r="E74" s="758"/>
      <c r="F74" s="758"/>
      <c r="G74" s="758"/>
      <c r="H74" s="758"/>
      <c r="I74" s="758"/>
      <c r="J74" s="758"/>
      <c r="K74" s="758"/>
      <c r="L74" s="758"/>
      <c r="M74" s="758"/>
      <c r="N74" s="758"/>
      <c r="O74" s="758"/>
      <c r="P74" s="758"/>
      <c r="Q74" s="758"/>
      <c r="R74" s="63"/>
    </row>
    <row r="75" spans="1:22" s="53" customFormat="1" ht="46.5" customHeight="1" outlineLevel="1">
      <c r="A75" s="110" t="s">
        <v>87</v>
      </c>
      <c r="B75" s="188">
        <v>701</v>
      </c>
      <c r="C75" s="189">
        <v>703</v>
      </c>
      <c r="D75" s="190">
        <v>595</v>
      </c>
      <c r="E75" s="190">
        <v>551</v>
      </c>
      <c r="F75" s="190">
        <v>595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1">
        <f>9500+754.3</f>
        <v>10254.3</v>
      </c>
      <c r="M75" s="191">
        <f>10632.45-69.3</f>
        <v>10563.150000000001</v>
      </c>
      <c r="N75" s="191">
        <v>8944.4</v>
      </c>
      <c r="O75" s="191">
        <v>0</v>
      </c>
      <c r="P75" s="192">
        <v>0</v>
      </c>
      <c r="Q75" s="191">
        <v>0</v>
      </c>
      <c r="R75" s="63"/>
      <c r="S75" s="63"/>
      <c r="T75" s="63"/>
      <c r="U75" s="63"/>
      <c r="V75" s="63"/>
    </row>
    <row r="76" spans="1:18" s="53" customFormat="1" ht="27.75" customHeight="1" outlineLevel="1">
      <c r="A76" s="187" t="s">
        <v>96</v>
      </c>
      <c r="B76" s="756" t="s">
        <v>201</v>
      </c>
      <c r="C76" s="756"/>
      <c r="D76" s="756"/>
      <c r="E76" s="756"/>
      <c r="F76" s="756"/>
      <c r="G76" s="756"/>
      <c r="H76" s="756"/>
      <c r="I76" s="756"/>
      <c r="J76" s="756"/>
      <c r="K76" s="756"/>
      <c r="L76" s="756"/>
      <c r="M76" s="756"/>
      <c r="N76" s="756"/>
      <c r="O76" s="756"/>
      <c r="P76" s="756"/>
      <c r="Q76" s="756"/>
      <c r="R76" s="63"/>
    </row>
    <row r="77" spans="1:18" s="53" customFormat="1" ht="33.75" customHeight="1" outlineLevel="1">
      <c r="A77" s="193" t="s">
        <v>97</v>
      </c>
      <c r="B77" s="757" t="s">
        <v>202</v>
      </c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63"/>
    </row>
    <row r="78" spans="1:18" s="53" customFormat="1" ht="27.75" customHeight="1" outlineLevel="1">
      <c r="A78" s="58" t="s">
        <v>61</v>
      </c>
      <c r="B78" s="758" t="s">
        <v>142</v>
      </c>
      <c r="C78" s="758"/>
      <c r="D78" s="758"/>
      <c r="E78" s="758"/>
      <c r="F78" s="758"/>
      <c r="G78" s="758"/>
      <c r="H78" s="758"/>
      <c r="I78" s="758"/>
      <c r="J78" s="758"/>
      <c r="K78" s="758"/>
      <c r="L78" s="758"/>
      <c r="M78" s="758"/>
      <c r="N78" s="758"/>
      <c r="O78" s="758"/>
      <c r="P78" s="758"/>
      <c r="Q78" s="758"/>
      <c r="R78" s="63"/>
    </row>
    <row r="79" spans="1:18" s="53" customFormat="1" ht="45" customHeight="1" outlineLevel="1">
      <c r="A79" s="194" t="s">
        <v>87</v>
      </c>
      <c r="B79" s="183">
        <v>150</v>
      </c>
      <c r="C79" s="183">
        <v>150</v>
      </c>
      <c r="D79" s="184">
        <v>70</v>
      </c>
      <c r="E79" s="184">
        <v>70</v>
      </c>
      <c r="F79" s="184">
        <v>70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5">
        <v>2143.3</v>
      </c>
      <c r="M79" s="185">
        <v>2332.81</v>
      </c>
      <c r="N79" s="186">
        <f>1918.4+298.4</f>
        <v>2216.8</v>
      </c>
      <c r="O79" s="186">
        <v>0</v>
      </c>
      <c r="P79" s="186">
        <v>0</v>
      </c>
      <c r="Q79" s="139">
        <v>0</v>
      </c>
      <c r="R79" s="63"/>
    </row>
    <row r="80" spans="1:18" s="53" customFormat="1" ht="36.75" customHeight="1" outlineLevel="1">
      <c r="A80" s="187" t="s">
        <v>96</v>
      </c>
      <c r="B80" s="756" t="s">
        <v>203</v>
      </c>
      <c r="C80" s="756"/>
      <c r="D80" s="756"/>
      <c r="E80" s="756"/>
      <c r="F80" s="756"/>
      <c r="G80" s="756"/>
      <c r="H80" s="756"/>
      <c r="I80" s="756"/>
      <c r="J80" s="756"/>
      <c r="K80" s="756"/>
      <c r="L80" s="756"/>
      <c r="M80" s="756"/>
      <c r="N80" s="756"/>
      <c r="O80" s="756"/>
      <c r="P80" s="756"/>
      <c r="Q80" s="756"/>
      <c r="R80" s="63"/>
    </row>
    <row r="81" spans="1:18" s="53" customFormat="1" ht="28.5" customHeight="1" outlineLevel="1">
      <c r="A81" s="105" t="s">
        <v>97</v>
      </c>
      <c r="B81" s="757" t="s">
        <v>200</v>
      </c>
      <c r="C81" s="757"/>
      <c r="D81" s="757"/>
      <c r="E81" s="757"/>
      <c r="F81" s="757"/>
      <c r="G81" s="757"/>
      <c r="H81" s="757"/>
      <c r="I81" s="757"/>
      <c r="J81" s="757"/>
      <c r="K81" s="757"/>
      <c r="L81" s="757"/>
      <c r="M81" s="757"/>
      <c r="N81" s="757"/>
      <c r="O81" s="757"/>
      <c r="P81" s="757"/>
      <c r="Q81" s="757"/>
      <c r="R81" s="63"/>
    </row>
    <row r="82" spans="1:18" s="53" customFormat="1" ht="15" customHeight="1" outlineLevel="1">
      <c r="A82" s="58" t="s">
        <v>61</v>
      </c>
      <c r="B82" s="758" t="s">
        <v>142</v>
      </c>
      <c r="C82" s="758"/>
      <c r="D82" s="758"/>
      <c r="E82" s="758"/>
      <c r="F82" s="758"/>
      <c r="G82" s="758"/>
      <c r="H82" s="758"/>
      <c r="I82" s="758"/>
      <c r="J82" s="758"/>
      <c r="K82" s="758"/>
      <c r="L82" s="758"/>
      <c r="M82" s="758"/>
      <c r="N82" s="758"/>
      <c r="O82" s="758"/>
      <c r="P82" s="758"/>
      <c r="Q82" s="758"/>
      <c r="R82" s="63"/>
    </row>
    <row r="83" spans="1:18" s="53" customFormat="1" ht="42" customHeight="1" outlineLevel="1">
      <c r="A83" s="194" t="s">
        <v>87</v>
      </c>
      <c r="B83" s="195">
        <v>2</v>
      </c>
      <c r="C83" s="195">
        <v>8</v>
      </c>
      <c r="D83" s="196">
        <v>38</v>
      </c>
      <c r="E83" s="196">
        <v>38</v>
      </c>
      <c r="F83" s="196">
        <v>38</v>
      </c>
      <c r="G83" s="197">
        <v>0</v>
      </c>
      <c r="H83" s="197">
        <v>0</v>
      </c>
      <c r="I83" s="197">
        <v>0</v>
      </c>
      <c r="J83" s="197">
        <v>0</v>
      </c>
      <c r="K83" s="197">
        <v>0</v>
      </c>
      <c r="L83" s="139">
        <v>482.2</v>
      </c>
      <c r="M83" s="139">
        <v>588.67</v>
      </c>
      <c r="N83" s="139">
        <v>482.2</v>
      </c>
      <c r="O83" s="139">
        <v>0</v>
      </c>
      <c r="P83" s="140">
        <v>0</v>
      </c>
      <c r="Q83" s="139">
        <v>0</v>
      </c>
      <c r="R83" s="63"/>
    </row>
    <row r="84" spans="1:18" s="53" customFormat="1" ht="30" customHeight="1">
      <c r="A84" s="187" t="s">
        <v>96</v>
      </c>
      <c r="B84" s="756" t="s">
        <v>205</v>
      </c>
      <c r="C84" s="756"/>
      <c r="D84" s="756"/>
      <c r="E84" s="756"/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  <c r="Q84" s="756"/>
      <c r="R84" s="113"/>
    </row>
    <row r="85" spans="1:18" s="57" customFormat="1" ht="27" customHeight="1" outlineLevel="2">
      <c r="A85" s="757" t="s">
        <v>97</v>
      </c>
      <c r="B85" s="757" t="s">
        <v>98</v>
      </c>
      <c r="C85" s="757"/>
      <c r="D85" s="757"/>
      <c r="E85" s="757"/>
      <c r="F85" s="757"/>
      <c r="G85" s="757"/>
      <c r="H85" s="757"/>
      <c r="I85" s="757"/>
      <c r="J85" s="757"/>
      <c r="K85" s="757"/>
      <c r="L85" s="757"/>
      <c r="M85" s="757"/>
      <c r="N85" s="757"/>
      <c r="O85" s="757"/>
      <c r="P85" s="757"/>
      <c r="Q85" s="757"/>
      <c r="R85" s="64"/>
    </row>
    <row r="86" spans="1:18" s="57" customFormat="1" ht="27" customHeight="1" outlineLevel="2">
      <c r="A86" s="757"/>
      <c r="B86" s="105"/>
      <c r="C86" s="105"/>
      <c r="D86" s="757" t="s">
        <v>204</v>
      </c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64"/>
    </row>
    <row r="87" spans="1:18" s="53" customFormat="1" ht="15" customHeight="1" outlineLevel="2">
      <c r="A87" s="58" t="s">
        <v>61</v>
      </c>
      <c r="B87" s="758" t="s">
        <v>142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8"/>
      <c r="O87" s="758"/>
      <c r="P87" s="758"/>
      <c r="Q87" s="758"/>
      <c r="R87" s="63"/>
    </row>
    <row r="88" spans="1:17" s="53" customFormat="1" ht="29.25" customHeight="1" outlineLevel="2">
      <c r="A88" s="746" t="s">
        <v>87</v>
      </c>
      <c r="B88" s="112">
        <v>2</v>
      </c>
      <c r="C88" s="112">
        <v>8</v>
      </c>
      <c r="D88" s="78">
        <v>30</v>
      </c>
      <c r="E88" s="78">
        <v>38</v>
      </c>
      <c r="F88" s="78">
        <v>40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48">
        <v>101.6</v>
      </c>
      <c r="M88" s="748">
        <v>123.13</v>
      </c>
      <c r="N88" s="748">
        <v>101.6</v>
      </c>
      <c r="O88" s="748">
        <v>0</v>
      </c>
      <c r="P88" s="773">
        <v>0</v>
      </c>
      <c r="Q88" s="776">
        <v>0</v>
      </c>
    </row>
    <row r="89" spans="1:17" s="53" customFormat="1" ht="15" outlineLevel="2">
      <c r="A89" s="747"/>
      <c r="B89" s="91"/>
      <c r="C89" s="91"/>
      <c r="D89" s="175">
        <v>30</v>
      </c>
      <c r="E89" s="175">
        <v>70</v>
      </c>
      <c r="F89" s="175">
        <v>70</v>
      </c>
      <c r="G89" s="175">
        <v>0</v>
      </c>
      <c r="H89" s="175">
        <v>0</v>
      </c>
      <c r="I89" s="175">
        <v>0</v>
      </c>
      <c r="J89" s="175">
        <v>0</v>
      </c>
      <c r="K89" s="175">
        <v>0</v>
      </c>
      <c r="L89" s="749"/>
      <c r="M89" s="749"/>
      <c r="N89" s="749"/>
      <c r="O89" s="749"/>
      <c r="P89" s="775"/>
      <c r="Q89" s="776"/>
    </row>
    <row r="90" spans="1:17" s="53" customFormat="1" ht="32.25" customHeight="1" outlineLevel="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69"/>
      <c r="M90" s="52"/>
      <c r="N90" s="52"/>
      <c r="O90" s="52"/>
      <c r="P90" s="52"/>
      <c r="Q90" s="177"/>
    </row>
    <row r="91" spans="1:15" ht="32.25" customHeight="1">
      <c r="A91" s="792" t="s">
        <v>63</v>
      </c>
      <c r="B91" s="792"/>
      <c r="C91" s="792"/>
      <c r="D91" s="792"/>
      <c r="E91" s="792"/>
      <c r="F91" s="792"/>
      <c r="O91" s="176" t="s">
        <v>247</v>
      </c>
    </row>
    <row r="93" spans="1:17" s="59" customFormat="1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</sheetData>
  <sheetProtection/>
  <mergeCells count="82">
    <mergeCell ref="B82:Q82"/>
    <mergeCell ref="B76:Q76"/>
    <mergeCell ref="B77:Q77"/>
    <mergeCell ref="B78:Q78"/>
    <mergeCell ref="B80:Q80"/>
    <mergeCell ref="B81:Q81"/>
    <mergeCell ref="A91:F91"/>
    <mergeCell ref="B10:Q10"/>
    <mergeCell ref="B11:Q11"/>
    <mergeCell ref="B14:Q14"/>
    <mergeCell ref="B15:Q15"/>
    <mergeCell ref="D16:Q16"/>
    <mergeCell ref="B12:Q12"/>
    <mergeCell ref="D17:Q17"/>
    <mergeCell ref="D18:Q18"/>
    <mergeCell ref="A15:A18"/>
    <mergeCell ref="B19:Q19"/>
    <mergeCell ref="B24:Q24"/>
    <mergeCell ref="B25:Q25"/>
    <mergeCell ref="B26:Q26"/>
    <mergeCell ref="B28:Q28"/>
    <mergeCell ref="B29:Q29"/>
    <mergeCell ref="Q20:Q23"/>
    <mergeCell ref="Q88:Q89"/>
    <mergeCell ref="O20:O23"/>
    <mergeCell ref="O88:O89"/>
    <mergeCell ref="N88:N89"/>
    <mergeCell ref="P88:P89"/>
    <mergeCell ref="B30:Q30"/>
    <mergeCell ref="B32:Q32"/>
    <mergeCell ref="B33:Q33"/>
    <mergeCell ref="B34:Q35"/>
    <mergeCell ref="B37:Q37"/>
    <mergeCell ref="B38:Q38"/>
    <mergeCell ref="B39:Q40"/>
    <mergeCell ref="B42:Q42"/>
    <mergeCell ref="B43:Q43"/>
    <mergeCell ref="B44:Q45"/>
    <mergeCell ref="A20:A23"/>
    <mergeCell ref="L20:L23"/>
    <mergeCell ref="M20:M23"/>
    <mergeCell ref="N20:N23"/>
    <mergeCell ref="P20:P23"/>
    <mergeCell ref="L2:P2"/>
    <mergeCell ref="L1:P1"/>
    <mergeCell ref="A4:P4"/>
    <mergeCell ref="A5:P5"/>
    <mergeCell ref="A7:A8"/>
    <mergeCell ref="L7:Q7"/>
    <mergeCell ref="B7:K7"/>
    <mergeCell ref="M88:M89"/>
    <mergeCell ref="A85:A86"/>
    <mergeCell ref="B64:Q64"/>
    <mergeCell ref="B65:Q65"/>
    <mergeCell ref="D52:Q52"/>
    <mergeCell ref="D53:Q53"/>
    <mergeCell ref="D55:Q55"/>
    <mergeCell ref="D57:Q57"/>
    <mergeCell ref="B59:Q59"/>
    <mergeCell ref="B60:Q60"/>
    <mergeCell ref="B61:Q61"/>
    <mergeCell ref="B63:Q63"/>
    <mergeCell ref="D56:Q56"/>
    <mergeCell ref="B67:Q67"/>
    <mergeCell ref="B68:Q68"/>
    <mergeCell ref="B69:Q69"/>
    <mergeCell ref="A39:A40"/>
    <mergeCell ref="A34:A35"/>
    <mergeCell ref="A44:A45"/>
    <mergeCell ref="A88:A89"/>
    <mergeCell ref="L88:L89"/>
    <mergeCell ref="D47:Q47"/>
    <mergeCell ref="D49:Q49"/>
    <mergeCell ref="D51:Q51"/>
    <mergeCell ref="D48:Q48"/>
    <mergeCell ref="B72:Q72"/>
    <mergeCell ref="B73:Q73"/>
    <mergeCell ref="B74:Q74"/>
    <mergeCell ref="B84:Q84"/>
    <mergeCell ref="B85:Q85"/>
    <mergeCell ref="D86:Q86"/>
    <mergeCell ref="B87:Q87"/>
  </mergeCells>
  <printOptions/>
  <pageMargins left="0.25" right="0.25" top="0.6570833333333334" bottom="0.39608333333333334" header="0.3" footer="0.3"/>
  <pageSetup horizontalDpi="180" verticalDpi="180" orientation="landscape" paperSize="9" scale="69" r:id="rId1"/>
  <rowBreaks count="3" manualBreakCount="3">
    <brk id="27" max="16" man="1"/>
    <brk id="50" max="16" man="1"/>
    <brk id="7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view="pageBreakPreview" zoomScaleSheetLayoutView="100" zoomScalePageLayoutView="0" workbookViewId="0" topLeftCell="A4">
      <selection activeCell="F1" sqref="F1:K1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12.421875" style="1" customWidth="1"/>
    <col min="4" max="4" width="27.00390625" style="1" customWidth="1"/>
    <col min="5" max="5" width="10.8515625" style="1" customWidth="1"/>
    <col min="6" max="6" width="10.140625" style="1" customWidth="1"/>
    <col min="7" max="7" width="10.28125" style="1" customWidth="1"/>
    <col min="8" max="8" width="11.00390625" style="1" customWidth="1"/>
    <col min="9" max="9" width="10.421875" style="1" customWidth="1"/>
    <col min="10" max="10" width="10.7109375" style="1" customWidth="1"/>
    <col min="11" max="11" width="11.00390625" style="1" customWidth="1"/>
    <col min="12" max="16384" width="9.140625" style="1" customWidth="1"/>
  </cols>
  <sheetData>
    <row r="1" spans="6:11" ht="39" customHeight="1">
      <c r="F1" s="803" t="s">
        <v>372</v>
      </c>
      <c r="G1" s="804"/>
      <c r="H1" s="804"/>
      <c r="I1" s="804"/>
      <c r="J1" s="804"/>
      <c r="K1" s="804"/>
    </row>
    <row r="2" spans="6:10" s="12" customFormat="1" ht="45.75" customHeight="1">
      <c r="F2" s="812" t="s">
        <v>277</v>
      </c>
      <c r="G2" s="812"/>
      <c r="H2" s="812"/>
      <c r="I2" s="812"/>
      <c r="J2" s="156"/>
    </row>
    <row r="3" spans="1:8" ht="12.75" customHeight="1">
      <c r="A3" s="813"/>
      <c r="B3" s="813"/>
      <c r="C3" s="813"/>
      <c r="D3" s="813"/>
      <c r="E3" s="813"/>
      <c r="F3" s="813"/>
      <c r="G3" s="813"/>
      <c r="H3" s="813"/>
    </row>
    <row r="4" spans="1:10" ht="29.25" customHeight="1">
      <c r="A4" s="814" t="s">
        <v>170</v>
      </c>
      <c r="B4" s="814"/>
      <c r="C4" s="814"/>
      <c r="D4" s="814"/>
      <c r="E4" s="814"/>
      <c r="F4" s="814"/>
      <c r="G4" s="814"/>
      <c r="H4" s="814"/>
      <c r="I4" s="157"/>
      <c r="J4" s="157"/>
    </row>
    <row r="5" ht="12.75">
      <c r="L5" s="17"/>
    </row>
    <row r="6" spans="1:11" s="16" customFormat="1" ht="15" customHeight="1">
      <c r="A6" s="808" t="s">
        <v>17</v>
      </c>
      <c r="B6" s="808" t="s">
        <v>16</v>
      </c>
      <c r="C6" s="809" t="s">
        <v>15</v>
      </c>
      <c r="D6" s="809" t="s">
        <v>14</v>
      </c>
      <c r="E6" s="809" t="s">
        <v>13</v>
      </c>
      <c r="F6" s="809" t="s">
        <v>12</v>
      </c>
      <c r="G6" s="809" t="s">
        <v>11</v>
      </c>
      <c r="H6" s="809" t="s">
        <v>163</v>
      </c>
      <c r="I6" s="809" t="s">
        <v>239</v>
      </c>
      <c r="J6" s="809" t="s">
        <v>240</v>
      </c>
      <c r="K6" s="809" t="s">
        <v>280</v>
      </c>
    </row>
    <row r="7" spans="1:11" s="16" customFormat="1" ht="31.5" customHeight="1">
      <c r="A7" s="808"/>
      <c r="B7" s="808"/>
      <c r="C7" s="809"/>
      <c r="D7" s="809"/>
      <c r="E7" s="809" t="s">
        <v>10</v>
      </c>
      <c r="F7" s="809" t="s">
        <v>10</v>
      </c>
      <c r="G7" s="809" t="s">
        <v>10</v>
      </c>
      <c r="H7" s="809" t="s">
        <v>10</v>
      </c>
      <c r="I7" s="809" t="s">
        <v>10</v>
      </c>
      <c r="J7" s="809" t="s">
        <v>10</v>
      </c>
      <c r="K7" s="809" t="s">
        <v>10</v>
      </c>
    </row>
    <row r="8" spans="1:11" s="16" customFormat="1" ht="55.5" customHeight="1">
      <c r="A8" s="10"/>
      <c r="B8" s="10" t="s">
        <v>9</v>
      </c>
      <c r="C8" s="805" t="s">
        <v>347</v>
      </c>
      <c r="D8" s="806"/>
      <c r="E8" s="806"/>
      <c r="F8" s="806"/>
      <c r="G8" s="806"/>
      <c r="H8" s="806"/>
      <c r="I8" s="806"/>
      <c r="J8" s="806"/>
      <c r="K8" s="807"/>
    </row>
    <row r="9" spans="1:11" s="12" customFormat="1" ht="25.5" customHeight="1">
      <c r="A9" s="8"/>
      <c r="B9" s="15" t="s">
        <v>23</v>
      </c>
      <c r="C9" s="6"/>
      <c r="D9" s="6"/>
      <c r="E9" s="6"/>
      <c r="F9" s="6"/>
      <c r="G9" s="6"/>
      <c r="H9" s="6"/>
      <c r="I9" s="6"/>
      <c r="J9" s="6"/>
      <c r="K9" s="93"/>
    </row>
    <row r="10" spans="1:11" s="12" customFormat="1" ht="79.5" customHeight="1">
      <c r="A10" s="8" t="s">
        <v>336</v>
      </c>
      <c r="B10" s="13" t="s">
        <v>241</v>
      </c>
      <c r="C10" s="6" t="s">
        <v>2</v>
      </c>
      <c r="D10" s="5" t="s">
        <v>0</v>
      </c>
      <c r="E10" s="6">
        <v>29.5</v>
      </c>
      <c r="F10" s="8" t="s">
        <v>318</v>
      </c>
      <c r="G10" s="8" t="s">
        <v>319</v>
      </c>
      <c r="H10" s="8" t="s">
        <v>320</v>
      </c>
      <c r="I10" s="8" t="s">
        <v>321</v>
      </c>
      <c r="J10" s="8" t="s">
        <v>322</v>
      </c>
      <c r="K10" s="145">
        <v>43.2</v>
      </c>
    </row>
    <row r="11" spans="1:11" s="12" customFormat="1" ht="105" customHeight="1">
      <c r="A11" s="8" t="s">
        <v>337</v>
      </c>
      <c r="B11" s="7" t="s">
        <v>6</v>
      </c>
      <c r="C11" s="6" t="s">
        <v>2</v>
      </c>
      <c r="D11" s="5" t="s">
        <v>0</v>
      </c>
      <c r="E11" s="14">
        <v>6.6</v>
      </c>
      <c r="F11" s="14">
        <v>6.89</v>
      </c>
      <c r="G11" s="50">
        <v>8.7</v>
      </c>
      <c r="H11" s="50">
        <v>8.7</v>
      </c>
      <c r="I11" s="50">
        <v>8.8</v>
      </c>
      <c r="J11" s="50">
        <v>8.9</v>
      </c>
      <c r="K11" s="94">
        <v>9</v>
      </c>
    </row>
    <row r="12" spans="1:11" s="207" customFormat="1" ht="103.5" customHeight="1">
      <c r="A12" s="144" t="s">
        <v>338</v>
      </c>
      <c r="B12" s="146" t="s">
        <v>351</v>
      </c>
      <c r="C12" s="209" t="s">
        <v>2</v>
      </c>
      <c r="D12" s="210" t="s">
        <v>0</v>
      </c>
      <c r="E12" s="209">
        <v>0</v>
      </c>
      <c r="F12" s="209">
        <v>0</v>
      </c>
      <c r="G12" s="209">
        <v>0</v>
      </c>
      <c r="H12" s="144" t="s">
        <v>324</v>
      </c>
      <c r="I12" s="144" t="s">
        <v>325</v>
      </c>
      <c r="J12" s="144" t="s">
        <v>352</v>
      </c>
      <c r="K12" s="144" t="s">
        <v>353</v>
      </c>
    </row>
    <row r="13" spans="1:11" s="208" customFormat="1" ht="120">
      <c r="A13" s="209" t="s">
        <v>339</v>
      </c>
      <c r="B13" s="211" t="s">
        <v>354</v>
      </c>
      <c r="C13" s="212" t="s">
        <v>2</v>
      </c>
      <c r="D13" s="210" t="s">
        <v>0</v>
      </c>
      <c r="E13" s="209">
        <v>0</v>
      </c>
      <c r="F13" s="209">
        <v>0</v>
      </c>
      <c r="G13" s="209">
        <v>0</v>
      </c>
      <c r="H13" s="144" t="s">
        <v>324</v>
      </c>
      <c r="I13" s="144" t="s">
        <v>327</v>
      </c>
      <c r="J13" s="144" t="s">
        <v>328</v>
      </c>
      <c r="K13" s="144" t="s">
        <v>329</v>
      </c>
    </row>
    <row r="14" spans="1:11" ht="135">
      <c r="A14" s="6" t="s">
        <v>340</v>
      </c>
      <c r="B14" s="11" t="s">
        <v>330</v>
      </c>
      <c r="C14" s="10" t="s">
        <v>2</v>
      </c>
      <c r="D14" s="5" t="s">
        <v>0</v>
      </c>
      <c r="E14" s="213">
        <v>0</v>
      </c>
      <c r="F14" s="213">
        <v>0</v>
      </c>
      <c r="G14" s="213">
        <v>0</v>
      </c>
      <c r="H14" s="213">
        <v>0</v>
      </c>
      <c r="I14" s="151">
        <v>3.85</v>
      </c>
      <c r="J14" s="151">
        <v>3.85</v>
      </c>
      <c r="K14" s="150">
        <v>5</v>
      </c>
    </row>
    <row r="15" spans="1:13" ht="53.25" customHeight="1">
      <c r="A15" s="6" t="s">
        <v>341</v>
      </c>
      <c r="B15" s="159" t="s">
        <v>331</v>
      </c>
      <c r="C15" s="10" t="s">
        <v>332</v>
      </c>
      <c r="D15" s="5" t="s">
        <v>0</v>
      </c>
      <c r="E15" s="213">
        <v>0</v>
      </c>
      <c r="F15" s="213">
        <v>0</v>
      </c>
      <c r="G15" s="213">
        <v>0</v>
      </c>
      <c r="H15" s="213">
        <v>0</v>
      </c>
      <c r="I15" s="151">
        <v>12</v>
      </c>
      <c r="J15" s="151">
        <v>12</v>
      </c>
      <c r="K15" s="150">
        <v>12</v>
      </c>
      <c r="L15" s="65"/>
      <c r="M15" s="65"/>
    </row>
    <row r="16" spans="1:11" ht="45">
      <c r="A16" s="6" t="s">
        <v>342</v>
      </c>
      <c r="B16" s="158" t="s">
        <v>333</v>
      </c>
      <c r="C16" s="10" t="s">
        <v>2</v>
      </c>
      <c r="D16" s="5" t="s">
        <v>0</v>
      </c>
      <c r="E16" s="213">
        <v>0</v>
      </c>
      <c r="F16" s="213">
        <v>0</v>
      </c>
      <c r="G16" s="213">
        <v>0</v>
      </c>
      <c r="H16" s="213">
        <v>0</v>
      </c>
      <c r="I16" s="151">
        <v>90</v>
      </c>
      <c r="J16" s="151">
        <v>90</v>
      </c>
      <c r="K16" s="150">
        <v>90</v>
      </c>
    </row>
    <row r="17" spans="1:11" ht="60">
      <c r="A17" s="6" t="s">
        <v>343</v>
      </c>
      <c r="B17" s="11" t="s">
        <v>334</v>
      </c>
      <c r="C17" s="10" t="s">
        <v>2</v>
      </c>
      <c r="D17" s="5" t="s">
        <v>0</v>
      </c>
      <c r="E17" s="213">
        <v>0</v>
      </c>
      <c r="F17" s="213">
        <v>0</v>
      </c>
      <c r="G17" s="213">
        <v>0</v>
      </c>
      <c r="H17" s="213">
        <v>0</v>
      </c>
      <c r="I17" s="150">
        <v>90</v>
      </c>
      <c r="J17" s="150">
        <v>90</v>
      </c>
      <c r="K17" s="150">
        <v>90</v>
      </c>
    </row>
    <row r="18" spans="1:11" ht="50.25" customHeight="1">
      <c r="A18" s="6" t="s">
        <v>344</v>
      </c>
      <c r="B18" s="7" t="s">
        <v>245</v>
      </c>
      <c r="C18" s="6" t="s">
        <v>1</v>
      </c>
      <c r="D18" s="5" t="s">
        <v>0</v>
      </c>
      <c r="E18" s="213">
        <v>0</v>
      </c>
      <c r="F18" s="213">
        <v>0</v>
      </c>
      <c r="G18" s="213">
        <v>0</v>
      </c>
      <c r="H18" s="213">
        <v>0</v>
      </c>
      <c r="I18" s="153">
        <v>10</v>
      </c>
      <c r="J18" s="153">
        <v>10</v>
      </c>
      <c r="K18" s="160">
        <v>10</v>
      </c>
    </row>
    <row r="19" spans="2:11" ht="54" customHeight="1">
      <c r="B19" s="810" t="s">
        <v>63</v>
      </c>
      <c r="C19" s="810"/>
      <c r="D19" s="161"/>
      <c r="E19" s="161"/>
      <c r="F19" s="811" t="s">
        <v>186</v>
      </c>
      <c r="G19" s="811"/>
      <c r="H19" s="65"/>
      <c r="I19" s="65"/>
      <c r="J19" s="65"/>
      <c r="K19" s="65"/>
    </row>
  </sheetData>
  <sheetProtection/>
  <mergeCells count="18">
    <mergeCell ref="B19:C19"/>
    <mergeCell ref="F19:G19"/>
    <mergeCell ref="J6:J7"/>
    <mergeCell ref="F2:I2"/>
    <mergeCell ref="I6:I7"/>
    <mergeCell ref="H6:H7"/>
    <mergeCell ref="A3:H3"/>
    <mergeCell ref="A4:H4"/>
    <mergeCell ref="D6:D7"/>
    <mergeCell ref="E6:E7"/>
    <mergeCell ref="F6:F7"/>
    <mergeCell ref="F1:K1"/>
    <mergeCell ref="C8:K8"/>
    <mergeCell ref="A6:A7"/>
    <mergeCell ref="B6:B7"/>
    <mergeCell ref="C6:C7"/>
    <mergeCell ref="G6:G7"/>
    <mergeCell ref="K6:K7"/>
  </mergeCells>
  <printOptions/>
  <pageMargins left="0.4724409448818898" right="0.15748031496062992" top="0.15748031496062992" bottom="0.2362204724409449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view="pageBreakPreview" zoomScale="70" zoomScaleSheetLayoutView="70" zoomScalePageLayoutView="0" workbookViewId="0" topLeftCell="A1">
      <selection activeCell="F1" sqref="F1:L1"/>
    </sheetView>
  </sheetViews>
  <sheetFormatPr defaultColWidth="11.57421875" defaultRowHeight="15"/>
  <cols>
    <col min="1" max="1" width="11.57421875" style="19" customWidth="1"/>
    <col min="2" max="2" width="65.7109375" style="18" customWidth="1"/>
    <col min="3" max="3" width="17.140625" style="18" customWidth="1"/>
    <col min="4" max="4" width="16.57421875" style="18" customWidth="1"/>
    <col min="5" max="5" width="22.140625" style="18" customWidth="1"/>
    <col min="6" max="6" width="8.421875" style="18" customWidth="1"/>
    <col min="7" max="7" width="8.8515625" style="18" customWidth="1"/>
    <col min="8" max="8" width="9.140625" style="18" customWidth="1"/>
    <col min="9" max="9" width="9.7109375" style="18" customWidth="1"/>
    <col min="10" max="11" width="10.421875" style="18" customWidth="1"/>
    <col min="12" max="13" width="11.57421875" style="18" customWidth="1"/>
    <col min="14" max="14" width="29.00390625" style="18" customWidth="1"/>
    <col min="15" max="16384" width="11.57421875" style="18" customWidth="1"/>
  </cols>
  <sheetData>
    <row r="1" spans="1:12" ht="56.25" customHeight="1">
      <c r="A1" s="21"/>
      <c r="B1" s="36"/>
      <c r="C1" s="36"/>
      <c r="D1" s="36"/>
      <c r="E1" s="36"/>
      <c r="F1" s="817" t="s">
        <v>373</v>
      </c>
      <c r="G1" s="817"/>
      <c r="H1" s="817"/>
      <c r="I1" s="817"/>
      <c r="J1" s="817"/>
      <c r="K1" s="817"/>
      <c r="L1" s="817"/>
    </row>
    <row r="2" spans="1:12" ht="50.25" customHeight="1">
      <c r="A2" s="21"/>
      <c r="B2" s="36"/>
      <c r="C2" s="36"/>
      <c r="D2" s="36"/>
      <c r="E2" s="36"/>
      <c r="F2" s="815" t="s">
        <v>278</v>
      </c>
      <c r="G2" s="816"/>
      <c r="H2" s="816"/>
      <c r="I2" s="816"/>
      <c r="J2" s="816"/>
      <c r="K2" s="816"/>
      <c r="L2" s="816"/>
    </row>
    <row r="3" spans="1:7" ht="20.25">
      <c r="A3" s="21"/>
      <c r="B3" s="36"/>
      <c r="C3" s="36"/>
      <c r="D3" s="36"/>
      <c r="E3" s="36"/>
      <c r="F3" s="37"/>
      <c r="G3" s="37"/>
    </row>
    <row r="4" spans="1:9" ht="23.25" customHeight="1">
      <c r="A4" s="822" t="s">
        <v>164</v>
      </c>
      <c r="B4" s="822"/>
      <c r="C4" s="822"/>
      <c r="D4" s="822"/>
      <c r="E4" s="822"/>
      <c r="F4" s="822"/>
      <c r="G4" s="822"/>
      <c r="H4" s="822"/>
      <c r="I4" s="822"/>
    </row>
    <row r="5" spans="1:6" ht="20.25">
      <c r="A5" s="21"/>
      <c r="B5" s="36"/>
      <c r="C5" s="36"/>
      <c r="D5" s="36"/>
      <c r="E5" s="36"/>
      <c r="F5" s="20"/>
    </row>
    <row r="6" spans="1:12" s="32" customFormat="1" ht="20.25" customHeight="1">
      <c r="A6" s="823" t="s">
        <v>27</v>
      </c>
      <c r="B6" s="820" t="s">
        <v>26</v>
      </c>
      <c r="C6" s="820" t="s">
        <v>15</v>
      </c>
      <c r="D6" s="818" t="s">
        <v>25</v>
      </c>
      <c r="E6" s="820" t="s">
        <v>14</v>
      </c>
      <c r="F6" s="820">
        <v>2014</v>
      </c>
      <c r="G6" s="820">
        <v>2015</v>
      </c>
      <c r="H6" s="821">
        <v>2016</v>
      </c>
      <c r="I6" s="820">
        <v>2017</v>
      </c>
      <c r="J6" s="826">
        <v>2018</v>
      </c>
      <c r="K6" s="831">
        <v>2019</v>
      </c>
      <c r="L6" s="820">
        <v>2020</v>
      </c>
    </row>
    <row r="7" spans="1:12" s="32" customFormat="1" ht="72.75" customHeight="1">
      <c r="A7" s="823"/>
      <c r="B7" s="820"/>
      <c r="C7" s="820"/>
      <c r="D7" s="819"/>
      <c r="E7" s="820"/>
      <c r="F7" s="820"/>
      <c r="G7" s="820"/>
      <c r="H7" s="821"/>
      <c r="I7" s="820"/>
      <c r="J7" s="827"/>
      <c r="K7" s="832"/>
      <c r="L7" s="820"/>
    </row>
    <row r="8" spans="1:12" s="32" customFormat="1" ht="60" customHeight="1">
      <c r="A8" s="35"/>
      <c r="B8" s="70" t="s">
        <v>24</v>
      </c>
      <c r="C8" s="828" t="s">
        <v>147</v>
      </c>
      <c r="D8" s="829"/>
      <c r="E8" s="829"/>
      <c r="F8" s="829"/>
      <c r="G8" s="829"/>
      <c r="H8" s="829"/>
      <c r="I8" s="829"/>
      <c r="J8" s="829"/>
      <c r="K8" s="829"/>
      <c r="L8" s="830"/>
    </row>
    <row r="9" spans="1:12" s="32" customFormat="1" ht="36" customHeight="1">
      <c r="A9" s="33"/>
      <c r="B9" s="34" t="s">
        <v>23</v>
      </c>
      <c r="C9" s="76"/>
      <c r="D9" s="76"/>
      <c r="E9" s="76"/>
      <c r="F9" s="76"/>
      <c r="G9" s="76"/>
      <c r="H9" s="76"/>
      <c r="I9" s="76"/>
      <c r="J9" s="95"/>
      <c r="K9" s="95"/>
      <c r="L9" s="35"/>
    </row>
    <row r="10" spans="1:12" ht="72" customHeight="1">
      <c r="A10" s="27" t="s">
        <v>8</v>
      </c>
      <c r="B10" s="31" t="s">
        <v>22</v>
      </c>
      <c r="C10" s="23" t="s">
        <v>19</v>
      </c>
      <c r="D10" s="30"/>
      <c r="E10" s="23" t="s">
        <v>18</v>
      </c>
      <c r="F10" s="29">
        <v>35</v>
      </c>
      <c r="G10" s="29">
        <v>90</v>
      </c>
      <c r="H10" s="29">
        <v>100</v>
      </c>
      <c r="I10" s="29">
        <v>100</v>
      </c>
      <c r="J10" s="96">
        <v>60</v>
      </c>
      <c r="K10" s="96">
        <v>60</v>
      </c>
      <c r="L10" s="98">
        <v>60</v>
      </c>
    </row>
    <row r="11" spans="1:12" ht="145.5" customHeight="1">
      <c r="A11" s="27" t="s">
        <v>7</v>
      </c>
      <c r="B11" s="28" t="s">
        <v>307</v>
      </c>
      <c r="C11" s="24" t="s">
        <v>19</v>
      </c>
      <c r="D11" s="24"/>
      <c r="E11" s="23" t="s">
        <v>21</v>
      </c>
      <c r="F11" s="22">
        <v>0</v>
      </c>
      <c r="G11" s="22">
        <v>0</v>
      </c>
      <c r="H11" s="22">
        <v>0</v>
      </c>
      <c r="I11" s="22">
        <v>0</v>
      </c>
      <c r="J11" s="97">
        <v>21</v>
      </c>
      <c r="K11" s="97">
        <v>21</v>
      </c>
      <c r="L11" s="97">
        <v>21</v>
      </c>
    </row>
    <row r="12" spans="1:12" ht="129" customHeight="1">
      <c r="A12" s="27" t="s">
        <v>5</v>
      </c>
      <c r="B12" s="28" t="s">
        <v>304</v>
      </c>
      <c r="C12" s="24" t="s">
        <v>19</v>
      </c>
      <c r="D12" s="24"/>
      <c r="E12" s="23" t="s">
        <v>21</v>
      </c>
      <c r="F12" s="122">
        <v>0</v>
      </c>
      <c r="G12" s="122">
        <v>0</v>
      </c>
      <c r="H12" s="122">
        <v>0</v>
      </c>
      <c r="I12" s="122">
        <v>0</v>
      </c>
      <c r="J12" s="123">
        <v>20</v>
      </c>
      <c r="K12" s="123">
        <v>20</v>
      </c>
      <c r="L12" s="123">
        <v>20</v>
      </c>
    </row>
    <row r="13" spans="1:12" ht="132" customHeight="1">
      <c r="A13" s="27" t="s">
        <v>4</v>
      </c>
      <c r="B13" s="26" t="s">
        <v>335</v>
      </c>
      <c r="C13" s="24" t="s">
        <v>19</v>
      </c>
      <c r="D13" s="24"/>
      <c r="E13" s="23" t="s">
        <v>21</v>
      </c>
      <c r="F13" s="22">
        <v>0</v>
      </c>
      <c r="G13" s="22">
        <v>0</v>
      </c>
      <c r="H13" s="22">
        <v>0</v>
      </c>
      <c r="I13" s="22">
        <v>0</v>
      </c>
      <c r="J13" s="97">
        <v>17</v>
      </c>
      <c r="K13" s="97">
        <v>17</v>
      </c>
      <c r="L13" s="97">
        <v>17</v>
      </c>
    </row>
    <row r="14" spans="1:12" ht="69" customHeight="1">
      <c r="A14" s="27" t="s">
        <v>3</v>
      </c>
      <c r="B14" s="26" t="s">
        <v>305</v>
      </c>
      <c r="C14" s="24" t="s">
        <v>1</v>
      </c>
      <c r="D14" s="24"/>
      <c r="E14" s="23" t="s">
        <v>21</v>
      </c>
      <c r="F14" s="22">
        <v>0</v>
      </c>
      <c r="G14" s="22">
        <v>0</v>
      </c>
      <c r="H14" s="22">
        <v>0</v>
      </c>
      <c r="I14" s="22">
        <v>0</v>
      </c>
      <c r="J14" s="97">
        <v>66</v>
      </c>
      <c r="K14" s="97">
        <v>68</v>
      </c>
      <c r="L14" s="98">
        <v>72</v>
      </c>
    </row>
    <row r="15" spans="1:12" ht="76.5" customHeight="1">
      <c r="A15" s="27" t="s">
        <v>139</v>
      </c>
      <c r="B15" s="25" t="s">
        <v>20</v>
      </c>
      <c r="C15" s="24" t="s">
        <v>19</v>
      </c>
      <c r="D15" s="24"/>
      <c r="E15" s="23" t="s">
        <v>18</v>
      </c>
      <c r="F15" s="22">
        <v>15</v>
      </c>
      <c r="G15" s="22">
        <v>16</v>
      </c>
      <c r="H15" s="22">
        <v>16</v>
      </c>
      <c r="I15" s="22">
        <v>18</v>
      </c>
      <c r="J15" s="97">
        <v>20</v>
      </c>
      <c r="K15" s="97">
        <v>22</v>
      </c>
      <c r="L15" s="98">
        <v>24</v>
      </c>
    </row>
    <row r="16" s="66" customFormat="1" ht="12.75" customHeight="1"/>
    <row r="17" s="66" customFormat="1" ht="12.75" customHeight="1"/>
    <row r="18" spans="1:8" s="66" customFormat="1" ht="36.75" customHeight="1">
      <c r="A18" s="824" t="s">
        <v>63</v>
      </c>
      <c r="B18" s="824"/>
      <c r="C18" s="67"/>
      <c r="D18" s="67"/>
      <c r="E18" s="67"/>
      <c r="G18" s="825" t="s">
        <v>186</v>
      </c>
      <c r="H18" s="825"/>
    </row>
  </sheetData>
  <sheetProtection/>
  <mergeCells count="18">
    <mergeCell ref="A18:B18"/>
    <mergeCell ref="G18:H18"/>
    <mergeCell ref="L6:L7"/>
    <mergeCell ref="J6:J7"/>
    <mergeCell ref="C8:L8"/>
    <mergeCell ref="B6:B7"/>
    <mergeCell ref="K6:K7"/>
    <mergeCell ref="C6:C7"/>
    <mergeCell ref="F2:L2"/>
    <mergeCell ref="F1:L1"/>
    <mergeCell ref="D6:D7"/>
    <mergeCell ref="I6:I7"/>
    <mergeCell ref="H6:H7"/>
    <mergeCell ref="G6:G7"/>
    <mergeCell ref="F6:F7"/>
    <mergeCell ref="A4:I4"/>
    <mergeCell ref="A6:A7"/>
    <mergeCell ref="E6:E7"/>
  </mergeCells>
  <printOptions/>
  <pageMargins left="0.35433070866141736" right="0.15748031496062992" top="0.2362204724409449" bottom="0.2755905511811024" header="0.15748031496062992" footer="0.1574803149606299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view="pageBreakPreview" zoomScaleSheetLayoutView="100" zoomScalePageLayoutView="0" workbookViewId="0" topLeftCell="A1">
      <selection activeCell="F1" sqref="F1:K1"/>
    </sheetView>
  </sheetViews>
  <sheetFormatPr defaultColWidth="9.140625" defaultRowHeight="15"/>
  <cols>
    <col min="1" max="1" width="4.8515625" style="1" customWidth="1"/>
    <col min="2" max="2" width="38.421875" style="1" customWidth="1"/>
    <col min="3" max="3" width="13.421875" style="1" customWidth="1"/>
    <col min="4" max="4" width="17.8515625" style="1" customWidth="1"/>
    <col min="5" max="5" width="10.7109375" style="1" customWidth="1"/>
    <col min="6" max="6" width="11.1406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6:11" s="162" customFormat="1" ht="42" customHeight="1">
      <c r="F1" s="843" t="s">
        <v>374</v>
      </c>
      <c r="G1" s="844"/>
      <c r="H1" s="844"/>
      <c r="I1" s="844"/>
      <c r="J1" s="844"/>
      <c r="K1" s="844"/>
    </row>
    <row r="2" spans="6:8" s="163" customFormat="1" ht="74.25" customHeight="1">
      <c r="F2" s="847" t="s">
        <v>279</v>
      </c>
      <c r="G2" s="847"/>
      <c r="H2" s="847"/>
    </row>
    <row r="3" spans="1:8" s="162" customFormat="1" ht="3.75" customHeight="1">
      <c r="A3" s="848"/>
      <c r="B3" s="848"/>
      <c r="C3" s="848"/>
      <c r="D3" s="848"/>
      <c r="E3" s="848"/>
      <c r="F3" s="848"/>
      <c r="G3" s="848"/>
      <c r="H3" s="848"/>
    </row>
    <row r="4" spans="1:10" s="162" customFormat="1" ht="29.25" customHeight="1">
      <c r="A4" s="842" t="s">
        <v>134</v>
      </c>
      <c r="B4" s="842"/>
      <c r="C4" s="842"/>
      <c r="D4" s="842"/>
      <c r="E4" s="842"/>
      <c r="F4" s="842"/>
      <c r="G4" s="842"/>
      <c r="H4" s="842"/>
      <c r="I4" s="842"/>
      <c r="J4" s="164"/>
    </row>
    <row r="5" spans="9:10" ht="10.5" customHeight="1">
      <c r="I5" s="17"/>
      <c r="J5" s="17"/>
    </row>
    <row r="6" spans="1:11" s="16" customFormat="1" ht="15" customHeight="1">
      <c r="A6" s="808" t="s">
        <v>17</v>
      </c>
      <c r="B6" s="808" t="s">
        <v>16</v>
      </c>
      <c r="C6" s="838" t="s">
        <v>15</v>
      </c>
      <c r="D6" s="838" t="s">
        <v>14</v>
      </c>
      <c r="E6" s="838" t="s">
        <v>13</v>
      </c>
      <c r="F6" s="838" t="s">
        <v>12</v>
      </c>
      <c r="G6" s="838" t="s">
        <v>11</v>
      </c>
      <c r="H6" s="838" t="s">
        <v>163</v>
      </c>
      <c r="I6" s="833" t="s">
        <v>239</v>
      </c>
      <c r="J6" s="840" t="s">
        <v>113</v>
      </c>
      <c r="K6" s="845" t="s">
        <v>112</v>
      </c>
    </row>
    <row r="7" spans="1:11" s="16" customFormat="1" ht="31.5" customHeight="1">
      <c r="A7" s="808"/>
      <c r="B7" s="808"/>
      <c r="C7" s="838"/>
      <c r="D7" s="838"/>
      <c r="E7" s="838" t="s">
        <v>10</v>
      </c>
      <c r="F7" s="838" t="s">
        <v>10</v>
      </c>
      <c r="G7" s="838" t="s">
        <v>10</v>
      </c>
      <c r="H7" s="838" t="s">
        <v>10</v>
      </c>
      <c r="I7" s="833" t="s">
        <v>10</v>
      </c>
      <c r="J7" s="841"/>
      <c r="K7" s="846"/>
    </row>
    <row r="8" spans="1:11" s="16" customFormat="1" ht="25.5" customHeight="1">
      <c r="A8" s="10"/>
      <c r="B8" s="10" t="s">
        <v>9</v>
      </c>
      <c r="C8" s="833" t="s">
        <v>135</v>
      </c>
      <c r="D8" s="834"/>
      <c r="E8" s="834"/>
      <c r="F8" s="834"/>
      <c r="G8" s="834"/>
      <c r="H8" s="834"/>
      <c r="I8" s="834"/>
      <c r="J8" s="834"/>
      <c r="K8" s="835"/>
    </row>
    <row r="9" spans="1:11" s="12" customFormat="1" ht="21" customHeight="1">
      <c r="A9" s="8"/>
      <c r="B9" s="15" t="s">
        <v>23</v>
      </c>
      <c r="C9" s="165"/>
      <c r="D9" s="165"/>
      <c r="E9" s="165"/>
      <c r="F9" s="165"/>
      <c r="G9" s="165"/>
      <c r="H9" s="165"/>
      <c r="I9" s="166"/>
      <c r="J9" s="166"/>
      <c r="K9" s="167"/>
    </row>
    <row r="10" spans="1:11" s="9" customFormat="1" ht="75" customHeight="1">
      <c r="A10" s="8" t="s">
        <v>8</v>
      </c>
      <c r="B10" s="11" t="s">
        <v>242</v>
      </c>
      <c r="C10" s="168" t="s">
        <v>1</v>
      </c>
      <c r="D10" s="168" t="s">
        <v>0</v>
      </c>
      <c r="E10" s="168">
        <v>707</v>
      </c>
      <c r="F10" s="168">
        <v>677</v>
      </c>
      <c r="G10" s="168">
        <v>670</v>
      </c>
      <c r="H10" s="169">
        <v>670</v>
      </c>
      <c r="I10" s="170">
        <v>0</v>
      </c>
      <c r="J10" s="170">
        <v>0</v>
      </c>
      <c r="K10" s="170">
        <v>0</v>
      </c>
    </row>
    <row r="11" spans="1:11" s="9" customFormat="1" ht="51.75" customHeight="1">
      <c r="A11" s="8" t="s">
        <v>7</v>
      </c>
      <c r="B11" s="99" t="s">
        <v>243</v>
      </c>
      <c r="C11" s="168" t="s">
        <v>1</v>
      </c>
      <c r="D11" s="168" t="s">
        <v>0</v>
      </c>
      <c r="E11" s="168">
        <v>5</v>
      </c>
      <c r="F11" s="168">
        <v>6</v>
      </c>
      <c r="G11" s="168">
        <v>6</v>
      </c>
      <c r="H11" s="169">
        <v>7</v>
      </c>
      <c r="I11" s="170">
        <v>0</v>
      </c>
      <c r="J11" s="170">
        <v>0</v>
      </c>
      <c r="K11" s="170">
        <v>0</v>
      </c>
    </row>
    <row r="12" spans="1:11" s="9" customFormat="1" ht="53.25" customHeight="1">
      <c r="A12" s="8" t="s">
        <v>5</v>
      </c>
      <c r="B12" s="11" t="s">
        <v>244</v>
      </c>
      <c r="C12" s="168" t="s">
        <v>2</v>
      </c>
      <c r="D12" s="168" t="s">
        <v>0</v>
      </c>
      <c r="E12" s="171">
        <v>3</v>
      </c>
      <c r="F12" s="171">
        <v>5</v>
      </c>
      <c r="G12" s="171">
        <v>10</v>
      </c>
      <c r="H12" s="171">
        <v>10</v>
      </c>
      <c r="I12" s="170">
        <v>0</v>
      </c>
      <c r="J12" s="170">
        <v>0</v>
      </c>
      <c r="K12" s="170">
        <v>0</v>
      </c>
    </row>
    <row r="13" spans="1:11" ht="48.75" customHeight="1">
      <c r="A13" s="8" t="s">
        <v>4</v>
      </c>
      <c r="B13" s="7" t="s">
        <v>245</v>
      </c>
      <c r="C13" s="165" t="s">
        <v>1</v>
      </c>
      <c r="D13" s="168" t="s">
        <v>0</v>
      </c>
      <c r="E13" s="51">
        <v>6</v>
      </c>
      <c r="F13" s="51">
        <v>8</v>
      </c>
      <c r="G13" s="51">
        <v>10</v>
      </c>
      <c r="H13" s="51">
        <v>10</v>
      </c>
      <c r="I13" s="170">
        <v>0</v>
      </c>
      <c r="J13" s="170">
        <v>0</v>
      </c>
      <c r="K13" s="170">
        <v>0</v>
      </c>
    </row>
    <row r="15" spans="2:8" ht="11.25" customHeight="1">
      <c r="B15" s="839"/>
      <c r="C15" s="839"/>
      <c r="D15" s="4"/>
      <c r="E15" s="4"/>
      <c r="F15" s="3"/>
      <c r="G15" s="3"/>
      <c r="H15" s="2"/>
    </row>
    <row r="16" spans="1:8" ht="29.25" customHeight="1">
      <c r="A16" s="837" t="s">
        <v>63</v>
      </c>
      <c r="B16" s="837"/>
      <c r="C16" s="837"/>
      <c r="D16" s="65"/>
      <c r="E16" s="836" t="s">
        <v>186</v>
      </c>
      <c r="F16" s="836"/>
      <c r="G16" s="836"/>
      <c r="H16" s="836"/>
    </row>
  </sheetData>
  <sheetProtection/>
  <mergeCells count="19">
    <mergeCell ref="A4:I4"/>
    <mergeCell ref="F1:K1"/>
    <mergeCell ref="K6:K7"/>
    <mergeCell ref="F2:H2"/>
    <mergeCell ref="A3:H3"/>
    <mergeCell ref="C8:K8"/>
    <mergeCell ref="I6:I7"/>
    <mergeCell ref="E16:H16"/>
    <mergeCell ref="A16:C16"/>
    <mergeCell ref="G6:G7"/>
    <mergeCell ref="H6:H7"/>
    <mergeCell ref="B15:C15"/>
    <mergeCell ref="J6:J7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180" verticalDpi="18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4"/>
  <sheetViews>
    <sheetView view="pageBreakPreview" zoomScale="60" zoomScaleNormal="70" zoomScalePageLayoutView="0" workbookViewId="0" topLeftCell="A1">
      <selection activeCell="E1" sqref="E1:K1"/>
    </sheetView>
  </sheetViews>
  <sheetFormatPr defaultColWidth="9.140625" defaultRowHeight="15"/>
  <cols>
    <col min="1" max="1" width="10.140625" style="38" customWidth="1"/>
    <col min="2" max="2" width="59.140625" style="38" customWidth="1"/>
    <col min="3" max="3" width="11.140625" style="38" customWidth="1"/>
    <col min="4" max="4" width="64.7109375" style="38" customWidth="1"/>
    <col min="5" max="8" width="12.57421875" style="38" customWidth="1"/>
    <col min="9" max="16384" width="9.140625" style="38" customWidth="1"/>
  </cols>
  <sheetData>
    <row r="1" spans="5:11" ht="67.5" customHeight="1">
      <c r="E1" s="849" t="s">
        <v>375</v>
      </c>
      <c r="F1" s="850"/>
      <c r="G1" s="850"/>
      <c r="H1" s="850"/>
      <c r="I1" s="850"/>
      <c r="J1" s="850"/>
      <c r="K1" s="850"/>
    </row>
    <row r="2" spans="5:10" s="39" customFormat="1" ht="118.5" customHeight="1">
      <c r="E2" s="854" t="s">
        <v>165</v>
      </c>
      <c r="F2" s="854"/>
      <c r="G2" s="854"/>
      <c r="H2" s="854"/>
      <c r="I2" s="854"/>
      <c r="J2" s="117"/>
    </row>
    <row r="3" s="39" customFormat="1" ht="18.75"/>
    <row r="4" spans="1:8" s="39" customFormat="1" ht="18.75" customHeight="1">
      <c r="A4" s="851" t="s">
        <v>37</v>
      </c>
      <c r="B4" s="851"/>
      <c r="C4" s="851"/>
      <c r="D4" s="851"/>
      <c r="E4" s="851"/>
      <c r="F4" s="851"/>
      <c r="G4" s="851"/>
      <c r="H4" s="851"/>
    </row>
    <row r="5" s="39" customFormat="1" ht="18.75"/>
    <row r="6" spans="1:11" s="39" customFormat="1" ht="59.25" customHeight="1">
      <c r="A6" s="49" t="s">
        <v>36</v>
      </c>
      <c r="B6" s="49" t="s">
        <v>35</v>
      </c>
      <c r="C6" s="49" t="s">
        <v>34</v>
      </c>
      <c r="D6" s="49" t="s">
        <v>14</v>
      </c>
      <c r="E6" s="49" t="s">
        <v>33</v>
      </c>
      <c r="F6" s="49" t="s">
        <v>32</v>
      </c>
      <c r="G6" s="49" t="s">
        <v>31</v>
      </c>
      <c r="H6" s="49" t="s">
        <v>115</v>
      </c>
      <c r="I6" s="100" t="s">
        <v>114</v>
      </c>
      <c r="J6" s="100" t="s">
        <v>113</v>
      </c>
      <c r="K6" s="48" t="s">
        <v>112</v>
      </c>
    </row>
    <row r="7" spans="1:11" s="39" customFormat="1" ht="22.5" customHeight="1">
      <c r="A7" s="48"/>
      <c r="B7" s="855" t="s">
        <v>38</v>
      </c>
      <c r="C7" s="856"/>
      <c r="D7" s="856"/>
      <c r="E7" s="856"/>
      <c r="F7" s="856"/>
      <c r="G7" s="856"/>
      <c r="H7" s="856"/>
      <c r="I7" s="856"/>
      <c r="J7" s="856"/>
      <c r="K7" s="857"/>
    </row>
    <row r="8" spans="1:11" ht="136.5" customHeight="1">
      <c r="A8" s="47">
        <v>1</v>
      </c>
      <c r="B8" s="48" t="s">
        <v>349</v>
      </c>
      <c r="C8" s="49" t="s">
        <v>29</v>
      </c>
      <c r="D8" s="49" t="s">
        <v>30</v>
      </c>
      <c r="E8" s="45">
        <v>5</v>
      </c>
      <c r="F8" s="45">
        <v>5</v>
      </c>
      <c r="G8" s="45">
        <v>5</v>
      </c>
      <c r="H8" s="45">
        <v>5</v>
      </c>
      <c r="I8" s="101">
        <v>5</v>
      </c>
      <c r="J8" s="101">
        <v>5</v>
      </c>
      <c r="K8" s="102">
        <v>5</v>
      </c>
    </row>
    <row r="9" spans="1:11" s="224" customFormat="1" ht="81" customHeight="1">
      <c r="A9" s="220">
        <v>2</v>
      </c>
      <c r="B9" s="218" t="s">
        <v>370</v>
      </c>
      <c r="C9" s="220" t="s">
        <v>29</v>
      </c>
      <c r="D9" s="221" t="s">
        <v>144</v>
      </c>
      <c r="E9" s="222">
        <v>5</v>
      </c>
      <c r="F9" s="222">
        <v>5</v>
      </c>
      <c r="G9" s="222">
        <v>5</v>
      </c>
      <c r="H9" s="222">
        <v>5</v>
      </c>
      <c r="I9" s="223">
        <v>5</v>
      </c>
      <c r="J9" s="223">
        <v>5</v>
      </c>
      <c r="K9" s="218">
        <v>5</v>
      </c>
    </row>
    <row r="10" spans="1:11" ht="150">
      <c r="A10" s="47">
        <v>3</v>
      </c>
      <c r="B10" s="48" t="s">
        <v>143</v>
      </c>
      <c r="C10" s="47" t="s">
        <v>29</v>
      </c>
      <c r="D10" s="46" t="s">
        <v>28</v>
      </c>
      <c r="E10" s="45">
        <v>5</v>
      </c>
      <c r="F10" s="45">
        <v>5</v>
      </c>
      <c r="G10" s="45">
        <v>5</v>
      </c>
      <c r="H10" s="45">
        <v>5</v>
      </c>
      <c r="I10" s="101">
        <v>5</v>
      </c>
      <c r="J10" s="101">
        <v>5</v>
      </c>
      <c r="K10" s="102">
        <v>5</v>
      </c>
    </row>
    <row r="11" spans="1:8" ht="18.75">
      <c r="A11" s="43"/>
      <c r="B11" s="44"/>
      <c r="C11" s="43"/>
      <c r="D11" s="42"/>
      <c r="E11" s="41"/>
      <c r="F11" s="41"/>
      <c r="G11" s="41"/>
      <c r="H11" s="41"/>
    </row>
    <row r="12" spans="1:8" s="39" customFormat="1" ht="51" customHeight="1">
      <c r="A12" s="853" t="s">
        <v>63</v>
      </c>
      <c r="B12" s="853"/>
      <c r="C12" s="853"/>
      <c r="D12" s="68"/>
      <c r="E12" s="40"/>
      <c r="F12" s="852" t="s">
        <v>186</v>
      </c>
      <c r="G12" s="852"/>
      <c r="H12" s="852"/>
    </row>
    <row r="15" ht="138.75" customHeight="1"/>
    <row r="17" ht="78.75" customHeight="1"/>
    <row r="29" ht="151.5" customHeight="1"/>
    <row r="35" ht="61.5" customHeight="1"/>
    <row r="39" ht="99.75" customHeight="1"/>
    <row r="40" ht="114.75" customHeight="1"/>
    <row r="43" ht="18.75">
      <c r="D43" s="39"/>
    </row>
    <row r="44" ht="18.75">
      <c r="D44" s="39"/>
    </row>
  </sheetData>
  <sheetProtection/>
  <mergeCells count="6">
    <mergeCell ref="E1:K1"/>
    <mergeCell ref="A4:H4"/>
    <mergeCell ref="F12:H12"/>
    <mergeCell ref="A12:C12"/>
    <mergeCell ref="E2:I2"/>
    <mergeCell ref="B7:K7"/>
  </mergeCells>
  <printOptions/>
  <pageMargins left="0.7086614173228347" right="0.48" top="0.7480314960629921" bottom="0.51" header="0.31496062992125984" footer="0.31496062992125984"/>
  <pageSetup fitToHeight="3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0" zoomScaleNormal="24" zoomScaleSheetLayoutView="70" zoomScalePageLayoutView="0" workbookViewId="0" topLeftCell="A1">
      <selection activeCell="H5" sqref="H5:H6"/>
    </sheetView>
  </sheetViews>
  <sheetFormatPr defaultColWidth="9.140625" defaultRowHeight="15"/>
  <cols>
    <col min="1" max="1" width="9.28125" style="438" bestFit="1" customWidth="1"/>
    <col min="2" max="2" width="47.7109375" style="438" customWidth="1"/>
    <col min="3" max="3" width="11.28125" style="438" customWidth="1"/>
    <col min="4" max="4" width="9.7109375" style="438" customWidth="1"/>
    <col min="5" max="5" width="9.8515625" style="438" customWidth="1"/>
    <col min="6" max="6" width="10.00390625" style="438" customWidth="1"/>
    <col min="7" max="7" width="9.57421875" style="438" customWidth="1"/>
    <col min="8" max="8" width="9.7109375" style="438" customWidth="1"/>
    <col min="9" max="9" width="9.57421875" style="438" customWidth="1"/>
    <col min="10" max="10" width="9.8515625" style="438" customWidth="1"/>
    <col min="11" max="11" width="9.00390625" style="438" customWidth="1"/>
    <col min="12" max="12" width="11.140625" style="438" customWidth="1"/>
    <col min="13" max="14" width="11.7109375" style="438" customWidth="1"/>
    <col min="15" max="15" width="11.28125" style="438" customWidth="1"/>
    <col min="16" max="16384" width="9.140625" style="438" customWidth="1"/>
  </cols>
  <sheetData>
    <row r="1" spans="10:15" s="439" customFormat="1" ht="60.75" customHeight="1">
      <c r="J1" s="867"/>
      <c r="K1" s="868"/>
      <c r="L1" s="868"/>
      <c r="M1" s="868"/>
      <c r="N1" s="868"/>
      <c r="O1" s="868"/>
    </row>
    <row r="2" spans="1:15" s="439" customFormat="1" ht="100.5" customHeight="1">
      <c r="A2" s="141"/>
      <c r="B2" s="141"/>
      <c r="C2" s="142"/>
      <c r="D2" s="869"/>
      <c r="E2" s="869"/>
      <c r="F2" s="869"/>
      <c r="G2" s="869"/>
      <c r="J2" s="870" t="s">
        <v>602</v>
      </c>
      <c r="K2" s="870"/>
      <c r="L2" s="870"/>
      <c r="M2" s="870"/>
      <c r="N2" s="870"/>
      <c r="O2" s="870"/>
    </row>
    <row r="3" spans="1:15" s="440" customFormat="1" ht="18" customHeight="1">
      <c r="A3" s="871" t="s">
        <v>118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</row>
    <row r="4" spans="1:13" s="439" customFormat="1" ht="17.25" customHeight="1">
      <c r="A4" s="141"/>
      <c r="B4" s="141"/>
      <c r="C4" s="142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20" s="439" customFormat="1" ht="37.5" customHeight="1">
      <c r="A5" s="872"/>
      <c r="B5" s="872" t="s">
        <v>35</v>
      </c>
      <c r="C5" s="872" t="s">
        <v>34</v>
      </c>
      <c r="D5" s="872" t="s">
        <v>33</v>
      </c>
      <c r="E5" s="872" t="s">
        <v>32</v>
      </c>
      <c r="F5" s="874" t="s">
        <v>31</v>
      </c>
      <c r="G5" s="874" t="s">
        <v>115</v>
      </c>
      <c r="H5" s="874" t="s">
        <v>114</v>
      </c>
      <c r="I5" s="874" t="s">
        <v>113</v>
      </c>
      <c r="J5" s="874" t="s">
        <v>112</v>
      </c>
      <c r="K5" s="858" t="s">
        <v>111</v>
      </c>
      <c r="L5" s="858" t="s">
        <v>110</v>
      </c>
      <c r="M5" s="874" t="s">
        <v>109</v>
      </c>
      <c r="N5" s="877" t="s">
        <v>117</v>
      </c>
      <c r="O5" s="878"/>
      <c r="P5" s="858" t="s">
        <v>116</v>
      </c>
      <c r="Q5" s="859"/>
      <c r="R5" s="859"/>
      <c r="S5" s="859"/>
      <c r="T5" s="860"/>
    </row>
    <row r="6" spans="1:20" s="439" customFormat="1" ht="31.5">
      <c r="A6" s="873"/>
      <c r="B6" s="873"/>
      <c r="C6" s="873"/>
      <c r="D6" s="873"/>
      <c r="E6" s="873"/>
      <c r="F6" s="874"/>
      <c r="G6" s="874"/>
      <c r="H6" s="874"/>
      <c r="I6" s="874"/>
      <c r="J6" s="874"/>
      <c r="K6" s="858"/>
      <c r="L6" s="858"/>
      <c r="M6" s="874"/>
      <c r="N6" s="610" t="s">
        <v>108</v>
      </c>
      <c r="O6" s="435" t="s">
        <v>249</v>
      </c>
      <c r="P6" s="435" t="s">
        <v>577</v>
      </c>
      <c r="Q6" s="435" t="s">
        <v>595</v>
      </c>
      <c r="R6" s="609" t="s">
        <v>596</v>
      </c>
      <c r="S6" s="609" t="s">
        <v>597</v>
      </c>
      <c r="T6" s="558" t="s">
        <v>598</v>
      </c>
    </row>
    <row r="7" spans="1:20" s="439" customFormat="1" ht="180" customHeight="1">
      <c r="A7" s="215">
        <v>1</v>
      </c>
      <c r="B7" s="862" t="s">
        <v>355</v>
      </c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4"/>
    </row>
    <row r="8" spans="1:20" s="439" customFormat="1" ht="52.5" customHeight="1">
      <c r="A8" s="215" t="s">
        <v>107</v>
      </c>
      <c r="B8" s="143" t="s">
        <v>50</v>
      </c>
      <c r="C8" s="103" t="s">
        <v>2</v>
      </c>
      <c r="D8" s="6">
        <v>29.5</v>
      </c>
      <c r="E8" s="8" t="s">
        <v>318</v>
      </c>
      <c r="F8" s="8" t="s">
        <v>319</v>
      </c>
      <c r="G8" s="8" t="s">
        <v>320</v>
      </c>
      <c r="H8" s="144" t="s">
        <v>321</v>
      </c>
      <c r="I8" s="8" t="s">
        <v>456</v>
      </c>
      <c r="J8" s="145" t="s">
        <v>457</v>
      </c>
      <c r="K8" s="633" t="s">
        <v>463</v>
      </c>
      <c r="L8" s="641" t="s">
        <v>515</v>
      </c>
      <c r="M8" s="641" t="s">
        <v>516</v>
      </c>
      <c r="N8" s="641" t="s">
        <v>517</v>
      </c>
      <c r="O8" s="553" t="s">
        <v>517</v>
      </c>
      <c r="P8" s="650" t="s">
        <v>584</v>
      </c>
      <c r="Q8" s="650" t="s">
        <v>584</v>
      </c>
      <c r="R8" s="650" t="s">
        <v>584</v>
      </c>
      <c r="S8" s="650" t="s">
        <v>584</v>
      </c>
      <c r="T8" s="650" t="s">
        <v>584</v>
      </c>
    </row>
    <row r="9" spans="1:20" s="439" customFormat="1" ht="62.25" customHeight="1">
      <c r="A9" s="214" t="s">
        <v>106</v>
      </c>
      <c r="B9" s="147" t="s">
        <v>6</v>
      </c>
      <c r="C9" s="103" t="s">
        <v>2</v>
      </c>
      <c r="D9" s="14">
        <v>6.6</v>
      </c>
      <c r="E9" s="14">
        <v>6.89</v>
      </c>
      <c r="F9" s="50">
        <v>8.7</v>
      </c>
      <c r="G9" s="50">
        <v>8.7</v>
      </c>
      <c r="H9" s="148">
        <v>8.8</v>
      </c>
      <c r="I9" s="50">
        <v>8.9</v>
      </c>
      <c r="J9" s="94">
        <v>9</v>
      </c>
      <c r="K9" s="634">
        <v>17.5</v>
      </c>
      <c r="L9" s="642">
        <v>18.1</v>
      </c>
      <c r="M9" s="642">
        <v>18.4</v>
      </c>
      <c r="N9" s="642">
        <v>18.5</v>
      </c>
      <c r="O9" s="554">
        <v>18.6</v>
      </c>
      <c r="P9" s="651">
        <v>18.7</v>
      </c>
      <c r="Q9" s="651">
        <v>18.7</v>
      </c>
      <c r="R9" s="651">
        <v>18.7</v>
      </c>
      <c r="S9" s="651">
        <v>18.7</v>
      </c>
      <c r="T9" s="651">
        <v>18.7</v>
      </c>
    </row>
    <row r="10" spans="1:20" s="439" customFormat="1" ht="62.25" customHeight="1">
      <c r="A10" s="381" t="s">
        <v>385</v>
      </c>
      <c r="B10" s="147" t="s">
        <v>514</v>
      </c>
      <c r="C10" s="103" t="s">
        <v>1</v>
      </c>
      <c r="D10" s="515">
        <v>0</v>
      </c>
      <c r="E10" s="515">
        <v>0</v>
      </c>
      <c r="F10" s="8">
        <v>0</v>
      </c>
      <c r="G10" s="8">
        <v>0</v>
      </c>
      <c r="H10" s="144">
        <v>0</v>
      </c>
      <c r="I10" s="8">
        <v>0</v>
      </c>
      <c r="J10" s="8">
        <v>0</v>
      </c>
      <c r="K10" s="635">
        <v>0</v>
      </c>
      <c r="L10" s="643" t="s">
        <v>324</v>
      </c>
      <c r="M10" s="643">
        <v>3669</v>
      </c>
      <c r="N10" s="643">
        <v>3669</v>
      </c>
      <c r="O10" s="555">
        <v>3669</v>
      </c>
      <c r="P10" s="652">
        <v>3669</v>
      </c>
      <c r="Q10" s="652">
        <v>3669</v>
      </c>
      <c r="R10" s="652">
        <v>3669</v>
      </c>
      <c r="S10" s="652">
        <v>3669</v>
      </c>
      <c r="T10" s="652">
        <v>3669</v>
      </c>
    </row>
    <row r="11" spans="1:20" s="439" customFormat="1" ht="62.25" customHeight="1">
      <c r="A11" s="381" t="s">
        <v>386</v>
      </c>
      <c r="B11" s="147" t="s">
        <v>518</v>
      </c>
      <c r="C11" s="103" t="s">
        <v>332</v>
      </c>
      <c r="D11" s="515">
        <v>0</v>
      </c>
      <c r="E11" s="515">
        <v>0</v>
      </c>
      <c r="F11" s="8">
        <v>0</v>
      </c>
      <c r="G11" s="8">
        <v>0</v>
      </c>
      <c r="H11" s="144">
        <v>0</v>
      </c>
      <c r="I11" s="8">
        <v>0</v>
      </c>
      <c r="J11" s="8">
        <v>0</v>
      </c>
      <c r="K11" s="635">
        <v>0</v>
      </c>
      <c r="L11" s="643" t="s">
        <v>324</v>
      </c>
      <c r="M11" s="643" t="s">
        <v>519</v>
      </c>
      <c r="N11" s="643" t="s">
        <v>588</v>
      </c>
      <c r="O11" s="555" t="s">
        <v>588</v>
      </c>
      <c r="P11" s="652" t="s">
        <v>588</v>
      </c>
      <c r="Q11" s="652" t="s">
        <v>588</v>
      </c>
      <c r="R11" s="652" t="s">
        <v>588</v>
      </c>
      <c r="S11" s="652" t="s">
        <v>588</v>
      </c>
      <c r="T11" s="652" t="s">
        <v>588</v>
      </c>
    </row>
    <row r="12" spans="1:20" s="439" customFormat="1" ht="76.5" customHeight="1">
      <c r="A12" s="381" t="s">
        <v>423</v>
      </c>
      <c r="B12" s="146" t="s">
        <v>323</v>
      </c>
      <c r="C12" s="103" t="s">
        <v>2</v>
      </c>
      <c r="D12" s="14">
        <v>0</v>
      </c>
      <c r="E12" s="144" t="s">
        <v>324</v>
      </c>
      <c r="F12" s="8" t="s">
        <v>324</v>
      </c>
      <c r="G12" s="8" t="s">
        <v>324</v>
      </c>
      <c r="H12" s="144" t="s">
        <v>325</v>
      </c>
      <c r="I12" s="8">
        <v>0.66</v>
      </c>
      <c r="J12" s="8">
        <v>0.68</v>
      </c>
      <c r="K12" s="635" t="s">
        <v>465</v>
      </c>
      <c r="L12" s="643" t="s">
        <v>520</v>
      </c>
      <c r="M12" s="643" t="s">
        <v>521</v>
      </c>
      <c r="N12" s="643" t="s">
        <v>522</v>
      </c>
      <c r="O12" s="555" t="s">
        <v>523</v>
      </c>
      <c r="P12" s="652" t="s">
        <v>585</v>
      </c>
      <c r="Q12" s="652" t="s">
        <v>585</v>
      </c>
      <c r="R12" s="652" t="s">
        <v>585</v>
      </c>
      <c r="S12" s="652" t="s">
        <v>585</v>
      </c>
      <c r="T12" s="652" t="s">
        <v>585</v>
      </c>
    </row>
    <row r="13" spans="1:20" s="439" customFormat="1" ht="102" customHeight="1">
      <c r="A13" s="381" t="s">
        <v>426</v>
      </c>
      <c r="B13" s="149" t="s">
        <v>326</v>
      </c>
      <c r="C13" s="103" t="s">
        <v>2</v>
      </c>
      <c r="D13" s="6">
        <v>0</v>
      </c>
      <c r="E13" s="6">
        <v>0</v>
      </c>
      <c r="F13" s="6">
        <v>0</v>
      </c>
      <c r="G13" s="8" t="s">
        <v>324</v>
      </c>
      <c r="H13" s="144" t="s">
        <v>327</v>
      </c>
      <c r="I13" s="8" t="s">
        <v>328</v>
      </c>
      <c r="J13" s="8" t="s">
        <v>329</v>
      </c>
      <c r="K13" s="635" t="s">
        <v>464</v>
      </c>
      <c r="L13" s="643" t="s">
        <v>524</v>
      </c>
      <c r="M13" s="643" t="s">
        <v>525</v>
      </c>
      <c r="N13" s="643" t="s">
        <v>526</v>
      </c>
      <c r="O13" s="555" t="s">
        <v>527</v>
      </c>
      <c r="P13" s="652" t="s">
        <v>586</v>
      </c>
      <c r="Q13" s="652" t="s">
        <v>586</v>
      </c>
      <c r="R13" s="652" t="s">
        <v>586</v>
      </c>
      <c r="S13" s="652" t="s">
        <v>586</v>
      </c>
      <c r="T13" s="652" t="s">
        <v>586</v>
      </c>
    </row>
    <row r="14" spans="1:20" s="439" customFormat="1" ht="40.5" customHeight="1">
      <c r="A14" s="381" t="s">
        <v>528</v>
      </c>
      <c r="B14" s="149" t="s">
        <v>529</v>
      </c>
      <c r="C14" s="103" t="s">
        <v>1</v>
      </c>
      <c r="D14" s="515">
        <v>0</v>
      </c>
      <c r="E14" s="515">
        <v>0</v>
      </c>
      <c r="F14" s="8">
        <v>0</v>
      </c>
      <c r="G14" s="8">
        <v>0</v>
      </c>
      <c r="H14" s="144">
        <v>0</v>
      </c>
      <c r="I14" s="8">
        <v>0</v>
      </c>
      <c r="J14" s="8">
        <v>0</v>
      </c>
      <c r="K14" s="635">
        <v>0</v>
      </c>
      <c r="L14" s="643" t="s">
        <v>324</v>
      </c>
      <c r="M14" s="643" t="s">
        <v>533</v>
      </c>
      <c r="N14" s="643" t="s">
        <v>533</v>
      </c>
      <c r="O14" s="555" t="s">
        <v>533</v>
      </c>
      <c r="P14" s="652" t="s">
        <v>533</v>
      </c>
      <c r="Q14" s="652" t="s">
        <v>533</v>
      </c>
      <c r="R14" s="652" t="s">
        <v>533</v>
      </c>
      <c r="S14" s="652" t="s">
        <v>533</v>
      </c>
      <c r="T14" s="652" t="s">
        <v>533</v>
      </c>
    </row>
    <row r="15" spans="1:20" s="439" customFormat="1" ht="66" customHeight="1">
      <c r="A15" s="381" t="s">
        <v>530</v>
      </c>
      <c r="B15" s="149" t="s">
        <v>334</v>
      </c>
      <c r="C15" s="103" t="s">
        <v>2</v>
      </c>
      <c r="D15" s="515">
        <v>0</v>
      </c>
      <c r="E15" s="515">
        <v>0</v>
      </c>
      <c r="F15" s="8">
        <v>0</v>
      </c>
      <c r="G15" s="8">
        <v>0</v>
      </c>
      <c r="H15" s="144">
        <v>0</v>
      </c>
      <c r="I15" s="8">
        <v>0</v>
      </c>
      <c r="J15" s="8">
        <v>0</v>
      </c>
      <c r="K15" s="635">
        <v>0</v>
      </c>
      <c r="L15" s="643" t="s">
        <v>324</v>
      </c>
      <c r="M15" s="643" t="s">
        <v>531</v>
      </c>
      <c r="N15" s="643" t="s">
        <v>532</v>
      </c>
      <c r="O15" s="555" t="s">
        <v>532</v>
      </c>
      <c r="P15" s="652" t="s">
        <v>587</v>
      </c>
      <c r="Q15" s="652" t="s">
        <v>587</v>
      </c>
      <c r="R15" s="652" t="s">
        <v>587</v>
      </c>
      <c r="S15" s="652" t="s">
        <v>587</v>
      </c>
      <c r="T15" s="652" t="s">
        <v>587</v>
      </c>
    </row>
    <row r="16" spans="1:20" s="439" customFormat="1" ht="102" customHeight="1">
      <c r="A16" s="214" t="s">
        <v>337</v>
      </c>
      <c r="B16" s="861" t="s">
        <v>599</v>
      </c>
      <c r="C16" s="859"/>
      <c r="D16" s="859"/>
      <c r="E16" s="859"/>
      <c r="F16" s="859"/>
      <c r="G16" s="859"/>
      <c r="H16" s="859"/>
      <c r="I16" s="859"/>
      <c r="J16" s="859"/>
      <c r="K16" s="859"/>
      <c r="L16" s="859"/>
      <c r="M16" s="859"/>
      <c r="N16" s="859"/>
      <c r="O16" s="859"/>
      <c r="P16" s="859"/>
      <c r="Q16" s="859"/>
      <c r="R16" s="859"/>
      <c r="S16" s="859"/>
      <c r="T16" s="859"/>
    </row>
    <row r="17" spans="1:20" s="439" customFormat="1" ht="50.25" customHeight="1">
      <c r="A17" s="215" t="s">
        <v>356</v>
      </c>
      <c r="B17" s="104" t="s">
        <v>20</v>
      </c>
      <c r="C17" s="103" t="s">
        <v>19</v>
      </c>
      <c r="D17" s="519">
        <v>35</v>
      </c>
      <c r="E17" s="519">
        <v>90</v>
      </c>
      <c r="F17" s="519">
        <v>100</v>
      </c>
      <c r="G17" s="519">
        <v>100</v>
      </c>
      <c r="H17" s="519">
        <v>60</v>
      </c>
      <c r="I17" s="519">
        <v>60</v>
      </c>
      <c r="J17" s="520">
        <v>60</v>
      </c>
      <c r="K17" s="636">
        <v>60</v>
      </c>
      <c r="L17" s="644">
        <v>27</v>
      </c>
      <c r="M17" s="644">
        <v>16</v>
      </c>
      <c r="N17" s="644">
        <v>16</v>
      </c>
      <c r="O17" s="562">
        <v>16</v>
      </c>
      <c r="P17" s="637">
        <v>16</v>
      </c>
      <c r="Q17" s="637">
        <v>16</v>
      </c>
      <c r="R17" s="637">
        <v>16</v>
      </c>
      <c r="S17" s="637">
        <v>16</v>
      </c>
      <c r="T17" s="637">
        <v>16</v>
      </c>
    </row>
    <row r="18" spans="1:20" s="60" customFormat="1" ht="115.5" customHeight="1">
      <c r="A18" s="215" t="s">
        <v>357</v>
      </c>
      <c r="B18" s="104" t="s">
        <v>303</v>
      </c>
      <c r="C18" s="103" t="s">
        <v>19</v>
      </c>
      <c r="D18" s="521">
        <v>0</v>
      </c>
      <c r="E18" s="521">
        <v>0</v>
      </c>
      <c r="F18" s="521">
        <v>0</v>
      </c>
      <c r="G18" s="521">
        <v>0</v>
      </c>
      <c r="H18" s="521">
        <v>21</v>
      </c>
      <c r="I18" s="521">
        <v>21</v>
      </c>
      <c r="J18" s="521">
        <v>15</v>
      </c>
      <c r="K18" s="636">
        <v>17</v>
      </c>
      <c r="L18" s="645">
        <v>19</v>
      </c>
      <c r="M18" s="645">
        <v>13</v>
      </c>
      <c r="N18" s="645">
        <v>13</v>
      </c>
      <c r="O18" s="520">
        <v>13</v>
      </c>
      <c r="P18" s="637">
        <v>13</v>
      </c>
      <c r="Q18" s="637">
        <v>13</v>
      </c>
      <c r="R18" s="637">
        <v>13</v>
      </c>
      <c r="S18" s="637">
        <v>13</v>
      </c>
      <c r="T18" s="637">
        <v>13</v>
      </c>
    </row>
    <row r="19" spans="1:20" s="439" customFormat="1" ht="116.25" customHeight="1">
      <c r="A19" s="215" t="s">
        <v>358</v>
      </c>
      <c r="B19" s="154" t="s">
        <v>304</v>
      </c>
      <c r="C19" s="103" t="s">
        <v>19</v>
      </c>
      <c r="D19" s="522">
        <v>0</v>
      </c>
      <c r="E19" s="522">
        <v>0</v>
      </c>
      <c r="F19" s="522">
        <v>0</v>
      </c>
      <c r="G19" s="522">
        <v>0</v>
      </c>
      <c r="H19" s="522">
        <v>20</v>
      </c>
      <c r="I19" s="522">
        <v>20</v>
      </c>
      <c r="J19" s="522">
        <v>10</v>
      </c>
      <c r="K19" s="636">
        <v>11</v>
      </c>
      <c r="L19" s="645">
        <v>12</v>
      </c>
      <c r="M19" s="645">
        <v>12</v>
      </c>
      <c r="N19" s="645">
        <v>12</v>
      </c>
      <c r="O19" s="520">
        <v>12</v>
      </c>
      <c r="P19" s="637">
        <v>12</v>
      </c>
      <c r="Q19" s="637">
        <v>12</v>
      </c>
      <c r="R19" s="637">
        <v>12</v>
      </c>
      <c r="S19" s="637">
        <v>12</v>
      </c>
      <c r="T19" s="637">
        <v>12</v>
      </c>
    </row>
    <row r="20" spans="1:20" s="439" customFormat="1" ht="100.5" customHeight="1">
      <c r="A20" s="215" t="s">
        <v>359</v>
      </c>
      <c r="B20" s="154" t="s">
        <v>335</v>
      </c>
      <c r="C20" s="103" t="s">
        <v>19</v>
      </c>
      <c r="D20" s="521">
        <v>0</v>
      </c>
      <c r="E20" s="521">
        <v>0</v>
      </c>
      <c r="F20" s="521">
        <v>0</v>
      </c>
      <c r="G20" s="521">
        <v>0</v>
      </c>
      <c r="H20" s="521">
        <v>17</v>
      </c>
      <c r="I20" s="521">
        <v>17</v>
      </c>
      <c r="J20" s="521">
        <v>8</v>
      </c>
      <c r="K20" s="636">
        <v>9</v>
      </c>
      <c r="L20" s="645">
        <v>10</v>
      </c>
      <c r="M20" s="645">
        <v>13</v>
      </c>
      <c r="N20" s="645">
        <v>13</v>
      </c>
      <c r="O20" s="520">
        <v>13</v>
      </c>
      <c r="P20" s="637">
        <v>13</v>
      </c>
      <c r="Q20" s="637">
        <v>13</v>
      </c>
      <c r="R20" s="637">
        <v>13</v>
      </c>
      <c r="S20" s="637">
        <v>13</v>
      </c>
      <c r="T20" s="637">
        <v>13</v>
      </c>
    </row>
    <row r="21" spans="1:20" s="439" customFormat="1" ht="49.5" customHeight="1">
      <c r="A21" s="215" t="s">
        <v>360</v>
      </c>
      <c r="B21" s="155" t="s">
        <v>305</v>
      </c>
      <c r="C21" s="103" t="s">
        <v>1</v>
      </c>
      <c r="D21" s="521">
        <v>0</v>
      </c>
      <c r="E21" s="521">
        <v>0</v>
      </c>
      <c r="F21" s="521">
        <v>0</v>
      </c>
      <c r="G21" s="521">
        <v>0</v>
      </c>
      <c r="H21" s="521">
        <v>66</v>
      </c>
      <c r="I21" s="521">
        <v>68</v>
      </c>
      <c r="J21" s="520">
        <v>72</v>
      </c>
      <c r="K21" s="637">
        <v>72</v>
      </c>
      <c r="L21" s="644">
        <v>96</v>
      </c>
      <c r="M21" s="644">
        <v>52</v>
      </c>
      <c r="N21" s="644">
        <v>52</v>
      </c>
      <c r="O21" s="562">
        <v>52</v>
      </c>
      <c r="P21" s="637">
        <v>52</v>
      </c>
      <c r="Q21" s="637">
        <v>52</v>
      </c>
      <c r="R21" s="637">
        <v>52</v>
      </c>
      <c r="S21" s="637">
        <v>52</v>
      </c>
      <c r="T21" s="637">
        <v>52</v>
      </c>
    </row>
    <row r="22" spans="1:20" s="439" customFormat="1" ht="51.75" customHeight="1">
      <c r="A22" s="215" t="s">
        <v>361</v>
      </c>
      <c r="B22" s="154" t="s">
        <v>306</v>
      </c>
      <c r="C22" s="103" t="s">
        <v>19</v>
      </c>
      <c r="D22" s="521">
        <v>15</v>
      </c>
      <c r="E22" s="521">
        <v>16</v>
      </c>
      <c r="F22" s="521">
        <v>16</v>
      </c>
      <c r="G22" s="521">
        <v>18</v>
      </c>
      <c r="H22" s="521">
        <v>20</v>
      </c>
      <c r="I22" s="521">
        <v>22</v>
      </c>
      <c r="J22" s="520">
        <v>24</v>
      </c>
      <c r="K22" s="636">
        <v>24</v>
      </c>
      <c r="L22" s="645">
        <v>75</v>
      </c>
      <c r="M22" s="644">
        <v>76</v>
      </c>
      <c r="N22" s="644">
        <v>75</v>
      </c>
      <c r="O22" s="562">
        <v>75</v>
      </c>
      <c r="P22" s="637">
        <v>75</v>
      </c>
      <c r="Q22" s="637">
        <v>75</v>
      </c>
      <c r="R22" s="637">
        <v>75</v>
      </c>
      <c r="S22" s="637">
        <v>75</v>
      </c>
      <c r="T22" s="637">
        <v>75</v>
      </c>
    </row>
    <row r="23" spans="1:20" s="439" customFormat="1" ht="47.25" customHeight="1">
      <c r="A23" s="215" t="s">
        <v>338</v>
      </c>
      <c r="B23" s="866" t="s">
        <v>600</v>
      </c>
      <c r="C23" s="859"/>
      <c r="D23" s="859"/>
      <c r="E23" s="859"/>
      <c r="F23" s="859"/>
      <c r="G23" s="859"/>
      <c r="H23" s="859"/>
      <c r="I23" s="859"/>
      <c r="J23" s="859"/>
      <c r="K23" s="859"/>
      <c r="L23" s="859"/>
      <c r="M23" s="859"/>
      <c r="N23" s="859"/>
      <c r="O23" s="859"/>
      <c r="P23" s="859"/>
      <c r="Q23" s="859"/>
      <c r="R23" s="859"/>
      <c r="S23" s="859"/>
      <c r="T23" s="859"/>
    </row>
    <row r="24" spans="1:20" s="439" customFormat="1" ht="36.75" customHeight="1">
      <c r="A24" s="214" t="s">
        <v>362</v>
      </c>
      <c r="B24" s="152" t="s">
        <v>245</v>
      </c>
      <c r="C24" s="103" t="s">
        <v>1</v>
      </c>
      <c r="D24" s="429">
        <v>6</v>
      </c>
      <c r="E24" s="429">
        <v>8</v>
      </c>
      <c r="F24" s="429">
        <v>10</v>
      </c>
      <c r="G24" s="429">
        <v>10</v>
      </c>
      <c r="H24" s="430">
        <v>0</v>
      </c>
      <c r="I24" s="430">
        <v>0</v>
      </c>
      <c r="J24" s="430">
        <v>0</v>
      </c>
      <c r="K24" s="430">
        <v>0</v>
      </c>
      <c r="L24" s="646">
        <v>0</v>
      </c>
      <c r="M24" s="646">
        <v>0</v>
      </c>
      <c r="N24" s="646">
        <v>0</v>
      </c>
      <c r="O24" s="429">
        <v>0</v>
      </c>
      <c r="P24" s="430">
        <v>0</v>
      </c>
      <c r="Q24" s="430">
        <v>0</v>
      </c>
      <c r="R24" s="430">
        <v>0</v>
      </c>
      <c r="S24" s="430">
        <v>0</v>
      </c>
      <c r="T24" s="430">
        <v>0</v>
      </c>
    </row>
    <row r="25" spans="1:20" s="439" customFormat="1" ht="36.75" customHeight="1">
      <c r="A25" s="214" t="s">
        <v>363</v>
      </c>
      <c r="B25" s="143" t="s">
        <v>51</v>
      </c>
      <c r="C25" s="103" t="s">
        <v>105</v>
      </c>
      <c r="D25" s="431">
        <v>707</v>
      </c>
      <c r="E25" s="431">
        <v>677</v>
      </c>
      <c r="F25" s="431">
        <v>670</v>
      </c>
      <c r="G25" s="432">
        <v>670</v>
      </c>
      <c r="H25" s="433">
        <v>0</v>
      </c>
      <c r="I25" s="431">
        <v>0</v>
      </c>
      <c r="J25" s="431">
        <v>0</v>
      </c>
      <c r="K25" s="638">
        <v>0</v>
      </c>
      <c r="L25" s="647">
        <v>0</v>
      </c>
      <c r="M25" s="647">
        <v>0</v>
      </c>
      <c r="N25" s="647">
        <v>0</v>
      </c>
      <c r="O25" s="431">
        <v>0</v>
      </c>
      <c r="P25" s="638">
        <v>0</v>
      </c>
      <c r="Q25" s="638">
        <v>0</v>
      </c>
      <c r="R25" s="638">
        <v>0</v>
      </c>
      <c r="S25" s="638">
        <v>0</v>
      </c>
      <c r="T25" s="655">
        <v>0</v>
      </c>
    </row>
    <row r="26" spans="1:20" s="439" customFormat="1" ht="36.75" customHeight="1">
      <c r="A26" s="214" t="s">
        <v>365</v>
      </c>
      <c r="B26" s="143" t="s">
        <v>250</v>
      </c>
      <c r="C26" s="103" t="s">
        <v>1</v>
      </c>
      <c r="D26" s="431">
        <v>5</v>
      </c>
      <c r="E26" s="431">
        <v>6</v>
      </c>
      <c r="F26" s="431">
        <v>6</v>
      </c>
      <c r="G26" s="432">
        <v>7</v>
      </c>
      <c r="H26" s="433">
        <v>0</v>
      </c>
      <c r="I26" s="431">
        <v>0</v>
      </c>
      <c r="J26" s="431">
        <v>0</v>
      </c>
      <c r="K26" s="638">
        <v>0</v>
      </c>
      <c r="L26" s="647">
        <v>0</v>
      </c>
      <c r="M26" s="647">
        <v>0</v>
      </c>
      <c r="N26" s="647">
        <v>0</v>
      </c>
      <c r="O26" s="431">
        <v>0</v>
      </c>
      <c r="P26" s="638">
        <v>0</v>
      </c>
      <c r="Q26" s="638">
        <v>0</v>
      </c>
      <c r="R26" s="638">
        <v>0</v>
      </c>
      <c r="S26" s="638">
        <v>0</v>
      </c>
      <c r="T26" s="655">
        <v>0</v>
      </c>
    </row>
    <row r="27" spans="1:20" s="439" customFormat="1" ht="49.5" customHeight="1">
      <c r="A27" s="214" t="s">
        <v>364</v>
      </c>
      <c r="B27" s="146" t="s">
        <v>244</v>
      </c>
      <c r="C27" s="103" t="s">
        <v>2</v>
      </c>
      <c r="D27" s="434">
        <v>3</v>
      </c>
      <c r="E27" s="434">
        <v>5</v>
      </c>
      <c r="F27" s="434">
        <v>10</v>
      </c>
      <c r="G27" s="434">
        <v>10</v>
      </c>
      <c r="H27" s="434">
        <v>0</v>
      </c>
      <c r="I27" s="434">
        <v>0</v>
      </c>
      <c r="J27" s="434">
        <v>0</v>
      </c>
      <c r="K27" s="638">
        <v>0</v>
      </c>
      <c r="L27" s="647">
        <v>0</v>
      </c>
      <c r="M27" s="647">
        <v>0</v>
      </c>
      <c r="N27" s="647">
        <v>0</v>
      </c>
      <c r="O27" s="431">
        <v>0</v>
      </c>
      <c r="P27" s="638">
        <v>0</v>
      </c>
      <c r="Q27" s="638">
        <v>0</v>
      </c>
      <c r="R27" s="638">
        <v>0</v>
      </c>
      <c r="S27" s="638">
        <v>0</v>
      </c>
      <c r="T27" s="655">
        <v>0</v>
      </c>
    </row>
    <row r="28" spans="1:20" s="439" customFormat="1" ht="56.25" customHeight="1">
      <c r="A28" s="217" t="s">
        <v>339</v>
      </c>
      <c r="B28" s="865" t="s">
        <v>601</v>
      </c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</row>
    <row r="29" spans="1:20" s="439" customFormat="1" ht="48.75" customHeight="1">
      <c r="A29" s="217" t="s">
        <v>366</v>
      </c>
      <c r="B29" s="559" t="s">
        <v>349</v>
      </c>
      <c r="C29" s="605" t="s">
        <v>369</v>
      </c>
      <c r="D29" s="606">
        <v>5</v>
      </c>
      <c r="E29" s="606">
        <v>5</v>
      </c>
      <c r="F29" s="606">
        <v>5</v>
      </c>
      <c r="G29" s="606">
        <v>5</v>
      </c>
      <c r="H29" s="606">
        <v>5</v>
      </c>
      <c r="I29" s="606">
        <v>5</v>
      </c>
      <c r="J29" s="606">
        <v>5</v>
      </c>
      <c r="K29" s="639">
        <v>5</v>
      </c>
      <c r="L29" s="648">
        <v>5</v>
      </c>
      <c r="M29" s="648">
        <v>5</v>
      </c>
      <c r="N29" s="648">
        <v>5</v>
      </c>
      <c r="O29" s="606">
        <v>5</v>
      </c>
      <c r="P29" s="639">
        <v>5</v>
      </c>
      <c r="Q29" s="639">
        <v>5</v>
      </c>
      <c r="R29" s="639">
        <v>5</v>
      </c>
      <c r="S29" s="639">
        <v>5</v>
      </c>
      <c r="T29" s="656">
        <v>5</v>
      </c>
    </row>
    <row r="30" spans="1:20" s="439" customFormat="1" ht="66.75" customHeight="1">
      <c r="A30" s="217" t="s">
        <v>367</v>
      </c>
      <c r="B30" s="219" t="s">
        <v>350</v>
      </c>
      <c r="C30" s="607" t="s">
        <v>369</v>
      </c>
      <c r="D30" s="608">
        <v>5</v>
      </c>
      <c r="E30" s="608">
        <v>5</v>
      </c>
      <c r="F30" s="608">
        <v>5</v>
      </c>
      <c r="G30" s="608">
        <v>5</v>
      </c>
      <c r="H30" s="608">
        <v>5</v>
      </c>
      <c r="I30" s="608">
        <v>5</v>
      </c>
      <c r="J30" s="608">
        <v>5</v>
      </c>
      <c r="K30" s="640">
        <v>5</v>
      </c>
      <c r="L30" s="649">
        <v>5</v>
      </c>
      <c r="M30" s="649">
        <v>5</v>
      </c>
      <c r="N30" s="649">
        <v>5</v>
      </c>
      <c r="O30" s="608">
        <v>5</v>
      </c>
      <c r="P30" s="640">
        <v>5</v>
      </c>
      <c r="Q30" s="640">
        <v>5</v>
      </c>
      <c r="R30" s="640">
        <v>5</v>
      </c>
      <c r="S30" s="640">
        <v>5</v>
      </c>
      <c r="T30" s="657">
        <v>5</v>
      </c>
    </row>
    <row r="31" spans="1:20" s="439" customFormat="1" ht="65.25" customHeight="1">
      <c r="A31" s="217" t="s">
        <v>368</v>
      </c>
      <c r="B31" s="219" t="s">
        <v>143</v>
      </c>
      <c r="C31" s="607" t="s">
        <v>369</v>
      </c>
      <c r="D31" s="608">
        <v>5</v>
      </c>
      <c r="E31" s="608">
        <v>5</v>
      </c>
      <c r="F31" s="608">
        <v>5</v>
      </c>
      <c r="G31" s="608">
        <v>5</v>
      </c>
      <c r="H31" s="608">
        <v>5</v>
      </c>
      <c r="I31" s="608">
        <v>5</v>
      </c>
      <c r="J31" s="608">
        <v>5</v>
      </c>
      <c r="K31" s="640">
        <v>5</v>
      </c>
      <c r="L31" s="649">
        <v>5</v>
      </c>
      <c r="M31" s="649">
        <v>5</v>
      </c>
      <c r="N31" s="649">
        <v>5</v>
      </c>
      <c r="O31" s="608">
        <v>5</v>
      </c>
      <c r="P31" s="640">
        <v>5</v>
      </c>
      <c r="Q31" s="640">
        <v>5</v>
      </c>
      <c r="R31" s="640">
        <v>5</v>
      </c>
      <c r="S31" s="640">
        <v>5</v>
      </c>
      <c r="T31" s="657">
        <v>5</v>
      </c>
    </row>
    <row r="32" spans="1:15" s="439" customFormat="1" ht="15">
      <c r="A32" s="216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</row>
    <row r="33" spans="1:15" s="439" customFormat="1" ht="15">
      <c r="A33" s="216"/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</row>
    <row r="34" spans="1:15" s="439" customFormat="1" ht="18.75">
      <c r="A34" s="875" t="s">
        <v>63</v>
      </c>
      <c r="B34" s="875"/>
      <c r="C34" s="875"/>
      <c r="D34" s="61"/>
      <c r="E34" s="61"/>
      <c r="F34" s="876"/>
      <c r="G34" s="876"/>
      <c r="H34" s="876"/>
      <c r="I34" s="876"/>
      <c r="J34" s="876"/>
      <c r="K34" s="876"/>
      <c r="L34" s="876" t="s">
        <v>247</v>
      </c>
      <c r="M34" s="876"/>
      <c r="N34" s="876"/>
      <c r="O34" s="60"/>
    </row>
    <row r="35" s="439" customFormat="1" ht="15"/>
    <row r="36" s="439" customFormat="1" ht="15"/>
  </sheetData>
  <sheetProtection/>
  <mergeCells count="27">
    <mergeCell ref="A34:C34"/>
    <mergeCell ref="F34:H34"/>
    <mergeCell ref="I34:K34"/>
    <mergeCell ref="L34:N34"/>
    <mergeCell ref="G5:G6"/>
    <mergeCell ref="H5:H6"/>
    <mergeCell ref="I5:I6"/>
    <mergeCell ref="J5:J6"/>
    <mergeCell ref="K5:K6"/>
    <mergeCell ref="N5:O5"/>
    <mergeCell ref="J1:O1"/>
    <mergeCell ref="D2:G2"/>
    <mergeCell ref="J2:O2"/>
    <mergeCell ref="A3:O3"/>
    <mergeCell ref="A5:A6"/>
    <mergeCell ref="B5:B6"/>
    <mergeCell ref="C5:C6"/>
    <mergeCell ref="D5:D6"/>
    <mergeCell ref="E5:E6"/>
    <mergeCell ref="F5:F6"/>
    <mergeCell ref="M5:M6"/>
    <mergeCell ref="L5:L6"/>
    <mergeCell ref="P5:T5"/>
    <mergeCell ref="B16:T16"/>
    <mergeCell ref="B7:T7"/>
    <mergeCell ref="B28:T28"/>
    <mergeCell ref="B23:T23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view="pageBreakPreview" zoomScale="90" zoomScaleSheetLayoutView="90" zoomScalePageLayoutView="0" workbookViewId="0" topLeftCell="A1">
      <selection activeCell="F21" sqref="F21"/>
    </sheetView>
  </sheetViews>
  <sheetFormatPr defaultColWidth="9.140625" defaultRowHeight="15"/>
  <cols>
    <col min="2" max="2" width="41.140625" style="0" customWidth="1"/>
    <col min="4" max="4" width="12.00390625" style="0" customWidth="1"/>
    <col min="8" max="8" width="11.28125" style="0" customWidth="1"/>
  </cols>
  <sheetData>
    <row r="1" spans="6:11" s="1" customFormat="1" ht="39" customHeight="1">
      <c r="F1" s="803"/>
      <c r="G1" s="804"/>
      <c r="H1" s="804"/>
      <c r="I1" s="804"/>
      <c r="J1" s="804"/>
      <c r="K1" s="804"/>
    </row>
    <row r="2" spans="6:11" s="12" customFormat="1" ht="45.75" customHeight="1">
      <c r="F2" s="812" t="s">
        <v>613</v>
      </c>
      <c r="G2" s="812"/>
      <c r="H2" s="812"/>
      <c r="I2" s="812"/>
      <c r="J2" s="885"/>
      <c r="K2" s="885"/>
    </row>
    <row r="3" spans="1:8" s="1" customFormat="1" ht="12.75" customHeight="1">
      <c r="A3" s="813"/>
      <c r="B3" s="813"/>
      <c r="C3" s="813"/>
      <c r="D3" s="813"/>
      <c r="E3" s="813"/>
      <c r="F3" s="813"/>
      <c r="G3" s="813"/>
      <c r="H3" s="813"/>
    </row>
    <row r="4" spans="1:15" s="1" customFormat="1" ht="29.25" customHeight="1">
      <c r="A4" s="814" t="s">
        <v>607</v>
      </c>
      <c r="B4" s="814"/>
      <c r="C4" s="814"/>
      <c r="D4" s="814"/>
      <c r="E4" s="814"/>
      <c r="F4" s="814"/>
      <c r="G4" s="814"/>
      <c r="H4" s="814"/>
      <c r="I4" s="884"/>
      <c r="J4" s="884"/>
      <c r="K4" s="884"/>
      <c r="L4" s="884"/>
      <c r="M4" s="884"/>
      <c r="N4" s="884"/>
      <c r="O4" s="884"/>
    </row>
    <row r="5" s="1" customFormat="1" ht="12.75">
      <c r="L5" s="17"/>
    </row>
    <row r="6" spans="1:17" s="16" customFormat="1" ht="15" customHeight="1">
      <c r="A6" s="808" t="s">
        <v>17</v>
      </c>
      <c r="B6" s="808" t="s">
        <v>16</v>
      </c>
      <c r="C6" s="809" t="s">
        <v>15</v>
      </c>
      <c r="D6" s="809" t="s">
        <v>14</v>
      </c>
      <c r="E6" s="809" t="s">
        <v>13</v>
      </c>
      <c r="F6" s="809" t="s">
        <v>12</v>
      </c>
      <c r="G6" s="809" t="s">
        <v>11</v>
      </c>
      <c r="H6" s="809" t="s">
        <v>163</v>
      </c>
      <c r="I6" s="809" t="s">
        <v>239</v>
      </c>
      <c r="J6" s="809" t="s">
        <v>240</v>
      </c>
      <c r="K6" s="809" t="s">
        <v>280</v>
      </c>
      <c r="L6" s="882" t="s">
        <v>111</v>
      </c>
      <c r="M6" s="882" t="s">
        <v>110</v>
      </c>
      <c r="N6" s="882" t="s">
        <v>109</v>
      </c>
      <c r="O6" s="882" t="s">
        <v>108</v>
      </c>
      <c r="P6" s="882" t="s">
        <v>249</v>
      </c>
      <c r="Q6" s="882" t="s">
        <v>577</v>
      </c>
    </row>
    <row r="7" spans="1:17" s="16" customFormat="1" ht="31.5" customHeight="1">
      <c r="A7" s="808"/>
      <c r="B7" s="808"/>
      <c r="C7" s="809"/>
      <c r="D7" s="809"/>
      <c r="E7" s="809" t="s">
        <v>10</v>
      </c>
      <c r="F7" s="809" t="s">
        <v>10</v>
      </c>
      <c r="G7" s="809" t="s">
        <v>10</v>
      </c>
      <c r="H7" s="809" t="s">
        <v>10</v>
      </c>
      <c r="I7" s="809" t="s">
        <v>10</v>
      </c>
      <c r="J7" s="809" t="s">
        <v>10</v>
      </c>
      <c r="K7" s="809" t="s">
        <v>10</v>
      </c>
      <c r="L7" s="882"/>
      <c r="M7" s="882"/>
      <c r="N7" s="883"/>
      <c r="O7" s="882"/>
      <c r="P7" s="882"/>
      <c r="Q7" s="882"/>
    </row>
    <row r="8" spans="1:17" s="16" customFormat="1" ht="55.5" customHeight="1">
      <c r="A8" s="436"/>
      <c r="B8" s="436" t="s">
        <v>9</v>
      </c>
      <c r="C8" s="879" t="s">
        <v>347</v>
      </c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1"/>
    </row>
    <row r="9" spans="1:17" s="12" customFormat="1" ht="25.5" customHeight="1">
      <c r="A9" s="8"/>
      <c r="B9" s="15" t="s">
        <v>23</v>
      </c>
      <c r="C9" s="516"/>
      <c r="D9" s="516"/>
      <c r="E9" s="516"/>
      <c r="F9" s="516"/>
      <c r="G9" s="516"/>
      <c r="H9" s="516"/>
      <c r="I9" s="516"/>
      <c r="J9" s="516"/>
      <c r="K9" s="517"/>
      <c r="L9" s="517"/>
      <c r="M9" s="517"/>
      <c r="N9" s="518"/>
      <c r="O9" s="517"/>
      <c r="P9" s="93"/>
      <c r="Q9" s="93"/>
    </row>
    <row r="10" spans="1:17" s="12" customFormat="1" ht="79.5" customHeight="1">
      <c r="A10" s="8" t="s">
        <v>336</v>
      </c>
      <c r="B10" s="143" t="s">
        <v>50</v>
      </c>
      <c r="C10" s="6" t="s">
        <v>2</v>
      </c>
      <c r="D10" s="5" t="s">
        <v>0</v>
      </c>
      <c r="E10" s="6">
        <v>29.5</v>
      </c>
      <c r="F10" s="8" t="s">
        <v>318</v>
      </c>
      <c r="G10" s="8" t="s">
        <v>319</v>
      </c>
      <c r="H10" s="8" t="s">
        <v>320</v>
      </c>
      <c r="I10" s="144" t="s">
        <v>321</v>
      </c>
      <c r="J10" s="8" t="s">
        <v>456</v>
      </c>
      <c r="K10" s="145" t="s">
        <v>457</v>
      </c>
      <c r="L10" s="145" t="s">
        <v>463</v>
      </c>
      <c r="M10" s="553" t="s">
        <v>515</v>
      </c>
      <c r="N10" s="553" t="s">
        <v>516</v>
      </c>
      <c r="O10" s="553" t="s">
        <v>517</v>
      </c>
      <c r="P10" s="553" t="s">
        <v>517</v>
      </c>
      <c r="Q10" s="567" t="s">
        <v>584</v>
      </c>
    </row>
    <row r="11" spans="1:17" s="12" customFormat="1" ht="105" customHeight="1">
      <c r="A11" s="8" t="s">
        <v>337</v>
      </c>
      <c r="B11" s="147" t="s">
        <v>6</v>
      </c>
      <c r="C11" s="6" t="s">
        <v>2</v>
      </c>
      <c r="D11" s="5" t="s">
        <v>0</v>
      </c>
      <c r="E11" s="14">
        <v>6.6</v>
      </c>
      <c r="F11" s="14">
        <v>6.89</v>
      </c>
      <c r="G11" s="50">
        <v>8.7</v>
      </c>
      <c r="H11" s="50">
        <v>8.7</v>
      </c>
      <c r="I11" s="148">
        <v>8.8</v>
      </c>
      <c r="J11" s="50">
        <v>8.9</v>
      </c>
      <c r="K11" s="94">
        <v>9</v>
      </c>
      <c r="L11" s="94">
        <v>17.5</v>
      </c>
      <c r="M11" s="554">
        <v>18.1</v>
      </c>
      <c r="N11" s="554">
        <v>18.4</v>
      </c>
      <c r="O11" s="554">
        <v>18.5</v>
      </c>
      <c r="P11" s="554">
        <v>18.6</v>
      </c>
      <c r="Q11" s="568">
        <v>18.7</v>
      </c>
    </row>
    <row r="12" spans="1:17" s="442" customFormat="1" ht="103.5" customHeight="1">
      <c r="A12" s="144" t="s">
        <v>338</v>
      </c>
      <c r="B12" s="147" t="s">
        <v>514</v>
      </c>
      <c r="C12" s="209" t="s">
        <v>2</v>
      </c>
      <c r="D12" s="210" t="s">
        <v>0</v>
      </c>
      <c r="E12" s="515">
        <v>0</v>
      </c>
      <c r="F12" s="515">
        <v>0</v>
      </c>
      <c r="G12" s="8">
        <v>0</v>
      </c>
      <c r="H12" s="8">
        <v>0</v>
      </c>
      <c r="I12" s="144">
        <v>0</v>
      </c>
      <c r="J12" s="8">
        <v>0</v>
      </c>
      <c r="K12" s="8">
        <v>0</v>
      </c>
      <c r="L12" s="8">
        <v>0</v>
      </c>
      <c r="M12" s="555" t="s">
        <v>324</v>
      </c>
      <c r="N12" s="555">
        <v>3669</v>
      </c>
      <c r="O12" s="555">
        <v>3669</v>
      </c>
      <c r="P12" s="555">
        <v>3669</v>
      </c>
      <c r="Q12" s="144">
        <v>3669</v>
      </c>
    </row>
    <row r="13" spans="1:17" s="443" customFormat="1" ht="45">
      <c r="A13" s="209" t="s">
        <v>339</v>
      </c>
      <c r="B13" s="147" t="s">
        <v>518</v>
      </c>
      <c r="C13" s="212" t="s">
        <v>2</v>
      </c>
      <c r="D13" s="210" t="s">
        <v>0</v>
      </c>
      <c r="E13" s="515">
        <v>0</v>
      </c>
      <c r="F13" s="515">
        <v>0</v>
      </c>
      <c r="G13" s="8">
        <v>0</v>
      </c>
      <c r="H13" s="8">
        <v>0</v>
      </c>
      <c r="I13" s="144">
        <v>0</v>
      </c>
      <c r="J13" s="8">
        <v>0</v>
      </c>
      <c r="K13" s="8">
        <v>0</v>
      </c>
      <c r="L13" s="8">
        <v>0</v>
      </c>
      <c r="M13" s="555" t="s">
        <v>324</v>
      </c>
      <c r="N13" s="555" t="s">
        <v>519</v>
      </c>
      <c r="O13" s="555" t="s">
        <v>588</v>
      </c>
      <c r="P13" s="555" t="s">
        <v>588</v>
      </c>
      <c r="Q13" s="144" t="s">
        <v>588</v>
      </c>
    </row>
    <row r="14" spans="1:17" s="443" customFormat="1" ht="86.25" customHeight="1">
      <c r="A14" s="209" t="s">
        <v>340</v>
      </c>
      <c r="B14" s="146" t="s">
        <v>323</v>
      </c>
      <c r="C14" s="212" t="s">
        <v>2</v>
      </c>
      <c r="D14" s="210" t="s">
        <v>0</v>
      </c>
      <c r="E14" s="14">
        <v>0</v>
      </c>
      <c r="F14" s="144" t="s">
        <v>324</v>
      </c>
      <c r="G14" s="8" t="s">
        <v>324</v>
      </c>
      <c r="H14" s="8" t="s">
        <v>324</v>
      </c>
      <c r="I14" s="144" t="s">
        <v>325</v>
      </c>
      <c r="J14" s="8">
        <v>0.66</v>
      </c>
      <c r="K14" s="8">
        <v>0.68</v>
      </c>
      <c r="L14" s="8" t="s">
        <v>465</v>
      </c>
      <c r="M14" s="555" t="s">
        <v>520</v>
      </c>
      <c r="N14" s="555" t="s">
        <v>521</v>
      </c>
      <c r="O14" s="555" t="s">
        <v>522</v>
      </c>
      <c r="P14" s="555" t="s">
        <v>523</v>
      </c>
      <c r="Q14" s="144" t="s">
        <v>585</v>
      </c>
    </row>
    <row r="15" spans="1:17" s="1" customFormat="1" ht="128.25" customHeight="1">
      <c r="A15" s="6" t="s">
        <v>341</v>
      </c>
      <c r="B15" s="149" t="s">
        <v>326</v>
      </c>
      <c r="C15" s="436" t="s">
        <v>332</v>
      </c>
      <c r="D15" s="5" t="s">
        <v>0</v>
      </c>
      <c r="E15" s="6">
        <v>0</v>
      </c>
      <c r="F15" s="6">
        <v>0</v>
      </c>
      <c r="G15" s="6">
        <v>0</v>
      </c>
      <c r="H15" s="8" t="s">
        <v>324</v>
      </c>
      <c r="I15" s="144" t="s">
        <v>327</v>
      </c>
      <c r="J15" s="8" t="s">
        <v>328</v>
      </c>
      <c r="K15" s="8" t="s">
        <v>329</v>
      </c>
      <c r="L15" s="8" t="s">
        <v>464</v>
      </c>
      <c r="M15" s="555" t="s">
        <v>524</v>
      </c>
      <c r="N15" s="555" t="s">
        <v>525</v>
      </c>
      <c r="O15" s="555" t="s">
        <v>526</v>
      </c>
      <c r="P15" s="555" t="s">
        <v>527</v>
      </c>
      <c r="Q15" s="144" t="s">
        <v>586</v>
      </c>
    </row>
    <row r="16" spans="1:17" s="1" customFormat="1" ht="58.5" customHeight="1">
      <c r="A16" s="209" t="s">
        <v>342</v>
      </c>
      <c r="B16" s="149" t="s">
        <v>529</v>
      </c>
      <c r="C16" s="436" t="s">
        <v>2</v>
      </c>
      <c r="D16" s="5" t="s">
        <v>0</v>
      </c>
      <c r="E16" s="515">
        <v>0</v>
      </c>
      <c r="F16" s="515">
        <v>0</v>
      </c>
      <c r="G16" s="8">
        <v>0</v>
      </c>
      <c r="H16" s="8">
        <v>0</v>
      </c>
      <c r="I16" s="144">
        <v>0</v>
      </c>
      <c r="J16" s="8">
        <v>0</v>
      </c>
      <c r="K16" s="8">
        <v>0</v>
      </c>
      <c r="L16" s="8">
        <v>0</v>
      </c>
      <c r="M16" s="555" t="s">
        <v>324</v>
      </c>
      <c r="N16" s="555" t="s">
        <v>533</v>
      </c>
      <c r="O16" s="555" t="s">
        <v>533</v>
      </c>
      <c r="P16" s="555" t="s">
        <v>533</v>
      </c>
      <c r="Q16" s="144" t="s">
        <v>533</v>
      </c>
    </row>
    <row r="17" spans="1:17" s="1" customFormat="1" ht="73.5" customHeight="1">
      <c r="A17" s="6" t="s">
        <v>343</v>
      </c>
      <c r="B17" s="149" t="s">
        <v>334</v>
      </c>
      <c r="C17" s="436" t="s">
        <v>2</v>
      </c>
      <c r="D17" s="5" t="s">
        <v>0</v>
      </c>
      <c r="E17" s="515">
        <v>0</v>
      </c>
      <c r="F17" s="515">
        <v>0</v>
      </c>
      <c r="G17" s="8">
        <v>0</v>
      </c>
      <c r="H17" s="8">
        <v>0</v>
      </c>
      <c r="I17" s="144">
        <v>0</v>
      </c>
      <c r="J17" s="8">
        <v>0</v>
      </c>
      <c r="K17" s="8">
        <v>0</v>
      </c>
      <c r="L17" s="8">
        <v>0</v>
      </c>
      <c r="M17" s="555" t="s">
        <v>324</v>
      </c>
      <c r="N17" s="555" t="s">
        <v>531</v>
      </c>
      <c r="O17" s="555" t="s">
        <v>532</v>
      </c>
      <c r="P17" s="555" t="s">
        <v>532</v>
      </c>
      <c r="Q17" s="144" t="s">
        <v>587</v>
      </c>
    </row>
    <row r="18" s="1" customFormat="1" ht="34.5" customHeight="1">
      <c r="I18" s="66"/>
    </row>
    <row r="19" spans="1:8" s="1" customFormat="1" ht="38.25" customHeight="1">
      <c r="A19" s="824" t="s">
        <v>63</v>
      </c>
      <c r="B19" s="824"/>
      <c r="C19" s="67"/>
      <c r="D19" s="67"/>
      <c r="E19" s="66"/>
      <c r="F19" s="825" t="s">
        <v>186</v>
      </c>
      <c r="G19" s="825"/>
      <c r="H19" s="66"/>
    </row>
    <row r="20" s="1" customFormat="1" ht="21" customHeight="1"/>
    <row r="21" ht="58.5" customHeight="1"/>
    <row r="22" ht="93" customHeight="1"/>
    <row r="27" ht="15" customHeight="1">
      <c r="Q27" s="1"/>
    </row>
    <row r="28" ht="15" customHeight="1">
      <c r="Q28" s="1"/>
    </row>
    <row r="29" ht="15" customHeight="1">
      <c r="Q29" s="1"/>
    </row>
    <row r="30" ht="15">
      <c r="Q30" s="1"/>
    </row>
    <row r="31" ht="15">
      <c r="Q31" s="1"/>
    </row>
  </sheetData>
  <sheetProtection/>
  <mergeCells count="24">
    <mergeCell ref="F1:K1"/>
    <mergeCell ref="A3:H3"/>
    <mergeCell ref="A6:A7"/>
    <mergeCell ref="B6:B7"/>
    <mergeCell ref="C6:C7"/>
    <mergeCell ref="D6:D7"/>
    <mergeCell ref="E6:E7"/>
    <mergeCell ref="F6:F7"/>
    <mergeCell ref="A4:O4"/>
    <mergeCell ref="F2:K2"/>
    <mergeCell ref="A19:B19"/>
    <mergeCell ref="F19:G19"/>
    <mergeCell ref="C8:Q8"/>
    <mergeCell ref="G6:G7"/>
    <mergeCell ref="H6:H7"/>
    <mergeCell ref="I6:I7"/>
    <mergeCell ref="M6:M7"/>
    <mergeCell ref="N6:N7"/>
    <mergeCell ref="P6:P7"/>
    <mergeCell ref="Q6:Q7"/>
    <mergeCell ref="J6:J7"/>
    <mergeCell ref="K6:K7"/>
    <mergeCell ref="L6:L7"/>
    <mergeCell ref="O6:O7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2013-12-05T06:46:12Z</cp:lastPrinted>
  <dcterms:created xsi:type="dcterms:W3CDTF">2006-09-16T00:00:00Z</dcterms:created>
  <dcterms:modified xsi:type="dcterms:W3CDTF">2024-02-28T16:43:18Z</dcterms:modified>
  <cp:category/>
  <cp:version/>
  <cp:contentType/>
  <cp:contentStatus/>
</cp:coreProperties>
</file>