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 Миронова Е.В\!!!!!!!\3. МП 21.05.2025\"/>
    </mc:Choice>
  </mc:AlternateContent>
  <bookViews>
    <workbookView xWindow="0" yWindow="0" windowWidth="28800" windowHeight="12330"/>
  </bookViews>
  <sheets>
    <sheet name="прил1 к пасп МП" sheetId="1" r:id="rId1"/>
    <sheet name="прил2 к пасп МП" sheetId="2" r:id="rId2"/>
    <sheet name="прил1 к МП" sheetId="3" r:id="rId3"/>
    <sheet name="прил2 к МП" sheetId="4" r:id="rId4"/>
    <sheet name="прил3 к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  <sheet name="Лист1" sheetId="14" r:id="rId14"/>
  </sheets>
  <externalReferences>
    <externalReference r:id="rId15"/>
    <externalReference r:id="rId16"/>
  </externalReferences>
  <definedNames>
    <definedName name="_xlnm._FilterDatabase" localSheetId="6" hidden="1">'прил2 к пасп подпр1'!$A$4:$Z$78</definedName>
    <definedName name="_xlnm._FilterDatabase" localSheetId="8" hidden="1">'прил2 к пасп подпр2'!$A$1:$Z$191</definedName>
    <definedName name="_xlnm._FilterDatabase" localSheetId="10" hidden="1">'прил2 к пасп подпр3'!$A$4:$X$35</definedName>
    <definedName name="Z_2166B299_1DBB_4BE8_98C9_E9EFB21DCA26_.wvu.FilterData" localSheetId="6" hidden="1">'прил2 к пасп подпр1'!$A$4:$Z$78</definedName>
    <definedName name="Z_2166B299_1DBB_4BE8_98C9_E9EFB21DCA26_.wvu.FilterData" localSheetId="8" hidden="1">'прил2 к пасп подпр2'!$A$4:$Z$191</definedName>
    <definedName name="Z_2166B299_1DBB_4BE8_98C9_E9EFB21DCA26_.wvu.FilterData" localSheetId="10" hidden="1">'прил2 к пасп подпр3'!$A$4:$X$35</definedName>
    <definedName name="Z_2715DACA_7FC2_4162_875B_92B3FB82D8B1_.wvu.FilterData" localSheetId="6" hidden="1">'прил2 к пасп подпр1'!$A$4:$Z$78</definedName>
    <definedName name="Z_2715DACA_7FC2_4162_875B_92B3FB82D8B1_.wvu.FilterData" localSheetId="8" hidden="1">'прил2 к пасп подпр2'!$A$4:$Z$191</definedName>
    <definedName name="Z_2715DACA_7FC2_4162_875B_92B3FB82D8B1_.wvu.FilterData" localSheetId="10" hidden="1">'прил2 к пасп подпр3'!$A$4:$X$35</definedName>
    <definedName name="Z_29BFB567_1C85_481C_A8AF_8210D8E0792F_.wvu.FilterData" localSheetId="6" hidden="1">'прил2 к пасп подпр1'!$A$4:$Z$78</definedName>
    <definedName name="Z_29BFB567_1C85_481C_A8AF_8210D8E0792F_.wvu.FilterData" localSheetId="8" hidden="1">'прил2 к пасп подпр2'!$A$4:$Z$191</definedName>
    <definedName name="Z_29BFB567_1C85_481C_A8AF_8210D8E0792F_.wvu.FilterData" localSheetId="10" hidden="1">'прил2 к пасп подпр3'!$A$4:$X$35</definedName>
    <definedName name="Z_4767DD30_F6FB_4FF0_A429_8866A8232500_.wvu.Cols" localSheetId="0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1" hidden="1">'прил2 к пасп МП'!$D:$E</definedName>
    <definedName name="Z_4767DD30_F6FB_4FF0_A429_8866A8232500_.wvu.FilterData" localSheetId="6" hidden="1">'прил2 к пасп подпр1'!$A$4:$Z$78</definedName>
    <definedName name="Z_4767DD30_F6FB_4FF0_A429_8866A8232500_.wvu.FilterData" localSheetId="8" hidden="1">'прил2 к пасп подпр2'!$A$4:$Z$191</definedName>
    <definedName name="Z_4767DD30_F6FB_4FF0_A429_8866A8232500_.wvu.FilterData" localSheetId="10" hidden="1">'прил2 к пасп подпр3'!$A$4:$X$35</definedName>
    <definedName name="Z_4767DD30_F6FB_4FF0_A429_8866A8232500_.wvu.PrintArea" localSheetId="0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подпр2'!$A$1:$J$36</definedName>
    <definedName name="Z_4767DD30_F6FB_4FF0_A429_8866A8232500_.wvu.PrintArea" localSheetId="9" hidden="1">'прил1 к пасп подпр3'!$A$1:$H$4</definedName>
    <definedName name="Z_4767DD30_F6FB_4FF0_A429_8866A8232500_.wvu.PrintArea" localSheetId="11" hidden="1">'прил1 к пасп подпр4'!$A$1:$K$33</definedName>
    <definedName name="Z_4767DD30_F6FB_4FF0_A429_8866A8232500_.wvu.PrintArea" localSheetId="3" hidden="1">'прил2 к МП'!$A$1:$R$34</definedName>
    <definedName name="Z_4767DD30_F6FB_4FF0_A429_8866A8232500_.wvu.PrintArea" localSheetId="1" hidden="1">'прил2 к пасп МП'!$A$1:$Q$10</definedName>
    <definedName name="Z_4767DD30_F6FB_4FF0_A429_8866A8232500_.wvu.PrintArea" localSheetId="6" hidden="1">'прил2 к пасп подпр1'!$A$1:$W$85</definedName>
    <definedName name="Z_4767DD30_F6FB_4FF0_A429_8866A8232500_.wvu.PrintArea" localSheetId="8" hidden="1">'прил2 к пасп подпр2'!$A$1:$W$188</definedName>
    <definedName name="Z_4767DD30_F6FB_4FF0_A429_8866A8232500_.wvu.PrintArea" localSheetId="10" hidden="1">'прил2 к пасп подпр3'!$A$1:$W$40</definedName>
    <definedName name="Z_4767DD30_F6FB_4FF0_A429_8866A8232500_.wvu.PrintArea" localSheetId="12" hidden="1">'прил2 к пасп подпр4'!$A$1:$W$69</definedName>
    <definedName name="Z_4767DD30_F6FB_4FF0_A429_8866A8232500_.wvu.PrintTitles" localSheetId="0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3" hidden="1">'прил2 к МП'!$3:$4</definedName>
    <definedName name="Z_4767DD30_F6FB_4FF0_A429_8866A8232500_.wvu.PrintTitles" localSheetId="1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подпр2'!$138:$138,'прил2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подпр1'!$A$4:$Z$78</definedName>
    <definedName name="Z_484BD7FD_1D3D_4528_954E_A98D5B59AC9C_.wvu.FilterData" localSheetId="8" hidden="1">'прил2 к пасп подпр2'!$A$4:$Z$191</definedName>
    <definedName name="Z_484BD7FD_1D3D_4528_954E_A98D5B59AC9C_.wvu.FilterData" localSheetId="10" hidden="1">'прил2 к пасп подпр3'!$A$4:$X$35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подпр1'!$A$4:$Z$78</definedName>
    <definedName name="Z_7C917F30_361A_4C86_9002_2134EAE2E3CF_.wvu.FilterData" localSheetId="8" hidden="1">'прил2 к пасп подпр2'!$A$4:$Z$191</definedName>
    <definedName name="Z_7C917F30_361A_4C86_9002_2134EAE2E3CF_.wvu.FilterData" localSheetId="10" hidden="1">'прил2 к пасп подпр3'!$A$4:$X$35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подпр2'!$A$1:$J$36</definedName>
    <definedName name="Z_7C917F30_361A_4C86_9002_2134EAE2E3CF_.wvu.PrintArea" localSheetId="9" hidden="1">'прил1 к пасп подпр3'!$A$1:$H$4</definedName>
    <definedName name="Z_7C917F30_361A_4C86_9002_2134EAE2E3CF_.wvu.PrintArea" localSheetId="11" hidden="1">'прил1 к пасп подпр4'!$A$1:$K$33</definedName>
    <definedName name="Z_7C917F30_361A_4C86_9002_2134EAE2E3CF_.wvu.PrintArea" localSheetId="3" hidden="1">'прил2 к МП'!$A$1:$R$34</definedName>
    <definedName name="Z_7C917F30_361A_4C86_9002_2134EAE2E3CF_.wvu.PrintArea" localSheetId="6" hidden="1">'прил2 к пасп подпр1'!$A$1:$W$85</definedName>
    <definedName name="Z_7C917F30_361A_4C86_9002_2134EAE2E3CF_.wvu.PrintArea" localSheetId="8" hidden="1">'прил2 к пасп подпр2'!$A$1:$W$188</definedName>
    <definedName name="Z_7C917F30_361A_4C86_9002_2134EAE2E3CF_.wvu.PrintArea" localSheetId="10" hidden="1">'прил2 к пасп подпр3'!$A$1:$W$40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3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подпр1'!$A$4:$Z$78</definedName>
    <definedName name="Z_81F2AFB8_21DA_4513_90AB_0A09D7D72D56_.wvu.FilterData" localSheetId="8" hidden="1">'прил2 к пасп подпр2'!$A$4:$Z$191</definedName>
    <definedName name="Z_81F2AFB8_21DA_4513_90AB_0A09D7D72D56_.wvu.FilterData" localSheetId="10" hidden="1">'прил2 к пасп подпр3'!$A$4:$X$35</definedName>
    <definedName name="Z_AD6F79BD_847B_4421_A1AA_268A55FACAB4_.wvu.FilterData" localSheetId="6" hidden="1">'прил2 к пасп подпр1'!$A$4:$Z$78</definedName>
    <definedName name="Z_AD6F79BD_847B_4421_A1AA_268A55FACAB4_.wvu.FilterData" localSheetId="8" hidden="1">'прил2 к пасп подпр2'!$A$4:$Z$191</definedName>
    <definedName name="Z_AD6F79BD_847B_4421_A1AA_268A55FACAB4_.wvu.FilterData" localSheetId="10" hidden="1">'прил2 к пасп подпр3'!$A$4:$X$35</definedName>
    <definedName name="Z_B45C2115_52AF_4E7B_8578_551FB3CF371E_.wvu.FilterData" localSheetId="6" hidden="1">'прил2 к пасп подпр1'!$A$4:$Z$78</definedName>
    <definedName name="Z_B45C2115_52AF_4E7B_8578_551FB3CF371E_.wvu.FilterData" localSheetId="8" hidden="1">'прил2 к пасп подпр2'!$A$4:$Z$191</definedName>
    <definedName name="Z_B45C2115_52AF_4E7B_8578_551FB3CF371E_.wvu.FilterData" localSheetId="10" hidden="1">'прил2 к пасп подпр3'!$A$4:$X$35</definedName>
    <definedName name="Z_C75D4C66_EC35_48DB_8FCD_E29923CDB091_.wvu.FilterData" localSheetId="6" hidden="1">'прил2 к пасп подпр1'!$A$4:$Z$78</definedName>
    <definedName name="Z_C75D4C66_EC35_48DB_8FCD_E29923CDB091_.wvu.FilterData" localSheetId="8" hidden="1">'прил2 к пасп подпр2'!$A$4:$Z$191</definedName>
    <definedName name="Z_C75D4C66_EC35_48DB_8FCD_E29923CDB091_.wvu.FilterData" localSheetId="10" hidden="1">'прил2 к пасп подпр3'!$A$4:$X$35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подпр1'!$A$4:$Z$78</definedName>
    <definedName name="Z_CDE1D6F6_68DF_42F8_B01A_FF6465B24CCD_.wvu.FilterData" localSheetId="8" hidden="1">'прил2 к пасп подпр2'!$A$4:$Z$191</definedName>
    <definedName name="Z_CDE1D6F6_68DF_42F8_B01A_FF6465B24CCD_.wvu.FilterData" localSheetId="10" hidden="1">'прил2 к пасп подпр3'!$A$4:$X$35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подпр2'!$A$1:$J$36</definedName>
    <definedName name="Z_CDE1D6F6_68DF_42F8_B01A_FF6465B24CCD_.wvu.PrintArea" localSheetId="9" hidden="1">'прил1 к пасп подпр3'!$A$1:$H$4</definedName>
    <definedName name="Z_CDE1D6F6_68DF_42F8_B01A_FF6465B24CCD_.wvu.PrintArea" localSheetId="11" hidden="1">'прил1 к пасп подпр4'!$A$1:$K$33</definedName>
    <definedName name="Z_CDE1D6F6_68DF_42F8_B01A_FF6465B24CCD_.wvu.PrintArea" localSheetId="3" hidden="1">'прил2 к МП'!$A$1:$R$34</definedName>
    <definedName name="Z_CDE1D6F6_68DF_42F8_B01A_FF6465B24CCD_.wvu.PrintArea" localSheetId="6" hidden="1">'прил2 к пасп подпр1'!$A$1:$W$85</definedName>
    <definedName name="Z_CDE1D6F6_68DF_42F8_B01A_FF6465B24CCD_.wvu.PrintArea" localSheetId="8" hidden="1">'прил2 к пасп подпр2'!$A$1:$W$188</definedName>
    <definedName name="Z_CDE1D6F6_68DF_42F8_B01A_FF6465B24CCD_.wvu.PrintArea" localSheetId="10" hidden="1">'прил2 к пасп подпр3'!$A$1:$W$40</definedName>
    <definedName name="Z_CDE1D6F6_68DF_42F8_B01A_FF6465B24CCD_.wvu.PrintArea" localSheetId="12" hidden="1">'прил2 к пасп подпр4'!$A$1:$W$69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3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подпр1'!$A$4:$Z$78</definedName>
    <definedName name="Z_D97B14A5_4ECD_4EB7_B8A7_D41E462F19A2_.wvu.FilterData" localSheetId="8" hidden="1">'прил2 к пасп подпр2'!$A$4:$Z$191</definedName>
    <definedName name="Z_D97B14A5_4ECD_4EB7_B8A7_D41E462F19A2_.wvu.FilterData" localSheetId="10" hidden="1">'прил2 к пасп подпр3'!$A$4:$X$35</definedName>
    <definedName name="Z_FAC3C627_8E23_41AB_B3FB_95B33614D8DB_.wvu.FilterData" localSheetId="6" hidden="1">'прил2 к пасп подпр1'!$A$4:$Z$78</definedName>
    <definedName name="Z_FAC3C627_8E23_41AB_B3FB_95B33614D8DB_.wvu.FilterData" localSheetId="8" hidden="1">'прил2 к пасп подпр2'!$A$4:$Z$191</definedName>
    <definedName name="Z_FAC3C627_8E23_41AB_B3FB_95B33614D8DB_.wvu.FilterData" localSheetId="10" hidden="1">'прил2 к пасп подпр3'!$A$4:$X$35</definedName>
    <definedName name="_xlnm.Print_Titles" localSheetId="0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3">'прил2 к МП'!$3:$4</definedName>
    <definedName name="_xlnm.Print_Titles" localSheetId="1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Area" localSheetId="0">'прил1 к пасп МП'!$A$1:$T$76</definedName>
    <definedName name="_xlnm.Print_Area" localSheetId="5">'прил1 к пасп подпр1'!$A$1:$R$13</definedName>
    <definedName name="_xlnm.Print_Area" localSheetId="7">'прил1 к пасп подпр2'!$A$1:$R$36</definedName>
    <definedName name="_xlnm.Print_Area" localSheetId="9">'прил1 к пасп подпр3'!$A$1:$S$13</definedName>
    <definedName name="_xlnm.Print_Area" localSheetId="11">'прил1 к пасп подпр4'!$A$1:$R$29</definedName>
    <definedName name="_xlnm.Print_Area" localSheetId="3">'прил2 к МП'!$A$1:$R$34</definedName>
    <definedName name="_xlnm.Print_Area" localSheetId="1">'прил2 к пасп МП'!$A$1:$AD$10</definedName>
    <definedName name="_xlnm.Print_Area" localSheetId="6">'прил2 к пасп подпр1'!$A$1:$W$85</definedName>
    <definedName name="_xlnm.Print_Area" localSheetId="8">'прил2 к пасп подпр2'!$A$1:$W$194</definedName>
    <definedName name="_xlnm.Print_Area" localSheetId="10">'прил2 к пасп подпр3'!$A$1:$W$40</definedName>
    <definedName name="_xlnm.Print_Area" localSheetId="12">'прил2 к пасп подпр4'!$A$1:$W$70</definedName>
    <definedName name="_xlnm.Print_Area" localSheetId="4">'прил3 к МП'!$A$1:$AC$35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6" i="13" l="1"/>
  <c r="T66" i="13"/>
  <c r="S66" i="13"/>
  <c r="R66" i="13"/>
  <c r="V66" i="13" s="1"/>
  <c r="P66" i="13"/>
  <c r="O64" i="13"/>
  <c r="O67" i="13" s="1"/>
  <c r="N64" i="13"/>
  <c r="N67" i="13" s="1"/>
  <c r="M64" i="13"/>
  <c r="M67" i="13" s="1"/>
  <c r="L64" i="13"/>
  <c r="L67" i="13" s="1"/>
  <c r="K64" i="13"/>
  <c r="K67" i="13" s="1"/>
  <c r="J64" i="13"/>
  <c r="J67" i="13" s="1"/>
  <c r="I64" i="13"/>
  <c r="I67" i="13" s="1"/>
  <c r="H64" i="13"/>
  <c r="H67" i="13" s="1"/>
  <c r="V63" i="13"/>
  <c r="Q63" i="13"/>
  <c r="O63" i="13"/>
  <c r="K63" i="13"/>
  <c r="V62" i="13"/>
  <c r="Q62" i="13"/>
  <c r="P61" i="13"/>
  <c r="V60" i="13"/>
  <c r="U60" i="13"/>
  <c r="T60" i="13"/>
  <c r="V59" i="13"/>
  <c r="R59" i="13"/>
  <c r="T58" i="13"/>
  <c r="S57" i="13"/>
  <c r="R57" i="13"/>
  <c r="Q57" i="13"/>
  <c r="U56" i="13"/>
  <c r="P56" i="13"/>
  <c r="P64" i="13" s="1"/>
  <c r="H54" i="13"/>
  <c r="S53" i="13"/>
  <c r="T53" i="13" s="1"/>
  <c r="U53" i="13" s="1"/>
  <c r="R53" i="13"/>
  <c r="V53" i="13" s="1"/>
  <c r="Q53" i="13"/>
  <c r="N53" i="13"/>
  <c r="V52" i="13"/>
  <c r="R52" i="13"/>
  <c r="P52" i="13"/>
  <c r="N52" i="13"/>
  <c r="R51" i="13"/>
  <c r="S51" i="13" s="1"/>
  <c r="T51" i="13" s="1"/>
  <c r="U51" i="13" s="1"/>
  <c r="Q51" i="13"/>
  <c r="P51" i="13"/>
  <c r="P50" i="13"/>
  <c r="V50" i="13" s="1"/>
  <c r="V49" i="13"/>
  <c r="T48" i="13"/>
  <c r="U48" i="13" s="1"/>
  <c r="S48" i="13"/>
  <c r="R48" i="13"/>
  <c r="V48" i="13" s="1"/>
  <c r="Q48" i="13"/>
  <c r="R47" i="13"/>
  <c r="S47" i="13" s="1"/>
  <c r="T47" i="13" s="1"/>
  <c r="U47" i="13" s="1"/>
  <c r="Q47" i="13"/>
  <c r="T46" i="13"/>
  <c r="U46" i="13" s="1"/>
  <c r="S46" i="13"/>
  <c r="R46" i="13"/>
  <c r="Q46" i="13"/>
  <c r="R45" i="13"/>
  <c r="S44" i="13"/>
  <c r="T44" i="13" s="1"/>
  <c r="U44" i="13" s="1"/>
  <c r="V43" i="13"/>
  <c r="U43" i="13"/>
  <c r="Q42" i="13"/>
  <c r="R42" i="13" s="1"/>
  <c r="S42" i="13" s="1"/>
  <c r="T42" i="13" s="1"/>
  <c r="U42" i="13" s="1"/>
  <c r="P42" i="13"/>
  <c r="P41" i="13"/>
  <c r="V40" i="13"/>
  <c r="P39" i="13"/>
  <c r="V38" i="13"/>
  <c r="U38" i="13"/>
  <c r="T38" i="13"/>
  <c r="R37" i="13"/>
  <c r="S37" i="13" s="1"/>
  <c r="T37" i="13" s="1"/>
  <c r="U37" i="13" s="1"/>
  <c r="S36" i="13"/>
  <c r="T36" i="13" s="1"/>
  <c r="U36" i="13" s="1"/>
  <c r="R36" i="13"/>
  <c r="V36" i="13" s="1"/>
  <c r="Q36" i="13"/>
  <c r="P36" i="13"/>
  <c r="R35" i="13"/>
  <c r="S35" i="13" s="1"/>
  <c r="Q35" i="13"/>
  <c r="P35" i="13"/>
  <c r="U34" i="13"/>
  <c r="T34" i="13"/>
  <c r="S34" i="13"/>
  <c r="R34" i="13"/>
  <c r="V34" i="13" s="1"/>
  <c r="R33" i="13"/>
  <c r="S33" i="13" s="1"/>
  <c r="Q33" i="13"/>
  <c r="T32" i="13"/>
  <c r="U32" i="13" s="1"/>
  <c r="S32" i="13"/>
  <c r="R32" i="13"/>
  <c r="V32" i="13" s="1"/>
  <c r="U31" i="13"/>
  <c r="Q31" i="13"/>
  <c r="P31" i="13"/>
  <c r="O31" i="13"/>
  <c r="M31" i="13"/>
  <c r="V31" i="13" s="1"/>
  <c r="Q30" i="13"/>
  <c r="P30" i="13"/>
  <c r="O30" i="13"/>
  <c r="N30" i="13"/>
  <c r="M30" i="13"/>
  <c r="M54" i="13" s="1"/>
  <c r="M65" i="13" s="1"/>
  <c r="K30" i="13"/>
  <c r="J30" i="13"/>
  <c r="J54" i="13" s="1"/>
  <c r="I30" i="13"/>
  <c r="I54" i="13" s="1"/>
  <c r="H30" i="13"/>
  <c r="V29" i="13"/>
  <c r="P29" i="13"/>
  <c r="T28" i="13"/>
  <c r="U28" i="13" s="1"/>
  <c r="S28" i="13"/>
  <c r="R28" i="13"/>
  <c r="V28" i="13" s="1"/>
  <c r="Q27" i="13"/>
  <c r="S26" i="13"/>
  <c r="T26" i="13" s="1"/>
  <c r="U26" i="13" s="1"/>
  <c r="R26" i="13"/>
  <c r="V26" i="13" s="1"/>
  <c r="Q26" i="13"/>
  <c r="U25" i="13"/>
  <c r="T25" i="13"/>
  <c r="S25" i="13"/>
  <c r="R25" i="13"/>
  <c r="V25" i="13" s="1"/>
  <c r="R24" i="13"/>
  <c r="S24" i="13" s="1"/>
  <c r="T24" i="13" s="1"/>
  <c r="U24" i="13" s="1"/>
  <c r="S23" i="13"/>
  <c r="T23" i="13" s="1"/>
  <c r="U23" i="13" s="1"/>
  <c r="R23" i="13"/>
  <c r="V23" i="13" s="1"/>
  <c r="Q23" i="13"/>
  <c r="U22" i="13"/>
  <c r="L22" i="13"/>
  <c r="V22" i="13" s="1"/>
  <c r="P21" i="13"/>
  <c r="S20" i="13"/>
  <c r="S30" i="13" s="1"/>
  <c r="R20" i="13"/>
  <c r="R30" i="13" s="1"/>
  <c r="L20" i="13"/>
  <c r="L30" i="13" s="1"/>
  <c r="Q19" i="13"/>
  <c r="R19" i="13" s="1"/>
  <c r="S19" i="13" s="1"/>
  <c r="T19" i="13" s="1"/>
  <c r="U19" i="13" s="1"/>
  <c r="P19" i="13"/>
  <c r="V19" i="13" s="1"/>
  <c r="P18" i="13"/>
  <c r="S17" i="13"/>
  <c r="T17" i="13" s="1"/>
  <c r="U17" i="13" s="1"/>
  <c r="R17" i="13"/>
  <c r="V17" i="13" s="1"/>
  <c r="Q17" i="13"/>
  <c r="P17" i="13"/>
  <c r="R16" i="13"/>
  <c r="Q16" i="13"/>
  <c r="P16" i="13"/>
  <c r="P67" i="13" s="1"/>
  <c r="V15" i="13"/>
  <c r="R14" i="13"/>
  <c r="S14" i="13" s="1"/>
  <c r="T14" i="13" s="1"/>
  <c r="U14" i="13" s="1"/>
  <c r="Q14" i="13"/>
  <c r="T13" i="13"/>
  <c r="U13" i="13" s="1"/>
  <c r="S13" i="13"/>
  <c r="R13" i="13"/>
  <c r="Q12" i="13"/>
  <c r="S11" i="13"/>
  <c r="T11" i="13" s="1"/>
  <c r="R11" i="13"/>
  <c r="V9" i="13"/>
  <c r="U8" i="13"/>
  <c r="T8" i="13"/>
  <c r="O8" i="13"/>
  <c r="O54" i="13" s="1"/>
  <c r="O65" i="13" s="1"/>
  <c r="O68" i="13" s="1"/>
  <c r="N8" i="13"/>
  <c r="N54" i="13" s="1"/>
  <c r="N65" i="13" s="1"/>
  <c r="K8" i="13"/>
  <c r="V8" i="13" s="1"/>
  <c r="V7" i="13"/>
  <c r="U7" i="13"/>
  <c r="T192" i="9"/>
  <c r="S192" i="9"/>
  <c r="R192" i="9"/>
  <c r="Q192" i="9"/>
  <c r="P192" i="9"/>
  <c r="O192" i="9"/>
  <c r="N192" i="9"/>
  <c r="K192" i="9"/>
  <c r="J192" i="9"/>
  <c r="I192" i="9"/>
  <c r="Q191" i="9"/>
  <c r="O191" i="9"/>
  <c r="N191" i="9"/>
  <c r="M191" i="9"/>
  <c r="I191" i="9"/>
  <c r="V190" i="9"/>
  <c r="P189" i="9"/>
  <c r="J189" i="9"/>
  <c r="I189" i="9"/>
  <c r="H189" i="9"/>
  <c r="O187" i="9"/>
  <c r="N187" i="9"/>
  <c r="M187" i="9"/>
  <c r="K187" i="9"/>
  <c r="I187" i="9"/>
  <c r="T186" i="9"/>
  <c r="U186" i="9" s="1"/>
  <c r="S186" i="9"/>
  <c r="R186" i="9"/>
  <c r="V186" i="9" s="1"/>
  <c r="Q186" i="9"/>
  <c r="V185" i="9"/>
  <c r="V184" i="9"/>
  <c r="V183" i="9"/>
  <c r="V182" i="9"/>
  <c r="V181" i="9"/>
  <c r="V180" i="9"/>
  <c r="V179" i="9"/>
  <c r="V178" i="9"/>
  <c r="V177" i="9"/>
  <c r="V176" i="9"/>
  <c r="V175" i="9"/>
  <c r="V174" i="9"/>
  <c r="V173" i="9"/>
  <c r="P172" i="9"/>
  <c r="Q172" i="9" s="1"/>
  <c r="R171" i="9"/>
  <c r="S171" i="9" s="1"/>
  <c r="T171" i="9" s="1"/>
  <c r="U171" i="9" s="1"/>
  <c r="Q171" i="9"/>
  <c r="P171" i="9"/>
  <c r="P170" i="9"/>
  <c r="R169" i="9"/>
  <c r="S169" i="9" s="1"/>
  <c r="T169" i="9" s="1"/>
  <c r="Q169" i="9"/>
  <c r="V169" i="9" s="1"/>
  <c r="P169" i="9"/>
  <c r="P168" i="9"/>
  <c r="P167" i="9"/>
  <c r="Q167" i="9" s="1"/>
  <c r="R166" i="9"/>
  <c r="S166" i="9" s="1"/>
  <c r="T166" i="9" s="1"/>
  <c r="U166" i="9" s="1"/>
  <c r="Q166" i="9"/>
  <c r="P166" i="9"/>
  <c r="Q165" i="9"/>
  <c r="R165" i="9" s="1"/>
  <c r="S165" i="9" s="1"/>
  <c r="T165" i="9" s="1"/>
  <c r="U165" i="9" s="1"/>
  <c r="P165" i="9"/>
  <c r="V165" i="9" s="1"/>
  <c r="P164" i="9"/>
  <c r="U163" i="9"/>
  <c r="L163" i="9"/>
  <c r="L187" i="9" s="1"/>
  <c r="H163" i="9"/>
  <c r="S162" i="9"/>
  <c r="T162" i="9" s="1"/>
  <c r="U162" i="9" s="1"/>
  <c r="R162" i="9"/>
  <c r="V162" i="9" s="1"/>
  <c r="T161" i="9"/>
  <c r="U161" i="9" s="1"/>
  <c r="S161" i="9"/>
  <c r="R161" i="9"/>
  <c r="Q161" i="9"/>
  <c r="V160" i="9"/>
  <c r="R160" i="9"/>
  <c r="S160" i="9" s="1"/>
  <c r="T160" i="9" s="1"/>
  <c r="U160" i="9" s="1"/>
  <c r="Q160" i="9"/>
  <c r="P160" i="9"/>
  <c r="U159" i="9"/>
  <c r="Q159" i="9"/>
  <c r="R159" i="9" s="1"/>
  <c r="S159" i="9" s="1"/>
  <c r="T159" i="9" s="1"/>
  <c r="P159" i="9"/>
  <c r="P158" i="9"/>
  <c r="S157" i="9"/>
  <c r="T157" i="9" s="1"/>
  <c r="U157" i="9" s="1"/>
  <c r="R157" i="9"/>
  <c r="V157" i="9" s="1"/>
  <c r="Q157" i="9"/>
  <c r="U156" i="9"/>
  <c r="R156" i="9"/>
  <c r="S156" i="9" s="1"/>
  <c r="T156" i="9" s="1"/>
  <c r="R155" i="9"/>
  <c r="S155" i="9" s="1"/>
  <c r="T155" i="9" s="1"/>
  <c r="U155" i="9" s="1"/>
  <c r="Q155" i="9"/>
  <c r="P155" i="9"/>
  <c r="Q154" i="9"/>
  <c r="R154" i="9" s="1"/>
  <c r="S154" i="9" s="1"/>
  <c r="T154" i="9" s="1"/>
  <c r="U154" i="9" s="1"/>
  <c r="P154" i="9"/>
  <c r="V154" i="9" s="1"/>
  <c r="Q153" i="9"/>
  <c r="R152" i="9"/>
  <c r="Q152" i="9"/>
  <c r="U151" i="9"/>
  <c r="P151" i="9"/>
  <c r="J151" i="9"/>
  <c r="V151" i="9" s="1"/>
  <c r="V150" i="9"/>
  <c r="V149" i="9"/>
  <c r="V148" i="9"/>
  <c r="P148" i="9"/>
  <c r="P187" i="9" s="1"/>
  <c r="O146" i="9"/>
  <c r="L146" i="9"/>
  <c r="J146" i="9"/>
  <c r="R145" i="9"/>
  <c r="S145" i="9" s="1"/>
  <c r="T145" i="9" s="1"/>
  <c r="Q145" i="9"/>
  <c r="P145" i="9"/>
  <c r="P144" i="9"/>
  <c r="P143" i="9"/>
  <c r="P142" i="9"/>
  <c r="P141" i="9"/>
  <c r="P140" i="9"/>
  <c r="U139" i="9"/>
  <c r="U192" i="9" s="1"/>
  <c r="N139" i="9"/>
  <c r="N146" i="9" s="1"/>
  <c r="M139" i="9"/>
  <c r="M192" i="9" s="1"/>
  <c r="L139" i="9"/>
  <c r="V139" i="9" s="1"/>
  <c r="V138" i="9"/>
  <c r="V137" i="9"/>
  <c r="V136" i="9"/>
  <c r="V135" i="9"/>
  <c r="V134" i="9"/>
  <c r="V133" i="9"/>
  <c r="V132" i="9"/>
  <c r="Q131" i="9"/>
  <c r="P131" i="9"/>
  <c r="V130" i="9"/>
  <c r="U130" i="9"/>
  <c r="P130" i="9"/>
  <c r="Q129" i="9"/>
  <c r="R129" i="9" s="1"/>
  <c r="S129" i="9" s="1"/>
  <c r="T129" i="9" s="1"/>
  <c r="U129" i="9" s="1"/>
  <c r="P129" i="9"/>
  <c r="T128" i="9"/>
  <c r="U128" i="9" s="1"/>
  <c r="R128" i="9"/>
  <c r="S128" i="9" s="1"/>
  <c r="Q128" i="9"/>
  <c r="R127" i="9"/>
  <c r="Q127" i="9"/>
  <c r="R126" i="9"/>
  <c r="S126" i="9" s="1"/>
  <c r="T126" i="9" s="1"/>
  <c r="U126" i="9" s="1"/>
  <c r="Q126" i="9"/>
  <c r="R125" i="9"/>
  <c r="S125" i="9" s="1"/>
  <c r="T125" i="9" s="1"/>
  <c r="U125" i="9" s="1"/>
  <c r="Q125" i="9"/>
  <c r="T124" i="9"/>
  <c r="U124" i="9" s="1"/>
  <c r="R124" i="9"/>
  <c r="S124" i="9" s="1"/>
  <c r="S123" i="9"/>
  <c r="T123" i="9" s="1"/>
  <c r="U123" i="9" s="1"/>
  <c r="R123" i="9"/>
  <c r="V123" i="9" s="1"/>
  <c r="V122" i="9"/>
  <c r="P122" i="9"/>
  <c r="R121" i="9"/>
  <c r="S121" i="9" s="1"/>
  <c r="T121" i="9" s="1"/>
  <c r="U121" i="9" s="1"/>
  <c r="Q121" i="9"/>
  <c r="V120" i="9"/>
  <c r="Q119" i="9"/>
  <c r="Q118" i="9"/>
  <c r="R118" i="9" s="1"/>
  <c r="S118" i="9" s="1"/>
  <c r="T118" i="9" s="1"/>
  <c r="U118" i="9" s="1"/>
  <c r="L118" i="9"/>
  <c r="P117" i="9"/>
  <c r="V116" i="9"/>
  <c r="V115" i="9"/>
  <c r="U115" i="9"/>
  <c r="R114" i="9"/>
  <c r="S114" i="9" s="1"/>
  <c r="T114" i="9" s="1"/>
  <c r="U114" i="9" s="1"/>
  <c r="Q114" i="9"/>
  <c r="T113" i="9"/>
  <c r="U112" i="9"/>
  <c r="V112" i="9" s="1"/>
  <c r="Q111" i="9"/>
  <c r="V110" i="9"/>
  <c r="V109" i="9"/>
  <c r="U109" i="9"/>
  <c r="R108" i="9"/>
  <c r="Q108" i="9"/>
  <c r="R107" i="9"/>
  <c r="S107" i="9" s="1"/>
  <c r="T107" i="9" s="1"/>
  <c r="U107" i="9" s="1"/>
  <c r="Q107" i="9"/>
  <c r="M107" i="9"/>
  <c r="K107" i="9"/>
  <c r="V106" i="9"/>
  <c r="V105" i="9"/>
  <c r="V104" i="9"/>
  <c r="Q103" i="9"/>
  <c r="P103" i="9"/>
  <c r="P102" i="9"/>
  <c r="Q102" i="9" s="1"/>
  <c r="U101" i="9"/>
  <c r="Q101" i="9"/>
  <c r="R101" i="9" s="1"/>
  <c r="S101" i="9" s="1"/>
  <c r="T101" i="9" s="1"/>
  <c r="P101" i="9"/>
  <c r="P100" i="9"/>
  <c r="Q99" i="9"/>
  <c r="P99" i="9"/>
  <c r="P98" i="9"/>
  <c r="Q98" i="9" s="1"/>
  <c r="R98" i="9" s="1"/>
  <c r="S98" i="9" s="1"/>
  <c r="T98" i="9" s="1"/>
  <c r="U98" i="9" s="1"/>
  <c r="U97" i="9"/>
  <c r="Q97" i="9"/>
  <c r="R97" i="9" s="1"/>
  <c r="S97" i="9" s="1"/>
  <c r="T97" i="9" s="1"/>
  <c r="P97" i="9"/>
  <c r="R96" i="9"/>
  <c r="Q96" i="9"/>
  <c r="Q95" i="9"/>
  <c r="S94" i="9"/>
  <c r="T94" i="9" s="1"/>
  <c r="U94" i="9" s="1"/>
  <c r="Q94" i="9"/>
  <c r="R94" i="9" s="1"/>
  <c r="K94" i="9"/>
  <c r="S93" i="9"/>
  <c r="T93" i="9" s="1"/>
  <c r="U93" i="9" s="1"/>
  <c r="R93" i="9"/>
  <c r="Q93" i="9"/>
  <c r="P92" i="9"/>
  <c r="P91" i="9"/>
  <c r="V91" i="9" s="1"/>
  <c r="V90" i="9"/>
  <c r="V89" i="9"/>
  <c r="P88" i="9"/>
  <c r="V88" i="9" s="1"/>
  <c r="Q87" i="9"/>
  <c r="R87" i="9" s="1"/>
  <c r="P87" i="9"/>
  <c r="V86" i="9"/>
  <c r="V85" i="9"/>
  <c r="V84" i="9"/>
  <c r="R84" i="9"/>
  <c r="P84" i="9"/>
  <c r="P146" i="9" s="1"/>
  <c r="V83" i="9"/>
  <c r="V82" i="9"/>
  <c r="V81" i="9"/>
  <c r="Q80" i="9"/>
  <c r="R80" i="9" s="1"/>
  <c r="S80" i="9" s="1"/>
  <c r="T80" i="9" s="1"/>
  <c r="U80" i="9" s="1"/>
  <c r="L80" i="9"/>
  <c r="L191" i="9" s="1"/>
  <c r="I80" i="9"/>
  <c r="I146" i="9" s="1"/>
  <c r="H80" i="9"/>
  <c r="H191" i="9" s="1"/>
  <c r="R79" i="9"/>
  <c r="Q79" i="9"/>
  <c r="O77" i="9"/>
  <c r="K77" i="9"/>
  <c r="J77" i="9"/>
  <c r="I77" i="9"/>
  <c r="H77" i="9"/>
  <c r="V76" i="9"/>
  <c r="T75" i="9"/>
  <c r="V74" i="9"/>
  <c r="V73" i="9"/>
  <c r="T72" i="9"/>
  <c r="V71" i="9"/>
  <c r="U70" i="9"/>
  <c r="V70" i="9" s="1"/>
  <c r="S69" i="9"/>
  <c r="T69" i="9" s="1"/>
  <c r="U69" i="9" s="1"/>
  <c r="R69" i="9"/>
  <c r="Q69" i="9"/>
  <c r="Q68" i="9"/>
  <c r="V67" i="9"/>
  <c r="V66" i="9"/>
  <c r="Q65" i="9"/>
  <c r="S64" i="9"/>
  <c r="T64" i="9" s="1"/>
  <c r="U64" i="9" s="1"/>
  <c r="R64" i="9"/>
  <c r="Q64" i="9"/>
  <c r="N64" i="9"/>
  <c r="R63" i="9"/>
  <c r="S63" i="9" s="1"/>
  <c r="T63" i="9" s="1"/>
  <c r="U63" i="9" s="1"/>
  <c r="V63" i="9" s="1"/>
  <c r="S62" i="9"/>
  <c r="T62" i="9" s="1"/>
  <c r="U62" i="9" s="1"/>
  <c r="R62" i="9"/>
  <c r="V61" i="9"/>
  <c r="V60" i="9"/>
  <c r="Q59" i="9"/>
  <c r="R59" i="9" s="1"/>
  <c r="T58" i="9"/>
  <c r="U58" i="9" s="1"/>
  <c r="S58" i="9"/>
  <c r="R58" i="9"/>
  <c r="Q57" i="9"/>
  <c r="R56" i="9"/>
  <c r="S56" i="9" s="1"/>
  <c r="T56" i="9" s="1"/>
  <c r="U56" i="9" s="1"/>
  <c r="Q56" i="9"/>
  <c r="R55" i="9"/>
  <c r="S55" i="9" s="1"/>
  <c r="T55" i="9" s="1"/>
  <c r="U55" i="9" s="1"/>
  <c r="R54" i="9"/>
  <c r="S54" i="9" s="1"/>
  <c r="T54" i="9" s="1"/>
  <c r="U54" i="9" s="1"/>
  <c r="R53" i="9"/>
  <c r="S53" i="9" s="1"/>
  <c r="S52" i="9"/>
  <c r="T52" i="9" s="1"/>
  <c r="U52" i="9" s="1"/>
  <c r="R52" i="9"/>
  <c r="T51" i="9"/>
  <c r="U51" i="9" s="1"/>
  <c r="S51" i="9"/>
  <c r="N51" i="9"/>
  <c r="K51" i="9"/>
  <c r="T50" i="9"/>
  <c r="U50" i="9" s="1"/>
  <c r="V50" i="9" s="1"/>
  <c r="L50" i="9"/>
  <c r="L189" i="9" s="1"/>
  <c r="K50" i="9"/>
  <c r="K189" i="9" s="1"/>
  <c r="P49" i="9"/>
  <c r="R48" i="9"/>
  <c r="S48" i="9" s="1"/>
  <c r="T48" i="9" s="1"/>
  <c r="U48" i="9" s="1"/>
  <c r="P48" i="9"/>
  <c r="Q48" i="9" s="1"/>
  <c r="U47" i="9"/>
  <c r="V47" i="9" s="1"/>
  <c r="T47" i="9"/>
  <c r="T46" i="9"/>
  <c r="R46" i="9"/>
  <c r="U45" i="9"/>
  <c r="T45" i="9"/>
  <c r="S45" i="9"/>
  <c r="P44" i="9"/>
  <c r="P43" i="9"/>
  <c r="R42" i="9"/>
  <c r="S42" i="9" s="1"/>
  <c r="T42" i="9" s="1"/>
  <c r="U42" i="9" s="1"/>
  <c r="V41" i="9"/>
  <c r="N40" i="9"/>
  <c r="V39" i="9"/>
  <c r="V38" i="9"/>
  <c r="V37" i="9"/>
  <c r="V35" i="9"/>
  <c r="V34" i="9"/>
  <c r="V33" i="9"/>
  <c r="V32" i="9"/>
  <c r="V31" i="9"/>
  <c r="V30" i="9"/>
  <c r="V29" i="9"/>
  <c r="V28" i="9"/>
  <c r="R27" i="9"/>
  <c r="S27" i="9" s="1"/>
  <c r="T27" i="9" s="1"/>
  <c r="U27" i="9" s="1"/>
  <c r="Q27" i="9"/>
  <c r="P27" i="9"/>
  <c r="V26" i="9"/>
  <c r="V25" i="9"/>
  <c r="P24" i="9"/>
  <c r="Q24" i="9" s="1"/>
  <c r="Q23" i="9"/>
  <c r="P23" i="9"/>
  <c r="Q22" i="9"/>
  <c r="R22" i="9" s="1"/>
  <c r="S22" i="9" s="1"/>
  <c r="T22" i="9" s="1"/>
  <c r="U22" i="9" s="1"/>
  <c r="P22" i="9"/>
  <c r="P21" i="9"/>
  <c r="Q21" i="9" s="1"/>
  <c r="R21" i="9" s="1"/>
  <c r="S21" i="9" s="1"/>
  <c r="T21" i="9" s="1"/>
  <c r="U21" i="9" s="1"/>
  <c r="M21" i="9"/>
  <c r="P20" i="9"/>
  <c r="V20" i="9" s="1"/>
  <c r="V19" i="9"/>
  <c r="V18" i="9"/>
  <c r="V17" i="9"/>
  <c r="V16" i="9"/>
  <c r="V15" i="9"/>
  <c r="V14" i="9"/>
  <c r="V13" i="9"/>
  <c r="Q12" i="9"/>
  <c r="R12" i="9" s="1"/>
  <c r="P12" i="9"/>
  <c r="K11" i="9"/>
  <c r="P10" i="9"/>
  <c r="V9" i="9"/>
  <c r="V8" i="9"/>
  <c r="T7" i="9"/>
  <c r="U7" i="9" s="1"/>
  <c r="Q7" i="9"/>
  <c r="P7" i="9"/>
  <c r="K7" i="9"/>
  <c r="V76" i="7"/>
  <c r="U75" i="7"/>
  <c r="V75" i="7" s="1"/>
  <c r="P27" i="7"/>
  <c r="Q27" i="7" s="1"/>
  <c r="R27" i="7" s="1"/>
  <c r="S27" i="7" s="1"/>
  <c r="T27" i="7" s="1"/>
  <c r="U27" i="7" s="1"/>
  <c r="P28" i="7"/>
  <c r="Q28" i="7" s="1"/>
  <c r="R28" i="7" s="1"/>
  <c r="S28" i="7" s="1"/>
  <c r="T28" i="7" s="1"/>
  <c r="U28" i="7" s="1"/>
  <c r="Q30" i="7"/>
  <c r="R30" i="7" s="1"/>
  <c r="P31" i="7"/>
  <c r="P33" i="7"/>
  <c r="Q33" i="7" s="1"/>
  <c r="R33" i="7" s="1"/>
  <c r="S33" i="7" s="1"/>
  <c r="Q34" i="7"/>
  <c r="R34" i="7" s="1"/>
  <c r="S34" i="7" s="1"/>
  <c r="T34" i="7" s="1"/>
  <c r="U34" i="7" s="1"/>
  <c r="Q36" i="7"/>
  <c r="R36" i="7" s="1"/>
  <c r="S36" i="7" s="1"/>
  <c r="T36" i="7" s="1"/>
  <c r="U36" i="7" s="1"/>
  <c r="P37" i="7"/>
  <c r="S38" i="7"/>
  <c r="T38" i="7" s="1"/>
  <c r="U38" i="7" s="1"/>
  <c r="P39" i="7"/>
  <c r="Q39" i="7" s="1"/>
  <c r="R39" i="7" s="1"/>
  <c r="S39" i="7" s="1"/>
  <c r="T39" i="7" s="1"/>
  <c r="U39" i="7" s="1"/>
  <c r="P40" i="7"/>
  <c r="Q40" i="7" s="1"/>
  <c r="R40" i="7" s="1"/>
  <c r="S40" i="7" s="1"/>
  <c r="T40" i="7" s="1"/>
  <c r="U40" i="7" s="1"/>
  <c r="P41" i="7"/>
  <c r="Q41" i="7" s="1"/>
  <c r="R41" i="7" s="1"/>
  <c r="S41" i="7" s="1"/>
  <c r="P42" i="7"/>
  <c r="R42" i="7"/>
  <c r="S42" i="7" s="1"/>
  <c r="T42" i="7" s="1"/>
  <c r="U42" i="7" s="1"/>
  <c r="P43" i="7"/>
  <c r="R43" i="7"/>
  <c r="S43" i="7" s="1"/>
  <c r="P44" i="7"/>
  <c r="V44" i="7"/>
  <c r="R45" i="7"/>
  <c r="S45" i="7" s="1"/>
  <c r="T45" i="7" s="1"/>
  <c r="U45" i="7" s="1"/>
  <c r="P46" i="7"/>
  <c r="Q46" i="7" s="1"/>
  <c r="R46" i="7" s="1"/>
  <c r="S46" i="7" s="1"/>
  <c r="T46" i="7" s="1"/>
  <c r="U46" i="7" s="1"/>
  <c r="P47" i="7"/>
  <c r="Q47" i="7" s="1"/>
  <c r="R47" i="7" s="1"/>
  <c r="S47" i="7" s="1"/>
  <c r="T47" i="7" s="1"/>
  <c r="U47" i="7" s="1"/>
  <c r="U82" i="7"/>
  <c r="P49" i="7"/>
  <c r="Q49" i="7" s="1"/>
  <c r="R49" i="7" s="1"/>
  <c r="S49" i="7" s="1"/>
  <c r="T49" i="7" s="1"/>
  <c r="U49" i="7" s="1"/>
  <c r="P50" i="7"/>
  <c r="Q50" i="7" s="1"/>
  <c r="R50" i="7" s="1"/>
  <c r="S50" i="7" s="1"/>
  <c r="T50" i="7" s="1"/>
  <c r="U50" i="7" s="1"/>
  <c r="R51" i="7"/>
  <c r="S51" i="7" s="1"/>
  <c r="T51" i="7" s="1"/>
  <c r="U51" i="7" s="1"/>
  <c r="Q52" i="7"/>
  <c r="R52" i="7" s="1"/>
  <c r="S52" i="7" s="1"/>
  <c r="T52" i="7" s="1"/>
  <c r="U52" i="7" s="1"/>
  <c r="P53" i="7"/>
  <c r="Q53" i="7" s="1"/>
  <c r="R53" i="7" s="1"/>
  <c r="S53" i="7" s="1"/>
  <c r="P54" i="7"/>
  <c r="Q54" i="7" s="1"/>
  <c r="R54" i="7" s="1"/>
  <c r="S54" i="7" s="1"/>
  <c r="T54" i="7" s="1"/>
  <c r="U54" i="7" s="1"/>
  <c r="P55" i="7"/>
  <c r="Q55" i="7" s="1"/>
  <c r="R55" i="7" s="1"/>
  <c r="S55" i="7" s="1"/>
  <c r="T55" i="7" s="1"/>
  <c r="U55" i="7" s="1"/>
  <c r="P57" i="7"/>
  <c r="Q57" i="7" s="1"/>
  <c r="R57" i="7" s="1"/>
  <c r="S57" i="7" s="1"/>
  <c r="T57" i="7" s="1"/>
  <c r="U57" i="7" s="1"/>
  <c r="S58" i="7"/>
  <c r="T58" i="7" s="1"/>
  <c r="V64" i="7"/>
  <c r="V65" i="7"/>
  <c r="P68" i="7"/>
  <c r="Q68" i="7" s="1"/>
  <c r="R68" i="7" s="1"/>
  <c r="S68" i="7" s="1"/>
  <c r="T68" i="7" s="1"/>
  <c r="U68" i="7" s="1"/>
  <c r="P69" i="7"/>
  <c r="Q69" i="7" s="1"/>
  <c r="R69" i="7" s="1"/>
  <c r="S69" i="7" s="1"/>
  <c r="T69" i="7" s="1"/>
  <c r="U69" i="7" s="1"/>
  <c r="P70" i="7"/>
  <c r="Q70" i="7" s="1"/>
  <c r="R70" i="7" s="1"/>
  <c r="S70" i="7" s="1"/>
  <c r="P71" i="7"/>
  <c r="Q71" i="7" s="1"/>
  <c r="P72" i="7"/>
  <c r="Q72" i="7" s="1"/>
  <c r="R72" i="7" s="1"/>
  <c r="S72" i="7" s="1"/>
  <c r="T72" i="7" s="1"/>
  <c r="P73" i="7"/>
  <c r="Q73" i="7" s="1"/>
  <c r="R73" i="7" s="1"/>
  <c r="S73" i="7" s="1"/>
  <c r="T73" i="7" s="1"/>
  <c r="P74" i="7"/>
  <c r="Q74" i="7" s="1"/>
  <c r="R74" i="7" s="1"/>
  <c r="S74" i="7" s="1"/>
  <c r="T74" i="7" s="1"/>
  <c r="P82" i="7"/>
  <c r="Q82" i="7"/>
  <c r="R82" i="7"/>
  <c r="S82" i="7"/>
  <c r="V27" i="13" l="1"/>
  <c r="T33" i="13"/>
  <c r="U33" i="13" s="1"/>
  <c r="V33" i="13"/>
  <c r="R64" i="13"/>
  <c r="U11" i="13"/>
  <c r="M68" i="13"/>
  <c r="V41" i="13"/>
  <c r="V46" i="13"/>
  <c r="V58" i="13"/>
  <c r="J68" i="13"/>
  <c r="J65" i="13"/>
  <c r="V45" i="13"/>
  <c r="S64" i="13"/>
  <c r="N68" i="13"/>
  <c r="V13" i="13"/>
  <c r="L68" i="13"/>
  <c r="L54" i="13"/>
  <c r="L65" i="13" s="1"/>
  <c r="I68" i="13"/>
  <c r="I65" i="13"/>
  <c r="T35" i="13"/>
  <c r="U35" i="13" s="1"/>
  <c r="V42" i="13"/>
  <c r="Q64" i="13"/>
  <c r="V24" i="13"/>
  <c r="V37" i="13"/>
  <c r="V47" i="13"/>
  <c r="V11" i="13"/>
  <c r="V44" i="13"/>
  <c r="K54" i="13"/>
  <c r="V14" i="13"/>
  <c r="V51" i="13"/>
  <c r="H65" i="13"/>
  <c r="H68" i="13"/>
  <c r="R12" i="13"/>
  <c r="S12" i="13" s="1"/>
  <c r="T12" i="13" s="1"/>
  <c r="U12" i="13" s="1"/>
  <c r="S16" i="13"/>
  <c r="Q18" i="13"/>
  <c r="R18" i="13" s="1"/>
  <c r="S18" i="13" s="1"/>
  <c r="T18" i="13" s="1"/>
  <c r="U18" i="13" s="1"/>
  <c r="T20" i="13"/>
  <c r="Q21" i="13"/>
  <c r="R21" i="13" s="1"/>
  <c r="S21" i="13" s="1"/>
  <c r="T21" i="13" s="1"/>
  <c r="U21" i="13" s="1"/>
  <c r="R27" i="13"/>
  <c r="S27" i="13" s="1"/>
  <c r="T27" i="13" s="1"/>
  <c r="U27" i="13" s="1"/>
  <c r="Q39" i="13"/>
  <c r="R39" i="13" s="1"/>
  <c r="S39" i="13" s="1"/>
  <c r="T39" i="13" s="1"/>
  <c r="U39" i="13" s="1"/>
  <c r="Q41" i="13"/>
  <c r="R41" i="13" s="1"/>
  <c r="S41" i="13" s="1"/>
  <c r="T41" i="13" s="1"/>
  <c r="U41" i="13" s="1"/>
  <c r="S45" i="13"/>
  <c r="T45" i="13" s="1"/>
  <c r="U45" i="13" s="1"/>
  <c r="V56" i="13"/>
  <c r="T57" i="13"/>
  <c r="U58" i="13"/>
  <c r="Q61" i="13"/>
  <c r="R61" i="13" s="1"/>
  <c r="S61" i="13" s="1"/>
  <c r="T61" i="13" s="1"/>
  <c r="U61" i="13" s="1"/>
  <c r="P54" i="13"/>
  <c r="P65" i="13" s="1"/>
  <c r="P68" i="13" s="1"/>
  <c r="S59" i="9"/>
  <c r="T59" i="9" s="1"/>
  <c r="U59" i="9" s="1"/>
  <c r="V59" i="9"/>
  <c r="S87" i="9"/>
  <c r="T87" i="9" s="1"/>
  <c r="U87" i="9" s="1"/>
  <c r="T53" i="9"/>
  <c r="U53" i="9" s="1"/>
  <c r="V53" i="9"/>
  <c r="V23" i="9"/>
  <c r="S12" i="9"/>
  <c r="V72" i="9"/>
  <c r="V75" i="9"/>
  <c r="U75" i="9"/>
  <c r="P77" i="9"/>
  <c r="S79" i="9"/>
  <c r="R23" i="9"/>
  <c r="S23" i="9" s="1"/>
  <c r="T23" i="9" s="1"/>
  <c r="U23" i="9" s="1"/>
  <c r="R24" i="9"/>
  <c r="S24" i="9" s="1"/>
  <c r="T24" i="9" s="1"/>
  <c r="U24" i="9" s="1"/>
  <c r="V27" i="9"/>
  <c r="N189" i="9"/>
  <c r="N77" i="9"/>
  <c r="V40" i="9"/>
  <c r="V42" i="9"/>
  <c r="V46" i="9"/>
  <c r="V48" i="9"/>
  <c r="V51" i="9"/>
  <c r="V56" i="9"/>
  <c r="V58" i="9"/>
  <c r="V65" i="9"/>
  <c r="R65" i="9"/>
  <c r="S65" i="9" s="1"/>
  <c r="T65" i="9" s="1"/>
  <c r="U65" i="9" s="1"/>
  <c r="L77" i="9"/>
  <c r="K146" i="9"/>
  <c r="V94" i="9"/>
  <c r="V98" i="9"/>
  <c r="U113" i="9"/>
  <c r="V113" i="9" s="1"/>
  <c r="P188" i="9"/>
  <c r="S152" i="9"/>
  <c r="Q158" i="9"/>
  <c r="K188" i="9"/>
  <c r="S108" i="9"/>
  <c r="T108" i="9" s="1"/>
  <c r="U108" i="9" s="1"/>
  <c r="V62" i="9"/>
  <c r="V64" i="9"/>
  <c r="V69" i="9"/>
  <c r="U72" i="9"/>
  <c r="V93" i="9"/>
  <c r="S96" i="9"/>
  <c r="T96" i="9" s="1"/>
  <c r="U96" i="9" s="1"/>
  <c r="V96" i="9"/>
  <c r="Q100" i="9"/>
  <c r="R100" i="9" s="1"/>
  <c r="S100" i="9" s="1"/>
  <c r="T100" i="9" s="1"/>
  <c r="U100" i="9" s="1"/>
  <c r="V131" i="9"/>
  <c r="V7" i="9"/>
  <c r="V21" i="9"/>
  <c r="M77" i="9"/>
  <c r="V22" i="9"/>
  <c r="Q43" i="9"/>
  <c r="R43" i="9" s="1"/>
  <c r="S43" i="9" s="1"/>
  <c r="T43" i="9" s="1"/>
  <c r="U43" i="9" s="1"/>
  <c r="Q44" i="9"/>
  <c r="R44" i="9" s="1"/>
  <c r="S44" i="9" s="1"/>
  <c r="T44" i="9" s="1"/>
  <c r="U44" i="9" s="1"/>
  <c r="V45" i="9"/>
  <c r="U46" i="9"/>
  <c r="Q49" i="9"/>
  <c r="R49" i="9" s="1"/>
  <c r="S49" i="9" s="1"/>
  <c r="T49" i="9" s="1"/>
  <c r="U49" i="9" s="1"/>
  <c r="V52" i="9"/>
  <c r="V54" i="9"/>
  <c r="R57" i="9"/>
  <c r="S57" i="9" s="1"/>
  <c r="T57" i="9" s="1"/>
  <c r="U57" i="9" s="1"/>
  <c r="V68" i="9"/>
  <c r="R68" i="9"/>
  <c r="S68" i="9" s="1"/>
  <c r="T68" i="9" s="1"/>
  <c r="U68" i="9" s="1"/>
  <c r="Q92" i="9"/>
  <c r="R92" i="9" s="1"/>
  <c r="S92" i="9" s="1"/>
  <c r="T92" i="9" s="1"/>
  <c r="U92" i="9" s="1"/>
  <c r="R95" i="9"/>
  <c r="S95" i="9" s="1"/>
  <c r="T95" i="9" s="1"/>
  <c r="U95" i="9" s="1"/>
  <c r="S127" i="9"/>
  <c r="T127" i="9" s="1"/>
  <c r="U127" i="9" s="1"/>
  <c r="V127" i="9"/>
  <c r="N188" i="9"/>
  <c r="V172" i="9"/>
  <c r="R172" i="9"/>
  <c r="S172" i="9" s="1"/>
  <c r="T172" i="9" s="1"/>
  <c r="U172" i="9" s="1"/>
  <c r="R111" i="9"/>
  <c r="S111" i="9" s="1"/>
  <c r="T111" i="9" s="1"/>
  <c r="U111" i="9" s="1"/>
  <c r="V129" i="9"/>
  <c r="Q140" i="9"/>
  <c r="R140" i="9" s="1"/>
  <c r="S140" i="9" s="1"/>
  <c r="T140" i="9" s="1"/>
  <c r="P191" i="9"/>
  <c r="V55" i="9"/>
  <c r="V80" i="9"/>
  <c r="V99" i="9"/>
  <c r="V101" i="9"/>
  <c r="R102" i="9"/>
  <c r="S102" i="9" s="1"/>
  <c r="T102" i="9" s="1"/>
  <c r="U102" i="9" s="1"/>
  <c r="H146" i="9"/>
  <c r="V153" i="9"/>
  <c r="V155" i="9"/>
  <c r="V159" i="9"/>
  <c r="Q164" i="9"/>
  <c r="R164" i="9" s="1"/>
  <c r="S164" i="9" s="1"/>
  <c r="T164" i="9" s="1"/>
  <c r="U164" i="9" s="1"/>
  <c r="V166" i="9"/>
  <c r="Q170" i="9"/>
  <c r="R170" i="9" s="1"/>
  <c r="S170" i="9" s="1"/>
  <c r="T170" i="9" s="1"/>
  <c r="V118" i="9"/>
  <c r="Q142" i="9"/>
  <c r="R142" i="9" s="1"/>
  <c r="S142" i="9" s="1"/>
  <c r="T142" i="9" s="1"/>
  <c r="V144" i="9"/>
  <c r="Q144" i="9"/>
  <c r="R144" i="9" s="1"/>
  <c r="S144" i="9" s="1"/>
  <c r="T144" i="9" s="1"/>
  <c r="V161" i="9"/>
  <c r="Q168" i="9"/>
  <c r="R168" i="9" s="1"/>
  <c r="S168" i="9" s="1"/>
  <c r="T168" i="9" s="1"/>
  <c r="K191" i="9"/>
  <c r="V97" i="9"/>
  <c r="M189" i="9"/>
  <c r="V189" i="9" s="1"/>
  <c r="V107" i="9"/>
  <c r="M146" i="9"/>
  <c r="M188" i="9" s="1"/>
  <c r="V114" i="9"/>
  <c r="V117" i="9"/>
  <c r="Q117" i="9"/>
  <c r="R117" i="9" s="1"/>
  <c r="S117" i="9" s="1"/>
  <c r="T117" i="9" s="1"/>
  <c r="U117" i="9" s="1"/>
  <c r="V125" i="9"/>
  <c r="V145" i="9"/>
  <c r="H187" i="9"/>
  <c r="V163" i="9"/>
  <c r="V192" i="9" s="1"/>
  <c r="H192" i="9"/>
  <c r="R167" i="9"/>
  <c r="S167" i="9" s="1"/>
  <c r="T167" i="9" s="1"/>
  <c r="U167" i="9" s="1"/>
  <c r="V171" i="9"/>
  <c r="I188" i="9"/>
  <c r="O188" i="9"/>
  <c r="V156" i="9"/>
  <c r="J187" i="9"/>
  <c r="J188" i="9" s="1"/>
  <c r="J191" i="9"/>
  <c r="V191" i="9" s="1"/>
  <c r="V121" i="9"/>
  <c r="V124" i="9"/>
  <c r="V126" i="9"/>
  <c r="V128" i="9"/>
  <c r="R153" i="9"/>
  <c r="S153" i="9" s="1"/>
  <c r="T153" i="9" s="1"/>
  <c r="U153" i="9" s="1"/>
  <c r="L192" i="9"/>
  <c r="R99" i="9"/>
  <c r="S99" i="9" s="1"/>
  <c r="T99" i="9" s="1"/>
  <c r="U99" i="9" s="1"/>
  <c r="R103" i="9"/>
  <c r="S103" i="9" s="1"/>
  <c r="T103" i="9" s="1"/>
  <c r="U103" i="9" s="1"/>
  <c r="R119" i="9"/>
  <c r="S119" i="9" s="1"/>
  <c r="T119" i="9" s="1"/>
  <c r="U119" i="9" s="1"/>
  <c r="R131" i="9"/>
  <c r="S131" i="9" s="1"/>
  <c r="T131" i="9" s="1"/>
  <c r="U131" i="9" s="1"/>
  <c r="Q141" i="9"/>
  <c r="R141" i="9" s="1"/>
  <c r="S141" i="9" s="1"/>
  <c r="T141" i="9" s="1"/>
  <c r="Q143" i="9"/>
  <c r="R143" i="9" s="1"/>
  <c r="S143" i="9" s="1"/>
  <c r="T143" i="9" s="1"/>
  <c r="T82" i="7"/>
  <c r="U58" i="7"/>
  <c r="V58" i="7" s="1"/>
  <c r="V42" i="7"/>
  <c r="V27" i="7"/>
  <c r="T70" i="7"/>
  <c r="U70" i="7" s="1"/>
  <c r="V69" i="7"/>
  <c r="V47" i="7"/>
  <c r="T41" i="7"/>
  <c r="U41" i="7" s="1"/>
  <c r="V40" i="7"/>
  <c r="V34" i="7"/>
  <c r="T43" i="7"/>
  <c r="U43" i="7" s="1"/>
  <c r="S30" i="7"/>
  <c r="T30" i="7" s="1"/>
  <c r="U30" i="7" s="1"/>
  <c r="R71" i="7"/>
  <c r="S71" i="7" s="1"/>
  <c r="T71" i="7" s="1"/>
  <c r="U71" i="7" s="1"/>
  <c r="T33" i="7"/>
  <c r="U33" i="7" s="1"/>
  <c r="V28" i="7"/>
  <c r="V57" i="7"/>
  <c r="T53" i="7"/>
  <c r="U53" i="7" s="1"/>
  <c r="V54" i="7"/>
  <c r="V51" i="7"/>
  <c r="V49" i="7"/>
  <c r="V45" i="7"/>
  <c r="V38" i="7"/>
  <c r="V36" i="7"/>
  <c r="V73" i="7"/>
  <c r="V68" i="7"/>
  <c r="V55" i="7"/>
  <c r="V50" i="7"/>
  <c r="V46" i="7"/>
  <c r="V39" i="7"/>
  <c r="V74" i="7"/>
  <c r="V72" i="7"/>
  <c r="V52" i="7"/>
  <c r="Y59" i="13"/>
  <c r="Z44" i="13"/>
  <c r="Q72" i="13"/>
  <c r="Y19" i="13"/>
  <c r="P28" i="12"/>
  <c r="N28" i="12"/>
  <c r="Q28" i="12" s="1"/>
  <c r="P27" i="12"/>
  <c r="N27" i="12"/>
  <c r="O27" i="12" s="1"/>
  <c r="R27" i="12" s="1"/>
  <c r="P25" i="12"/>
  <c r="N25" i="12"/>
  <c r="O25" i="12" s="1"/>
  <c r="R25" i="12" s="1"/>
  <c r="P24" i="12"/>
  <c r="N24" i="12"/>
  <c r="Q24" i="12" s="1"/>
  <c r="P23" i="12"/>
  <c r="N23" i="12"/>
  <c r="Q23" i="12" s="1"/>
  <c r="P22" i="12"/>
  <c r="N22" i="12"/>
  <c r="Q22" i="12" s="1"/>
  <c r="P21" i="12"/>
  <c r="N21" i="12"/>
  <c r="O21" i="12" s="1"/>
  <c r="R21" i="12" s="1"/>
  <c r="P20" i="12"/>
  <c r="N20" i="12"/>
  <c r="Q20" i="12" s="1"/>
  <c r="P19" i="12"/>
  <c r="N19" i="12"/>
  <c r="Q19" i="12" s="1"/>
  <c r="P18" i="12"/>
  <c r="N18" i="12"/>
  <c r="O18" i="12" s="1"/>
  <c r="R18" i="12" s="1"/>
  <c r="P17" i="12"/>
  <c r="N17" i="12"/>
  <c r="O17" i="12" s="1"/>
  <c r="R17" i="12" s="1"/>
  <c r="P16" i="12"/>
  <c r="N16" i="12"/>
  <c r="Q16" i="12" s="1"/>
  <c r="P15" i="12"/>
  <c r="N15" i="12"/>
  <c r="Q15" i="12" s="1"/>
  <c r="N12" i="12"/>
  <c r="T38" i="11"/>
  <c r="U38" i="11" s="1"/>
  <c r="R38" i="11"/>
  <c r="Q38" i="11"/>
  <c r="P38" i="11"/>
  <c r="O38" i="11"/>
  <c r="N38" i="11"/>
  <c r="L38" i="11"/>
  <c r="K38" i="11"/>
  <c r="J38" i="11"/>
  <c r="I38" i="11"/>
  <c r="H38" i="11"/>
  <c r="O37" i="11"/>
  <c r="N37" i="11"/>
  <c r="M37" i="11"/>
  <c r="L37" i="11"/>
  <c r="K37" i="11"/>
  <c r="J37" i="11"/>
  <c r="I37" i="11"/>
  <c r="O36" i="11"/>
  <c r="N36" i="11"/>
  <c r="M36" i="11"/>
  <c r="L36" i="11"/>
  <c r="J36" i="11"/>
  <c r="I36" i="11"/>
  <c r="H36" i="11"/>
  <c r="P34" i="11"/>
  <c r="Q34" i="11" s="1"/>
  <c r="R34" i="11" s="1"/>
  <c r="S34" i="11" s="1"/>
  <c r="T34" i="11" s="1"/>
  <c r="N34" i="11"/>
  <c r="M34" i="11"/>
  <c r="L34" i="11"/>
  <c r="K34" i="11"/>
  <c r="J34" i="11"/>
  <c r="I34" i="11"/>
  <c r="H34" i="11"/>
  <c r="P33" i="11"/>
  <c r="P32" i="11"/>
  <c r="P31" i="11"/>
  <c r="P30" i="11"/>
  <c r="P29" i="11"/>
  <c r="Q29" i="11" s="1"/>
  <c r="P28" i="11"/>
  <c r="P27" i="11"/>
  <c r="Q27" i="11" s="1"/>
  <c r="P26" i="11"/>
  <c r="P25" i="11"/>
  <c r="Q25" i="11" s="1"/>
  <c r="O23" i="11"/>
  <c r="O35" i="11" s="1"/>
  <c r="N23" i="11"/>
  <c r="N35" i="11" s="1"/>
  <c r="L23" i="11"/>
  <c r="L35" i="11" s="1"/>
  <c r="J23" i="11"/>
  <c r="J35" i="11" s="1"/>
  <c r="I23" i="11"/>
  <c r="P22" i="11"/>
  <c r="S21" i="11"/>
  <c r="T20" i="11"/>
  <c r="U20" i="11" s="1"/>
  <c r="V20" i="11" s="1"/>
  <c r="P19" i="11"/>
  <c r="M18" i="11"/>
  <c r="M38" i="11" s="1"/>
  <c r="S17" i="11"/>
  <c r="T17" i="11" s="1"/>
  <c r="V17" i="11" s="1"/>
  <c r="R17" i="11"/>
  <c r="R16" i="11"/>
  <c r="S16" i="11" s="1"/>
  <c r="T16" i="11" s="1"/>
  <c r="V16" i="11" s="1"/>
  <c r="P15" i="11"/>
  <c r="K14" i="11"/>
  <c r="K36" i="11" s="1"/>
  <c r="P13" i="11"/>
  <c r="P12" i="11"/>
  <c r="Q12" i="11" s="1"/>
  <c r="R12" i="11" s="1"/>
  <c r="H12" i="11"/>
  <c r="H37" i="11" s="1"/>
  <c r="P11" i="11"/>
  <c r="Q10" i="11"/>
  <c r="P9" i="11"/>
  <c r="V8" i="11"/>
  <c r="V6" i="11"/>
  <c r="Y133" i="9"/>
  <c r="Z133" i="9" s="1"/>
  <c r="N28" i="8"/>
  <c r="Q28" i="8" s="1"/>
  <c r="N27" i="8"/>
  <c r="O27" i="8" s="1"/>
  <c r="R27" i="8" s="1"/>
  <c r="N26" i="8"/>
  <c r="P26" i="8" s="1"/>
  <c r="R25" i="8"/>
  <c r="Q25" i="8"/>
  <c r="P25" i="8"/>
  <c r="N23" i="8"/>
  <c r="P23" i="8" s="1"/>
  <c r="N22" i="8"/>
  <c r="Q22" i="8" s="1"/>
  <c r="N21" i="8"/>
  <c r="O21" i="8" s="1"/>
  <c r="R21" i="8" s="1"/>
  <c r="N20" i="8"/>
  <c r="O20" i="8" s="1"/>
  <c r="R20" i="8" s="1"/>
  <c r="Q19" i="8"/>
  <c r="N19" i="8"/>
  <c r="P19" i="8" s="1"/>
  <c r="N18" i="8"/>
  <c r="Q18" i="8" s="1"/>
  <c r="N17" i="8"/>
  <c r="Q17" i="8" s="1"/>
  <c r="N16" i="8"/>
  <c r="O16" i="8" s="1"/>
  <c r="R16" i="8" s="1"/>
  <c r="N15" i="8"/>
  <c r="P15" i="8" s="1"/>
  <c r="N14" i="8"/>
  <c r="Q14" i="8" s="1"/>
  <c r="N12" i="8"/>
  <c r="Q12" i="8" s="1"/>
  <c r="P11" i="8"/>
  <c r="N11" i="8"/>
  <c r="O11" i="8" s="1"/>
  <c r="R11" i="8" s="1"/>
  <c r="N10" i="8"/>
  <c r="P10" i="8" s="1"/>
  <c r="N9" i="8"/>
  <c r="Q9" i="8" s="1"/>
  <c r="O8" i="8"/>
  <c r="R8" i="8" s="1"/>
  <c r="N8" i="8"/>
  <c r="Q8" i="8" s="1"/>
  <c r="O82" i="7"/>
  <c r="N82" i="7"/>
  <c r="M82" i="7"/>
  <c r="L82" i="7"/>
  <c r="K82" i="7"/>
  <c r="J82" i="7"/>
  <c r="I82" i="7"/>
  <c r="H82" i="7"/>
  <c r="O81" i="7"/>
  <c r="M81" i="7"/>
  <c r="L81" i="7"/>
  <c r="K81" i="7"/>
  <c r="J81" i="7"/>
  <c r="I81" i="7"/>
  <c r="H81" i="7"/>
  <c r="O79" i="7"/>
  <c r="M79" i="7"/>
  <c r="K79" i="7"/>
  <c r="J79" i="7"/>
  <c r="I79" i="7"/>
  <c r="H79" i="7"/>
  <c r="O78" i="7"/>
  <c r="M78" i="7"/>
  <c r="K78" i="7"/>
  <c r="J78" i="7"/>
  <c r="I78" i="7"/>
  <c r="H78" i="7"/>
  <c r="L56" i="7"/>
  <c r="L78" i="7" s="1"/>
  <c r="N41" i="7"/>
  <c r="N79" i="7" s="1"/>
  <c r="Y33" i="7"/>
  <c r="Y31" i="7"/>
  <c r="N20" i="7"/>
  <c r="Y17" i="7"/>
  <c r="Z17" i="7"/>
  <c r="Z16" i="7"/>
  <c r="Y16" i="7"/>
  <c r="Y15" i="7"/>
  <c r="Z14" i="7"/>
  <c r="Y14" i="7"/>
  <c r="AA14" i="7"/>
  <c r="N8" i="7"/>
  <c r="V8" i="7" s="1"/>
  <c r="N7" i="7"/>
  <c r="V7" i="7" s="1"/>
  <c r="X32" i="5"/>
  <c r="Z32" i="5" s="1"/>
  <c r="W32" i="5"/>
  <c r="V32" i="5"/>
  <c r="U32" i="5"/>
  <c r="T32" i="5"/>
  <c r="S32" i="5"/>
  <c r="AG26" i="5"/>
  <c r="AG24" i="5"/>
  <c r="AD21" i="5"/>
  <c r="AD20" i="5"/>
  <c r="V20" i="5"/>
  <c r="T20" i="5"/>
  <c r="S20" i="5"/>
  <c r="AF19" i="5"/>
  <c r="AF18" i="5"/>
  <c r="V16" i="5"/>
  <c r="U16" i="5"/>
  <c r="T16" i="5"/>
  <c r="AF15" i="5"/>
  <c r="AF14" i="5"/>
  <c r="AJ13" i="5"/>
  <c r="AJ14" i="5" s="1"/>
  <c r="AF12" i="5"/>
  <c r="V12" i="5"/>
  <c r="U12" i="5"/>
  <c r="T12" i="5"/>
  <c r="K12" i="5"/>
  <c r="AF11" i="5"/>
  <c r="S8" i="5"/>
  <c r="H8" i="5"/>
  <c r="L33" i="4"/>
  <c r="R32" i="4"/>
  <c r="K32" i="4"/>
  <c r="R31" i="4"/>
  <c r="K30" i="4"/>
  <c r="K28" i="4" s="1"/>
  <c r="R29" i="4"/>
  <c r="M28" i="4"/>
  <c r="L28" i="4"/>
  <c r="J28" i="4"/>
  <c r="I28" i="4"/>
  <c r="H28" i="4"/>
  <c r="G28" i="4"/>
  <c r="F28" i="4"/>
  <c r="E28" i="4"/>
  <c r="D28" i="4"/>
  <c r="R26" i="4"/>
  <c r="L25" i="4"/>
  <c r="L8" i="4" s="1"/>
  <c r="O24" i="4"/>
  <c r="N24" i="4"/>
  <c r="P24" i="4" s="1"/>
  <c r="L24" i="4"/>
  <c r="M23" i="4"/>
  <c r="K23" i="4"/>
  <c r="J23" i="4"/>
  <c r="I23" i="4"/>
  <c r="H23" i="4"/>
  <c r="G23" i="4"/>
  <c r="F23" i="4"/>
  <c r="E23" i="4"/>
  <c r="D23" i="4"/>
  <c r="J19" i="4"/>
  <c r="L18" i="4"/>
  <c r="R18" i="4" s="1"/>
  <c r="M17" i="4"/>
  <c r="L17" i="4"/>
  <c r="K17" i="4"/>
  <c r="J17" i="4"/>
  <c r="I17" i="4"/>
  <c r="H17" i="4"/>
  <c r="G17" i="4"/>
  <c r="F17" i="4"/>
  <c r="E17" i="4"/>
  <c r="D17" i="4"/>
  <c r="R12" i="4"/>
  <c r="O12" i="4"/>
  <c r="Q12" i="4" s="1"/>
  <c r="N12" i="4"/>
  <c r="P12" i="4" s="1"/>
  <c r="L12" i="4"/>
  <c r="M11" i="4"/>
  <c r="L11" i="4"/>
  <c r="K11" i="4"/>
  <c r="J11" i="4"/>
  <c r="I11" i="4"/>
  <c r="H11" i="4"/>
  <c r="G11" i="4"/>
  <c r="F11" i="4"/>
  <c r="E11" i="4"/>
  <c r="D11" i="4"/>
  <c r="L10" i="4"/>
  <c r="K10" i="4"/>
  <c r="J10" i="4"/>
  <c r="I10" i="4"/>
  <c r="H10" i="4"/>
  <c r="G10" i="4"/>
  <c r="F10" i="4"/>
  <c r="E10" i="4"/>
  <c r="D10" i="4"/>
  <c r="M9" i="4"/>
  <c r="L9" i="4"/>
  <c r="K9" i="4"/>
  <c r="J9" i="4"/>
  <c r="I9" i="4"/>
  <c r="H9" i="4"/>
  <c r="G9" i="4"/>
  <c r="F9" i="4"/>
  <c r="E9" i="4"/>
  <c r="D9" i="4"/>
  <c r="M8" i="4"/>
  <c r="K8" i="4"/>
  <c r="J8" i="4"/>
  <c r="I8" i="4"/>
  <c r="H8" i="4"/>
  <c r="G8" i="4"/>
  <c r="F8" i="4"/>
  <c r="E8" i="4"/>
  <c r="D8" i="4"/>
  <c r="M7" i="4"/>
  <c r="L7" i="4"/>
  <c r="J7" i="4"/>
  <c r="O6" i="4"/>
  <c r="Q6" i="4" s="1"/>
  <c r="N6" i="4"/>
  <c r="P6" i="4" s="1"/>
  <c r="K25" i="3"/>
  <c r="K22" i="3" s="1"/>
  <c r="J25" i="3"/>
  <c r="I25" i="3"/>
  <c r="M24" i="3"/>
  <c r="M22" i="3" s="1"/>
  <c r="R23" i="3"/>
  <c r="S23" i="3" s="1"/>
  <c r="T23" i="3" s="1"/>
  <c r="P23" i="3"/>
  <c r="L22" i="3"/>
  <c r="J22" i="3"/>
  <c r="H22" i="3"/>
  <c r="R20" i="3"/>
  <c r="S20" i="3" s="1"/>
  <c r="T20" i="3" s="1"/>
  <c r="P20" i="3"/>
  <c r="M19" i="3"/>
  <c r="L19" i="3"/>
  <c r="K19" i="3"/>
  <c r="J19" i="3"/>
  <c r="I19" i="3"/>
  <c r="H19" i="3"/>
  <c r="R17" i="3"/>
  <c r="S17" i="3" s="1"/>
  <c r="T17" i="3" s="1"/>
  <c r="O17" i="3"/>
  <c r="P17" i="3" s="1"/>
  <c r="R16" i="3"/>
  <c r="M15" i="3"/>
  <c r="L15" i="3"/>
  <c r="K15" i="3"/>
  <c r="J15" i="3"/>
  <c r="I15" i="3"/>
  <c r="H15" i="3"/>
  <c r="R14" i="3"/>
  <c r="R12" i="3"/>
  <c r="S12" i="3" s="1"/>
  <c r="T12" i="3" s="1"/>
  <c r="P12" i="3"/>
  <c r="L11" i="3"/>
  <c r="K11" i="3"/>
  <c r="J11" i="3"/>
  <c r="I11" i="3"/>
  <c r="H11" i="3"/>
  <c r="L10" i="3"/>
  <c r="L5" i="3" s="1"/>
  <c r="K10" i="3"/>
  <c r="J10" i="3"/>
  <c r="H10" i="3"/>
  <c r="L9" i="3"/>
  <c r="K9" i="3"/>
  <c r="J9" i="3"/>
  <c r="I9" i="3"/>
  <c r="H9" i="3"/>
  <c r="R8" i="3"/>
  <c r="S8" i="3" s="1"/>
  <c r="T8" i="3" s="1"/>
  <c r="P8" i="3"/>
  <c r="M8" i="3"/>
  <c r="L7" i="3"/>
  <c r="K7" i="3"/>
  <c r="J7" i="3"/>
  <c r="I7" i="3"/>
  <c r="H7" i="3"/>
  <c r="S6" i="3"/>
  <c r="T6" i="3" s="1"/>
  <c r="R6" i="3"/>
  <c r="P6" i="3"/>
  <c r="D7" i="2"/>
  <c r="R73" i="1"/>
  <c r="Q73" i="1"/>
  <c r="T73" i="1" s="1"/>
  <c r="P73" i="1"/>
  <c r="S73" i="1" s="1"/>
  <c r="R72" i="1"/>
  <c r="Q72" i="1"/>
  <c r="T72" i="1" s="1"/>
  <c r="P72" i="1"/>
  <c r="S72" i="1" s="1"/>
  <c r="R70" i="1"/>
  <c r="Q70" i="1"/>
  <c r="P70" i="1"/>
  <c r="S70" i="1" s="1"/>
  <c r="R69" i="1"/>
  <c r="Q69" i="1"/>
  <c r="P69" i="1"/>
  <c r="S69" i="1" s="1"/>
  <c r="R68" i="1"/>
  <c r="Q68" i="1"/>
  <c r="P68" i="1"/>
  <c r="S68" i="1" s="1"/>
  <c r="R67" i="1"/>
  <c r="Q67" i="1"/>
  <c r="P67" i="1"/>
  <c r="S67" i="1" s="1"/>
  <c r="R66" i="1"/>
  <c r="Q66" i="1"/>
  <c r="P66" i="1"/>
  <c r="S66" i="1" s="1"/>
  <c r="R65" i="1"/>
  <c r="Q65" i="1"/>
  <c r="P65" i="1"/>
  <c r="S65" i="1" s="1"/>
  <c r="R64" i="1"/>
  <c r="Q64" i="1"/>
  <c r="P64" i="1"/>
  <c r="S64" i="1" s="1"/>
  <c r="R63" i="1"/>
  <c r="Q63" i="1"/>
  <c r="P63" i="1"/>
  <c r="S63" i="1" s="1"/>
  <c r="R62" i="1"/>
  <c r="Q62" i="1"/>
  <c r="P62" i="1"/>
  <c r="S62" i="1" s="1"/>
  <c r="R61" i="1"/>
  <c r="Q61" i="1"/>
  <c r="P61" i="1"/>
  <c r="S61" i="1" s="1"/>
  <c r="R60" i="1"/>
  <c r="Q60" i="1"/>
  <c r="P60" i="1"/>
  <c r="S60" i="1" s="1"/>
  <c r="R49" i="1"/>
  <c r="Q49" i="1"/>
  <c r="T49" i="1" s="1"/>
  <c r="P49" i="1"/>
  <c r="S49" i="1" s="1"/>
  <c r="R48" i="1"/>
  <c r="Q48" i="1"/>
  <c r="T48" i="1" s="1"/>
  <c r="P48" i="1"/>
  <c r="S48" i="1" s="1"/>
  <c r="R46" i="1"/>
  <c r="Q46" i="1"/>
  <c r="T46" i="1" s="1"/>
  <c r="P46" i="1"/>
  <c r="S46" i="1" s="1"/>
  <c r="O42" i="1"/>
  <c r="R42" i="1" s="1"/>
  <c r="O40" i="1"/>
  <c r="P40" i="1" s="1"/>
  <c r="S40" i="1" s="1"/>
  <c r="O39" i="1"/>
  <c r="R39" i="1" s="1"/>
  <c r="T38" i="1"/>
  <c r="S38" i="1"/>
  <c r="R38" i="1"/>
  <c r="O36" i="1"/>
  <c r="R36" i="1" s="1"/>
  <c r="R35" i="1"/>
  <c r="P35" i="1"/>
  <c r="S35" i="1" s="1"/>
  <c r="O35" i="1"/>
  <c r="Q35" i="1" s="1"/>
  <c r="T35" i="1" s="1"/>
  <c r="P34" i="1"/>
  <c r="S34" i="1" s="1"/>
  <c r="O34" i="1"/>
  <c r="Q34" i="1" s="1"/>
  <c r="T34" i="1" s="1"/>
  <c r="R33" i="1"/>
  <c r="O33" i="1"/>
  <c r="Q33" i="1" s="1"/>
  <c r="T33" i="1" s="1"/>
  <c r="O32" i="1"/>
  <c r="Q32" i="1" s="1"/>
  <c r="T32" i="1" s="1"/>
  <c r="O31" i="1"/>
  <c r="Q31" i="1" s="1"/>
  <c r="T31" i="1" s="1"/>
  <c r="O30" i="1"/>
  <c r="R30" i="1" s="1"/>
  <c r="Q29" i="1"/>
  <c r="T29" i="1" s="1"/>
  <c r="O29" i="1"/>
  <c r="R29" i="1" s="1"/>
  <c r="R28" i="1"/>
  <c r="O28" i="1"/>
  <c r="Q28" i="1" s="1"/>
  <c r="T28" i="1" s="1"/>
  <c r="Q27" i="1"/>
  <c r="T27" i="1" s="1"/>
  <c r="O27" i="1"/>
  <c r="R27" i="1" s="1"/>
  <c r="R25" i="1"/>
  <c r="O25" i="1"/>
  <c r="Q25" i="1" s="1"/>
  <c r="T25" i="1" s="1"/>
  <c r="R24" i="1"/>
  <c r="O24" i="1"/>
  <c r="Q24" i="1" s="1"/>
  <c r="T24" i="1" s="1"/>
  <c r="R23" i="1"/>
  <c r="P23" i="1"/>
  <c r="S23" i="1" s="1"/>
  <c r="O23" i="1"/>
  <c r="Q23" i="1" s="1"/>
  <c r="T23" i="1" s="1"/>
  <c r="O22" i="1"/>
  <c r="Q22" i="1" s="1"/>
  <c r="T22" i="1" s="1"/>
  <c r="P21" i="1"/>
  <c r="S21" i="1" s="1"/>
  <c r="O21" i="1"/>
  <c r="Q21" i="1" s="1"/>
  <c r="T21" i="1" s="1"/>
  <c r="O17" i="1"/>
  <c r="R17" i="1" s="1"/>
  <c r="O16" i="1"/>
  <c r="Q16" i="1" s="1"/>
  <c r="T16" i="1" s="1"/>
  <c r="O15" i="1"/>
  <c r="R15" i="1" s="1"/>
  <c r="O14" i="1"/>
  <c r="R14" i="1" s="1"/>
  <c r="O10" i="1"/>
  <c r="P10" i="1" s="1"/>
  <c r="S10" i="1" s="1"/>
  <c r="O9" i="1"/>
  <c r="R9" i="1" s="1"/>
  <c r="O8" i="1"/>
  <c r="R8" i="1" s="1"/>
  <c r="O7" i="1"/>
  <c r="R7" i="1" s="1"/>
  <c r="I5" i="4" l="1"/>
  <c r="D5" i="4"/>
  <c r="H5" i="4"/>
  <c r="U57" i="13"/>
  <c r="U64" i="13" s="1"/>
  <c r="T64" i="13"/>
  <c r="V64" i="13" s="1"/>
  <c r="R67" i="13"/>
  <c r="V12" i="13"/>
  <c r="V57" i="13"/>
  <c r="V39" i="13"/>
  <c r="V21" i="13"/>
  <c r="R54" i="13"/>
  <c r="R65" i="13" s="1"/>
  <c r="R68" i="13" s="1"/>
  <c r="K68" i="13"/>
  <c r="K65" i="13"/>
  <c r="Q54" i="13"/>
  <c r="Q65" i="13" s="1"/>
  <c r="Q68" i="13" s="1"/>
  <c r="T16" i="13"/>
  <c r="S67" i="13"/>
  <c r="V18" i="13"/>
  <c r="U20" i="13"/>
  <c r="U30" i="13" s="1"/>
  <c r="T30" i="13"/>
  <c r="V30" i="13" s="1"/>
  <c r="S54" i="13"/>
  <c r="S68" i="13" s="1"/>
  <c r="V20" i="13"/>
  <c r="V35" i="13"/>
  <c r="Q67" i="13"/>
  <c r="V61" i="13"/>
  <c r="V168" i="9"/>
  <c r="V164" i="9"/>
  <c r="V111" i="9"/>
  <c r="T152" i="9"/>
  <c r="L188" i="9"/>
  <c r="R146" i="9"/>
  <c r="H188" i="9"/>
  <c r="V142" i="9"/>
  <c r="V170" i="9"/>
  <c r="V140" i="9"/>
  <c r="V103" i="9"/>
  <c r="Q146" i="9"/>
  <c r="V57" i="9"/>
  <c r="V49" i="9"/>
  <c r="R158" i="9"/>
  <c r="S158" i="9" s="1"/>
  <c r="T158" i="9" s="1"/>
  <c r="U158" i="9" s="1"/>
  <c r="Q187" i="9"/>
  <c r="V92" i="9"/>
  <c r="V44" i="9"/>
  <c r="Q77" i="9"/>
  <c r="S77" i="9"/>
  <c r="T12" i="9"/>
  <c r="V143" i="9"/>
  <c r="S146" i="9"/>
  <c r="T79" i="9"/>
  <c r="V141" i="9"/>
  <c r="V167" i="9"/>
  <c r="V43" i="9"/>
  <c r="V100" i="9"/>
  <c r="V108" i="9"/>
  <c r="V95" i="9"/>
  <c r="V102" i="9"/>
  <c r="V119" i="9"/>
  <c r="R77" i="9"/>
  <c r="V87" i="9"/>
  <c r="V24" i="9"/>
  <c r="V53" i="7"/>
  <c r="V33" i="7"/>
  <c r="V41" i="7"/>
  <c r="V82" i="7"/>
  <c r="V30" i="7"/>
  <c r="V71" i="7"/>
  <c r="V70" i="7"/>
  <c r="V43" i="7"/>
  <c r="P8" i="1"/>
  <c r="S8" i="1" s="1"/>
  <c r="P22" i="1"/>
  <c r="S22" i="1" s="1"/>
  <c r="Q40" i="1"/>
  <c r="T40" i="1" s="1"/>
  <c r="H5" i="3"/>
  <c r="I22" i="3"/>
  <c r="E5" i="4"/>
  <c r="L79" i="7"/>
  <c r="P8" i="8"/>
  <c r="P16" i="8"/>
  <c r="P21" i="8"/>
  <c r="Q26" i="8"/>
  <c r="I35" i="11"/>
  <c r="Q8" i="1"/>
  <c r="T8" i="1" s="1"/>
  <c r="R22" i="1"/>
  <c r="L5" i="4"/>
  <c r="Q16" i="8"/>
  <c r="Q21" i="8"/>
  <c r="Q21" i="12"/>
  <c r="R21" i="1"/>
  <c r="P24" i="1"/>
  <c r="S24" i="1" s="1"/>
  <c r="R31" i="1"/>
  <c r="P36" i="1"/>
  <c r="S36" i="1" s="1"/>
  <c r="Q11" i="8"/>
  <c r="Q15" i="8"/>
  <c r="R27" i="11"/>
  <c r="S27" i="11" s="1"/>
  <c r="T27" i="11" s="1"/>
  <c r="R29" i="11"/>
  <c r="S29" i="11" s="1"/>
  <c r="T29" i="11" s="1"/>
  <c r="R25" i="11"/>
  <c r="S25" i="11" s="1"/>
  <c r="T25" i="11" s="1"/>
  <c r="Q15" i="1"/>
  <c r="T15" i="1" s="1"/>
  <c r="Q10" i="1"/>
  <c r="T10" i="1" s="1"/>
  <c r="P25" i="1"/>
  <c r="S25" i="1" s="1"/>
  <c r="P28" i="1"/>
  <c r="S28" i="1" s="1"/>
  <c r="P30" i="1"/>
  <c r="S30" i="1" s="1"/>
  <c r="R32" i="1"/>
  <c r="V9" i="3"/>
  <c r="Z15" i="7"/>
  <c r="Q18" i="12"/>
  <c r="Q27" i="12"/>
  <c r="R10" i="1"/>
  <c r="K5" i="3"/>
  <c r="V31" i="11"/>
  <c r="P16" i="1"/>
  <c r="S16" i="1" s="1"/>
  <c r="P31" i="1"/>
  <c r="S31" i="1" s="1"/>
  <c r="O12" i="8"/>
  <c r="R12" i="8" s="1"/>
  <c r="P27" i="8"/>
  <c r="M23" i="11"/>
  <c r="M35" i="11" s="1"/>
  <c r="Q31" i="11"/>
  <c r="R31" i="11" s="1"/>
  <c r="S31" i="11" s="1"/>
  <c r="T31" i="11" s="1"/>
  <c r="O19" i="12"/>
  <c r="R19" i="12" s="1"/>
  <c r="O22" i="12"/>
  <c r="R22" i="12" s="1"/>
  <c r="O28" i="12"/>
  <c r="R28" i="12" s="1"/>
  <c r="P33" i="1"/>
  <c r="S33" i="1" s="1"/>
  <c r="P14" i="1"/>
  <c r="S14" i="1" s="1"/>
  <c r="R16" i="1"/>
  <c r="P27" i="1"/>
  <c r="S27" i="1" s="1"/>
  <c r="P29" i="1"/>
  <c r="S29" i="1" s="1"/>
  <c r="S16" i="3"/>
  <c r="T16" i="3" s="1"/>
  <c r="J5" i="4"/>
  <c r="P12" i="8"/>
  <c r="P20" i="8"/>
  <c r="Q23" i="8"/>
  <c r="Q27" i="8"/>
  <c r="Y24" i="13"/>
  <c r="O17" i="8"/>
  <c r="R17" i="8" s="1"/>
  <c r="Q20" i="8"/>
  <c r="P37" i="11"/>
  <c r="T21" i="11"/>
  <c r="V21" i="11" s="1"/>
  <c r="Q17" i="12"/>
  <c r="Q25" i="12"/>
  <c r="P9" i="1"/>
  <c r="S9" i="1" s="1"/>
  <c r="P15" i="1"/>
  <c r="S15" i="1" s="1"/>
  <c r="P17" i="1"/>
  <c r="S17" i="1" s="1"/>
  <c r="I10" i="3"/>
  <c r="I5" i="3" s="1"/>
  <c r="V20" i="3"/>
  <c r="G5" i="4"/>
  <c r="AL12" i="5"/>
  <c r="Q10" i="8"/>
  <c r="P17" i="8"/>
  <c r="O28" i="8"/>
  <c r="R28" i="8" s="1"/>
  <c r="Q17" i="1"/>
  <c r="T17" i="1" s="1"/>
  <c r="P28" i="8"/>
  <c r="R10" i="11"/>
  <c r="S10" i="11" s="1"/>
  <c r="T10" i="11" s="1"/>
  <c r="V18" i="11"/>
  <c r="V34" i="11"/>
  <c r="O15" i="12"/>
  <c r="R15" i="12" s="1"/>
  <c r="O23" i="12"/>
  <c r="R23" i="12" s="1"/>
  <c r="P7" i="1"/>
  <c r="S7" i="1" s="1"/>
  <c r="P32" i="1"/>
  <c r="S32" i="1" s="1"/>
  <c r="R34" i="1"/>
  <c r="V12" i="3"/>
  <c r="Y58" i="13"/>
  <c r="Y56" i="13"/>
  <c r="O16" i="12"/>
  <c r="R16" i="12" s="1"/>
  <c r="O20" i="12"/>
  <c r="R20" i="12" s="1"/>
  <c r="O24" i="12"/>
  <c r="R24" i="12" s="1"/>
  <c r="S12" i="11"/>
  <c r="T12" i="11" s="1"/>
  <c r="V12" i="11" s="1"/>
  <c r="V38" i="11"/>
  <c r="V11" i="11"/>
  <c r="P36" i="11"/>
  <c r="Q11" i="11"/>
  <c r="R11" i="11" s="1"/>
  <c r="S11" i="11" s="1"/>
  <c r="T11" i="11" s="1"/>
  <c r="T14" i="11"/>
  <c r="Q15" i="11"/>
  <c r="Q19" i="11"/>
  <c r="R19" i="11" s="1"/>
  <c r="T19" i="11" s="1"/>
  <c r="Q26" i="11"/>
  <c r="R26" i="11" s="1"/>
  <c r="S26" i="11" s="1"/>
  <c r="T26" i="11" s="1"/>
  <c r="Q28" i="11"/>
  <c r="R28" i="11" s="1"/>
  <c r="S28" i="11" s="1"/>
  <c r="T28" i="11" s="1"/>
  <c r="Q30" i="11"/>
  <c r="R30" i="11" s="1"/>
  <c r="S30" i="11" s="1"/>
  <c r="T30" i="11" s="1"/>
  <c r="Q32" i="11"/>
  <c r="R32" i="11" s="1"/>
  <c r="S32" i="11" s="1"/>
  <c r="T32" i="11" s="1"/>
  <c r="Q9" i="11"/>
  <c r="Q13" i="11"/>
  <c r="R13" i="11" s="1"/>
  <c r="S13" i="11" s="1"/>
  <c r="T13" i="11" s="1"/>
  <c r="Q22" i="11"/>
  <c r="R22" i="11" s="1"/>
  <c r="S22" i="11" s="1"/>
  <c r="T22" i="11" s="1"/>
  <c r="K23" i="11"/>
  <c r="K35" i="11" s="1"/>
  <c r="H23" i="11"/>
  <c r="P23" i="11"/>
  <c r="P35" i="11" s="1"/>
  <c r="Q33" i="11"/>
  <c r="R33" i="11" s="1"/>
  <c r="S33" i="11" s="1"/>
  <c r="T33" i="11" s="1"/>
  <c r="O9" i="8"/>
  <c r="R9" i="8" s="1"/>
  <c r="O14" i="8"/>
  <c r="R14" i="8" s="1"/>
  <c r="O18" i="8"/>
  <c r="R18" i="8" s="1"/>
  <c r="O22" i="8"/>
  <c r="R22" i="8" s="1"/>
  <c r="P9" i="8"/>
  <c r="O10" i="8"/>
  <c r="R10" i="8" s="1"/>
  <c r="P14" i="8"/>
  <c r="O15" i="8"/>
  <c r="R15" i="8" s="1"/>
  <c r="P18" i="8"/>
  <c r="O19" i="8"/>
  <c r="R19" i="8" s="1"/>
  <c r="P22" i="8"/>
  <c r="O23" i="8"/>
  <c r="R23" i="8" s="1"/>
  <c r="O26" i="8"/>
  <c r="R26" i="8" s="1"/>
  <c r="AA16" i="7"/>
  <c r="N78" i="7"/>
  <c r="N81" i="7"/>
  <c r="AA17" i="7"/>
  <c r="AA15" i="7"/>
  <c r="Y59" i="7"/>
  <c r="AL20" i="5"/>
  <c r="AL16" i="5"/>
  <c r="AK20" i="5"/>
  <c r="AK16" i="5"/>
  <c r="AK12" i="5"/>
  <c r="Y32" i="5"/>
  <c r="AA32" i="5" s="1"/>
  <c r="R24" i="4"/>
  <c r="F5" i="4"/>
  <c r="R30" i="4"/>
  <c r="L23" i="4"/>
  <c r="M33" i="4"/>
  <c r="K7" i="4"/>
  <c r="K5" i="4" s="1"/>
  <c r="N33" i="4"/>
  <c r="V6" i="3"/>
  <c r="U8" i="3"/>
  <c r="V17" i="3"/>
  <c r="V23" i="3"/>
  <c r="J5" i="3"/>
  <c r="S14" i="3"/>
  <c r="T14" i="3" s="1"/>
  <c r="Q7" i="1"/>
  <c r="T7" i="1" s="1"/>
  <c r="Q9" i="1"/>
  <c r="T9" i="1" s="1"/>
  <c r="Q14" i="1"/>
  <c r="T14" i="1" s="1"/>
  <c r="Q30" i="1"/>
  <c r="T30" i="1" s="1"/>
  <c r="Q36" i="1"/>
  <c r="T36" i="1" s="1"/>
  <c r="P39" i="1"/>
  <c r="S39" i="1" s="1"/>
  <c r="R40" i="1"/>
  <c r="P42" i="1"/>
  <c r="S42" i="1" s="1"/>
  <c r="Q39" i="1"/>
  <c r="T39" i="1" s="1"/>
  <c r="Q42" i="1"/>
  <c r="T42" i="1" s="1"/>
  <c r="T67" i="13" l="1"/>
  <c r="U16" i="13"/>
  <c r="T54" i="13"/>
  <c r="T68" i="13" s="1"/>
  <c r="V16" i="13"/>
  <c r="T146" i="9"/>
  <c r="U79" i="9"/>
  <c r="U146" i="9" s="1"/>
  <c r="R187" i="9"/>
  <c r="V158" i="9"/>
  <c r="Q188" i="9"/>
  <c r="T187" i="9"/>
  <c r="T188" i="9" s="1"/>
  <c r="T193" i="9" s="1"/>
  <c r="U152" i="9"/>
  <c r="U187" i="9" s="1"/>
  <c r="U188" i="9" s="1"/>
  <c r="U193" i="9" s="1"/>
  <c r="U12" i="9"/>
  <c r="U77" i="9" s="1"/>
  <c r="V77" i="9" s="1"/>
  <c r="V12" i="9"/>
  <c r="T77" i="9"/>
  <c r="S187" i="9"/>
  <c r="S188" i="9" s="1"/>
  <c r="S193" i="9" s="1"/>
  <c r="AB16" i="7"/>
  <c r="V26" i="11"/>
  <c r="V10" i="11"/>
  <c r="V29" i="11"/>
  <c r="V8" i="3"/>
  <c r="V25" i="11"/>
  <c r="V16" i="3"/>
  <c r="V27" i="11"/>
  <c r="R15" i="11"/>
  <c r="Q36" i="11"/>
  <c r="U14" i="11"/>
  <c r="V32" i="11"/>
  <c r="V33" i="11"/>
  <c r="R9" i="11"/>
  <c r="Q23" i="11"/>
  <c r="Q35" i="11" s="1"/>
  <c r="Q37" i="11"/>
  <c r="V30" i="11"/>
  <c r="H35" i="11"/>
  <c r="V28" i="11"/>
  <c r="V13" i="11"/>
  <c r="V22" i="11"/>
  <c r="Y142" i="9"/>
  <c r="Z142" i="9" s="1"/>
  <c r="M10" i="4"/>
  <c r="M5" i="4" s="1"/>
  <c r="O33" i="4"/>
  <c r="P33" i="4"/>
  <c r="V14" i="3"/>
  <c r="U67" i="13" l="1"/>
  <c r="V67" i="13" s="1"/>
  <c r="U54" i="13"/>
  <c r="U68" i="13" s="1"/>
  <c r="V68" i="13" s="1"/>
  <c r="R188" i="9"/>
  <c r="V188" i="9" s="1"/>
  <c r="V187" i="9"/>
  <c r="V79" i="9"/>
  <c r="V146" i="9"/>
  <c r="V152" i="9"/>
  <c r="R23" i="11"/>
  <c r="R35" i="11" s="1"/>
  <c r="S9" i="11"/>
  <c r="U23" i="11"/>
  <c r="U35" i="11" s="1"/>
  <c r="U36" i="11"/>
  <c r="V14" i="11"/>
  <c r="R37" i="11"/>
  <c r="S37" i="11" s="1"/>
  <c r="T37" i="11" s="1"/>
  <c r="U37" i="11" s="1"/>
  <c r="S15" i="11"/>
  <c r="R36" i="11"/>
  <c r="Y144" i="9"/>
  <c r="S88" i="7"/>
  <c r="T88" i="7"/>
  <c r="Q33" i="4"/>
  <c r="V65" i="13" l="1"/>
  <c r="V54" i="13"/>
  <c r="V37" i="11"/>
  <c r="R33" i="4"/>
  <c r="S23" i="11"/>
  <c r="T9" i="11"/>
  <c r="T15" i="11"/>
  <c r="T36" i="11" s="1"/>
  <c r="S36" i="11"/>
  <c r="V36" i="11" l="1"/>
  <c r="T23" i="11"/>
  <c r="T35" i="11" s="1"/>
  <c r="V9" i="11"/>
  <c r="V15" i="11"/>
  <c r="S35" i="11"/>
  <c r="V23" i="11" l="1"/>
  <c r="V35" i="11"/>
  <c r="V88" i="7"/>
</calcChain>
</file>

<file path=xl/sharedStrings.xml><?xml version="1.0" encoding="utf-8"?>
<sst xmlns="http://schemas.openxmlformats.org/spreadsheetml/2006/main" count="2295" uniqueCount="707">
  <si>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</si>
  <si>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</si>
  <si>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</si>
  <si>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</si>
  <si>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</si>
  <si>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</si>
  <si>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</si>
  <si>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</si>
  <si>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</si>
  <si>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</si>
  <si>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</si>
  <si>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</si>
  <si>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</si>
  <si>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</si>
  <si>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</si>
  <si>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</si>
  <si>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</si>
  <si>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</si>
  <si>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</si>
  <si>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</si>
  <si>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</si>
  <si>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</si>
  <si>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</si>
  <si>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</si>
  <si>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</si>
  <si>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</si>
  <si>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</si>
  <si>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</si>
  <si>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</si>
  <si>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</si>
  <si>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</si>
  <si>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</si>
  <si>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</si>
  <si>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</si>
  <si>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</si>
  <si>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</si>
  <si>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</si>
  <si>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</si>
  <si>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</si>
  <si>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</si>
  <si>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</si>
  <si>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</si>
  <si>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</si>
  <si>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</si>
  <si>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</si>
  <si>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</si>
  <si>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</si>
  <si>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</si>
  <si>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</si>
  <si>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</si>
  <si>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</si>
  <si>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</si>
  <si>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</si>
  <si>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</si>
  <si>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</si>
  <si>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</si>
  <si>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</si>
  <si>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</si>
  <si>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</si>
  <si>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</si>
  <si>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</si>
  <si>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</si>
  <si>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</si>
  <si>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</si>
  <si>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</si>
  <si>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</si>
  <si>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</si>
  <si>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</si>
  <si>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</si>
  <si>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</si>
  <si>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</si>
  <si>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</si>
  <si>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</si>
  <si>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</si>
  <si>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</si>
  <si>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</si>
  <si>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</si>
  <si>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</si>
  <si>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</si>
  <si>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</si>
  <si>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</si>
  <si>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</si>
  <si>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</si>
  <si>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</si>
  <si>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</si>
  <si>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</si>
  <si>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</si>
  <si>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5–18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</si>
  <si>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</si>
  <si>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</si>
  <si>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</si>
  <si>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</si>
  <si>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</si>
  <si>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</si>
  <si>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</si>
  <si>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</si>
  <si>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</si>
  <si>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</si>
  <si>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</si>
  <si>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</si>
  <si>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</si>
  <si>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</si>
  <si>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</si>
  <si>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</si>
  <si>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</si>
  <si>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</si>
  <si>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</si>
  <si>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</si>
  <si>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</si>
  <si>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</si>
  <si>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</si>
  <si>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МСКУ "МЦБ"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</si>
  <si>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</si>
  <si>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</si>
  <si>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</si>
  <si>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</si>
  <si>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</si>
  <si>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</si>
  <si>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</si>
  <si>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</si>
  <si>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</si>
  <si>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</si>
  <si>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</si>
  <si>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</si>
  <si>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</si>
  <si>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</si>
  <si>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</si>
  <si>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</si>
  <si>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</si>
  <si>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</si>
  <si>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</si>
  <si>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</si>
  <si>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</si>
  <si>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</si>
  <si>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</si>
  <si>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</si>
  <si>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</si>
  <si>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</si>
  <si>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</si>
  <si>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</si>
  <si>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</si>
  <si>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</si>
  <si>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</si>
  <si>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</si>
  <si>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</si>
  <si>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</si>
  <si>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</si>
  <si>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</si>
  <si>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</si>
  <si>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</si>
  <si>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</si>
  <si>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</si>
  <si>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</si>
  <si>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чел.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</si>
  <si>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</si>
  <si>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</si>
  <si>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127(6)</t>
  </si>
  <si>
    <t>125(5)</t>
  </si>
  <si>
    <t>123(7)</t>
  </si>
  <si>
    <t>85(57)</t>
  </si>
  <si>
    <t>87(59)</t>
  </si>
  <si>
    <t>87(55)</t>
  </si>
  <si>
    <t>89(57)</t>
  </si>
  <si>
    <t>Начальник отдела образования администрации города Дивногорска</t>
  </si>
  <si>
    <t>Г.В. 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</si>
  <si>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</si>
  <si>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</si>
  <si>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</si>
  <si>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</si>
  <si>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</si>
  <si>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плановый период</t>
  </si>
  <si>
    <t>долгосрочный период</t>
  </si>
  <si>
    <t>2013 год</t>
  </si>
  <si>
    <t>2028 год</t>
  </si>
  <si>
    <t>2029 год</t>
  </si>
  <si>
    <t>2030 год</t>
  </si>
  <si>
    <t>2031 год</t>
  </si>
  <si>
    <t>2032 год</t>
  </si>
  <si>
    <t>2033 год</t>
  </si>
  <si>
    <t>2034 год</t>
  </si>
  <si>
    <t>2035 год</t>
  </si>
  <si>
    <t>2036 год</t>
  </si>
  <si>
    <t>Приложение №1
к муниципальной программе 
«Система образования города Дивногорска»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</si>
  <si>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</si>
  <si>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</si>
  <si>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</si>
  <si>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</si>
  <si>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</si>
  <si>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</si>
  <si>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</si>
  <si>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</si>
  <si>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</si>
  <si>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</si>
  <si>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</si>
  <si>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</si>
  <si>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</si>
  <si>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</si>
  <si>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</si>
  <si>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</si>
  <si>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</si>
  <si>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</si>
  <si>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</si>
  <si>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</si>
  <si>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</si>
  <si>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</si>
  <si>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</si>
  <si>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</si>
  <si>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</si>
  <si>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</si>
  <si>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</si>
  <si>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</si>
  <si>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</si>
  <si>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</si>
  <si>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</si>
  <si>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Г.В.Кабацура</t>
  </si>
  <si>
    <t>Приложение №2
к муниципальной программе 
«Система образования города Дивногорска»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</si>
  <si>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</si>
  <si>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</si>
  <si>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</si>
  <si>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</si>
  <si>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</si>
  <si>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</si>
  <si>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</si>
  <si>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</si>
  <si>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</si>
  <si>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</si>
  <si>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</si>
  <si>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</si>
  <si>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</si>
  <si>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</si>
  <si>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</si>
  <si>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</si>
  <si>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</si>
  <si>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</si>
  <si>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</si>
  <si>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</si>
  <si>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№3
к муниципальной программе 
«Система образования города Дивногорска»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</si>
  <si>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</si>
  <si>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</si>
  <si>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</si>
  <si>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</si>
  <si>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</si>
  <si>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</si>
  <si>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</si>
  <si>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</si>
  <si>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</si>
  <si>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Раздел 0701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</si>
  <si>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</si>
  <si>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</si>
  <si>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</si>
  <si>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Раздел 0702+1003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</si>
  <si>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</si>
  <si>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</si>
  <si>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</si>
  <si>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</si>
  <si>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</si>
  <si>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</si>
  <si>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 xml:space="preserve">ПП3 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</si>
  <si>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</si>
  <si>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</si>
  <si>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ПП2   Раздел 0703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</si>
  <si>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</si>
  <si>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</si>
  <si>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</si>
  <si>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</si>
  <si>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</si>
  <si>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предоставление общедоступного и качественного дошкольного образования для  детей с разными образовательными потребностями</t>
  </si>
  <si>
    <t>Задача № 1 Обеспечить доступность дошкольного образования, соответствующего федеральным государственным стандартам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</si>
  <si>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</si>
  <si>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</si>
  <si>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</si>
  <si>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</si>
  <si>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</si>
  <si>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</si>
  <si>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</si>
  <si>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</si>
  <si>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</si>
  <si>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</si>
  <si>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</si>
  <si>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</si>
  <si>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</si>
  <si>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</si>
  <si>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</si>
  <si>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</si>
  <si>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</si>
  <si>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1344 детей получат услуги дошкольного образования</t>
  </si>
  <si>
    <t>612</t>
  </si>
  <si>
    <t>621</t>
  </si>
  <si>
    <t>622</t>
  </si>
  <si>
    <t>870</t>
  </si>
  <si>
    <t>011008061Р</t>
  </si>
  <si>
    <t>011008061Т</t>
  </si>
  <si>
    <t>011008061Z</t>
  </si>
  <si>
    <t>0110080710</t>
  </si>
  <si>
    <t>01100L0271</t>
  </si>
  <si>
    <t>01100S8400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</si>
  <si>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</si>
  <si>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</si>
  <si>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</si>
  <si>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</si>
  <si>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</si>
  <si>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</si>
  <si>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</si>
  <si>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</si>
  <si>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>0110010340,0110010350</t>
  </si>
  <si>
    <t>0110078400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</si>
  <si>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</si>
  <si>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</si>
  <si>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(род.плата, внебюджет)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</si>
  <si>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</si>
  <si>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</si>
  <si>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</si>
  <si>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</si>
  <si>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</si>
  <si>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</si>
  <si>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</si>
  <si>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</si>
  <si>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</si>
  <si>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</si>
  <si>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</si>
  <si>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</si>
  <si>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</si>
  <si>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>244</t>
  </si>
  <si>
    <t>0110089560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</si>
  <si>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</si>
  <si>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</si>
  <si>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</si>
  <si>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>011008530</t>
  </si>
  <si>
    <t>краевой бюджет</t>
  </si>
  <si>
    <t>мест.бюджет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</si>
  <si>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</si>
  <si>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0110075820</t>
  </si>
  <si>
    <t>01100S5820</t>
  </si>
  <si>
    <t>1.1.6</t>
  </si>
  <si>
    <t>Создание дополнительных мест в системе дошкольного образования детей (кр.б.)</t>
  </si>
  <si>
    <t>0117421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</si>
  <si>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</si>
  <si>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</si>
  <si>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</si>
  <si>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</si>
  <si>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</si>
  <si>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</si>
  <si>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</si>
  <si>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</si>
  <si>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</si>
  <si>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</si>
  <si>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</si>
  <si>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</si>
  <si>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</si>
  <si>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</si>
  <si>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</si>
  <si>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</si>
  <si>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</si>
  <si>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</si>
  <si>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</si>
  <si>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</si>
  <si>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</si>
  <si>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</si>
  <si>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соответствующих требованиям ФГОС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</si>
  <si>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</si>
  <si>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</si>
  <si>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</si>
  <si>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</si>
  <si>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</si>
  <si>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</si>
  <si>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</si>
  <si>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</si>
  <si>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</si>
  <si>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</si>
  <si>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выявления, поддержки и развития  одаренных детей, детей с ограниченными возможностями здоровья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</si>
  <si>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</si>
  <si>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</si>
  <si>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</si>
  <si>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</si>
  <si>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</si>
  <si>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</si>
  <si>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3.5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</si>
  <si>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</si>
  <si>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Задача № 4. Обеспечить реализацию федеральных проектов в рамках Нацпроекта "Образование"</t>
  </si>
  <si>
    <t>4.1</t>
  </si>
  <si>
    <t>Разработка и внедрение рабочих программ воспитания обучающихся в общеобразовательных организациях.</t>
  </si>
  <si>
    <t>4.2</t>
  </si>
  <si>
    <t>Увеличение численности детей и молодежи в возрасте до 35 лет, вовлеченных в социально активную дечтельность через увеличение охвата патриотическими проектами</t>
  </si>
  <si>
    <t>4.3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</si>
  <si>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</si>
  <si>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</si>
  <si>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</si>
  <si>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</si>
  <si>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</si>
  <si>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</si>
  <si>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0120077440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</si>
  <si>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</si>
  <si>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</si>
  <si>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Расходы на создание условий для предоставления горячего питания обучающихся (КБ)</t>
  </si>
  <si>
    <t>0120074700</t>
  </si>
  <si>
    <t>Расходы на создание условий для предоставления горячего питания обучающихся (МБ)</t>
  </si>
  <si>
    <t>01200S4700</t>
  </si>
  <si>
    <t>Подготовка образовательных учреждений к новому учебному году</t>
  </si>
  <si>
    <t>0120080610</t>
  </si>
  <si>
    <t>0120075630</t>
  </si>
  <si>
    <t>0120078450</t>
  </si>
  <si>
    <t>01200S8450</t>
  </si>
  <si>
    <t>01200S5630</t>
  </si>
  <si>
    <t>0120074300</t>
  </si>
  <si>
    <t>01200S4300</t>
  </si>
  <si>
    <t>012E274300</t>
  </si>
  <si>
    <t>0120078400</t>
  </si>
  <si>
    <t>622,612</t>
  </si>
  <si>
    <t>01200S8400</t>
  </si>
  <si>
    <t>0120088760</t>
  </si>
  <si>
    <t>612,622</t>
  </si>
  <si>
    <t>0120088770</t>
  </si>
  <si>
    <t>0120088130</t>
  </si>
  <si>
    <t>Расходы на проведение мероприятий по обеспечению антитеррористической защищенности объектов образования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</si>
  <si>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0120075590</t>
  </si>
  <si>
    <t>01200S5590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</si>
  <si>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</si>
  <si>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</si>
  <si>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</si>
  <si>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</si>
  <si>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Обеспечение питанием детей с ОВЗ, обучающихся в муниципальных общеобразовательных учреждениях</t>
  </si>
  <si>
    <t>0120075830</t>
  </si>
  <si>
    <t>01200S5830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</si>
  <si>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</si>
  <si>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01200L3040, 01200L3041</t>
  </si>
  <si>
    <t>01200L3040, 01200L3041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</si>
  <si>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</si>
  <si>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</si>
  <si>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</si>
  <si>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Обеспечение питанием детей из семей лиц, принимающих участие в специальной военной операции</t>
  </si>
  <si>
    <t>0120008530</t>
  </si>
  <si>
    <t>2.1.6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</si>
  <si>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</si>
  <si>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</si>
  <si>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</si>
  <si>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</si>
  <si>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2.1.7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</si>
  <si>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</si>
  <si>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</si>
  <si>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</si>
  <si>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</si>
  <si>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</si>
  <si>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</si>
  <si>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</si>
  <si>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</si>
  <si>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</si>
  <si>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</si>
  <si>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расходы на внедрение целевой модели образовательной среды (местный бюджет)</t>
  </si>
  <si>
    <t>2.1.9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</si>
  <si>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</si>
  <si>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</si>
  <si>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</si>
  <si>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</si>
  <si>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012Е151690</t>
  </si>
  <si>
    <t>012Е151690 СОФ</t>
  </si>
  <si>
    <t>2.1.10</t>
  </si>
  <si>
    <t>Расходы на реализацию мероприятий по модернизации школьных систем образования</t>
  </si>
  <si>
    <t>01200L75020</t>
  </si>
  <si>
    <t>Расходы на реализацию мероприятий по модернизации школьных систем образования (софинансир.)</t>
  </si>
  <si>
    <t>2.1.11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</si>
  <si>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</si>
  <si>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</si>
  <si>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</si>
  <si>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</si>
  <si>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2.1.12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</si>
  <si>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 краевой бюджет</t>
  </si>
  <si>
    <t>0703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</si>
  <si>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местный бюджет</t>
  </si>
  <si>
    <t>2.1.13</t>
  </si>
  <si>
    <t>Софинансирование расходов на устройство быстровозводимых крытых конструкций в рамках подпрограммы "Общее и дополнительное образование детей" муниципальной программы города Дивногорска "Система образования города Дивногорска"</t>
  </si>
  <si>
    <t>01200S4040</t>
  </si>
  <si>
    <t>2.1.14</t>
  </si>
  <si>
    <t xml:space="preserve">Расходы муниципальных учреждений за содействие развитию налогового потенциала </t>
  </si>
  <si>
    <t>0120077450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</si>
  <si>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</si>
  <si>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</si>
  <si>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</si>
  <si>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</si>
  <si>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</si>
  <si>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</si>
  <si>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</si>
  <si>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</si>
  <si>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</si>
  <si>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</si>
  <si>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</si>
  <si>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</si>
  <si>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01200L3030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</si>
  <si>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</si>
  <si>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</si>
  <si>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</si>
  <si>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</si>
  <si>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</si>
  <si>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0120010340, 012001047А, 012001038А, 0120010490</t>
  </si>
  <si>
    <t>0120010340, 012001047Б, 012001038А, 0120010490</t>
  </si>
  <si>
    <t>0120010230</t>
  </si>
  <si>
    <t>0120010350</t>
  </si>
  <si>
    <t>012001047К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</si>
  <si>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</si>
  <si>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Меры социальной поддержки лицам, обучающимся по программам среднего профессионального и высшего образования на основании заключенных договоров о целевом обучении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</si>
  <si>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</si>
  <si>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</si>
  <si>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</si>
  <si>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</si>
  <si>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</si>
  <si>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</si>
  <si>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</si>
  <si>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</si>
  <si>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</si>
  <si>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</si>
  <si>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</si>
  <si>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</si>
  <si>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</si>
  <si>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</si>
  <si>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t>Итого по задаче 2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</si>
  <si>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</si>
  <si>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3.3.1</t>
  </si>
  <si>
    <t>Обеспечение развития и стабильного функционирования муниципальных учреждений дополнительного образования детей 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</si>
  <si>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</si>
  <si>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</si>
  <si>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</si>
  <si>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</si>
  <si>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</si>
  <si>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</si>
  <si>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</si>
  <si>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0120010340,012001047Б, 012001038А, 0120010490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</si>
  <si>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</si>
  <si>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</si>
  <si>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</si>
  <si>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</si>
  <si>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</si>
  <si>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</si>
  <si>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</si>
  <si>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</si>
  <si>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</si>
  <si>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</si>
  <si>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</si>
  <si>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</si>
  <si>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</si>
  <si>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</si>
  <si>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</si>
  <si>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</si>
  <si>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</si>
  <si>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</si>
  <si>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</si>
  <si>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</si>
  <si>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>Ежегодно не менее 45 одаренных и талантливых детей получают премию в размере от 1500 до 8000 рублей. С 2016 года расходы на мероприятие отражены в подпрограмме 4 по КВР 350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</si>
  <si>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</si>
  <si>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</si>
  <si>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</si>
  <si>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</si>
  <si>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</si>
  <si>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</si>
  <si>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</si>
  <si>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012007568E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</si>
  <si>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</si>
  <si>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</si>
  <si>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</si>
  <si>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</si>
  <si>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</si>
  <si>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>федеральный бюджет</t>
  </si>
  <si>
    <t xml:space="preserve">Начальника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</si>
  <si>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</si>
  <si>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обеспечить безопасный и качественный отдых и оздоровление детей в период каникул.</t>
  </si>
  <si>
    <t>Задача №1. Создать условия для безопасного и качественного отдыха детей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</si>
  <si>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</si>
  <si>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</si>
  <si>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</si>
  <si>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</si>
  <si>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</si>
  <si>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</si>
  <si>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</si>
  <si>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</si>
  <si>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</si>
  <si>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</si>
  <si>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</si>
  <si>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</si>
  <si>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</si>
  <si>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</si>
  <si>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</si>
  <si>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</si>
  <si>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</si>
  <si>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</si>
  <si>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</si>
  <si>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</si>
  <si>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</si>
  <si>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0707, 0709</t>
  </si>
  <si>
    <t>0137582; 0130073970, 01300S649Д, 0130076490</t>
  </si>
  <si>
    <t>612; 622, 870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</si>
  <si>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</si>
  <si>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</si>
  <si>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</si>
  <si>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</si>
  <si>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</si>
  <si>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</si>
  <si>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</si>
  <si>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</si>
  <si>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0707,  0709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</si>
  <si>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</si>
  <si>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</si>
  <si>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</si>
  <si>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</si>
  <si>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</si>
  <si>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320,240,870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</si>
  <si>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</si>
  <si>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</si>
  <si>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</si>
  <si>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</si>
  <si>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</si>
  <si>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</si>
  <si>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</si>
  <si>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</si>
  <si>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</si>
  <si>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</si>
  <si>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</si>
  <si>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</si>
  <si>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</si>
  <si>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</si>
  <si>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</si>
  <si>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</si>
  <si>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1. Обеспечить деятельность отдела образования и учреждений, обеспечивающих деятельность образовательных учреждений, направленную на эффективное управление отраслью.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</si>
  <si>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</si>
  <si>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</si>
  <si>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</si>
  <si>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</si>
  <si>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</si>
  <si>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</si>
  <si>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</si>
  <si>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</si>
  <si>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</si>
  <si>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</si>
  <si>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</si>
  <si>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</si>
  <si>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</si>
  <si>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</si>
  <si>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</si>
  <si>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</si>
  <si>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</si>
  <si>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</si>
  <si>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</si>
  <si>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</si>
  <si>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0140080030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</si>
  <si>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</si>
  <si>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</si>
  <si>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</si>
  <si>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</si>
  <si>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</si>
  <si>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</si>
  <si>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</si>
  <si>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</si>
  <si>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</si>
  <si>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</si>
  <si>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</si>
  <si>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</si>
  <si>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</si>
  <si>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</si>
  <si>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</si>
  <si>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0140010230, 0140010490, 0140010340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</si>
  <si>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</si>
  <si>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</si>
  <si>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</si>
  <si>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</si>
  <si>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</si>
  <si>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</si>
  <si>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</si>
  <si>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</si>
  <si>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</si>
  <si>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</si>
  <si>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</si>
  <si>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0140010320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</si>
  <si>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</si>
  <si>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</si>
  <si>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</si>
  <si>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</si>
  <si>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</si>
  <si>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0140078460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</si>
  <si>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</si>
  <si>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</si>
  <si>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</si>
  <si>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</si>
  <si>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</si>
  <si>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</si>
  <si>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0140075870, 01400L0820</t>
  </si>
  <si>
    <t>01400L0820, 0140075870</t>
  </si>
  <si>
    <t>Начальника отдела образования администрации города Дивногорска</t>
  </si>
  <si>
    <t>1.1.10</t>
  </si>
  <si>
    <t>Расходы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образования,за счет средств краевого бюджета</t>
  </si>
  <si>
    <t>О1100S5840</t>
  </si>
  <si>
    <t>011Я153150</t>
  </si>
  <si>
    <t>6 общеобразовательных учреждений и 1 учреждение дополнительного образования приняты муниципальной комиссией к началу нового учебного года</t>
  </si>
  <si>
    <t>01200L75020, 012Ю457502</t>
  </si>
  <si>
    <t>2.1.15</t>
  </si>
  <si>
    <t xml:space="preserve">Расходы на оснащение предметных кабинетов общеобразовательных организаций средствами обучения и воспитания </t>
  </si>
  <si>
    <t>012Ю455590</t>
  </si>
  <si>
    <t>012ЕВ51790, 012Ю651790</t>
  </si>
  <si>
    <t xml:space="preserve"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</t>
  </si>
  <si>
    <t>01200L0500,  012Ю650500</t>
  </si>
  <si>
    <t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икключить</t>
  </si>
  <si>
    <t>Разве классным руководителям не платят из краевого бюджета??? 120 человек ежегодно будут получать ежемесячное вознаграждение за счет средств краевого бюджета</t>
  </si>
  <si>
    <t>Финансирование ГИМЦ прописано в 4й программе, думаю, здесь надо исключить эту позицию.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</si>
  <si>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Организация и проведение учебно-полевых сборов для учащихся (мальчиков) 10-х классов школ города Дивногорска  (ТАНЯ! НАДО ПЕРЕНЕСТИ ДЕНЬГИ по 2014 и 2015 годам в раздел по реализации общеобраз. Программ. А пункт этот вообще убрать</t>
  </si>
  <si>
    <t>ДУМАЮ, ЭТО УЖЕ СДЕЛАНО и НАДО ИСКЛЮЧИТЬ? 87 учащихся 7 школ города изучают курс НВП и ОБЖ, 350 учащихся проходят подготовку к проведению спортивных соревнований</t>
  </si>
  <si>
    <t xml:space="preserve"> 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</si>
  <si>
    <t>ПОСОВЕТОВАТЬСЯ С ПОЛЕЖАЕВОЙ, о необходимости этих позиций??? Обеспечена подготовка и сопровождение 80 учащихся на различные выездные олимпиады и конкурсы</t>
  </si>
  <si>
    <t>012007568D, 01200S5680</t>
  </si>
  <si>
    <t>01200S568E, 01200S5680</t>
  </si>
  <si>
    <t>0140010240</t>
  </si>
  <si>
    <t xml:space="preserve">МКУ ГИМЦ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</si>
</sst>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  <numFmt numFmtId="168" formatCode="_-* #,##0.00_р_._-;\-* #,##0.00_р_._-;_-* &quot;-&quot;??_р_._-;_-@_-"/>
    <numFmt numFmtId="169" formatCode="0.00000000"/>
    <numFmt numFmtId="170" formatCode="0.00000000000"/>
    <numFmt numFmtId="171" formatCode="#,##0.0_ ;\-#,##0.0\ "/>
    <numFmt numFmtId="172" formatCode="0.0000000000"/>
    <numFmt numFmtId="173" formatCode="_-* #,##0.00_р_._-;\-* #,##0.00_р_._-;_-* &quot;-&quot;?_р_._-;_-@_-"/>
    <numFmt numFmtId="174" formatCode="_-* #,##0.0\ _р_._-;\-* #,##0.0\ _р_._-;_-* &quot;-&quot;?\ _р_._-;_-@_-"/>
    <numFmt numFmtId="175" formatCode="#,##0.0\ _₽;\-#,##0.0\ _₽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6" tint="0.7999816888943144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8" fontId="1" fillId="0" borderId="0" applyFont="0" applyFill="0" applyBorder="0" applyAlignment="0" applyProtection="0"/>
  </cellStyleXfs>
  <cellXfs count="544">
    <xf numFmtId="0" fontId="0" fillId="0" borderId="0" xfId="0"/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vertical="top" wrapText="1"/>
    </xf>
    <xf numFmtId="0" fontId="5" fillId="0" borderId="0" xfId="1" applyFont="1" applyFill="1"/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top" wrapText="1" indent="1"/>
    </xf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0" borderId="0" xfId="1" applyFont="1" applyFill="1" applyBorder="1"/>
    <xf numFmtId="0" fontId="5" fillId="0" borderId="0" xfId="1" applyFont="1" applyFill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9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wrapText="1"/>
    </xf>
    <xf numFmtId="0" fontId="2" fillId="2" borderId="0" xfId="1" applyFont="1" applyFill="1"/>
    <xf numFmtId="0" fontId="1" fillId="2" borderId="0" xfId="1" applyFill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3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vertical="top"/>
    </xf>
    <xf numFmtId="0" fontId="2" fillId="0" borderId="1" xfId="1" applyFont="1" applyBorder="1" applyAlignment="1">
      <alignment horizontal="left" vertical="center" wrapText="1"/>
    </xf>
    <xf numFmtId="166" fontId="2" fillId="2" borderId="1" xfId="1" applyNumberFormat="1" applyFont="1" applyFill="1" applyBorder="1"/>
    <xf numFmtId="166" fontId="2" fillId="0" borderId="1" xfId="1" applyNumberFormat="1" applyFont="1" applyFill="1" applyBorder="1"/>
    <xf numFmtId="0" fontId="2" fillId="0" borderId="1" xfId="1" applyFont="1" applyBorder="1"/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/>
    <xf numFmtId="49" fontId="2" fillId="0" borderId="1" xfId="1" applyNumberFormat="1" applyFont="1" applyFill="1" applyBorder="1"/>
    <xf numFmtId="0" fontId="2" fillId="2" borderId="1" xfId="1" applyFont="1" applyFill="1" applyBorder="1"/>
    <xf numFmtId="4" fontId="2" fillId="2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2" borderId="0" xfId="1" applyNumberFormat="1" applyFont="1" applyFill="1"/>
    <xf numFmtId="167" fontId="2" fillId="0" borderId="0" xfId="1" applyNumberFormat="1" applyFont="1" applyFill="1"/>
    <xf numFmtId="167" fontId="2" fillId="2" borderId="0" xfId="1" applyNumberFormat="1" applyFont="1" applyFill="1"/>
    <xf numFmtId="167" fontId="2" fillId="0" borderId="0" xfId="1" applyNumberFormat="1" applyFont="1"/>
    <xf numFmtId="0" fontId="12" fillId="0" borderId="0" xfId="1" applyFont="1" applyFill="1"/>
    <xf numFmtId="0" fontId="12" fillId="2" borderId="0" xfId="1" applyFont="1" applyFill="1"/>
    <xf numFmtId="0" fontId="13" fillId="0" borderId="0" xfId="1" applyFont="1" applyFill="1" applyAlignment="1">
      <alignment vertical="top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top" wrapText="1"/>
    </xf>
    <xf numFmtId="165" fontId="2" fillId="2" borderId="1" xfId="2" applyNumberFormat="1" applyFont="1" applyFill="1" applyBorder="1" applyAlignment="1">
      <alignment horizontal="righ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top" wrapText="1" indent="1"/>
    </xf>
    <xf numFmtId="165" fontId="13" fillId="2" borderId="1" xfId="1" applyNumberFormat="1" applyFont="1" applyFill="1" applyBorder="1" applyAlignment="1">
      <alignment horizontal="right"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/>
    <xf numFmtId="0" fontId="13" fillId="2" borderId="1" xfId="1" applyFont="1" applyFill="1" applyBorder="1" applyAlignment="1">
      <alignment horizontal="left" vertical="top" wrapText="1" indent="2"/>
    </xf>
    <xf numFmtId="0" fontId="13" fillId="2" borderId="1" xfId="1" applyFont="1" applyFill="1" applyBorder="1" applyAlignment="1">
      <alignment horizontal="left" vertical="top" wrapText="1"/>
    </xf>
    <xf numFmtId="165" fontId="2" fillId="4" borderId="1" xfId="2" applyNumberFormat="1" applyFont="1" applyFill="1" applyBorder="1" applyAlignment="1">
      <alignment horizontal="right" vertical="center" wrapText="1"/>
    </xf>
    <xf numFmtId="0" fontId="2" fillId="0" borderId="0" xfId="1" applyFont="1" applyFill="1" applyAlignment="1"/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0" borderId="0" xfId="1" applyFont="1" applyFill="1" applyBorder="1" applyAlignment="1">
      <alignment vertical="top" wrapText="1"/>
    </xf>
    <xf numFmtId="165" fontId="12" fillId="2" borderId="0" xfId="1" applyNumberFormat="1" applyFont="1" applyFill="1"/>
    <xf numFmtId="0" fontId="2" fillId="2" borderId="0" xfId="1" applyFont="1" applyFill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0" xfId="1" applyFont="1" applyFill="1" applyBorder="1"/>
    <xf numFmtId="0" fontId="2" fillId="0" borderId="0" xfId="1" applyFont="1" applyFill="1" applyAlignment="1">
      <alignment horizontal="right"/>
    </xf>
    <xf numFmtId="0" fontId="2" fillId="0" borderId="11" xfId="1" applyFont="1" applyFill="1" applyBorder="1"/>
    <xf numFmtId="164" fontId="2" fillId="0" borderId="0" xfId="1" applyNumberFormat="1" applyFont="1" applyFill="1"/>
    <xf numFmtId="169" fontId="2" fillId="0" borderId="0" xfId="1" applyNumberFormat="1" applyFont="1" applyFill="1"/>
    <xf numFmtId="2" fontId="2" fillId="4" borderId="0" xfId="1" applyNumberFormat="1" applyFont="1" applyFill="1"/>
    <xf numFmtId="0" fontId="14" fillId="4" borderId="0" xfId="1" applyFont="1" applyFill="1"/>
    <xf numFmtId="0" fontId="2" fillId="0" borderId="9" xfId="1" applyFont="1" applyFill="1" applyBorder="1"/>
    <xf numFmtId="2" fontId="2" fillId="0" borderId="0" xfId="1" applyNumberFormat="1" applyFont="1" applyFill="1"/>
    <xf numFmtId="170" fontId="2" fillId="0" borderId="0" xfId="1" applyNumberFormat="1" applyFont="1" applyFill="1"/>
    <xf numFmtId="164" fontId="2" fillId="0" borderId="0" xfId="1" applyNumberFormat="1" applyFont="1" applyFill="1" applyAlignment="1">
      <alignment horizontal="right"/>
    </xf>
    <xf numFmtId="0" fontId="2" fillId="0" borderId="1" xfId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2" fillId="2" borderId="5" xfId="1" applyFont="1" applyFill="1" applyBorder="1"/>
    <xf numFmtId="0" fontId="2" fillId="0" borderId="5" xfId="1" applyFont="1" applyFill="1" applyBorder="1"/>
    <xf numFmtId="0" fontId="2" fillId="0" borderId="6" xfId="1" applyFont="1" applyFill="1" applyBorder="1"/>
    <xf numFmtId="164" fontId="2" fillId="2" borderId="1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 indent="1"/>
    </xf>
    <xf numFmtId="0" fontId="6" fillId="2" borderId="1" xfId="1" applyFont="1" applyFill="1" applyBorder="1" applyAlignment="1">
      <alignment horizontal="center" vertical="center" wrapText="1"/>
    </xf>
    <xf numFmtId="0" fontId="15" fillId="0" borderId="0" xfId="1" applyFont="1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0" fontId="2" fillId="2" borderId="0" xfId="1" applyFont="1" applyFill="1" applyBorder="1"/>
    <xf numFmtId="4" fontId="2" fillId="0" borderId="1" xfId="1" applyNumberFormat="1" applyFont="1" applyFill="1" applyBorder="1" applyAlignment="1">
      <alignment horizontal="right" wrapText="1"/>
    </xf>
    <xf numFmtId="4" fontId="2" fillId="2" borderId="1" xfId="1" applyNumberFormat="1" applyFont="1" applyFill="1" applyBorder="1" applyAlignment="1">
      <alignment horizontal="right" wrapText="1"/>
    </xf>
    <xf numFmtId="4" fontId="2" fillId="4" borderId="1" xfId="1" applyNumberFormat="1" applyFont="1" applyFill="1" applyBorder="1" applyAlignment="1">
      <alignment horizontal="right" wrapText="1"/>
    </xf>
    <xf numFmtId="4" fontId="2" fillId="0" borderId="0" xfId="1" applyNumberFormat="1" applyFont="1" applyFill="1"/>
    <xf numFmtId="49" fontId="2" fillId="2" borderId="1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/>
    <xf numFmtId="4" fontId="2" fillId="0" borderId="1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vertical="top" wrapText="1"/>
    </xf>
    <xf numFmtId="0" fontId="16" fillId="0" borderId="1" xfId="1" applyFont="1" applyFill="1" applyBorder="1" applyAlignment="1">
      <alignment horizontal="left" vertical="top" wrapText="1"/>
    </xf>
    <xf numFmtId="49" fontId="2" fillId="0" borderId="9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4" fontId="17" fillId="0" borderId="1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 vertical="top" wrapText="1"/>
    </xf>
    <xf numFmtId="166" fontId="18" fillId="0" borderId="0" xfId="2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0" fontId="2" fillId="0" borderId="0" xfId="1" applyFont="1" applyFill="1" applyBorder="1" applyAlignment="1">
      <alignment horizontal="center" vertical="top"/>
    </xf>
    <xf numFmtId="4" fontId="2" fillId="0" borderId="0" xfId="1" applyNumberFormat="1" applyFont="1" applyFill="1" applyBorder="1"/>
    <xf numFmtId="171" fontId="2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15" fillId="2" borderId="0" xfId="1" applyFont="1" applyFill="1"/>
    <xf numFmtId="0" fontId="2" fillId="0" borderId="1" xfId="1" applyFont="1" applyBorder="1" applyAlignment="1">
      <alignment horizontal="justify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15" fillId="0" borderId="0" xfId="1" applyFont="1" applyFill="1" applyAlignment="1">
      <alignment wrapText="1"/>
    </xf>
    <xf numFmtId="49" fontId="20" fillId="0" borderId="0" xfId="1" applyNumberFormat="1" applyFont="1" applyFill="1" applyAlignment="1">
      <alignment vertical="center"/>
    </xf>
    <xf numFmtId="0" fontId="20" fillId="0" borderId="0" xfId="1" applyFont="1" applyFill="1"/>
    <xf numFmtId="0" fontId="20" fillId="0" borderId="0" xfId="1" applyFont="1" applyFill="1" applyAlignment="1"/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168" fontId="2" fillId="2" borderId="0" xfId="1" applyNumberFormat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49" fontId="4" fillId="0" borderId="8" xfId="1" applyNumberFormat="1" applyFont="1" applyFill="1" applyBorder="1" applyAlignment="1">
      <alignment vertical="center" wrapText="1"/>
    </xf>
    <xf numFmtId="0" fontId="20" fillId="2" borderId="1" xfId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4" fontId="20" fillId="2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2" fontId="2" fillId="2" borderId="0" xfId="1" applyNumberFormat="1" applyFont="1" applyFill="1" applyAlignment="1">
      <alignment horizontal="center" vertical="center"/>
    </xf>
    <xf numFmtId="49" fontId="9" fillId="2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" fontId="2" fillId="4" borderId="1" xfId="1" applyNumberFormat="1" applyFont="1" applyFill="1" applyBorder="1" applyAlignment="1">
      <alignment horizontal="right" vertical="center" wrapText="1"/>
    </xf>
    <xf numFmtId="0" fontId="9" fillId="2" borderId="1" xfId="1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center" vertical="top" wrapText="1"/>
    </xf>
    <xf numFmtId="0" fontId="2" fillId="4" borderId="0" xfId="1" applyFont="1" applyFill="1"/>
    <xf numFmtId="0" fontId="1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vertical="center"/>
    </xf>
    <xf numFmtId="2" fontId="2" fillId="2" borderId="1" xfId="1" applyNumberFormat="1" applyFont="1" applyFill="1" applyBorder="1" applyAlignment="1">
      <alignment horizontal="left" vertical="center"/>
    </xf>
    <xf numFmtId="4" fontId="2" fillId="2" borderId="1" xfId="1" applyNumberFormat="1" applyFont="1" applyFill="1" applyBorder="1" applyAlignment="1">
      <alignment horizontal="right" vertical="center"/>
    </xf>
    <xf numFmtId="2" fontId="9" fillId="2" borderId="1" xfId="1" applyNumberFormat="1" applyFont="1" applyFill="1" applyBorder="1" applyAlignment="1">
      <alignment horizontal="left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49" fontId="9" fillId="4" borderId="1" xfId="1" applyNumberFormat="1" applyFont="1" applyFill="1" applyBorder="1" applyAlignment="1">
      <alignment horizontal="left" vertical="center" wrapText="1"/>
    </xf>
    <xf numFmtId="0" fontId="9" fillId="4" borderId="1" xfId="1" applyFont="1" applyFill="1" applyBorder="1" applyAlignment="1">
      <alignment horizontal="left" vertical="center" wrapText="1"/>
    </xf>
    <xf numFmtId="172" fontId="2" fillId="0" borderId="0" xfId="1" applyNumberFormat="1" applyFont="1" applyFill="1"/>
    <xf numFmtId="49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49" fontId="15" fillId="2" borderId="1" xfId="1" applyNumberFormat="1" applyFont="1" applyFill="1" applyBorder="1" applyAlignment="1">
      <alignment horizontal="left" vertical="center" wrapText="1"/>
    </xf>
    <xf numFmtId="4" fontId="15" fillId="2" borderId="1" xfId="1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/>
    </xf>
    <xf numFmtId="0" fontId="22" fillId="0" borderId="13" xfId="1" applyFont="1" applyFill="1" applyBorder="1" applyAlignment="1">
      <alignment horizontal="center" textRotation="90"/>
    </xf>
    <xf numFmtId="0" fontId="22" fillId="0" borderId="0" xfId="1" applyFont="1" applyFill="1" applyAlignment="1">
      <alignment vertical="top" wrapText="1"/>
    </xf>
    <xf numFmtId="0" fontId="22" fillId="0" borderId="0" xfId="1" applyFont="1" applyFill="1" applyBorder="1" applyAlignment="1">
      <alignment horizontal="center" textRotation="90"/>
    </xf>
    <xf numFmtId="0" fontId="2" fillId="2" borderId="1" xfId="1" applyFont="1" applyFill="1" applyBorder="1" applyAlignment="1">
      <alignment horizontal="left" vertical="top" wrapText="1"/>
    </xf>
    <xf numFmtId="49" fontId="9" fillId="2" borderId="1" xfId="1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4" fontId="2" fillId="0" borderId="1" xfId="1" applyNumberFormat="1" applyFont="1" applyFill="1" applyBorder="1" applyAlignment="1">
      <alignment horizontal="right" vertical="center"/>
    </xf>
    <xf numFmtId="4" fontId="2" fillId="4" borderId="1" xfId="1" applyNumberFormat="1" applyFont="1" applyFill="1" applyBorder="1" applyAlignment="1">
      <alignment horizontal="right" vertical="center"/>
    </xf>
    <xf numFmtId="4" fontId="17" fillId="2" borderId="1" xfId="1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 wrapText="1"/>
    </xf>
    <xf numFmtId="0" fontId="20" fillId="2" borderId="1" xfId="1" applyNumberFormat="1" applyFont="1" applyFill="1" applyBorder="1" applyAlignment="1">
      <alignment horizontal="center" vertical="top"/>
    </xf>
    <xf numFmtId="4" fontId="20" fillId="2" borderId="1" xfId="1" applyNumberFormat="1" applyFont="1" applyFill="1" applyBorder="1" applyAlignment="1">
      <alignment horizontal="right" vertical="center"/>
    </xf>
    <xf numFmtId="4" fontId="20" fillId="2" borderId="1" xfId="1" applyNumberFormat="1" applyFont="1" applyFill="1" applyBorder="1"/>
    <xf numFmtId="0" fontId="20" fillId="2" borderId="1" xfId="1" applyFont="1" applyFill="1" applyBorder="1" applyAlignment="1">
      <alignment horizontal="center" vertical="top" wrapText="1"/>
    </xf>
    <xf numFmtId="0" fontId="20" fillId="2" borderId="1" xfId="1" applyFont="1" applyFill="1" applyBorder="1"/>
    <xf numFmtId="0" fontId="2" fillId="0" borderId="0" xfId="1" applyFont="1" applyFill="1" applyAlignment="1">
      <alignment vertical="center"/>
    </xf>
    <xf numFmtId="4" fontId="20" fillId="2" borderId="1" xfId="1" applyNumberFormat="1" applyFont="1" applyFill="1" applyBorder="1" applyAlignment="1">
      <alignment horizontal="center" vertical="top" wrapText="1"/>
    </xf>
    <xf numFmtId="0" fontId="24" fillId="0" borderId="0" xfId="1" applyFont="1" applyFill="1" applyBorder="1" applyAlignment="1">
      <alignment horizontal="right"/>
    </xf>
    <xf numFmtId="49" fontId="2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center" vertical="top"/>
    </xf>
    <xf numFmtId="49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0" fillId="2" borderId="0" xfId="1" applyFont="1" applyFill="1"/>
    <xf numFmtId="0" fontId="2" fillId="2" borderId="0" xfId="1" applyFont="1" applyFill="1" applyAlignment="1">
      <alignment horizontal="left"/>
    </xf>
    <xf numFmtId="0" fontId="4" fillId="0" borderId="0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6" fillId="0" borderId="0" xfId="1" applyFont="1" applyFill="1"/>
    <xf numFmtId="0" fontId="27" fillId="0" borderId="0" xfId="1" applyFont="1" applyFill="1"/>
    <xf numFmtId="0" fontId="2" fillId="0" borderId="6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28" fillId="0" borderId="9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/>
    </xf>
    <xf numFmtId="173" fontId="2" fillId="0" borderId="1" xfId="1" applyNumberFormat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171" fontId="2" fillId="0" borderId="1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center" wrapText="1"/>
    </xf>
    <xf numFmtId="166" fontId="15" fillId="0" borderId="1" xfId="1" applyNumberFormat="1" applyFont="1" applyFill="1" applyBorder="1" applyAlignment="1">
      <alignment horizontal="center" vertical="center"/>
    </xf>
    <xf numFmtId="173" fontId="2" fillId="2" borderId="1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top" wrapText="1"/>
    </xf>
    <xf numFmtId="166" fontId="30" fillId="0" borderId="0" xfId="2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/>
    <xf numFmtId="166" fontId="2" fillId="2" borderId="0" xfId="1" applyNumberFormat="1" applyFont="1" applyFill="1" applyBorder="1"/>
    <xf numFmtId="0" fontId="13" fillId="0" borderId="0" xfId="1" applyFont="1" applyFill="1" applyBorder="1"/>
    <xf numFmtId="0" fontId="23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right"/>
    </xf>
    <xf numFmtId="0" fontId="23" fillId="0" borderId="0" xfId="1" applyFont="1" applyFill="1" applyBorder="1" applyAlignment="1">
      <alignment horizontal="right"/>
    </xf>
    <xf numFmtId="0" fontId="3" fillId="0" borderId="0" xfId="1" applyFont="1" applyFill="1" applyAlignment="1">
      <alignment horizontal="right" vertical="top" wrapText="1"/>
    </xf>
    <xf numFmtId="0" fontId="22" fillId="0" borderId="0" xfId="1" applyFont="1" applyFill="1"/>
    <xf numFmtId="0" fontId="2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top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167" fontId="2" fillId="0" borderId="0" xfId="1" applyNumberFormat="1" applyFont="1" applyFill="1" applyBorder="1"/>
    <xf numFmtId="166" fontId="2" fillId="0" borderId="9" xfId="1" applyNumberFormat="1" applyFont="1" applyFill="1" applyBorder="1" applyAlignment="1">
      <alignment horizontal="right" vertical="center"/>
    </xf>
    <xf numFmtId="166" fontId="2" fillId="2" borderId="9" xfId="1" applyNumberFormat="1" applyFont="1" applyFill="1" applyBorder="1" applyAlignment="1">
      <alignment horizontal="right" vertical="center"/>
    </xf>
    <xf numFmtId="174" fontId="2" fillId="0" borderId="0" xfId="1" applyNumberFormat="1" applyFont="1" applyFill="1"/>
    <xf numFmtId="166" fontId="2" fillId="0" borderId="1" xfId="1" applyNumberFormat="1" applyFont="1" applyFill="1" applyBorder="1" applyAlignment="1">
      <alignment horizontal="right" vertical="center"/>
    </xf>
    <xf numFmtId="166" fontId="2" fillId="4" borderId="9" xfId="1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top" wrapText="1"/>
    </xf>
    <xf numFmtId="0" fontId="20" fillId="0" borderId="1" xfId="1" applyFont="1" applyFill="1" applyBorder="1"/>
    <xf numFmtId="0" fontId="20" fillId="0" borderId="1" xfId="1" applyFont="1" applyFill="1" applyBorder="1" applyAlignment="1">
      <alignment vertical="center" wrapText="1"/>
    </xf>
    <xf numFmtId="167" fontId="20" fillId="0" borderId="1" xfId="1" applyNumberFormat="1" applyFont="1" applyFill="1" applyBorder="1" applyAlignment="1">
      <alignment vertical="center" wrapText="1"/>
    </xf>
    <xf numFmtId="0" fontId="20" fillId="0" borderId="4" xfId="1" applyNumberFormat="1" applyFont="1" applyFill="1" applyBorder="1" applyAlignment="1">
      <alignment horizontal="left" vertical="center"/>
    </xf>
    <xf numFmtId="0" fontId="20" fillId="0" borderId="4" xfId="1" applyFont="1" applyFill="1" applyBorder="1" applyAlignment="1">
      <alignment horizontal="center" vertical="center" wrapText="1"/>
    </xf>
    <xf numFmtId="49" fontId="20" fillId="0" borderId="4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vertical="center" wrapText="1"/>
    </xf>
    <xf numFmtId="0" fontId="31" fillId="0" borderId="0" xfId="1" applyFont="1" applyFill="1" applyBorder="1" applyAlignment="1">
      <alignment horizontal="left"/>
    </xf>
    <xf numFmtId="0" fontId="32" fillId="0" borderId="0" xfId="1" applyFont="1" applyFill="1" applyBorder="1" applyAlignment="1">
      <alignment horizontal="right"/>
    </xf>
    <xf numFmtId="0" fontId="32" fillId="0" borderId="0" xfId="1" applyFont="1" applyFill="1"/>
    <xf numFmtId="0" fontId="32" fillId="0" borderId="0" xfId="1" applyFont="1" applyFill="1" applyAlignment="1">
      <alignment horizontal="center" vertical="center"/>
    </xf>
    <xf numFmtId="167" fontId="32" fillId="0" borderId="0" xfId="1" applyNumberFormat="1" applyFont="1" applyFill="1"/>
    <xf numFmtId="0" fontId="31" fillId="0" borderId="0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left" vertical="top"/>
    </xf>
    <xf numFmtId="0" fontId="2" fillId="0" borderId="6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wrapText="1"/>
    </xf>
    <xf numFmtId="0" fontId="23" fillId="2" borderId="1" xfId="1" applyFont="1" applyFill="1" applyBorder="1" applyAlignment="1"/>
    <xf numFmtId="0" fontId="24" fillId="2" borderId="1" xfId="1" applyFont="1" applyFill="1" applyBorder="1" applyAlignment="1"/>
    <xf numFmtId="0" fontId="24" fillId="2" borderId="1" xfId="1" applyFont="1" applyFill="1" applyBorder="1" applyAlignment="1">
      <alignment horizontal="left"/>
    </xf>
    <xf numFmtId="4" fontId="24" fillId="2" borderId="1" xfId="1" applyNumberFormat="1" applyFont="1" applyFill="1" applyBorder="1" applyAlignment="1">
      <alignment horizontal="left"/>
    </xf>
    <xf numFmtId="165" fontId="24" fillId="2" borderId="1" xfId="1" applyNumberFormat="1" applyFont="1" applyFill="1" applyBorder="1" applyAlignment="1">
      <alignment horizontal="left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164" fontId="2" fillId="2" borderId="1" xfId="1" applyNumberFormat="1" applyFont="1" applyFill="1" applyBorder="1" applyAlignment="1">
      <alignment horizontal="center" vertical="top"/>
    </xf>
    <xf numFmtId="49" fontId="2" fillId="2" borderId="1" xfId="1" applyNumberFormat="1" applyFont="1" applyFill="1" applyBorder="1" applyAlignment="1">
      <alignment horizontal="center"/>
    </xf>
    <xf numFmtId="4" fontId="2" fillId="2" borderId="1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/>
    </xf>
    <xf numFmtId="175" fontId="2" fillId="0" borderId="1" xfId="1" applyNumberFormat="1" applyFont="1" applyFill="1" applyBorder="1" applyAlignment="1">
      <alignment horizontal="right" vertical="center"/>
    </xf>
    <xf numFmtId="2" fontId="2" fillId="0" borderId="1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left" vertical="center" wrapText="1"/>
    </xf>
    <xf numFmtId="49" fontId="2" fillId="0" borderId="6" xfId="1" applyNumberFormat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4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 vertical="top" wrapText="1"/>
    </xf>
    <xf numFmtId="0" fontId="4" fillId="0" borderId="0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wrapText="1"/>
    </xf>
    <xf numFmtId="0" fontId="2" fillId="2" borderId="0" xfId="1" applyFont="1" applyFill="1" applyBorder="1" applyAlignment="1">
      <alignment horizontal="right" wrapText="1"/>
    </xf>
    <xf numFmtId="0" fontId="1" fillId="2" borderId="0" xfId="1" applyFill="1" applyBorder="1" applyAlignment="1"/>
    <xf numFmtId="0" fontId="2" fillId="0" borderId="0" xfId="1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6" fillId="0" borderId="0" xfId="1" applyFont="1" applyAlignment="1">
      <alignment horizontal="right" vertical="top" wrapText="1"/>
    </xf>
    <xf numFmtId="0" fontId="4" fillId="0" borderId="8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right" wrapText="1"/>
    </xf>
    <xf numFmtId="0" fontId="13" fillId="0" borderId="0" xfId="1" applyFont="1" applyFill="1" applyAlignment="1">
      <alignment horizontal="right" vertical="top" wrapText="1"/>
    </xf>
    <xf numFmtId="0" fontId="13" fillId="0" borderId="0" xfId="1" applyFont="1" applyFill="1" applyAlignment="1">
      <alignment horizontal="left" vertical="top" wrapText="1"/>
    </xf>
    <xf numFmtId="0" fontId="4" fillId="0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2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2" fillId="0" borderId="12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2" fillId="0" borderId="0" xfId="1" applyFont="1" applyFill="1" applyAlignment="1">
      <alignment horizontal="right" vertical="top" wrapText="1"/>
    </xf>
    <xf numFmtId="0" fontId="9" fillId="0" borderId="1" xfId="1" applyFont="1" applyFill="1" applyBorder="1" applyAlignment="1">
      <alignment horizontal="left" vertical="center" wrapText="1"/>
    </xf>
    <xf numFmtId="0" fontId="1" fillId="0" borderId="1" xfId="1" applyFill="1" applyBorder="1"/>
    <xf numFmtId="0" fontId="1" fillId="0" borderId="1" xfId="1" applyBorder="1"/>
    <xf numFmtId="0" fontId="3" fillId="0" borderId="0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left" vertical="top"/>
    </xf>
    <xf numFmtId="0" fontId="2" fillId="0" borderId="6" xfId="1" applyNumberFormat="1" applyFont="1" applyFill="1" applyBorder="1" applyAlignment="1">
      <alignment horizontal="left" vertical="top"/>
    </xf>
    <xf numFmtId="0" fontId="3" fillId="0" borderId="0" xfId="1" applyNumberFormat="1" applyFont="1" applyFill="1" applyBorder="1" applyAlignment="1">
      <alignment horizontal="left" vertical="top"/>
    </xf>
    <xf numFmtId="49" fontId="2" fillId="0" borderId="0" xfId="1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wrapText="1"/>
    </xf>
    <xf numFmtId="49" fontId="3" fillId="0" borderId="10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vertical="center" wrapText="1"/>
    </xf>
    <xf numFmtId="0" fontId="2" fillId="0" borderId="11" xfId="1" applyNumberFormat="1" applyFont="1" applyFill="1" applyBorder="1" applyAlignment="1">
      <alignment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left" vertical="top" wrapText="1"/>
    </xf>
    <xf numFmtId="0" fontId="2" fillId="0" borderId="11" xfId="1" applyNumberFormat="1" applyFont="1" applyFill="1" applyBorder="1" applyAlignment="1">
      <alignment horizontal="left" vertical="top" wrapText="1"/>
    </xf>
    <xf numFmtId="49" fontId="2" fillId="0" borderId="10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left" vertical="top" wrapText="1"/>
    </xf>
    <xf numFmtId="49" fontId="2" fillId="0" borderId="10" xfId="1" applyNumberFormat="1" applyFont="1" applyFill="1" applyBorder="1" applyAlignment="1">
      <alignment horizontal="left" vertical="top" wrapText="1"/>
    </xf>
    <xf numFmtId="49" fontId="2" fillId="0" borderId="11" xfId="1" applyNumberFormat="1" applyFont="1" applyFill="1" applyBorder="1" applyAlignment="1">
      <alignment horizontal="left" vertical="top" wrapText="1"/>
    </xf>
    <xf numFmtId="0" fontId="2" fillId="0" borderId="10" xfId="1" applyNumberFormat="1" applyFont="1" applyFill="1" applyBorder="1" applyAlignment="1">
      <alignment horizontal="left" vertical="top" wrapText="1"/>
    </xf>
    <xf numFmtId="0" fontId="1" fillId="0" borderId="10" xfId="1" applyFill="1" applyBorder="1"/>
    <xf numFmtId="0" fontId="1" fillId="0" borderId="11" xfId="1" applyFill="1" applyBorder="1"/>
    <xf numFmtId="165" fontId="3" fillId="0" borderId="0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49" fontId="4" fillId="0" borderId="8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49" fontId="2" fillId="2" borderId="2" xfId="1" applyNumberFormat="1" applyFont="1" applyFill="1" applyBorder="1" applyAlignment="1">
      <alignment horizontal="center" vertical="top" wrapText="1"/>
    </xf>
    <xf numFmtId="49" fontId="2" fillId="2" borderId="6" xfId="1" applyNumberFormat="1" applyFont="1" applyFill="1" applyBorder="1" applyAlignment="1">
      <alignment horizontal="center" vertical="top" wrapText="1"/>
    </xf>
    <xf numFmtId="0" fontId="20" fillId="2" borderId="1" xfId="1" applyNumberFormat="1" applyFont="1" applyFill="1" applyBorder="1" applyAlignment="1">
      <alignment horizontal="left" vertical="top"/>
    </xf>
    <xf numFmtId="49" fontId="3" fillId="2" borderId="9" xfId="1" applyNumberFormat="1" applyFont="1" applyFill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center" wrapText="1"/>
    </xf>
    <xf numFmtId="49" fontId="16" fillId="2" borderId="1" xfId="1" applyNumberFormat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6" fillId="5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0" fontId="16" fillId="2" borderId="9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left" vertical="top"/>
    </xf>
    <xf numFmtId="0" fontId="2" fillId="2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2" borderId="10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/>
    </xf>
    <xf numFmtId="49" fontId="4" fillId="2" borderId="8" xfId="1" applyNumberFormat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top"/>
    </xf>
    <xf numFmtId="0" fontId="13" fillId="0" borderId="0" xfId="1" applyNumberFormat="1" applyFont="1" applyFill="1" applyBorder="1" applyAlignment="1">
      <alignment horizontal="left" vertical="top"/>
    </xf>
    <xf numFmtId="49" fontId="13" fillId="2" borderId="9" xfId="1" applyNumberFormat="1" applyFont="1" applyFill="1" applyBorder="1" applyAlignment="1">
      <alignment horizontal="center" vertical="top"/>
    </xf>
    <xf numFmtId="49" fontId="13" fillId="2" borderId="11" xfId="1" applyNumberFormat="1" applyFont="1" applyFill="1" applyBorder="1" applyAlignment="1">
      <alignment horizontal="center" vertical="top"/>
    </xf>
    <xf numFmtId="0" fontId="13" fillId="2" borderId="9" xfId="1" applyFont="1" applyFill="1" applyBorder="1" applyAlignment="1">
      <alignment horizontal="left" vertical="top" wrapText="1"/>
    </xf>
    <xf numFmtId="0" fontId="13" fillId="2" borderId="11" xfId="1" applyFont="1" applyFill="1" applyBorder="1" applyAlignment="1">
      <alignment horizontal="left" vertical="top" wrapText="1"/>
    </xf>
    <xf numFmtId="0" fontId="2" fillId="2" borderId="9" xfId="1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left" vertical="top" wrapText="1"/>
    </xf>
    <xf numFmtId="49" fontId="13" fillId="2" borderId="9" xfId="1" applyNumberFormat="1" applyFont="1" applyFill="1" applyBorder="1" applyAlignment="1">
      <alignment horizontal="center" vertical="center"/>
    </xf>
    <xf numFmtId="49" fontId="13" fillId="2" borderId="10" xfId="1" applyNumberFormat="1" applyFont="1" applyFill="1" applyBorder="1" applyAlignment="1">
      <alignment horizontal="center" vertical="center"/>
    </xf>
    <xf numFmtId="49" fontId="13" fillId="2" borderId="11" xfId="1" applyNumberFormat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top" wrapText="1"/>
    </xf>
    <xf numFmtId="0" fontId="15" fillId="2" borderId="10" xfId="1" applyFont="1" applyFill="1" applyBorder="1" applyAlignment="1">
      <alignment horizontal="center" vertical="top" wrapText="1"/>
    </xf>
    <xf numFmtId="0" fontId="15" fillId="2" borderId="1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9" fillId="0" borderId="1" xfId="1" applyFont="1" applyFill="1" applyBorder="1" applyAlignment="1">
      <alignment horizontal="left" vertical="center"/>
    </xf>
    <xf numFmtId="0" fontId="2" fillId="0" borderId="9" xfId="1" applyNumberFormat="1" applyFont="1" applyFill="1" applyBorder="1" applyAlignment="1">
      <alignment horizontal="left" vertical="center" wrapText="1"/>
    </xf>
    <xf numFmtId="0" fontId="2" fillId="0" borderId="11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3" fillId="0" borderId="0" xfId="1" applyFont="1" applyFill="1" applyAlignment="1">
      <alignment horizontal="right" vertical="top" wrapText="1"/>
    </xf>
    <xf numFmtId="0" fontId="20" fillId="0" borderId="2" xfId="1" applyNumberFormat="1" applyFont="1" applyFill="1" applyBorder="1" applyAlignment="1">
      <alignment horizontal="left" vertical="center"/>
    </xf>
    <xf numFmtId="0" fontId="20" fillId="0" borderId="6" xfId="1" applyNumberFormat="1" applyFont="1" applyFill="1" applyBorder="1" applyAlignment="1">
      <alignment horizontal="left" vertical="center"/>
    </xf>
    <xf numFmtId="0" fontId="20" fillId="0" borderId="1" xfId="1" applyNumberFormat="1" applyFont="1" applyFill="1" applyBorder="1" applyAlignment="1">
      <alignment horizontal="left" vertical="center"/>
    </xf>
    <xf numFmtId="0" fontId="31" fillId="0" borderId="0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vertical="center" wrapText="1"/>
    </xf>
    <xf numFmtId="49" fontId="20" fillId="0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&#1052;&#1080;&#1088;&#1086;&#1085;&#1086;&#1074;&#1072;%20&#1045;.&#1042;/!!!!!!!/2.%20....%20&#1086;&#1090;%2026.03.2025/&#1055;&#1088;&#1080;&#1083;&#1086;&#1078;&#1077;&#1085;&#1080;&#1077;_2%20&#1082;%20&#1052;&#1055;!%20&#1076;&#1086;%2026.05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&#1052;&#1080;&#1088;&#1086;&#1085;&#1086;&#1074;&#1072;%20&#1045;.&#1042;/!!!!!!!/2.%20....%20&#1086;&#1090;%2026.03.2025/&#1055;&#1086;&#1076;&#1087;&#1088;&#1086;&#1075;&#1088;&#1072;&#1084;&#1084;&#1072;%203/&#1055;&#1088;&#1080;&#1083;&#1086;&#1078;&#1077;&#1085;&#1080;&#1077;%202_&#1082;%20&#1087;&#1086;&#1076;&#1087;&#1088;&#1086;&#1075;&#1088;&#1072;&#1084;&#1084;&#1077;%203_&#1043;&#1057;%2026.01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 пп 3"/>
      <sheetName val="Лист1"/>
    </sheetNames>
    <sheetDataSet>
      <sheetData sheetId="0" refreshError="1">
        <row r="36">
          <cell r="P36">
            <v>8057.4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tabSelected="1" view="pageBreakPreview" zoomScaleNormal="100" zoomScaleSheetLayoutView="100" workbookViewId="0">
      <pane xSplit="2" ySplit="6" topLeftCell="E7" activePane="bottomRight" state="frozen"/>
      <selection activeCell="A11" sqref="A11:T11"/>
      <selection pane="topRight" activeCell="A11" sqref="A11:T11"/>
      <selection pane="bottomLeft" activeCell="A11" sqref="A11:T11"/>
      <selection pane="bottomRight" activeCell="Q53" sqref="Q53:T57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11.85546875" style="4" customWidth="1"/>
    <col min="5" max="5" width="26.140625" style="4" customWidth="1"/>
    <col min="6" max="6" width="11.42578125" style="4" hidden="1" customWidth="1"/>
    <col min="7" max="13" width="10.7109375" style="4" customWidth="1"/>
    <col min="14" max="15" width="10.7109375" style="6" customWidth="1"/>
    <col min="16" max="16" width="9.140625" style="4"/>
    <col min="17" max="20" width="10.28515625" style="4" customWidth="1"/>
    <col min="21" max="16384" width="9.140625" style="4"/>
  </cols>
  <sheetData>
    <row r="1" spans="1:20" ht="65.25" customHeight="1" x14ac:dyDescent="0.25">
      <c r="B1" s="2"/>
      <c r="C1" s="3"/>
      <c r="D1" s="2"/>
      <c r="E1" s="2"/>
      <c r="G1" s="5"/>
      <c r="H1" s="5"/>
      <c r="I1" s="5"/>
      <c r="J1" s="5"/>
      <c r="K1" s="5"/>
      <c r="L1" s="5"/>
      <c r="M1" s="5"/>
      <c r="N1" s="5"/>
      <c r="O1" s="375" t="s">
        <v>0</v>
      </c>
      <c r="P1" s="375"/>
      <c r="Q1" s="375"/>
      <c r="R1" s="375"/>
      <c r="S1" s="375"/>
      <c r="T1" s="375"/>
    </row>
    <row r="2" spans="1:20" ht="37.5" customHeight="1" x14ac:dyDescent="0.25">
      <c r="A2" s="376" t="s">
        <v>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3" spans="1:20" x14ac:dyDescent="0.25">
      <c r="A3" s="377" t="s">
        <v>2</v>
      </c>
      <c r="B3" s="362" t="s">
        <v>3</v>
      </c>
      <c r="C3" s="362" t="s">
        <v>4</v>
      </c>
      <c r="D3" s="362" t="s">
        <v>5</v>
      </c>
      <c r="E3" s="362" t="s">
        <v>6</v>
      </c>
      <c r="F3" s="362" t="s">
        <v>7</v>
      </c>
      <c r="G3" s="362" t="s">
        <v>8</v>
      </c>
      <c r="H3" s="362" t="s">
        <v>9</v>
      </c>
      <c r="I3" s="362" t="s">
        <v>10</v>
      </c>
      <c r="J3" s="362" t="s">
        <v>11</v>
      </c>
      <c r="K3" s="362" t="s">
        <v>12</v>
      </c>
      <c r="L3" s="362" t="s">
        <v>13</v>
      </c>
      <c r="M3" s="362" t="s">
        <v>14</v>
      </c>
      <c r="N3" s="362" t="s">
        <v>15</v>
      </c>
      <c r="O3" s="362" t="s">
        <v>16</v>
      </c>
      <c r="P3" s="362" t="s">
        <v>17</v>
      </c>
      <c r="Q3" s="362" t="s">
        <v>18</v>
      </c>
      <c r="R3" s="362" t="s">
        <v>19</v>
      </c>
      <c r="S3" s="362" t="s">
        <v>20</v>
      </c>
      <c r="T3" s="362" t="s">
        <v>21</v>
      </c>
    </row>
    <row r="4" spans="1:20" x14ac:dyDescent="0.25">
      <c r="A4" s="377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</row>
    <row r="5" spans="1:20" x14ac:dyDescent="0.25">
      <c r="A5" s="377"/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</row>
    <row r="6" spans="1:20" ht="40.5" customHeight="1" x14ac:dyDescent="0.25">
      <c r="A6" s="374" t="s">
        <v>22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</row>
    <row r="7" spans="1:20" ht="47.25" x14ac:dyDescent="0.25">
      <c r="A7" s="7">
        <v>1</v>
      </c>
      <c r="B7" s="8" t="s">
        <v>23</v>
      </c>
      <c r="C7" s="9" t="s">
        <v>24</v>
      </c>
      <c r="D7" s="10" t="s">
        <v>25</v>
      </c>
      <c r="E7" s="11" t="s">
        <v>26</v>
      </c>
      <c r="F7" s="12"/>
      <c r="G7" s="13">
        <v>95</v>
      </c>
      <c r="H7" s="13">
        <v>95</v>
      </c>
      <c r="I7" s="13">
        <v>96</v>
      </c>
      <c r="J7" s="13">
        <v>96</v>
      </c>
      <c r="K7" s="13">
        <v>96</v>
      </c>
      <c r="L7" s="13">
        <v>96</v>
      </c>
      <c r="M7" s="13">
        <v>96</v>
      </c>
      <c r="N7" s="13">
        <v>96</v>
      </c>
      <c r="O7" s="13">
        <f>N7</f>
        <v>96</v>
      </c>
      <c r="P7" s="14">
        <f>O7</f>
        <v>96</v>
      </c>
      <c r="Q7" s="15">
        <f>O7</f>
        <v>96</v>
      </c>
      <c r="R7" s="15">
        <f t="shared" ref="R7:T10" si="0">O7</f>
        <v>96</v>
      </c>
      <c r="S7" s="15">
        <f t="shared" si="0"/>
        <v>96</v>
      </c>
      <c r="T7" s="15">
        <f t="shared" si="0"/>
        <v>96</v>
      </c>
    </row>
    <row r="8" spans="1:20" ht="63" x14ac:dyDescent="0.25">
      <c r="A8" s="7" t="s">
        <v>27</v>
      </c>
      <c r="B8" s="8" t="s">
        <v>28</v>
      </c>
      <c r="C8" s="9" t="s">
        <v>24</v>
      </c>
      <c r="D8" s="10" t="s">
        <v>25</v>
      </c>
      <c r="E8" s="11" t="s">
        <v>29</v>
      </c>
      <c r="F8" s="16">
        <v>80</v>
      </c>
      <c r="G8" s="9">
        <v>91.3</v>
      </c>
      <c r="H8" s="9">
        <v>100</v>
      </c>
      <c r="I8" s="9">
        <v>100</v>
      </c>
      <c r="J8" s="9">
        <v>100</v>
      </c>
      <c r="K8" s="9">
        <v>100</v>
      </c>
      <c r="L8" s="9">
        <v>100</v>
      </c>
      <c r="M8" s="9">
        <v>100</v>
      </c>
      <c r="N8" s="9">
        <v>100</v>
      </c>
      <c r="O8" s="13">
        <f t="shared" ref="O8:P10" si="1">N8</f>
        <v>100</v>
      </c>
      <c r="P8" s="14">
        <f t="shared" si="1"/>
        <v>100</v>
      </c>
      <c r="Q8" s="15">
        <f t="shared" ref="Q8:Q28" si="2">O8</f>
        <v>100</v>
      </c>
      <c r="R8" s="15">
        <f t="shared" si="0"/>
        <v>100</v>
      </c>
      <c r="S8" s="15">
        <f t="shared" si="0"/>
        <v>100</v>
      </c>
      <c r="T8" s="15">
        <f t="shared" si="0"/>
        <v>100</v>
      </c>
    </row>
    <row r="9" spans="1:20" ht="63" x14ac:dyDescent="0.25">
      <c r="A9" s="7" t="s">
        <v>30</v>
      </c>
      <c r="B9" s="8" t="s">
        <v>31</v>
      </c>
      <c r="C9" s="10" t="s">
        <v>24</v>
      </c>
      <c r="D9" s="10" t="s">
        <v>25</v>
      </c>
      <c r="E9" s="10" t="s">
        <v>29</v>
      </c>
      <c r="F9" s="10">
        <v>1.96</v>
      </c>
      <c r="G9" s="10">
        <v>98.53</v>
      </c>
      <c r="H9" s="10">
        <v>98.6</v>
      </c>
      <c r="I9" s="10">
        <v>98.6</v>
      </c>
      <c r="J9" s="10">
        <v>100</v>
      </c>
      <c r="K9" s="10">
        <v>100</v>
      </c>
      <c r="L9" s="10">
        <v>100</v>
      </c>
      <c r="M9" s="10">
        <v>100</v>
      </c>
      <c r="N9" s="10">
        <v>100</v>
      </c>
      <c r="O9" s="13">
        <f t="shared" si="1"/>
        <v>100</v>
      </c>
      <c r="P9" s="14">
        <f t="shared" si="1"/>
        <v>100</v>
      </c>
      <c r="Q9" s="15">
        <f t="shared" si="2"/>
        <v>100</v>
      </c>
      <c r="R9" s="15">
        <f t="shared" si="0"/>
        <v>100</v>
      </c>
      <c r="S9" s="15">
        <f t="shared" si="0"/>
        <v>100</v>
      </c>
      <c r="T9" s="15">
        <f t="shared" si="0"/>
        <v>100</v>
      </c>
    </row>
    <row r="10" spans="1:20" ht="47.25" x14ac:dyDescent="0.25">
      <c r="A10" s="7" t="s">
        <v>32</v>
      </c>
      <c r="B10" s="8" t="s">
        <v>33</v>
      </c>
      <c r="C10" s="9" t="s">
        <v>24</v>
      </c>
      <c r="D10" s="10" t="s">
        <v>25</v>
      </c>
      <c r="E10" s="10" t="s">
        <v>29</v>
      </c>
      <c r="F10" s="17">
        <v>60.5</v>
      </c>
      <c r="G10" s="17">
        <v>67</v>
      </c>
      <c r="H10" s="17">
        <v>83</v>
      </c>
      <c r="I10" s="17">
        <v>83</v>
      </c>
      <c r="J10" s="17">
        <v>83</v>
      </c>
      <c r="K10" s="17">
        <v>83</v>
      </c>
      <c r="L10" s="17">
        <v>83</v>
      </c>
      <c r="M10" s="17">
        <v>100</v>
      </c>
      <c r="N10" s="17">
        <v>100</v>
      </c>
      <c r="O10" s="13">
        <f t="shared" si="1"/>
        <v>100</v>
      </c>
      <c r="P10" s="14">
        <f t="shared" si="1"/>
        <v>100</v>
      </c>
      <c r="Q10" s="15">
        <f t="shared" si="2"/>
        <v>100</v>
      </c>
      <c r="R10" s="15">
        <f t="shared" si="0"/>
        <v>100</v>
      </c>
      <c r="S10" s="15">
        <f t="shared" si="0"/>
        <v>100</v>
      </c>
      <c r="T10" s="15">
        <f t="shared" si="0"/>
        <v>100</v>
      </c>
    </row>
    <row r="11" spans="1:20" ht="15.75" customHeight="1" x14ac:dyDescent="0.25">
      <c r="A11" s="368" t="s">
        <v>34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</row>
    <row r="12" spans="1:20" ht="15.75" customHeight="1" x14ac:dyDescent="0.25">
      <c r="A12" s="368" t="s">
        <v>35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</row>
    <row r="13" spans="1:20" ht="15.75" customHeight="1" x14ac:dyDescent="0.25">
      <c r="A13" s="368" t="s">
        <v>36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</row>
    <row r="14" spans="1:20" ht="31.5" x14ac:dyDescent="0.25">
      <c r="A14" s="7" t="s">
        <v>37</v>
      </c>
      <c r="B14" s="8" t="s">
        <v>38</v>
      </c>
      <c r="C14" s="9" t="s">
        <v>24</v>
      </c>
      <c r="D14" s="9">
        <v>0.03</v>
      </c>
      <c r="E14" s="18" t="s">
        <v>39</v>
      </c>
      <c r="F14" s="9">
        <v>64</v>
      </c>
      <c r="G14" s="9">
        <v>90.1</v>
      </c>
      <c r="H14" s="16">
        <v>97.5</v>
      </c>
      <c r="I14" s="16">
        <v>100</v>
      </c>
      <c r="J14" s="16">
        <v>100</v>
      </c>
      <c r="K14" s="16">
        <v>100</v>
      </c>
      <c r="L14" s="16">
        <v>100</v>
      </c>
      <c r="M14" s="16">
        <v>100</v>
      </c>
      <c r="N14" s="16">
        <v>100</v>
      </c>
      <c r="O14" s="16">
        <f>N14</f>
        <v>100</v>
      </c>
      <c r="P14" s="19">
        <f>O14</f>
        <v>100</v>
      </c>
      <c r="Q14" s="17">
        <f t="shared" si="2"/>
        <v>100</v>
      </c>
      <c r="R14" s="17">
        <f t="shared" ref="R14:T17" si="3">O14</f>
        <v>100</v>
      </c>
      <c r="S14" s="17">
        <f t="shared" si="3"/>
        <v>100</v>
      </c>
      <c r="T14" s="17">
        <f t="shared" si="3"/>
        <v>100</v>
      </c>
    </row>
    <row r="15" spans="1:20" ht="63" x14ac:dyDescent="0.25">
      <c r="A15" s="7" t="s">
        <v>40</v>
      </c>
      <c r="B15" s="8" t="s">
        <v>41</v>
      </c>
      <c r="C15" s="9" t="s">
        <v>24</v>
      </c>
      <c r="D15" s="9">
        <v>0.03</v>
      </c>
      <c r="E15" s="18" t="s">
        <v>39</v>
      </c>
      <c r="F15" s="10">
        <v>78.8</v>
      </c>
      <c r="G15" s="10">
        <v>85</v>
      </c>
      <c r="H15" s="10">
        <v>97</v>
      </c>
      <c r="I15" s="16">
        <v>100</v>
      </c>
      <c r="J15" s="16">
        <v>100</v>
      </c>
      <c r="K15" s="16">
        <v>100</v>
      </c>
      <c r="L15" s="16">
        <v>100</v>
      </c>
      <c r="M15" s="16">
        <v>100</v>
      </c>
      <c r="N15" s="16">
        <v>100</v>
      </c>
      <c r="O15" s="16">
        <f t="shared" ref="O15:P17" si="4">N15</f>
        <v>100</v>
      </c>
      <c r="P15" s="19">
        <f t="shared" si="4"/>
        <v>100</v>
      </c>
      <c r="Q15" s="17">
        <f t="shared" si="2"/>
        <v>100</v>
      </c>
      <c r="R15" s="17">
        <f t="shared" si="3"/>
        <v>100</v>
      </c>
      <c r="S15" s="17">
        <f t="shared" si="3"/>
        <v>100</v>
      </c>
      <c r="T15" s="17">
        <f t="shared" si="3"/>
        <v>100</v>
      </c>
    </row>
    <row r="16" spans="1:20" ht="94.5" x14ac:dyDescent="0.25">
      <c r="A16" s="7" t="s">
        <v>42</v>
      </c>
      <c r="B16" s="8" t="s">
        <v>43</v>
      </c>
      <c r="C16" s="9" t="s">
        <v>24</v>
      </c>
      <c r="D16" s="9">
        <v>0.03</v>
      </c>
      <c r="E16" s="18" t="s">
        <v>39</v>
      </c>
      <c r="F16" s="20" t="s">
        <v>44</v>
      </c>
      <c r="G16" s="9" t="s">
        <v>44</v>
      </c>
      <c r="H16" s="16">
        <v>0</v>
      </c>
      <c r="I16" s="16">
        <v>0</v>
      </c>
      <c r="J16" s="16">
        <v>100</v>
      </c>
      <c r="K16" s="16">
        <v>100</v>
      </c>
      <c r="L16" s="16">
        <v>100</v>
      </c>
      <c r="M16" s="16">
        <v>100</v>
      </c>
      <c r="N16" s="16">
        <v>100</v>
      </c>
      <c r="O16" s="16">
        <f t="shared" si="4"/>
        <v>100</v>
      </c>
      <c r="P16" s="19">
        <f t="shared" si="4"/>
        <v>100</v>
      </c>
      <c r="Q16" s="17">
        <f t="shared" si="2"/>
        <v>100</v>
      </c>
      <c r="R16" s="17">
        <f t="shared" si="3"/>
        <v>100</v>
      </c>
      <c r="S16" s="17">
        <f t="shared" si="3"/>
        <v>100</v>
      </c>
      <c r="T16" s="17">
        <f t="shared" si="3"/>
        <v>100</v>
      </c>
    </row>
    <row r="17" spans="1:20" ht="78.75" x14ac:dyDescent="0.25">
      <c r="A17" s="7" t="s">
        <v>45</v>
      </c>
      <c r="B17" s="8" t="s">
        <v>46</v>
      </c>
      <c r="C17" s="9" t="s">
        <v>24</v>
      </c>
      <c r="D17" s="9">
        <v>0.02</v>
      </c>
      <c r="E17" s="18" t="s">
        <v>39</v>
      </c>
      <c r="F17" s="9" t="s">
        <v>44</v>
      </c>
      <c r="G17" s="9" t="s">
        <v>47</v>
      </c>
      <c r="H17" s="16" t="s">
        <v>48</v>
      </c>
      <c r="I17" s="16" t="s">
        <v>48</v>
      </c>
      <c r="J17" s="16" t="s">
        <v>48</v>
      </c>
      <c r="K17" s="16" t="s">
        <v>48</v>
      </c>
      <c r="L17" s="16" t="s">
        <v>48</v>
      </c>
      <c r="M17" s="16" t="s">
        <v>48</v>
      </c>
      <c r="N17" s="16" t="s">
        <v>48</v>
      </c>
      <c r="O17" s="16" t="str">
        <f t="shared" si="4"/>
        <v>80(10)</v>
      </c>
      <c r="P17" s="21" t="str">
        <f t="shared" si="4"/>
        <v>80(10)</v>
      </c>
      <c r="Q17" s="17" t="str">
        <f t="shared" si="2"/>
        <v>80(10)</v>
      </c>
      <c r="R17" s="17" t="str">
        <f t="shared" si="3"/>
        <v>80(10)</v>
      </c>
      <c r="S17" s="17" t="str">
        <f t="shared" si="3"/>
        <v>80(10)</v>
      </c>
      <c r="T17" s="17" t="str">
        <f t="shared" si="3"/>
        <v>80(10)</v>
      </c>
    </row>
    <row r="18" spans="1:20" ht="15.75" customHeight="1" x14ac:dyDescent="0.25">
      <c r="A18" s="368" t="s">
        <v>49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</row>
    <row r="19" spans="1:20" ht="15.75" customHeight="1" x14ac:dyDescent="0.25">
      <c r="A19" s="368" t="s">
        <v>50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</row>
    <row r="20" spans="1:20" ht="15.75" customHeight="1" x14ac:dyDescent="0.25">
      <c r="A20" s="368" t="s">
        <v>51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</row>
    <row r="21" spans="1:20" ht="31.5" x14ac:dyDescent="0.25">
      <c r="A21" s="7" t="s">
        <v>52</v>
      </c>
      <c r="B21" s="8" t="s">
        <v>53</v>
      </c>
      <c r="C21" s="9" t="s">
        <v>24</v>
      </c>
      <c r="D21" s="9">
        <v>0.02</v>
      </c>
      <c r="E21" s="11" t="s">
        <v>29</v>
      </c>
      <c r="F21" s="9" t="s">
        <v>54</v>
      </c>
      <c r="G21" s="13">
        <v>71.400000000000006</v>
      </c>
      <c r="H21" s="13">
        <v>85.7</v>
      </c>
      <c r="I21" s="17">
        <v>85.7</v>
      </c>
      <c r="J21" s="17">
        <v>85.7</v>
      </c>
      <c r="K21" s="17">
        <v>85.7</v>
      </c>
      <c r="L21" s="17">
        <v>85.7</v>
      </c>
      <c r="M21" s="17">
        <v>85.7</v>
      </c>
      <c r="N21" s="17">
        <v>85.7</v>
      </c>
      <c r="O21" s="17">
        <f>N21</f>
        <v>85.7</v>
      </c>
      <c r="P21" s="14">
        <f>O21</f>
        <v>85.7</v>
      </c>
      <c r="Q21" s="15">
        <f t="shared" si="2"/>
        <v>85.7</v>
      </c>
      <c r="R21" s="15">
        <f t="shared" ref="R21:T25" si="5">O21</f>
        <v>85.7</v>
      </c>
      <c r="S21" s="15">
        <f t="shared" si="5"/>
        <v>85.7</v>
      </c>
      <c r="T21" s="15">
        <f t="shared" si="5"/>
        <v>85.7</v>
      </c>
    </row>
    <row r="22" spans="1:20" ht="31.5" x14ac:dyDescent="0.25">
      <c r="A22" s="7" t="s">
        <v>55</v>
      </c>
      <c r="B22" s="8" t="s">
        <v>56</v>
      </c>
      <c r="C22" s="9" t="s">
        <v>24</v>
      </c>
      <c r="D22" s="9">
        <v>0.02</v>
      </c>
      <c r="E22" s="11" t="s">
        <v>29</v>
      </c>
      <c r="F22" s="9" t="s">
        <v>54</v>
      </c>
      <c r="G22" s="13">
        <v>75</v>
      </c>
      <c r="H22" s="13">
        <v>75</v>
      </c>
      <c r="I22" s="17">
        <v>75</v>
      </c>
      <c r="J22" s="17">
        <v>85</v>
      </c>
      <c r="K22" s="17">
        <v>85</v>
      </c>
      <c r="L22" s="17">
        <v>85</v>
      </c>
      <c r="M22" s="17">
        <v>85</v>
      </c>
      <c r="N22" s="17">
        <v>85</v>
      </c>
      <c r="O22" s="17">
        <f>N22</f>
        <v>85</v>
      </c>
      <c r="P22" s="14">
        <f>O22</f>
        <v>85</v>
      </c>
      <c r="Q22" s="15">
        <f t="shared" si="2"/>
        <v>85</v>
      </c>
      <c r="R22" s="15">
        <f t="shared" si="5"/>
        <v>85</v>
      </c>
      <c r="S22" s="15">
        <f t="shared" si="5"/>
        <v>85</v>
      </c>
      <c r="T22" s="15">
        <f t="shared" si="5"/>
        <v>85</v>
      </c>
    </row>
    <row r="23" spans="1:20" ht="31.5" x14ac:dyDescent="0.25">
      <c r="A23" s="7" t="s">
        <v>57</v>
      </c>
      <c r="B23" s="8" t="s">
        <v>58</v>
      </c>
      <c r="C23" s="9" t="s">
        <v>59</v>
      </c>
      <c r="D23" s="9">
        <v>0.02</v>
      </c>
      <c r="E23" s="11" t="s">
        <v>29</v>
      </c>
      <c r="F23" s="9"/>
      <c r="G23" s="13">
        <v>8</v>
      </c>
      <c r="H23" s="13">
        <v>8</v>
      </c>
      <c r="I23" s="17">
        <v>8</v>
      </c>
      <c r="J23" s="17">
        <v>8</v>
      </c>
      <c r="K23" s="17">
        <v>8</v>
      </c>
      <c r="L23" s="17">
        <v>8</v>
      </c>
      <c r="M23" s="17">
        <v>8</v>
      </c>
      <c r="N23" s="17">
        <v>8</v>
      </c>
      <c r="O23" s="17">
        <f t="shared" ref="O23:P42" si="6">N23</f>
        <v>8</v>
      </c>
      <c r="P23" s="14">
        <f t="shared" si="6"/>
        <v>8</v>
      </c>
      <c r="Q23" s="15">
        <f t="shared" si="2"/>
        <v>8</v>
      </c>
      <c r="R23" s="15">
        <f t="shared" si="5"/>
        <v>8</v>
      </c>
      <c r="S23" s="15">
        <f t="shared" si="5"/>
        <v>8</v>
      </c>
      <c r="T23" s="15">
        <f t="shared" si="5"/>
        <v>8</v>
      </c>
    </row>
    <row r="24" spans="1:20" ht="31.5" x14ac:dyDescent="0.25">
      <c r="A24" s="7" t="s">
        <v>60</v>
      </c>
      <c r="B24" s="8" t="s">
        <v>61</v>
      </c>
      <c r="C24" s="9" t="s">
        <v>24</v>
      </c>
      <c r="D24" s="9">
        <v>0.02</v>
      </c>
      <c r="E24" s="11" t="s">
        <v>29</v>
      </c>
      <c r="F24" s="9"/>
      <c r="G24" s="13">
        <v>100</v>
      </c>
      <c r="H24" s="13">
        <v>100</v>
      </c>
      <c r="I24" s="17">
        <v>100</v>
      </c>
      <c r="J24" s="17">
        <v>100</v>
      </c>
      <c r="K24" s="17">
        <v>100</v>
      </c>
      <c r="L24" s="17">
        <v>100</v>
      </c>
      <c r="M24" s="17">
        <v>100</v>
      </c>
      <c r="N24" s="17">
        <v>100</v>
      </c>
      <c r="O24" s="17">
        <f t="shared" si="6"/>
        <v>100</v>
      </c>
      <c r="P24" s="14">
        <f t="shared" si="6"/>
        <v>100</v>
      </c>
      <c r="Q24" s="15">
        <f t="shared" si="2"/>
        <v>100</v>
      </c>
      <c r="R24" s="15">
        <f t="shared" si="5"/>
        <v>100</v>
      </c>
      <c r="S24" s="15">
        <f t="shared" si="5"/>
        <v>100</v>
      </c>
      <c r="T24" s="15">
        <f t="shared" si="5"/>
        <v>100</v>
      </c>
    </row>
    <row r="25" spans="1:20" ht="31.5" x14ac:dyDescent="0.25">
      <c r="A25" s="7" t="s">
        <v>62</v>
      </c>
      <c r="B25" s="8" t="s">
        <v>63</v>
      </c>
      <c r="C25" s="9" t="s">
        <v>59</v>
      </c>
      <c r="D25" s="9">
        <v>0.02</v>
      </c>
      <c r="E25" s="11" t="s">
        <v>29</v>
      </c>
      <c r="F25" s="9" t="s">
        <v>54</v>
      </c>
      <c r="G25" s="13">
        <v>7</v>
      </c>
      <c r="H25" s="13">
        <v>7</v>
      </c>
      <c r="I25" s="13">
        <v>7</v>
      </c>
      <c r="J25" s="13">
        <v>7</v>
      </c>
      <c r="K25" s="13">
        <v>7</v>
      </c>
      <c r="L25" s="13">
        <v>7</v>
      </c>
      <c r="M25" s="13">
        <v>7</v>
      </c>
      <c r="N25" s="13">
        <v>7</v>
      </c>
      <c r="O25" s="17">
        <f t="shared" si="6"/>
        <v>7</v>
      </c>
      <c r="P25" s="14">
        <f t="shared" si="6"/>
        <v>7</v>
      </c>
      <c r="Q25" s="15">
        <f t="shared" si="2"/>
        <v>7</v>
      </c>
      <c r="R25" s="15">
        <f t="shared" si="5"/>
        <v>7</v>
      </c>
      <c r="S25" s="15">
        <f t="shared" si="5"/>
        <v>7</v>
      </c>
      <c r="T25" s="15">
        <f t="shared" si="5"/>
        <v>7</v>
      </c>
    </row>
    <row r="26" spans="1:20" ht="15.75" customHeight="1" x14ac:dyDescent="0.25">
      <c r="A26" s="368" t="s">
        <v>64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</row>
    <row r="27" spans="1:20" ht="31.5" x14ac:dyDescent="0.25">
      <c r="A27" s="7" t="s">
        <v>65</v>
      </c>
      <c r="B27" s="8" t="s">
        <v>66</v>
      </c>
      <c r="C27" s="10" t="s">
        <v>24</v>
      </c>
      <c r="D27" s="9">
        <v>0.02</v>
      </c>
      <c r="E27" s="10" t="s">
        <v>29</v>
      </c>
      <c r="F27" s="10">
        <v>15.6</v>
      </c>
      <c r="G27" s="13">
        <v>87.5</v>
      </c>
      <c r="H27" s="13">
        <v>100</v>
      </c>
      <c r="I27" s="13">
        <v>100</v>
      </c>
      <c r="J27" s="13">
        <v>100</v>
      </c>
      <c r="K27" s="13">
        <v>100</v>
      </c>
      <c r="L27" s="17">
        <v>100</v>
      </c>
      <c r="M27" s="17">
        <v>100</v>
      </c>
      <c r="N27" s="17">
        <v>100</v>
      </c>
      <c r="O27" s="17">
        <f t="shared" si="6"/>
        <v>100</v>
      </c>
      <c r="P27" s="14">
        <f t="shared" si="6"/>
        <v>100</v>
      </c>
      <c r="Q27" s="15">
        <f t="shared" si="2"/>
        <v>100</v>
      </c>
      <c r="R27" s="15">
        <f t="shared" ref="R27:T36" si="7">O27</f>
        <v>100</v>
      </c>
      <c r="S27" s="15">
        <f t="shared" si="7"/>
        <v>100</v>
      </c>
      <c r="T27" s="15">
        <f t="shared" si="7"/>
        <v>100</v>
      </c>
    </row>
    <row r="28" spans="1:20" ht="31.5" x14ac:dyDescent="0.25">
      <c r="A28" s="7" t="s">
        <v>67</v>
      </c>
      <c r="B28" s="8" t="s">
        <v>68</v>
      </c>
      <c r="C28" s="10" t="s">
        <v>24</v>
      </c>
      <c r="D28" s="9">
        <v>0.03</v>
      </c>
      <c r="E28" s="10" t="s">
        <v>29</v>
      </c>
      <c r="F28" s="10">
        <v>83.66</v>
      </c>
      <c r="G28" s="13">
        <v>89</v>
      </c>
      <c r="H28" s="13">
        <v>90</v>
      </c>
      <c r="I28" s="17">
        <v>95</v>
      </c>
      <c r="J28" s="17">
        <v>95</v>
      </c>
      <c r="K28" s="17">
        <v>95</v>
      </c>
      <c r="L28" s="17">
        <v>95</v>
      </c>
      <c r="M28" s="17">
        <v>95</v>
      </c>
      <c r="N28" s="17">
        <v>95</v>
      </c>
      <c r="O28" s="17">
        <f t="shared" si="6"/>
        <v>95</v>
      </c>
      <c r="P28" s="14">
        <f t="shared" si="6"/>
        <v>95</v>
      </c>
      <c r="Q28" s="15">
        <f t="shared" si="2"/>
        <v>95</v>
      </c>
      <c r="R28" s="15">
        <f t="shared" si="7"/>
        <v>95</v>
      </c>
      <c r="S28" s="15">
        <f t="shared" si="7"/>
        <v>95</v>
      </c>
      <c r="T28" s="15">
        <f t="shared" si="7"/>
        <v>95</v>
      </c>
    </row>
    <row r="29" spans="1:20" ht="63" x14ac:dyDescent="0.25">
      <c r="A29" s="7" t="s">
        <v>69</v>
      </c>
      <c r="B29" s="8" t="s">
        <v>70</v>
      </c>
      <c r="C29" s="10" t="s">
        <v>24</v>
      </c>
      <c r="D29" s="9">
        <v>0.03</v>
      </c>
      <c r="E29" s="10" t="s">
        <v>29</v>
      </c>
      <c r="F29" s="22">
        <v>90</v>
      </c>
      <c r="G29" s="13">
        <v>10.1</v>
      </c>
      <c r="H29" s="13">
        <v>10.1</v>
      </c>
      <c r="I29" s="17">
        <v>10.1</v>
      </c>
      <c r="J29" s="17">
        <v>9.1</v>
      </c>
      <c r="K29" s="17">
        <v>9.5</v>
      </c>
      <c r="L29" s="17">
        <v>10.1</v>
      </c>
      <c r="M29" s="17">
        <v>10.1</v>
      </c>
      <c r="N29" s="17">
        <v>10.1</v>
      </c>
      <c r="O29" s="17">
        <f t="shared" si="6"/>
        <v>10.1</v>
      </c>
      <c r="P29" s="14">
        <f t="shared" si="6"/>
        <v>10.1</v>
      </c>
      <c r="Q29" s="15">
        <f>O29</f>
        <v>10.1</v>
      </c>
      <c r="R29" s="15">
        <f t="shared" si="7"/>
        <v>10.1</v>
      </c>
      <c r="S29" s="15">
        <f t="shared" si="7"/>
        <v>10.1</v>
      </c>
      <c r="T29" s="15">
        <f t="shared" si="7"/>
        <v>10.1</v>
      </c>
    </row>
    <row r="30" spans="1:20" s="23" customFormat="1" ht="63" x14ac:dyDescent="0.25">
      <c r="A30" s="7" t="s">
        <v>71</v>
      </c>
      <c r="B30" s="8" t="s">
        <v>72</v>
      </c>
      <c r="C30" s="9" t="s">
        <v>24</v>
      </c>
      <c r="D30" s="9">
        <v>0.03</v>
      </c>
      <c r="E30" s="11" t="s">
        <v>26</v>
      </c>
      <c r="F30" s="17">
        <v>2.34</v>
      </c>
      <c r="G30" s="13">
        <v>1.1299999999999999</v>
      </c>
      <c r="H30" s="13">
        <v>1.57</v>
      </c>
      <c r="I30" s="13">
        <v>1.72</v>
      </c>
      <c r="J30" s="13">
        <v>1.86</v>
      </c>
      <c r="K30" s="13">
        <v>1.87</v>
      </c>
      <c r="L30" s="13">
        <v>1.9</v>
      </c>
      <c r="M30" s="13">
        <v>1.9</v>
      </c>
      <c r="N30" s="13">
        <v>1.9</v>
      </c>
      <c r="O30" s="17">
        <f t="shared" si="6"/>
        <v>1.9</v>
      </c>
      <c r="P30" s="14">
        <f t="shared" si="6"/>
        <v>1.9</v>
      </c>
      <c r="Q30" s="15">
        <f t="shared" ref="Q30:Q73" si="8">O30</f>
        <v>1.9</v>
      </c>
      <c r="R30" s="15">
        <f t="shared" si="7"/>
        <v>1.9</v>
      </c>
      <c r="S30" s="15">
        <f t="shared" si="7"/>
        <v>1.9</v>
      </c>
      <c r="T30" s="15">
        <f t="shared" si="7"/>
        <v>1.9</v>
      </c>
    </row>
    <row r="31" spans="1:20" ht="47.25" x14ac:dyDescent="0.25">
      <c r="A31" s="7" t="s">
        <v>73</v>
      </c>
      <c r="B31" s="8" t="s">
        <v>74</v>
      </c>
      <c r="C31" s="10" t="s">
        <v>24</v>
      </c>
      <c r="D31" s="9">
        <v>0.02</v>
      </c>
      <c r="E31" s="10" t="s">
        <v>29</v>
      </c>
      <c r="F31" s="10">
        <v>9.7799999999999994</v>
      </c>
      <c r="G31" s="13">
        <v>39</v>
      </c>
      <c r="H31" s="13">
        <v>41</v>
      </c>
      <c r="I31" s="17">
        <v>41</v>
      </c>
      <c r="J31" s="17">
        <v>42.5</v>
      </c>
      <c r="K31" s="17">
        <v>48.8</v>
      </c>
      <c r="L31" s="17">
        <v>50.2</v>
      </c>
      <c r="M31" s="17">
        <v>50.2</v>
      </c>
      <c r="N31" s="17">
        <v>50.2</v>
      </c>
      <c r="O31" s="17">
        <f t="shared" si="6"/>
        <v>50.2</v>
      </c>
      <c r="P31" s="14">
        <f t="shared" si="6"/>
        <v>50.2</v>
      </c>
      <c r="Q31" s="15">
        <f t="shared" si="8"/>
        <v>50.2</v>
      </c>
      <c r="R31" s="15">
        <f t="shared" si="7"/>
        <v>50.2</v>
      </c>
      <c r="S31" s="15">
        <f t="shared" si="7"/>
        <v>50.2</v>
      </c>
      <c r="T31" s="15">
        <f t="shared" si="7"/>
        <v>50.2</v>
      </c>
    </row>
    <row r="32" spans="1:20" ht="63" x14ac:dyDescent="0.25">
      <c r="A32" s="7" t="s">
        <v>75</v>
      </c>
      <c r="B32" s="8" t="s">
        <v>76</v>
      </c>
      <c r="C32" s="9" t="s">
        <v>24</v>
      </c>
      <c r="D32" s="9">
        <v>0.03</v>
      </c>
      <c r="E32" s="10" t="s">
        <v>29</v>
      </c>
      <c r="F32" s="9">
        <v>83</v>
      </c>
      <c r="G32" s="13">
        <v>0</v>
      </c>
      <c r="H32" s="13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f t="shared" si="6"/>
        <v>0</v>
      </c>
      <c r="P32" s="14">
        <f t="shared" si="6"/>
        <v>0</v>
      </c>
      <c r="Q32" s="15">
        <f t="shared" si="8"/>
        <v>0</v>
      </c>
      <c r="R32" s="15">
        <f t="shared" si="7"/>
        <v>0</v>
      </c>
      <c r="S32" s="15">
        <f t="shared" si="7"/>
        <v>0</v>
      </c>
      <c r="T32" s="15">
        <f t="shared" si="7"/>
        <v>0</v>
      </c>
    </row>
    <row r="33" spans="1:20" ht="47.25" x14ac:dyDescent="0.25">
      <c r="A33" s="7" t="s">
        <v>77</v>
      </c>
      <c r="B33" s="8" t="s">
        <v>78</v>
      </c>
      <c r="C33" s="9" t="s">
        <v>24</v>
      </c>
      <c r="D33" s="9">
        <v>0.02</v>
      </c>
      <c r="E33" s="10" t="s">
        <v>29</v>
      </c>
      <c r="F33" s="24">
        <v>35</v>
      </c>
      <c r="G33" s="13">
        <v>93.5</v>
      </c>
      <c r="H33" s="13">
        <v>93.5</v>
      </c>
      <c r="I33" s="17">
        <v>95</v>
      </c>
      <c r="J33" s="17">
        <v>100</v>
      </c>
      <c r="K33" s="17">
        <v>100</v>
      </c>
      <c r="L33" s="17">
        <v>100</v>
      </c>
      <c r="M33" s="17">
        <v>100</v>
      </c>
      <c r="N33" s="17">
        <v>100</v>
      </c>
      <c r="O33" s="17">
        <f t="shared" si="6"/>
        <v>100</v>
      </c>
      <c r="P33" s="14">
        <f t="shared" si="6"/>
        <v>100</v>
      </c>
      <c r="Q33" s="15">
        <f t="shared" si="8"/>
        <v>100</v>
      </c>
      <c r="R33" s="15">
        <f t="shared" si="7"/>
        <v>100</v>
      </c>
      <c r="S33" s="15">
        <f t="shared" si="7"/>
        <v>100</v>
      </c>
      <c r="T33" s="15">
        <f t="shared" si="7"/>
        <v>100</v>
      </c>
    </row>
    <row r="34" spans="1:20" ht="47.25" x14ac:dyDescent="0.25">
      <c r="A34" s="7" t="s">
        <v>79</v>
      </c>
      <c r="B34" s="8" t="s">
        <v>80</v>
      </c>
      <c r="C34" s="9" t="s">
        <v>24</v>
      </c>
      <c r="D34" s="9">
        <v>0.02</v>
      </c>
      <c r="E34" s="10" t="s">
        <v>29</v>
      </c>
      <c r="F34" s="24">
        <v>45</v>
      </c>
      <c r="G34" s="13">
        <v>92</v>
      </c>
      <c r="H34" s="13">
        <v>92</v>
      </c>
      <c r="I34" s="17">
        <v>92</v>
      </c>
      <c r="J34" s="17">
        <v>100</v>
      </c>
      <c r="K34" s="17">
        <v>100</v>
      </c>
      <c r="L34" s="17">
        <v>100</v>
      </c>
      <c r="M34" s="17">
        <v>100</v>
      </c>
      <c r="N34" s="17">
        <v>100</v>
      </c>
      <c r="O34" s="17">
        <f t="shared" si="6"/>
        <v>100</v>
      </c>
      <c r="P34" s="14">
        <f t="shared" si="6"/>
        <v>100</v>
      </c>
      <c r="Q34" s="15">
        <f t="shared" si="8"/>
        <v>100</v>
      </c>
      <c r="R34" s="15">
        <f t="shared" si="7"/>
        <v>100</v>
      </c>
      <c r="S34" s="15">
        <f t="shared" si="7"/>
        <v>100</v>
      </c>
      <c r="T34" s="15">
        <f t="shared" si="7"/>
        <v>100</v>
      </c>
    </row>
    <row r="35" spans="1:20" ht="31.5" x14ac:dyDescent="0.25">
      <c r="A35" s="7" t="s">
        <v>81</v>
      </c>
      <c r="B35" s="8" t="s">
        <v>82</v>
      </c>
      <c r="C35" s="9" t="s">
        <v>24</v>
      </c>
      <c r="D35" s="9">
        <v>0.02</v>
      </c>
      <c r="E35" s="10" t="s">
        <v>29</v>
      </c>
      <c r="F35" s="24">
        <v>1</v>
      </c>
      <c r="G35" s="13">
        <v>96</v>
      </c>
      <c r="H35" s="13">
        <v>96.5</v>
      </c>
      <c r="I35" s="17">
        <v>97</v>
      </c>
      <c r="J35" s="17">
        <v>97</v>
      </c>
      <c r="K35" s="17">
        <v>98</v>
      </c>
      <c r="L35" s="17">
        <v>98</v>
      </c>
      <c r="M35" s="17">
        <v>98</v>
      </c>
      <c r="N35" s="17">
        <v>98</v>
      </c>
      <c r="O35" s="17">
        <f t="shared" si="6"/>
        <v>98</v>
      </c>
      <c r="P35" s="14">
        <f t="shared" si="6"/>
        <v>98</v>
      </c>
      <c r="Q35" s="15">
        <f t="shared" si="8"/>
        <v>98</v>
      </c>
      <c r="R35" s="15">
        <f t="shared" si="7"/>
        <v>98</v>
      </c>
      <c r="S35" s="15">
        <f t="shared" si="7"/>
        <v>98</v>
      </c>
      <c r="T35" s="15">
        <f t="shared" si="7"/>
        <v>98</v>
      </c>
    </row>
    <row r="36" spans="1:20" ht="94.5" x14ac:dyDescent="0.25">
      <c r="A36" s="7" t="s">
        <v>83</v>
      </c>
      <c r="B36" s="8" t="s">
        <v>84</v>
      </c>
      <c r="C36" s="10" t="s">
        <v>24</v>
      </c>
      <c r="D36" s="9">
        <v>0.02</v>
      </c>
      <c r="E36" s="10" t="s">
        <v>29</v>
      </c>
      <c r="F36" s="10" t="s">
        <v>54</v>
      </c>
      <c r="G36" s="13">
        <v>2.5</v>
      </c>
      <c r="H36" s="13">
        <v>3</v>
      </c>
      <c r="I36" s="17">
        <v>3.4</v>
      </c>
      <c r="J36" s="17">
        <v>2.4</v>
      </c>
      <c r="K36" s="17">
        <v>2.8</v>
      </c>
      <c r="L36" s="17">
        <v>2.8</v>
      </c>
      <c r="M36" s="17">
        <v>2.8</v>
      </c>
      <c r="N36" s="17">
        <v>2.8</v>
      </c>
      <c r="O36" s="17">
        <f t="shared" si="6"/>
        <v>2.8</v>
      </c>
      <c r="P36" s="14">
        <f t="shared" si="6"/>
        <v>2.8</v>
      </c>
      <c r="Q36" s="15">
        <f t="shared" si="8"/>
        <v>2.8</v>
      </c>
      <c r="R36" s="15">
        <f t="shared" si="7"/>
        <v>2.8</v>
      </c>
      <c r="S36" s="15">
        <f t="shared" si="7"/>
        <v>2.8</v>
      </c>
      <c r="T36" s="15">
        <f t="shared" si="7"/>
        <v>2.8</v>
      </c>
    </row>
    <row r="37" spans="1:20" ht="15.75" customHeight="1" x14ac:dyDescent="0.25">
      <c r="A37" s="372" t="s">
        <v>85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</row>
    <row r="38" spans="1:20" ht="31.5" x14ac:dyDescent="0.25">
      <c r="A38" s="25" t="s">
        <v>86</v>
      </c>
      <c r="B38" s="8" t="s">
        <v>87</v>
      </c>
      <c r="C38" s="9" t="s">
        <v>24</v>
      </c>
      <c r="D38" s="9">
        <v>0.03</v>
      </c>
      <c r="E38" s="11" t="s">
        <v>29</v>
      </c>
      <c r="F38" s="10">
        <v>70</v>
      </c>
      <c r="G38" s="13">
        <v>75</v>
      </c>
      <c r="H38" s="13">
        <v>75</v>
      </c>
      <c r="I38" s="13">
        <v>75</v>
      </c>
      <c r="J38" s="13">
        <v>93</v>
      </c>
      <c r="K38" s="13">
        <v>93</v>
      </c>
      <c r="L38" s="13">
        <v>75</v>
      </c>
      <c r="M38" s="13">
        <v>75</v>
      </c>
      <c r="N38" s="13">
        <v>75</v>
      </c>
      <c r="O38" s="17">
        <v>72</v>
      </c>
      <c r="P38" s="14">
        <v>74</v>
      </c>
      <c r="Q38" s="15">
        <v>74</v>
      </c>
      <c r="R38" s="15">
        <f t="shared" ref="R38:T40" si="9">O38</f>
        <v>72</v>
      </c>
      <c r="S38" s="15">
        <f t="shared" si="9"/>
        <v>74</v>
      </c>
      <c r="T38" s="15">
        <f t="shared" si="9"/>
        <v>74</v>
      </c>
    </row>
    <row r="39" spans="1:20" ht="31.5" x14ac:dyDescent="0.25">
      <c r="A39" s="25" t="s">
        <v>88</v>
      </c>
      <c r="B39" s="8" t="s">
        <v>89</v>
      </c>
      <c r="C39" s="9" t="s">
        <v>24</v>
      </c>
      <c r="D39" s="9">
        <v>0.03</v>
      </c>
      <c r="E39" s="11" t="s">
        <v>29</v>
      </c>
      <c r="F39" s="10"/>
      <c r="G39" s="13">
        <v>67</v>
      </c>
      <c r="H39" s="13">
        <v>70</v>
      </c>
      <c r="I39" s="13">
        <v>72</v>
      </c>
      <c r="J39" s="13">
        <v>72</v>
      </c>
      <c r="K39" s="13">
        <v>72</v>
      </c>
      <c r="L39" s="13">
        <v>72</v>
      </c>
      <c r="M39" s="13">
        <v>72</v>
      </c>
      <c r="N39" s="13">
        <v>72</v>
      </c>
      <c r="O39" s="17">
        <f t="shared" si="6"/>
        <v>72</v>
      </c>
      <c r="P39" s="14">
        <f t="shared" si="6"/>
        <v>72</v>
      </c>
      <c r="Q39" s="15">
        <f t="shared" si="8"/>
        <v>72</v>
      </c>
      <c r="R39" s="15">
        <f t="shared" si="9"/>
        <v>72</v>
      </c>
      <c r="S39" s="15">
        <f t="shared" si="9"/>
        <v>72</v>
      </c>
      <c r="T39" s="15">
        <f t="shared" si="9"/>
        <v>72</v>
      </c>
    </row>
    <row r="40" spans="1:20" ht="31.5" x14ac:dyDescent="0.25">
      <c r="A40" s="25" t="s">
        <v>90</v>
      </c>
      <c r="B40" s="8" t="s">
        <v>91</v>
      </c>
      <c r="C40" s="9" t="s">
        <v>24</v>
      </c>
      <c r="D40" s="9">
        <v>0.03</v>
      </c>
      <c r="E40" s="11" t="s">
        <v>29</v>
      </c>
      <c r="F40" s="10" t="s">
        <v>54</v>
      </c>
      <c r="G40" s="13">
        <v>15</v>
      </c>
      <c r="H40" s="13">
        <v>15</v>
      </c>
      <c r="I40" s="13">
        <v>16.5</v>
      </c>
      <c r="J40" s="13">
        <v>18.3</v>
      </c>
      <c r="K40" s="13">
        <v>19.100000000000001</v>
      </c>
      <c r="L40" s="13">
        <v>19.5</v>
      </c>
      <c r="M40" s="13">
        <v>19.5</v>
      </c>
      <c r="N40" s="13">
        <v>19.5</v>
      </c>
      <c r="O40" s="17">
        <f t="shared" si="6"/>
        <v>19.5</v>
      </c>
      <c r="P40" s="14">
        <f t="shared" si="6"/>
        <v>19.5</v>
      </c>
      <c r="Q40" s="15">
        <f t="shared" si="8"/>
        <v>19.5</v>
      </c>
      <c r="R40" s="15">
        <f t="shared" si="9"/>
        <v>19.5</v>
      </c>
      <c r="S40" s="15">
        <f t="shared" si="9"/>
        <v>19.5</v>
      </c>
      <c r="T40" s="15">
        <f t="shared" si="9"/>
        <v>19.5</v>
      </c>
    </row>
    <row r="41" spans="1:20" ht="15.75" customHeight="1" x14ac:dyDescent="0.25">
      <c r="A41" s="369" t="s">
        <v>92</v>
      </c>
      <c r="B41" s="37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</row>
    <row r="42" spans="1:20" ht="63" x14ac:dyDescent="0.25">
      <c r="A42" s="25" t="s">
        <v>93</v>
      </c>
      <c r="B42" s="8" t="s">
        <v>94</v>
      </c>
      <c r="C42" s="9" t="s">
        <v>24</v>
      </c>
      <c r="D42" s="9">
        <v>0.03</v>
      </c>
      <c r="E42" s="11" t="s">
        <v>29</v>
      </c>
      <c r="F42" s="10">
        <v>78.400000000000006</v>
      </c>
      <c r="G42" s="13">
        <v>80.2</v>
      </c>
      <c r="H42" s="13">
        <v>80.400000000000006</v>
      </c>
      <c r="I42" s="13">
        <v>80.5</v>
      </c>
      <c r="J42" s="13">
        <v>80.5</v>
      </c>
      <c r="K42" s="13">
        <v>80.5</v>
      </c>
      <c r="L42" s="13">
        <v>80.5</v>
      </c>
      <c r="M42" s="13">
        <v>80.5</v>
      </c>
      <c r="N42" s="13">
        <v>80.5</v>
      </c>
      <c r="O42" s="17">
        <f t="shared" si="6"/>
        <v>80.5</v>
      </c>
      <c r="P42" s="14">
        <f t="shared" si="6"/>
        <v>80.5</v>
      </c>
      <c r="Q42" s="15">
        <f t="shared" si="8"/>
        <v>80.5</v>
      </c>
      <c r="R42" s="15">
        <f>O42</f>
        <v>80.5</v>
      </c>
      <c r="S42" s="15">
        <f>P42</f>
        <v>80.5</v>
      </c>
      <c r="T42" s="15">
        <f>Q42</f>
        <v>80.5</v>
      </c>
    </row>
    <row r="43" spans="1:20" ht="15.75" customHeight="1" x14ac:dyDescent="0.25">
      <c r="A43" s="368" t="s">
        <v>95</v>
      </c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</row>
    <row r="44" spans="1:20" ht="15.75" customHeight="1" x14ac:dyDescent="0.25">
      <c r="A44" s="368" t="s">
        <v>96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</row>
    <row r="45" spans="1:20" ht="15.75" customHeight="1" x14ac:dyDescent="0.25">
      <c r="A45" s="368" t="s">
        <v>97</v>
      </c>
      <c r="B45" s="368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</row>
    <row r="46" spans="1:20" ht="31.5" x14ac:dyDescent="0.25">
      <c r="A46" s="7" t="s">
        <v>98</v>
      </c>
      <c r="B46" s="8" t="s">
        <v>99</v>
      </c>
      <c r="C46" s="9" t="s">
        <v>24</v>
      </c>
      <c r="D46" s="9">
        <v>0.04</v>
      </c>
      <c r="E46" s="10" t="s">
        <v>29</v>
      </c>
      <c r="F46" s="17">
        <v>97.09</v>
      </c>
      <c r="G46" s="11">
        <v>82.9</v>
      </c>
      <c r="H46" s="11">
        <v>82.9</v>
      </c>
      <c r="I46" s="11">
        <v>93.2</v>
      </c>
      <c r="J46" s="11">
        <v>93.7</v>
      </c>
      <c r="K46" s="11">
        <v>94</v>
      </c>
      <c r="L46" s="11">
        <v>94</v>
      </c>
      <c r="M46" s="11">
        <v>94</v>
      </c>
      <c r="N46" s="11">
        <v>94</v>
      </c>
      <c r="O46" s="26">
        <v>94</v>
      </c>
      <c r="P46" s="27">
        <f>O46</f>
        <v>94</v>
      </c>
      <c r="Q46" s="15">
        <f t="shared" si="8"/>
        <v>94</v>
      </c>
      <c r="R46" s="15">
        <f>O46</f>
        <v>94</v>
      </c>
      <c r="S46" s="15">
        <f>P46</f>
        <v>94</v>
      </c>
      <c r="T46" s="15">
        <f>Q46</f>
        <v>94</v>
      </c>
    </row>
    <row r="47" spans="1:20" ht="15.75" customHeight="1" x14ac:dyDescent="0.25">
      <c r="A47" s="369" t="s">
        <v>100</v>
      </c>
      <c r="B47" s="370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</row>
    <row r="48" spans="1:20" ht="31.5" x14ac:dyDescent="0.25">
      <c r="A48" s="7" t="s">
        <v>101</v>
      </c>
      <c r="B48" s="28" t="s">
        <v>102</v>
      </c>
      <c r="C48" s="9" t="s">
        <v>24</v>
      </c>
      <c r="D48" s="9">
        <v>0.04</v>
      </c>
      <c r="E48" s="11" t="s">
        <v>29</v>
      </c>
      <c r="F48" s="29">
        <v>134</v>
      </c>
      <c r="G48" s="11">
        <v>73</v>
      </c>
      <c r="H48" s="11">
        <v>74</v>
      </c>
      <c r="I48" s="11">
        <v>89</v>
      </c>
      <c r="J48" s="11">
        <v>90</v>
      </c>
      <c r="K48" s="11">
        <v>92</v>
      </c>
      <c r="L48" s="11">
        <v>95</v>
      </c>
      <c r="M48" s="11">
        <v>95</v>
      </c>
      <c r="N48" s="11">
        <v>95</v>
      </c>
      <c r="O48" s="26">
        <v>95</v>
      </c>
      <c r="P48" s="27">
        <f>O48</f>
        <v>95</v>
      </c>
      <c r="Q48" s="15">
        <f t="shared" si="8"/>
        <v>95</v>
      </c>
      <c r="R48" s="15">
        <f t="shared" ref="R48:T49" si="10">O48</f>
        <v>95</v>
      </c>
      <c r="S48" s="15">
        <f t="shared" si="10"/>
        <v>95</v>
      </c>
      <c r="T48" s="15">
        <f t="shared" si="10"/>
        <v>95</v>
      </c>
    </row>
    <row r="49" spans="1:20" ht="47.25" x14ac:dyDescent="0.25">
      <c r="A49" s="7" t="s">
        <v>103</v>
      </c>
      <c r="B49" s="28" t="s">
        <v>104</v>
      </c>
      <c r="C49" s="9" t="s">
        <v>24</v>
      </c>
      <c r="D49" s="9">
        <v>0.04</v>
      </c>
      <c r="E49" s="10" t="s">
        <v>29</v>
      </c>
      <c r="F49" s="10">
        <v>15.6</v>
      </c>
      <c r="G49" s="11">
        <v>70</v>
      </c>
      <c r="H49" s="11">
        <v>70</v>
      </c>
      <c r="I49" s="11">
        <v>95</v>
      </c>
      <c r="J49" s="11">
        <v>97</v>
      </c>
      <c r="K49" s="11">
        <v>97</v>
      </c>
      <c r="L49" s="11">
        <v>98</v>
      </c>
      <c r="M49" s="11">
        <v>98</v>
      </c>
      <c r="N49" s="11">
        <v>98</v>
      </c>
      <c r="O49" s="26">
        <v>98</v>
      </c>
      <c r="P49" s="27">
        <f>O49</f>
        <v>98</v>
      </c>
      <c r="Q49" s="15">
        <f t="shared" si="8"/>
        <v>98</v>
      </c>
      <c r="R49" s="15">
        <f t="shared" si="10"/>
        <v>98</v>
      </c>
      <c r="S49" s="15">
        <f t="shared" si="10"/>
        <v>98</v>
      </c>
      <c r="T49" s="15">
        <f t="shared" si="10"/>
        <v>98</v>
      </c>
    </row>
    <row r="50" spans="1:20" ht="15.75" customHeight="1" x14ac:dyDescent="0.25">
      <c r="A50" s="368" t="s">
        <v>105</v>
      </c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</row>
    <row r="51" spans="1:20" ht="15.75" customHeight="1" x14ac:dyDescent="0.25">
      <c r="A51" s="368" t="s">
        <v>106</v>
      </c>
      <c r="B51" s="368"/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</row>
    <row r="52" spans="1:20" ht="15.75" customHeight="1" x14ac:dyDescent="0.25">
      <c r="A52" s="368" t="s">
        <v>107</v>
      </c>
      <c r="B52" s="368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</row>
    <row r="53" spans="1:20" ht="31.5" x14ac:dyDescent="0.25">
      <c r="A53" s="7" t="s">
        <v>108</v>
      </c>
      <c r="B53" s="28" t="s">
        <v>109</v>
      </c>
      <c r="C53" s="10" t="s">
        <v>110</v>
      </c>
      <c r="D53" s="9">
        <v>0.03</v>
      </c>
      <c r="E53" s="30" t="s">
        <v>111</v>
      </c>
      <c r="F53" s="12"/>
      <c r="G53" s="10">
        <v>1460</v>
      </c>
      <c r="H53" s="10">
        <v>1470</v>
      </c>
      <c r="I53" s="10">
        <v>1470</v>
      </c>
      <c r="J53" s="10">
        <v>2863</v>
      </c>
      <c r="K53" s="10">
        <v>3174</v>
      </c>
      <c r="L53" s="10">
        <v>3205</v>
      </c>
      <c r="M53" s="31">
        <v>3199</v>
      </c>
      <c r="N53" s="31">
        <v>3378</v>
      </c>
      <c r="O53" s="31">
        <v>3378</v>
      </c>
      <c r="P53" s="32">
        <v>3943</v>
      </c>
      <c r="Q53" s="32">
        <v>5770</v>
      </c>
      <c r="R53" s="32">
        <v>5828</v>
      </c>
      <c r="S53" s="32">
        <v>5828</v>
      </c>
      <c r="T53" s="33">
        <v>5828</v>
      </c>
    </row>
    <row r="54" spans="1:20" ht="31.5" x14ac:dyDescent="0.25">
      <c r="A54" s="10" t="s">
        <v>112</v>
      </c>
      <c r="B54" s="28" t="s">
        <v>113</v>
      </c>
      <c r="C54" s="10" t="s">
        <v>110</v>
      </c>
      <c r="D54" s="10">
        <v>0.01</v>
      </c>
      <c r="E54" s="30" t="s">
        <v>111</v>
      </c>
      <c r="F54" s="12"/>
      <c r="G54" s="10">
        <v>28870</v>
      </c>
      <c r="H54" s="10">
        <v>29600</v>
      </c>
      <c r="I54" s="10">
        <v>30690</v>
      </c>
      <c r="J54" s="10">
        <v>32180</v>
      </c>
      <c r="K54" s="10">
        <v>33390</v>
      </c>
      <c r="L54" s="10">
        <v>38561</v>
      </c>
      <c r="M54" s="10">
        <v>38575</v>
      </c>
      <c r="N54" s="10">
        <v>42480</v>
      </c>
      <c r="O54" s="10">
        <v>61427</v>
      </c>
      <c r="P54" s="32">
        <v>61452</v>
      </c>
      <c r="Q54" s="32">
        <v>72060</v>
      </c>
      <c r="R54" s="32">
        <v>83000</v>
      </c>
      <c r="S54" s="32">
        <v>83000</v>
      </c>
      <c r="T54" s="33">
        <v>83000</v>
      </c>
    </row>
    <row r="55" spans="1:20" ht="63" x14ac:dyDescent="0.25">
      <c r="A55" s="7" t="s">
        <v>114</v>
      </c>
      <c r="B55" s="28" t="s">
        <v>115</v>
      </c>
      <c r="C55" s="10" t="s">
        <v>110</v>
      </c>
      <c r="D55" s="10">
        <v>0.01</v>
      </c>
      <c r="E55" s="30" t="s">
        <v>111</v>
      </c>
      <c r="F55" s="12"/>
      <c r="G55" s="10">
        <v>17972</v>
      </c>
      <c r="H55" s="10">
        <v>18638</v>
      </c>
      <c r="I55" s="10">
        <v>19328</v>
      </c>
      <c r="J55" s="10">
        <v>21911</v>
      </c>
      <c r="K55" s="10">
        <v>24405</v>
      </c>
      <c r="L55" s="10">
        <v>28687</v>
      </c>
      <c r="M55" s="10">
        <v>32078</v>
      </c>
      <c r="N55" s="10">
        <v>33427</v>
      </c>
      <c r="O55" s="10">
        <v>41961</v>
      </c>
      <c r="P55" s="32">
        <v>43830</v>
      </c>
      <c r="Q55" s="15">
        <v>48035</v>
      </c>
      <c r="R55" s="15">
        <v>62676</v>
      </c>
      <c r="S55" s="15">
        <v>62676</v>
      </c>
      <c r="T55" s="15">
        <v>62676</v>
      </c>
    </row>
    <row r="56" spans="1:20" ht="31.5" x14ac:dyDescent="0.25">
      <c r="A56" s="7" t="s">
        <v>116</v>
      </c>
      <c r="B56" s="28" t="s">
        <v>117</v>
      </c>
      <c r="C56" s="10" t="s">
        <v>118</v>
      </c>
      <c r="D56" s="10">
        <v>0.02</v>
      </c>
      <c r="E56" s="30" t="s">
        <v>29</v>
      </c>
      <c r="F56" s="12"/>
      <c r="G56" s="10">
        <v>25.02</v>
      </c>
      <c r="H56" s="10">
        <v>25</v>
      </c>
      <c r="I56" s="10">
        <v>25</v>
      </c>
      <c r="J56" s="10">
        <v>23.9</v>
      </c>
      <c r="K56" s="10">
        <v>24</v>
      </c>
      <c r="L56" s="10">
        <v>24</v>
      </c>
      <c r="M56" s="10">
        <v>24</v>
      </c>
      <c r="N56" s="10">
        <v>25</v>
      </c>
      <c r="O56" s="10">
        <v>25</v>
      </c>
      <c r="P56" s="32">
        <v>25</v>
      </c>
      <c r="Q56" s="15">
        <v>25</v>
      </c>
      <c r="R56" s="15">
        <v>24.7</v>
      </c>
      <c r="S56" s="15">
        <v>24.7</v>
      </c>
      <c r="T56" s="15">
        <v>24.7</v>
      </c>
    </row>
    <row r="57" spans="1:20" ht="31.5" x14ac:dyDescent="0.25">
      <c r="A57" s="7" t="s">
        <v>119</v>
      </c>
      <c r="B57" s="28" t="s">
        <v>120</v>
      </c>
      <c r="C57" s="10" t="s">
        <v>118</v>
      </c>
      <c r="D57" s="10">
        <v>0.02</v>
      </c>
      <c r="E57" s="30" t="s">
        <v>29</v>
      </c>
      <c r="F57" s="12"/>
      <c r="G57" s="10">
        <v>18.82</v>
      </c>
      <c r="H57" s="10">
        <v>18.82</v>
      </c>
      <c r="I57" s="10">
        <v>18.8</v>
      </c>
      <c r="J57" s="10">
        <v>17</v>
      </c>
      <c r="K57" s="10">
        <v>17</v>
      </c>
      <c r="L57" s="10">
        <v>17</v>
      </c>
      <c r="M57" s="10">
        <v>17</v>
      </c>
      <c r="N57" s="10">
        <v>17</v>
      </c>
      <c r="O57" s="10">
        <v>17</v>
      </c>
      <c r="P57" s="32">
        <v>15</v>
      </c>
      <c r="Q57" s="15">
        <v>16.3</v>
      </c>
      <c r="R57" s="15">
        <v>15.7</v>
      </c>
      <c r="S57" s="15">
        <v>15.7</v>
      </c>
      <c r="T57" s="15">
        <v>15.7</v>
      </c>
    </row>
    <row r="58" spans="1:20" ht="78.75" x14ac:dyDescent="0.25">
      <c r="A58" s="10" t="s">
        <v>121</v>
      </c>
      <c r="B58" s="28" t="s">
        <v>122</v>
      </c>
      <c r="C58" s="10" t="s">
        <v>123</v>
      </c>
      <c r="D58" s="10">
        <v>0.02</v>
      </c>
      <c r="E58" s="30" t="s">
        <v>29</v>
      </c>
      <c r="F58" s="12"/>
      <c r="G58" s="10">
        <v>0.7</v>
      </c>
      <c r="H58" s="10">
        <v>0.7</v>
      </c>
      <c r="I58" s="10">
        <v>0.7</v>
      </c>
      <c r="J58" s="10">
        <v>0.7</v>
      </c>
      <c r="K58" s="10">
        <v>0.7</v>
      </c>
      <c r="L58" s="10">
        <v>0.7</v>
      </c>
      <c r="M58" s="10">
        <v>0.7</v>
      </c>
      <c r="N58" s="10">
        <v>0.5</v>
      </c>
      <c r="O58" s="10">
        <v>0.5</v>
      </c>
      <c r="P58" s="32">
        <v>1</v>
      </c>
      <c r="Q58" s="33">
        <v>1</v>
      </c>
      <c r="R58" s="33">
        <v>1</v>
      </c>
      <c r="S58" s="33">
        <v>1</v>
      </c>
      <c r="T58" s="33">
        <v>1</v>
      </c>
    </row>
    <row r="59" spans="1:20" ht="31.5" x14ac:dyDescent="0.25">
      <c r="A59" s="10" t="s">
        <v>124</v>
      </c>
      <c r="B59" s="28" t="s">
        <v>125</v>
      </c>
      <c r="C59" s="10" t="s">
        <v>59</v>
      </c>
      <c r="D59" s="10">
        <v>0.03</v>
      </c>
      <c r="E59" s="30" t="s">
        <v>111</v>
      </c>
      <c r="F59" s="12"/>
      <c r="G59" s="10">
        <v>18</v>
      </c>
      <c r="H59" s="10">
        <v>18</v>
      </c>
      <c r="I59" s="10">
        <v>18</v>
      </c>
      <c r="J59" s="10">
        <v>14</v>
      </c>
      <c r="K59" s="10">
        <v>14</v>
      </c>
      <c r="L59" s="10">
        <v>14</v>
      </c>
      <c r="M59" s="10">
        <v>14</v>
      </c>
      <c r="N59" s="10">
        <v>14</v>
      </c>
      <c r="O59" s="10">
        <v>14</v>
      </c>
      <c r="P59" s="32">
        <v>6</v>
      </c>
      <c r="Q59" s="33">
        <v>6</v>
      </c>
      <c r="R59" s="33">
        <v>6</v>
      </c>
      <c r="S59" s="33">
        <v>6</v>
      </c>
      <c r="T59" s="33">
        <v>6</v>
      </c>
    </row>
    <row r="60" spans="1:20" ht="66" customHeight="1" x14ac:dyDescent="0.25">
      <c r="A60" s="10" t="s">
        <v>126</v>
      </c>
      <c r="B60" s="28" t="s">
        <v>127</v>
      </c>
      <c r="C60" s="10" t="s">
        <v>128</v>
      </c>
      <c r="D60" s="10">
        <v>0.01</v>
      </c>
      <c r="E60" s="30" t="s">
        <v>129</v>
      </c>
      <c r="F60" s="12"/>
      <c r="G60" s="10">
        <v>5</v>
      </c>
      <c r="H60" s="10">
        <v>5</v>
      </c>
      <c r="I60" s="10">
        <v>5</v>
      </c>
      <c r="J60" s="10">
        <v>5</v>
      </c>
      <c r="K60" s="10">
        <v>5</v>
      </c>
      <c r="L60" s="10">
        <v>5</v>
      </c>
      <c r="M60" s="10">
        <v>5</v>
      </c>
      <c r="N60" s="10">
        <v>5</v>
      </c>
      <c r="O60" s="10">
        <v>5</v>
      </c>
      <c r="P60" s="32">
        <f t="shared" ref="P60:P70" si="11">O60</f>
        <v>5</v>
      </c>
      <c r="Q60" s="15">
        <f t="shared" si="8"/>
        <v>5</v>
      </c>
      <c r="R60" s="15">
        <f t="shared" ref="R56:S70" si="12">O60</f>
        <v>5</v>
      </c>
      <c r="S60" s="15">
        <f t="shared" si="12"/>
        <v>5</v>
      </c>
      <c r="T60" s="15">
        <v>5</v>
      </c>
    </row>
    <row r="61" spans="1:20" ht="47.25" x14ac:dyDescent="0.25">
      <c r="A61" s="10" t="s">
        <v>130</v>
      </c>
      <c r="B61" s="28" t="s">
        <v>131</v>
      </c>
      <c r="C61" s="10" t="s">
        <v>128</v>
      </c>
      <c r="D61" s="10">
        <v>0.01</v>
      </c>
      <c r="E61" s="30" t="s">
        <v>129</v>
      </c>
      <c r="F61" s="12"/>
      <c r="G61" s="9">
        <v>5</v>
      </c>
      <c r="H61" s="9">
        <v>5</v>
      </c>
      <c r="I61" s="9">
        <v>5</v>
      </c>
      <c r="J61" s="9">
        <v>5</v>
      </c>
      <c r="K61" s="9">
        <v>5</v>
      </c>
      <c r="L61" s="9">
        <v>5</v>
      </c>
      <c r="M61" s="9">
        <v>5</v>
      </c>
      <c r="N61" s="9">
        <v>5</v>
      </c>
      <c r="O61" s="9">
        <v>5</v>
      </c>
      <c r="P61" s="32">
        <f t="shared" si="11"/>
        <v>5</v>
      </c>
      <c r="Q61" s="15">
        <f t="shared" si="8"/>
        <v>5</v>
      </c>
      <c r="R61" s="15">
        <f t="shared" si="12"/>
        <v>5</v>
      </c>
      <c r="S61" s="15">
        <f t="shared" si="12"/>
        <v>5</v>
      </c>
      <c r="T61" s="15">
        <v>5</v>
      </c>
    </row>
    <row r="62" spans="1:20" ht="126" x14ac:dyDescent="0.25">
      <c r="A62" s="10" t="s">
        <v>132</v>
      </c>
      <c r="B62" s="28" t="s">
        <v>133</v>
      </c>
      <c r="C62" s="10" t="s">
        <v>128</v>
      </c>
      <c r="D62" s="10">
        <v>0.01</v>
      </c>
      <c r="E62" s="30" t="s">
        <v>129</v>
      </c>
      <c r="F62" s="12"/>
      <c r="G62" s="9">
        <v>5</v>
      </c>
      <c r="H62" s="9">
        <v>5</v>
      </c>
      <c r="I62" s="9">
        <v>5</v>
      </c>
      <c r="J62" s="9">
        <v>5</v>
      </c>
      <c r="K62" s="9">
        <v>5</v>
      </c>
      <c r="L62" s="9">
        <v>5</v>
      </c>
      <c r="M62" s="9">
        <v>5</v>
      </c>
      <c r="N62" s="9">
        <v>5</v>
      </c>
      <c r="O62" s="9">
        <v>5</v>
      </c>
      <c r="P62" s="32">
        <f t="shared" si="11"/>
        <v>5</v>
      </c>
      <c r="Q62" s="15">
        <f t="shared" si="8"/>
        <v>5</v>
      </c>
      <c r="R62" s="15">
        <f t="shared" si="12"/>
        <v>5</v>
      </c>
      <c r="S62" s="15">
        <f t="shared" si="12"/>
        <v>5</v>
      </c>
      <c r="T62" s="15">
        <v>5</v>
      </c>
    </row>
    <row r="63" spans="1:20" ht="94.5" x14ac:dyDescent="0.25">
      <c r="A63" s="10" t="s">
        <v>134</v>
      </c>
      <c r="B63" s="28" t="s">
        <v>135</v>
      </c>
      <c r="C63" s="10" t="s">
        <v>128</v>
      </c>
      <c r="D63" s="10">
        <v>0.01</v>
      </c>
      <c r="E63" s="30" t="s">
        <v>129</v>
      </c>
      <c r="F63" s="12"/>
      <c r="G63" s="9">
        <v>5</v>
      </c>
      <c r="H63" s="9">
        <v>5</v>
      </c>
      <c r="I63" s="9">
        <v>5</v>
      </c>
      <c r="J63" s="9">
        <v>5</v>
      </c>
      <c r="K63" s="9">
        <v>5</v>
      </c>
      <c r="L63" s="9">
        <v>5</v>
      </c>
      <c r="M63" s="9">
        <v>5</v>
      </c>
      <c r="N63" s="9">
        <v>5</v>
      </c>
      <c r="O63" s="9">
        <v>5</v>
      </c>
      <c r="P63" s="32">
        <f t="shared" si="11"/>
        <v>5</v>
      </c>
      <c r="Q63" s="15">
        <f t="shared" si="8"/>
        <v>5</v>
      </c>
      <c r="R63" s="15">
        <f t="shared" si="12"/>
        <v>5</v>
      </c>
      <c r="S63" s="15">
        <f t="shared" si="12"/>
        <v>5</v>
      </c>
      <c r="T63" s="15">
        <v>5</v>
      </c>
    </row>
    <row r="64" spans="1:20" ht="47.25" x14ac:dyDescent="0.25">
      <c r="A64" s="10" t="s">
        <v>136</v>
      </c>
      <c r="B64" s="34" t="s">
        <v>137</v>
      </c>
      <c r="C64" s="10" t="s">
        <v>128</v>
      </c>
      <c r="D64" s="10">
        <v>0.01</v>
      </c>
      <c r="E64" s="30" t="s">
        <v>129</v>
      </c>
      <c r="F64" s="12"/>
      <c r="G64" s="9">
        <v>5</v>
      </c>
      <c r="H64" s="9">
        <v>5</v>
      </c>
      <c r="I64" s="9">
        <v>5</v>
      </c>
      <c r="J64" s="9">
        <v>5</v>
      </c>
      <c r="K64" s="9">
        <v>5</v>
      </c>
      <c r="L64" s="9">
        <v>5</v>
      </c>
      <c r="M64" s="9">
        <v>5</v>
      </c>
      <c r="N64" s="9">
        <v>5</v>
      </c>
      <c r="O64" s="9">
        <v>5</v>
      </c>
      <c r="P64" s="32">
        <f t="shared" si="11"/>
        <v>5</v>
      </c>
      <c r="Q64" s="15">
        <f t="shared" si="8"/>
        <v>5</v>
      </c>
      <c r="R64" s="15">
        <f t="shared" si="12"/>
        <v>5</v>
      </c>
      <c r="S64" s="15">
        <f t="shared" si="12"/>
        <v>5</v>
      </c>
      <c r="T64" s="15">
        <v>5</v>
      </c>
    </row>
    <row r="65" spans="1:20" ht="47.25" x14ac:dyDescent="0.25">
      <c r="A65" s="10" t="s">
        <v>138</v>
      </c>
      <c r="B65" s="34" t="s">
        <v>139</v>
      </c>
      <c r="C65" s="10" t="s">
        <v>128</v>
      </c>
      <c r="D65" s="10">
        <v>0.01</v>
      </c>
      <c r="E65" s="30" t="s">
        <v>129</v>
      </c>
      <c r="F65" s="12"/>
      <c r="G65" s="9">
        <v>5</v>
      </c>
      <c r="H65" s="9">
        <v>5</v>
      </c>
      <c r="I65" s="9">
        <v>5</v>
      </c>
      <c r="J65" s="9">
        <v>5</v>
      </c>
      <c r="K65" s="9">
        <v>5</v>
      </c>
      <c r="L65" s="9">
        <v>5</v>
      </c>
      <c r="M65" s="9">
        <v>5</v>
      </c>
      <c r="N65" s="9">
        <v>5</v>
      </c>
      <c r="O65" s="9">
        <v>5</v>
      </c>
      <c r="P65" s="32">
        <f t="shared" si="11"/>
        <v>5</v>
      </c>
      <c r="Q65" s="15">
        <f t="shared" si="8"/>
        <v>5</v>
      </c>
      <c r="R65" s="15">
        <f t="shared" si="12"/>
        <v>5</v>
      </c>
      <c r="S65" s="15">
        <f t="shared" si="12"/>
        <v>5</v>
      </c>
      <c r="T65" s="15">
        <v>5</v>
      </c>
    </row>
    <row r="66" spans="1:20" ht="47.25" x14ac:dyDescent="0.25">
      <c r="A66" s="7" t="s">
        <v>140</v>
      </c>
      <c r="B66" s="28" t="s">
        <v>141</v>
      </c>
      <c r="C66" s="10" t="s">
        <v>128</v>
      </c>
      <c r="D66" s="10">
        <v>0.01</v>
      </c>
      <c r="E66" s="30" t="s">
        <v>129</v>
      </c>
      <c r="F66" s="12"/>
      <c r="G66" s="9">
        <v>5</v>
      </c>
      <c r="H66" s="9">
        <v>5</v>
      </c>
      <c r="I66" s="9">
        <v>5</v>
      </c>
      <c r="J66" s="9">
        <v>5</v>
      </c>
      <c r="K66" s="9">
        <v>5</v>
      </c>
      <c r="L66" s="9">
        <v>5</v>
      </c>
      <c r="M66" s="9">
        <v>5</v>
      </c>
      <c r="N66" s="9">
        <v>5</v>
      </c>
      <c r="O66" s="9">
        <v>5</v>
      </c>
      <c r="P66" s="32">
        <f t="shared" si="11"/>
        <v>5</v>
      </c>
      <c r="Q66" s="15">
        <f t="shared" si="8"/>
        <v>5</v>
      </c>
      <c r="R66" s="15">
        <f t="shared" si="12"/>
        <v>5</v>
      </c>
      <c r="S66" s="15">
        <f t="shared" si="12"/>
        <v>5</v>
      </c>
      <c r="T66" s="15">
        <v>5</v>
      </c>
    </row>
    <row r="67" spans="1:20" ht="47.25" x14ac:dyDescent="0.25">
      <c r="A67" s="7" t="s">
        <v>142</v>
      </c>
      <c r="B67" s="28" t="s">
        <v>143</v>
      </c>
      <c r="C67" s="10" t="s">
        <v>128</v>
      </c>
      <c r="D67" s="10">
        <v>0.01</v>
      </c>
      <c r="E67" s="30" t="s">
        <v>129</v>
      </c>
      <c r="F67" s="12"/>
      <c r="G67" s="9">
        <v>5</v>
      </c>
      <c r="H67" s="9">
        <v>5</v>
      </c>
      <c r="I67" s="9">
        <v>5</v>
      </c>
      <c r="J67" s="9">
        <v>5</v>
      </c>
      <c r="K67" s="9">
        <v>5</v>
      </c>
      <c r="L67" s="9">
        <v>5</v>
      </c>
      <c r="M67" s="9">
        <v>5</v>
      </c>
      <c r="N67" s="9">
        <v>5</v>
      </c>
      <c r="O67" s="9">
        <v>5</v>
      </c>
      <c r="P67" s="32">
        <f t="shared" si="11"/>
        <v>5</v>
      </c>
      <c r="Q67" s="15">
        <f t="shared" si="8"/>
        <v>5</v>
      </c>
      <c r="R67" s="15">
        <f t="shared" si="12"/>
        <v>5</v>
      </c>
      <c r="S67" s="15">
        <f t="shared" si="12"/>
        <v>5</v>
      </c>
      <c r="T67" s="15">
        <v>5</v>
      </c>
    </row>
    <row r="68" spans="1:20" ht="47.25" x14ac:dyDescent="0.25">
      <c r="A68" s="7" t="s">
        <v>144</v>
      </c>
      <c r="B68" s="28" t="s">
        <v>145</v>
      </c>
      <c r="C68" s="10" t="s">
        <v>128</v>
      </c>
      <c r="D68" s="10">
        <v>0.01</v>
      </c>
      <c r="E68" s="30" t="s">
        <v>129</v>
      </c>
      <c r="F68" s="12"/>
      <c r="G68" s="9">
        <v>5</v>
      </c>
      <c r="H68" s="9">
        <v>5</v>
      </c>
      <c r="I68" s="9">
        <v>5</v>
      </c>
      <c r="J68" s="9">
        <v>5</v>
      </c>
      <c r="K68" s="9">
        <v>5</v>
      </c>
      <c r="L68" s="9">
        <v>5</v>
      </c>
      <c r="M68" s="9">
        <v>5</v>
      </c>
      <c r="N68" s="9">
        <v>5</v>
      </c>
      <c r="O68" s="9">
        <v>5</v>
      </c>
      <c r="P68" s="32">
        <f t="shared" si="11"/>
        <v>5</v>
      </c>
      <c r="Q68" s="15">
        <f t="shared" si="8"/>
        <v>5</v>
      </c>
      <c r="R68" s="15">
        <f t="shared" si="12"/>
        <v>5</v>
      </c>
      <c r="S68" s="15">
        <f t="shared" si="12"/>
        <v>5</v>
      </c>
      <c r="T68" s="15">
        <v>5</v>
      </c>
    </row>
    <row r="69" spans="1:20" ht="47.25" x14ac:dyDescent="0.25">
      <c r="A69" s="7" t="s">
        <v>146</v>
      </c>
      <c r="B69" s="28" t="s">
        <v>147</v>
      </c>
      <c r="C69" s="10" t="s">
        <v>128</v>
      </c>
      <c r="D69" s="10">
        <v>0.01</v>
      </c>
      <c r="E69" s="30" t="s">
        <v>129</v>
      </c>
      <c r="F69" s="12"/>
      <c r="G69" s="9">
        <v>5</v>
      </c>
      <c r="H69" s="9">
        <v>5</v>
      </c>
      <c r="I69" s="9">
        <v>5</v>
      </c>
      <c r="J69" s="9">
        <v>5</v>
      </c>
      <c r="K69" s="9">
        <v>5</v>
      </c>
      <c r="L69" s="9">
        <v>5</v>
      </c>
      <c r="M69" s="9">
        <v>5</v>
      </c>
      <c r="N69" s="9">
        <v>5</v>
      </c>
      <c r="O69" s="9">
        <v>5</v>
      </c>
      <c r="P69" s="32">
        <f t="shared" si="11"/>
        <v>5</v>
      </c>
      <c r="Q69" s="15">
        <f t="shared" si="8"/>
        <v>5</v>
      </c>
      <c r="R69" s="15">
        <f t="shared" si="12"/>
        <v>5</v>
      </c>
      <c r="S69" s="15">
        <f t="shared" si="12"/>
        <v>5</v>
      </c>
      <c r="T69" s="15">
        <v>5</v>
      </c>
    </row>
    <row r="70" spans="1:20" ht="47.25" x14ac:dyDescent="0.25">
      <c r="A70" s="7" t="s">
        <v>148</v>
      </c>
      <c r="B70" s="28" t="s">
        <v>149</v>
      </c>
      <c r="C70" s="10" t="s">
        <v>128</v>
      </c>
      <c r="D70" s="10">
        <v>0.01</v>
      </c>
      <c r="E70" s="30" t="s">
        <v>129</v>
      </c>
      <c r="F70" s="12"/>
      <c r="G70" s="9">
        <v>5</v>
      </c>
      <c r="H70" s="9">
        <v>5</v>
      </c>
      <c r="I70" s="9">
        <v>5</v>
      </c>
      <c r="J70" s="9">
        <v>5</v>
      </c>
      <c r="K70" s="9">
        <v>5</v>
      </c>
      <c r="L70" s="9">
        <v>5</v>
      </c>
      <c r="M70" s="9">
        <v>5</v>
      </c>
      <c r="N70" s="9">
        <v>5</v>
      </c>
      <c r="O70" s="9">
        <v>5</v>
      </c>
      <c r="P70" s="32">
        <f t="shared" si="11"/>
        <v>5</v>
      </c>
      <c r="Q70" s="15">
        <f t="shared" si="8"/>
        <v>5</v>
      </c>
      <c r="R70" s="15">
        <f t="shared" si="12"/>
        <v>5</v>
      </c>
      <c r="S70" s="15">
        <f t="shared" si="12"/>
        <v>5</v>
      </c>
      <c r="T70" s="15">
        <v>5</v>
      </c>
    </row>
    <row r="71" spans="1:20" ht="15.75" customHeight="1" x14ac:dyDescent="0.25">
      <c r="A71" s="369" t="s">
        <v>150</v>
      </c>
      <c r="B71" s="370"/>
      <c r="C71" s="370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1"/>
    </row>
    <row r="72" spans="1:20" s="37" customFormat="1" ht="47.25" x14ac:dyDescent="0.25">
      <c r="A72" s="35" t="s">
        <v>151</v>
      </c>
      <c r="B72" s="36" t="s">
        <v>152</v>
      </c>
      <c r="C72" s="9" t="s">
        <v>153</v>
      </c>
      <c r="D72" s="10">
        <v>0.03</v>
      </c>
      <c r="E72" s="10" t="s">
        <v>29</v>
      </c>
      <c r="F72" s="35"/>
      <c r="G72" s="10">
        <v>70</v>
      </c>
      <c r="H72" s="10">
        <v>70</v>
      </c>
      <c r="I72" s="10">
        <v>71</v>
      </c>
      <c r="J72" s="10">
        <v>71</v>
      </c>
      <c r="K72" s="10">
        <v>71</v>
      </c>
      <c r="L72" s="10">
        <v>71</v>
      </c>
      <c r="M72" s="10">
        <v>71</v>
      </c>
      <c r="N72" s="10">
        <v>71</v>
      </c>
      <c r="O72" s="10">
        <v>71</v>
      </c>
      <c r="P72" s="27">
        <f>O72</f>
        <v>71</v>
      </c>
      <c r="Q72" s="15">
        <f t="shared" si="8"/>
        <v>71</v>
      </c>
      <c r="R72" s="15">
        <f t="shared" ref="R72:T73" si="13">O72</f>
        <v>71</v>
      </c>
      <c r="S72" s="15">
        <f t="shared" si="13"/>
        <v>71</v>
      </c>
      <c r="T72" s="15">
        <f t="shared" si="13"/>
        <v>71</v>
      </c>
    </row>
    <row r="73" spans="1:20" s="37" customFormat="1" x14ac:dyDescent="0.25">
      <c r="A73" s="365" t="s">
        <v>154</v>
      </c>
      <c r="B73" s="366" t="s">
        <v>155</v>
      </c>
      <c r="C73" s="367" t="s">
        <v>153</v>
      </c>
      <c r="D73" s="362">
        <v>0.03</v>
      </c>
      <c r="E73" s="362" t="s">
        <v>29</v>
      </c>
      <c r="F73" s="35"/>
      <c r="G73" s="362" t="s">
        <v>156</v>
      </c>
      <c r="H73" s="362" t="s">
        <v>157</v>
      </c>
      <c r="I73" s="362" t="s">
        <v>158</v>
      </c>
      <c r="J73" s="362" t="s">
        <v>159</v>
      </c>
      <c r="K73" s="362" t="s">
        <v>160</v>
      </c>
      <c r="L73" s="362" t="s">
        <v>161</v>
      </c>
      <c r="M73" s="362" t="s">
        <v>162</v>
      </c>
      <c r="N73" s="362" t="s">
        <v>162</v>
      </c>
      <c r="O73" s="362" t="s">
        <v>162</v>
      </c>
      <c r="P73" s="363" t="str">
        <f>O73</f>
        <v>89(57)</v>
      </c>
      <c r="Q73" s="359" t="str">
        <f t="shared" si="8"/>
        <v>89(57)</v>
      </c>
      <c r="R73" s="359" t="str">
        <f t="shared" si="13"/>
        <v>89(57)</v>
      </c>
      <c r="S73" s="359" t="str">
        <f t="shared" si="13"/>
        <v>89(57)</v>
      </c>
      <c r="T73" s="359" t="str">
        <f t="shared" si="13"/>
        <v>89(57)</v>
      </c>
    </row>
    <row r="74" spans="1:20" x14ac:dyDescent="0.25">
      <c r="A74" s="365"/>
      <c r="B74" s="366"/>
      <c r="C74" s="367"/>
      <c r="D74" s="362"/>
      <c r="E74" s="362"/>
      <c r="F74" s="35"/>
      <c r="G74" s="362"/>
      <c r="H74" s="362"/>
      <c r="I74" s="362"/>
      <c r="J74" s="362"/>
      <c r="K74" s="362"/>
      <c r="L74" s="362"/>
      <c r="M74" s="362"/>
      <c r="N74" s="362"/>
      <c r="O74" s="362"/>
      <c r="P74" s="364"/>
      <c r="Q74" s="359"/>
      <c r="R74" s="359"/>
      <c r="S74" s="359"/>
      <c r="T74" s="359"/>
    </row>
    <row r="76" spans="1:20" x14ac:dyDescent="0.25">
      <c r="A76" s="360" t="s">
        <v>163</v>
      </c>
      <c r="B76" s="360"/>
      <c r="C76" s="360"/>
      <c r="D76" s="360"/>
      <c r="E76" s="360"/>
      <c r="F76" s="360"/>
      <c r="G76" s="360"/>
      <c r="H76" s="360"/>
      <c r="I76" s="360"/>
      <c r="J76" s="361" t="s">
        <v>164</v>
      </c>
      <c r="K76" s="361"/>
      <c r="L76" s="361"/>
      <c r="M76" s="361"/>
      <c r="N76" s="38"/>
      <c r="O76" s="38"/>
    </row>
  </sheetData>
  <mergeCells count="61">
    <mergeCell ref="O1:T1"/>
    <mergeCell ref="A2:M2"/>
    <mergeCell ref="A3:A5"/>
    <mergeCell ref="B3:B5"/>
    <mergeCell ref="C3:C5"/>
    <mergeCell ref="D3:D5"/>
    <mergeCell ref="E3:E5"/>
    <mergeCell ref="F3:F5"/>
    <mergeCell ref="G3:G5"/>
    <mergeCell ref="H3:H5"/>
    <mergeCell ref="T3:T5"/>
    <mergeCell ref="I3:I5"/>
    <mergeCell ref="J3:J5"/>
    <mergeCell ref="P3:P5"/>
    <mergeCell ref="Q3:Q5"/>
    <mergeCell ref="R3:R5"/>
    <mergeCell ref="S3:S5"/>
    <mergeCell ref="A13:T13"/>
    <mergeCell ref="K3:K5"/>
    <mergeCell ref="L3:L5"/>
    <mergeCell ref="M3:M5"/>
    <mergeCell ref="N3:N5"/>
    <mergeCell ref="O3:O5"/>
    <mergeCell ref="A6:T6"/>
    <mergeCell ref="A11:T11"/>
    <mergeCell ref="A12:T12"/>
    <mergeCell ref="A18:T18"/>
    <mergeCell ref="A71:T71"/>
    <mergeCell ref="A20:T20"/>
    <mergeCell ref="A26:T26"/>
    <mergeCell ref="A37:T37"/>
    <mergeCell ref="A41:T41"/>
    <mergeCell ref="A43:T43"/>
    <mergeCell ref="A44:T44"/>
    <mergeCell ref="A45:T45"/>
    <mergeCell ref="A47:T47"/>
    <mergeCell ref="A50:T50"/>
    <mergeCell ref="A51:T51"/>
    <mergeCell ref="A52:T52"/>
    <mergeCell ref="A19:T19"/>
    <mergeCell ref="B73:B74"/>
    <mergeCell ref="C73:C74"/>
    <mergeCell ref="D73:D74"/>
    <mergeCell ref="E73:E74"/>
    <mergeCell ref="G73:G74"/>
    <mergeCell ref="T73:T74"/>
    <mergeCell ref="A76:I76"/>
    <mergeCell ref="J76:M76"/>
    <mergeCell ref="N73:N74"/>
    <mergeCell ref="O73:O74"/>
    <mergeCell ref="P73:P74"/>
    <mergeCell ref="Q73:Q74"/>
    <mergeCell ref="R73:R74"/>
    <mergeCell ref="S73:S74"/>
    <mergeCell ref="H73:H74"/>
    <mergeCell ref="I73:I74"/>
    <mergeCell ref="J73:J74"/>
    <mergeCell ref="K73:K74"/>
    <mergeCell ref="L73:L74"/>
    <mergeCell ref="M73:M74"/>
    <mergeCell ref="A73:A74"/>
  </mergeCells>
  <pageMargins left="0.31496062992125984" right="0.11811023622047245" top="0.55118110236220474" bottom="0.19685039370078741" header="0.31496062992125984" footer="0.31496062992125984"/>
  <pageSetup paperSize="9" scale="50" fitToHeight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Normal="100" zoomScaleSheetLayoutView="100" workbookViewId="0">
      <selection activeCell="J7" sqref="J7"/>
    </sheetView>
  </sheetViews>
  <sheetFormatPr defaultRowHeight="15.75" x14ac:dyDescent="0.25"/>
  <cols>
    <col min="1" max="1" width="7.42578125" style="4" customWidth="1"/>
    <col min="2" max="2" width="79.140625" style="4" customWidth="1"/>
    <col min="3" max="3" width="12" style="4" customWidth="1"/>
    <col min="4" max="4" width="16.28515625" style="4" customWidth="1"/>
    <col min="5" max="5" width="9.140625" style="4" hidden="1" customWidth="1"/>
    <col min="6" max="8" width="11.42578125" style="4" customWidth="1"/>
    <col min="9" max="11" width="11.42578125" style="265" customWidth="1"/>
    <col min="12" max="12" width="11.42578125" style="266" customWidth="1"/>
    <col min="13" max="13" width="11.42578125" style="4" customWidth="1"/>
    <col min="14" max="16384" width="9.140625" style="4"/>
  </cols>
  <sheetData>
    <row r="1" spans="1:21" ht="50.25" customHeight="1" x14ac:dyDescent="0.25">
      <c r="A1" s="1"/>
      <c r="B1" s="2"/>
      <c r="C1" s="3"/>
      <c r="D1" s="2"/>
      <c r="F1" s="408" t="s">
        <v>561</v>
      </c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</row>
    <row r="2" spans="1:21" ht="26.25" customHeight="1" x14ac:dyDescent="0.25">
      <c r="A2" s="410" t="s">
        <v>264</v>
      </c>
      <c r="B2" s="410"/>
      <c r="C2" s="410"/>
      <c r="D2" s="410"/>
      <c r="E2" s="410"/>
      <c r="F2" s="410"/>
      <c r="G2" s="410"/>
      <c r="H2" s="410"/>
      <c r="I2" s="410"/>
      <c r="J2" s="261"/>
      <c r="K2" s="261"/>
      <c r="L2" s="261"/>
    </row>
    <row r="3" spans="1:21" ht="53.25" customHeight="1" x14ac:dyDescent="0.25">
      <c r="A3" s="377" t="s">
        <v>2</v>
      </c>
      <c r="B3" s="362" t="s">
        <v>265</v>
      </c>
      <c r="C3" s="362" t="s">
        <v>4</v>
      </c>
      <c r="D3" s="362" t="s">
        <v>6</v>
      </c>
      <c r="E3" s="362" t="s">
        <v>7</v>
      </c>
      <c r="F3" s="362" t="s">
        <v>8</v>
      </c>
      <c r="G3" s="362" t="s">
        <v>9</v>
      </c>
      <c r="H3" s="362" t="s">
        <v>10</v>
      </c>
      <c r="I3" s="362" t="s">
        <v>11</v>
      </c>
      <c r="J3" s="362" t="s">
        <v>12</v>
      </c>
      <c r="K3" s="362" t="s">
        <v>13</v>
      </c>
      <c r="L3" s="362" t="s">
        <v>14</v>
      </c>
      <c r="M3" s="362" t="s">
        <v>15</v>
      </c>
      <c r="N3" s="362" t="s">
        <v>16</v>
      </c>
      <c r="O3" s="362" t="s">
        <v>17</v>
      </c>
      <c r="P3" s="362" t="s">
        <v>18</v>
      </c>
      <c r="Q3" s="362" t="s">
        <v>19</v>
      </c>
      <c r="R3" s="362" t="s">
        <v>20</v>
      </c>
      <c r="S3" s="362" t="s">
        <v>21</v>
      </c>
    </row>
    <row r="4" spans="1:21" s="23" customFormat="1" ht="22.5" customHeight="1" x14ac:dyDescent="0.25">
      <c r="A4" s="377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</row>
    <row r="5" spans="1:21" ht="36" customHeight="1" x14ac:dyDescent="0.25">
      <c r="A5" s="374" t="s">
        <v>562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</row>
    <row r="6" spans="1:21" ht="30" customHeight="1" x14ac:dyDescent="0.25">
      <c r="A6" s="374" t="s">
        <v>563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</row>
    <row r="7" spans="1:21" ht="31.5" x14ac:dyDescent="0.25">
      <c r="A7" s="262" t="s">
        <v>564</v>
      </c>
      <c r="B7" s="28" t="s">
        <v>565</v>
      </c>
      <c r="C7" s="30" t="s">
        <v>24</v>
      </c>
      <c r="D7" s="10" t="s">
        <v>29</v>
      </c>
      <c r="E7" s="12"/>
      <c r="F7" s="11">
        <v>82.9</v>
      </c>
      <c r="G7" s="11">
        <v>82.9</v>
      </c>
      <c r="H7" s="11">
        <v>93.2</v>
      </c>
      <c r="I7" s="11">
        <v>93.7</v>
      </c>
      <c r="J7" s="11">
        <v>94</v>
      </c>
      <c r="K7" s="11">
        <v>94</v>
      </c>
      <c r="L7" s="11">
        <v>94</v>
      </c>
      <c r="M7" s="11">
        <v>94</v>
      </c>
      <c r="N7" s="11">
        <v>94</v>
      </c>
      <c r="O7" s="11">
        <v>94</v>
      </c>
      <c r="P7" s="11">
        <v>94</v>
      </c>
      <c r="Q7" s="11">
        <v>94</v>
      </c>
      <c r="R7" s="11">
        <v>94</v>
      </c>
      <c r="S7" s="11">
        <v>94</v>
      </c>
    </row>
    <row r="8" spans="1:21" ht="33.75" customHeight="1" x14ac:dyDescent="0.25">
      <c r="A8" s="374" t="s">
        <v>566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</row>
    <row r="9" spans="1:21" ht="31.5" x14ac:dyDescent="0.25">
      <c r="A9" s="263" t="s">
        <v>567</v>
      </c>
      <c r="B9" s="28" t="s">
        <v>568</v>
      </c>
      <c r="C9" s="30" t="s">
        <v>24</v>
      </c>
      <c r="D9" s="10" t="s">
        <v>29</v>
      </c>
      <c r="E9" s="12"/>
      <c r="F9" s="11">
        <v>73</v>
      </c>
      <c r="G9" s="11">
        <v>74</v>
      </c>
      <c r="H9" s="11">
        <v>89</v>
      </c>
      <c r="I9" s="11">
        <v>90</v>
      </c>
      <c r="J9" s="11">
        <v>92</v>
      </c>
      <c r="K9" s="11">
        <v>95</v>
      </c>
      <c r="L9" s="11">
        <v>95</v>
      </c>
      <c r="M9" s="11">
        <v>95</v>
      </c>
      <c r="N9" s="11">
        <v>95</v>
      </c>
      <c r="O9" s="11">
        <v>95</v>
      </c>
      <c r="P9" s="11">
        <v>95</v>
      </c>
      <c r="Q9" s="11">
        <v>95</v>
      </c>
      <c r="R9" s="11">
        <v>95</v>
      </c>
      <c r="S9" s="11">
        <v>95</v>
      </c>
    </row>
    <row r="10" spans="1:21" ht="47.25" x14ac:dyDescent="0.25">
      <c r="A10" s="263" t="s">
        <v>569</v>
      </c>
      <c r="B10" s="28" t="s">
        <v>104</v>
      </c>
      <c r="C10" s="264" t="s">
        <v>24</v>
      </c>
      <c r="D10" s="10" t="s">
        <v>29</v>
      </c>
      <c r="E10" s="10">
        <v>15.6</v>
      </c>
      <c r="F10" s="11">
        <v>70</v>
      </c>
      <c r="G10" s="11">
        <v>70</v>
      </c>
      <c r="H10" s="11">
        <v>95</v>
      </c>
      <c r="I10" s="11">
        <v>97</v>
      </c>
      <c r="J10" s="11">
        <v>97</v>
      </c>
      <c r="K10" s="11">
        <v>98</v>
      </c>
      <c r="L10" s="11">
        <v>98</v>
      </c>
      <c r="M10" s="11">
        <v>98</v>
      </c>
      <c r="N10" s="11">
        <v>98</v>
      </c>
      <c r="O10" s="11">
        <v>98</v>
      </c>
      <c r="P10" s="11">
        <v>98</v>
      </c>
      <c r="Q10" s="11">
        <v>98</v>
      </c>
      <c r="R10" s="11">
        <v>98</v>
      </c>
      <c r="S10" s="11">
        <v>98</v>
      </c>
    </row>
    <row r="11" spans="1:21" x14ac:dyDescent="0.25">
      <c r="A11" s="1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21" x14ac:dyDescent="0.25">
      <c r="A12" s="146" t="s">
        <v>163</v>
      </c>
      <c r="B12" s="146"/>
      <c r="C12" s="146"/>
      <c r="I12" s="418"/>
      <c r="J12" s="418"/>
      <c r="K12" s="418"/>
      <c r="L12" s="418"/>
      <c r="Q12" s="112" t="s">
        <v>164</v>
      </c>
      <c r="R12" s="112"/>
      <c r="S12" s="112"/>
      <c r="T12" s="112"/>
      <c r="U12" s="112"/>
    </row>
  </sheetData>
  <mergeCells count="25">
    <mergeCell ref="F1:S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A6:S6"/>
    <mergeCell ref="A8:S8"/>
    <mergeCell ref="I12:L12"/>
    <mergeCell ref="O3:O4"/>
    <mergeCell ref="P3:P4"/>
    <mergeCell ref="Q3:Q4"/>
    <mergeCell ref="R3:R4"/>
    <mergeCell ref="S3:S4"/>
    <mergeCell ref="A5:S5"/>
    <mergeCell ref="I3:I4"/>
    <mergeCell ref="J3:J4"/>
    <mergeCell ref="K3:K4"/>
    <mergeCell ref="L3:L4"/>
    <mergeCell ref="M3:M4"/>
    <mergeCell ref="N3:N4"/>
  </mergeCells>
  <pageMargins left="0.51181102362204722" right="0.31496062992125984" top="0.55118110236220474" bottom="0.35433070866141736" header="0.31496062992125984" footer="0.31496062992125984"/>
  <pageSetup paperSize="9" scale="53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view="pageBreakPreview" zoomScale="98" zoomScaleNormal="98" zoomScaleSheetLayoutView="98" workbookViewId="0">
      <pane xSplit="3" ySplit="5" topLeftCell="D26" activePane="bottomRight" state="frozen"/>
      <selection activeCell="Q12" sqref="Q12"/>
      <selection pane="topRight" activeCell="Q12" sqref="Q12"/>
      <selection pane="bottomLeft" activeCell="Q12" sqref="Q12"/>
      <selection pane="bottomRight" activeCell="V38" sqref="V38"/>
    </sheetView>
  </sheetViews>
  <sheetFormatPr defaultColWidth="9.28515625" defaultRowHeight="15.75" x14ac:dyDescent="0.25"/>
  <cols>
    <col min="1" max="1" width="6.5703125" style="180" customWidth="1"/>
    <col min="2" max="2" width="50.42578125" style="4" customWidth="1"/>
    <col min="3" max="3" width="21.7109375" style="181" customWidth="1"/>
    <col min="4" max="5" width="9.28515625" style="181" customWidth="1"/>
    <col min="6" max="6" width="14.85546875" style="181" customWidth="1"/>
    <col min="7" max="7" width="11.28515625" style="181" customWidth="1"/>
    <col min="8" max="8" width="12.7109375" style="181" customWidth="1"/>
    <col min="9" max="13" width="12.7109375" style="4" customWidth="1"/>
    <col min="14" max="14" width="12.7109375" style="60" customWidth="1"/>
    <col min="15" max="21" width="12.7109375" style="4" customWidth="1"/>
    <col min="22" max="22" width="15.5703125" style="4" customWidth="1"/>
    <col min="23" max="23" width="40.140625" style="4" customWidth="1"/>
    <col min="24" max="24" width="12" style="4" customWidth="1"/>
    <col min="25" max="16384" width="9.28515625" style="4"/>
  </cols>
  <sheetData>
    <row r="1" spans="1:24" s="37" customFormat="1" ht="75" customHeight="1" x14ac:dyDescent="0.25">
      <c r="A1" s="149"/>
      <c r="B1" s="150"/>
      <c r="C1" s="151"/>
      <c r="D1" s="151"/>
      <c r="E1" s="151"/>
      <c r="F1" s="151"/>
      <c r="G1" s="151"/>
      <c r="H1" s="151"/>
      <c r="I1" s="528"/>
      <c r="J1" s="528"/>
      <c r="N1" s="152"/>
      <c r="V1" s="409" t="s">
        <v>570</v>
      </c>
      <c r="W1" s="409"/>
      <c r="X1" s="98"/>
    </row>
    <row r="2" spans="1:24" s="37" customFormat="1" ht="23.25" customHeight="1" x14ac:dyDescent="0.25">
      <c r="A2" s="465" t="s">
        <v>275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</row>
    <row r="3" spans="1:24" s="37" customFormat="1" ht="24.75" customHeight="1" x14ac:dyDescent="0.25">
      <c r="A3" s="362" t="s">
        <v>2</v>
      </c>
      <c r="B3" s="362" t="s">
        <v>276</v>
      </c>
      <c r="C3" s="362" t="s">
        <v>189</v>
      </c>
      <c r="D3" s="529" t="s">
        <v>187</v>
      </c>
      <c r="E3" s="530"/>
      <c r="F3" s="530"/>
      <c r="G3" s="531"/>
      <c r="H3" s="267"/>
      <c r="I3" s="362" t="s">
        <v>188</v>
      </c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 t="s">
        <v>277</v>
      </c>
    </row>
    <row r="4" spans="1:24" s="37" customFormat="1" ht="42" customHeight="1" x14ac:dyDescent="0.25">
      <c r="A4" s="362"/>
      <c r="B4" s="362"/>
      <c r="C4" s="362"/>
      <c r="D4" s="10" t="s">
        <v>189</v>
      </c>
      <c r="E4" s="10" t="s">
        <v>190</v>
      </c>
      <c r="F4" s="10" t="s">
        <v>191</v>
      </c>
      <c r="G4" s="10" t="s">
        <v>192</v>
      </c>
      <c r="H4" s="10">
        <v>2014</v>
      </c>
      <c r="I4" s="10">
        <v>2015</v>
      </c>
      <c r="J4" s="10">
        <v>2016</v>
      </c>
      <c r="K4" s="10">
        <v>2017</v>
      </c>
      <c r="L4" s="10">
        <v>2018</v>
      </c>
      <c r="M4" s="10">
        <v>2019</v>
      </c>
      <c r="N4" s="57">
        <v>2020</v>
      </c>
      <c r="O4" s="10">
        <v>2021</v>
      </c>
      <c r="P4" s="10">
        <v>2022</v>
      </c>
      <c r="Q4" s="10">
        <v>2023</v>
      </c>
      <c r="R4" s="10">
        <v>2024</v>
      </c>
      <c r="S4" s="10">
        <v>2025</v>
      </c>
      <c r="T4" s="10">
        <v>2026</v>
      </c>
      <c r="U4" s="10">
        <v>2027</v>
      </c>
      <c r="V4" s="10" t="s">
        <v>193</v>
      </c>
      <c r="W4" s="362"/>
    </row>
    <row r="5" spans="1:24" ht="26.25" customHeight="1" x14ac:dyDescent="0.25">
      <c r="A5" s="374" t="s">
        <v>571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</row>
    <row r="6" spans="1:24" ht="28.5" hidden="1" customHeight="1" x14ac:dyDescent="0.25">
      <c r="A6" s="268"/>
      <c r="B6" s="12"/>
      <c r="C6" s="10"/>
      <c r="D6" s="25"/>
      <c r="E6" s="10"/>
      <c r="F6" s="25" t="s">
        <v>572</v>
      </c>
      <c r="G6" s="10">
        <v>530</v>
      </c>
      <c r="H6" s="10"/>
      <c r="I6" s="76"/>
      <c r="J6" s="76"/>
      <c r="K6" s="76"/>
      <c r="L6" s="76"/>
      <c r="M6" s="76"/>
      <c r="N6" s="75"/>
      <c r="O6" s="76"/>
      <c r="P6" s="76"/>
      <c r="Q6" s="76"/>
      <c r="R6" s="76"/>
      <c r="S6" s="76"/>
      <c r="T6" s="76"/>
      <c r="U6" s="76"/>
      <c r="V6" s="76">
        <f>SUM(I6:K6)</f>
        <v>0</v>
      </c>
      <c r="W6" s="12"/>
    </row>
    <row r="7" spans="1:24" ht="21.75" customHeight="1" x14ac:dyDescent="0.25">
      <c r="A7" s="428" t="s">
        <v>573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</row>
    <row r="8" spans="1:24" ht="48" hidden="1" customHeight="1" x14ac:dyDescent="0.25">
      <c r="A8" s="447" t="s">
        <v>574</v>
      </c>
      <c r="B8" s="392" t="s">
        <v>575</v>
      </c>
      <c r="C8" s="390" t="s">
        <v>199</v>
      </c>
      <c r="D8" s="10">
        <v>975</v>
      </c>
      <c r="E8" s="25" t="s">
        <v>346</v>
      </c>
      <c r="F8" s="25" t="s">
        <v>576</v>
      </c>
      <c r="G8" s="25" t="s">
        <v>286</v>
      </c>
      <c r="H8" s="25"/>
      <c r="I8" s="12"/>
      <c r="J8" s="10"/>
      <c r="K8" s="269"/>
      <c r="L8" s="269"/>
      <c r="M8" s="269"/>
      <c r="N8" s="270"/>
      <c r="O8" s="269"/>
      <c r="P8" s="269"/>
      <c r="Q8" s="269"/>
      <c r="R8" s="269"/>
      <c r="S8" s="269"/>
      <c r="T8" s="269"/>
      <c r="U8" s="269"/>
      <c r="V8" s="76">
        <f>SUM(G8:N8)</f>
        <v>0</v>
      </c>
      <c r="W8" s="271" t="s">
        <v>577</v>
      </c>
    </row>
    <row r="9" spans="1:24" ht="56.25" customHeight="1" x14ac:dyDescent="0.25">
      <c r="A9" s="456"/>
      <c r="B9" s="393"/>
      <c r="C9" s="391"/>
      <c r="D9" s="272" t="s">
        <v>200</v>
      </c>
      <c r="E9" s="272" t="s">
        <v>346</v>
      </c>
      <c r="F9" s="25" t="s">
        <v>576</v>
      </c>
      <c r="G9" s="10">
        <v>622</v>
      </c>
      <c r="H9" s="76">
        <v>97.2</v>
      </c>
      <c r="I9" s="76"/>
      <c r="J9" s="273"/>
      <c r="L9" s="76"/>
      <c r="M9" s="76"/>
      <c r="N9" s="75"/>
      <c r="O9" s="76"/>
      <c r="P9" s="76">
        <f>O9</f>
        <v>0</v>
      </c>
      <c r="Q9" s="76">
        <f>P9</f>
        <v>0</v>
      </c>
      <c r="R9" s="76">
        <f>Q9</f>
        <v>0</v>
      </c>
      <c r="S9" s="76">
        <f>R9</f>
        <v>0</v>
      </c>
      <c r="T9" s="76">
        <f>S9</f>
        <v>0</v>
      </c>
      <c r="U9" s="76"/>
      <c r="V9" s="76">
        <f>SUM(H9:T9)</f>
        <v>97.2</v>
      </c>
      <c r="W9" s="445" t="s">
        <v>578</v>
      </c>
    </row>
    <row r="10" spans="1:24" ht="73.900000000000006" customHeight="1" x14ac:dyDescent="0.25">
      <c r="A10" s="448"/>
      <c r="B10" s="394"/>
      <c r="C10" s="406"/>
      <c r="D10" s="272" t="s">
        <v>200</v>
      </c>
      <c r="E10" s="272" t="s">
        <v>346</v>
      </c>
      <c r="F10" s="25" t="s">
        <v>579</v>
      </c>
      <c r="G10" s="10">
        <v>244</v>
      </c>
      <c r="H10" s="76"/>
      <c r="I10" s="76">
        <v>96</v>
      </c>
      <c r="J10" s="76">
        <v>87.9</v>
      </c>
      <c r="K10" s="76">
        <v>110.6</v>
      </c>
      <c r="L10" s="76">
        <v>175</v>
      </c>
      <c r="M10" s="76">
        <v>201.4</v>
      </c>
      <c r="N10" s="75"/>
      <c r="O10" s="76"/>
      <c r="P10" s="76"/>
      <c r="Q10" s="76">
        <f t="shared" ref="Q10:U22" si="0">P10</f>
        <v>0</v>
      </c>
      <c r="R10" s="76">
        <f t="shared" si="0"/>
        <v>0</v>
      </c>
      <c r="S10" s="76">
        <f t="shared" si="0"/>
        <v>0</v>
      </c>
      <c r="T10" s="76">
        <f t="shared" si="0"/>
        <v>0</v>
      </c>
      <c r="U10" s="76"/>
      <c r="V10" s="76">
        <f t="shared" ref="V10:V22" si="1">SUM(H10:T10)</f>
        <v>670.9</v>
      </c>
      <c r="W10" s="446"/>
    </row>
    <row r="11" spans="1:24" ht="99" customHeight="1" x14ac:dyDescent="0.25">
      <c r="A11" s="25" t="s">
        <v>269</v>
      </c>
      <c r="B11" s="12" t="s">
        <v>580</v>
      </c>
      <c r="C11" s="10" t="s">
        <v>199</v>
      </c>
      <c r="D11" s="272" t="s">
        <v>200</v>
      </c>
      <c r="E11" s="272" t="s">
        <v>346</v>
      </c>
      <c r="F11" s="25" t="s">
        <v>576</v>
      </c>
      <c r="G11" s="10">
        <v>612</v>
      </c>
      <c r="H11" s="76">
        <v>214.3</v>
      </c>
      <c r="I11" s="76">
        <v>214.3</v>
      </c>
      <c r="J11" s="274"/>
      <c r="K11" s="275"/>
      <c r="L11" s="275"/>
      <c r="M11" s="275"/>
      <c r="N11" s="276"/>
      <c r="O11" s="275"/>
      <c r="P11" s="76">
        <f t="shared" ref="P11:P22" si="2">O11</f>
        <v>0</v>
      </c>
      <c r="Q11" s="76">
        <f t="shared" si="0"/>
        <v>0</v>
      </c>
      <c r="R11" s="76">
        <f t="shared" si="0"/>
        <v>0</v>
      </c>
      <c r="S11" s="76">
        <f t="shared" si="0"/>
        <v>0</v>
      </c>
      <c r="T11" s="76">
        <f t="shared" si="0"/>
        <v>0</v>
      </c>
      <c r="U11" s="76"/>
      <c r="V11" s="76">
        <f t="shared" si="1"/>
        <v>428.6</v>
      </c>
      <c r="W11" s="200" t="s">
        <v>581</v>
      </c>
      <c r="X11" s="4">
        <v>2</v>
      </c>
    </row>
    <row r="12" spans="1:24" ht="54.75" customHeight="1" x14ac:dyDescent="0.25">
      <c r="A12" s="493" t="s">
        <v>270</v>
      </c>
      <c r="B12" s="526" t="s">
        <v>582</v>
      </c>
      <c r="C12" s="390" t="s">
        <v>199</v>
      </c>
      <c r="D12" s="163" t="s">
        <v>200</v>
      </c>
      <c r="E12" s="163" t="s">
        <v>346</v>
      </c>
      <c r="F12" s="163" t="s">
        <v>576</v>
      </c>
      <c r="G12" s="10">
        <v>622</v>
      </c>
      <c r="H12" s="76">
        <f>6.8</f>
        <v>6.8</v>
      </c>
      <c r="I12" s="76"/>
      <c r="J12" s="76"/>
      <c r="K12" s="76"/>
      <c r="L12" s="76"/>
      <c r="M12" s="76"/>
      <c r="N12" s="75"/>
      <c r="O12" s="76"/>
      <c r="P12" s="76">
        <f t="shared" si="2"/>
        <v>0</v>
      </c>
      <c r="Q12" s="76">
        <f t="shared" si="0"/>
        <v>0</v>
      </c>
      <c r="R12" s="76">
        <f t="shared" si="0"/>
        <v>0</v>
      </c>
      <c r="S12" s="76">
        <f t="shared" si="0"/>
        <v>0</v>
      </c>
      <c r="T12" s="76">
        <f t="shared" si="0"/>
        <v>0</v>
      </c>
      <c r="U12" s="76"/>
      <c r="V12" s="76">
        <f t="shared" si="1"/>
        <v>6.8</v>
      </c>
      <c r="W12" s="445" t="s">
        <v>583</v>
      </c>
    </row>
    <row r="13" spans="1:24" ht="42.75" customHeight="1" x14ac:dyDescent="0.25">
      <c r="A13" s="495"/>
      <c r="B13" s="527"/>
      <c r="C13" s="406"/>
      <c r="D13" s="163" t="s">
        <v>200</v>
      </c>
      <c r="E13" s="163" t="s">
        <v>346</v>
      </c>
      <c r="F13" s="163" t="s">
        <v>576</v>
      </c>
      <c r="G13" s="277">
        <v>244</v>
      </c>
      <c r="H13" s="76"/>
      <c r="I13" s="76">
        <v>6.8</v>
      </c>
      <c r="J13" s="76"/>
      <c r="K13" s="76"/>
      <c r="L13" s="76"/>
      <c r="M13" s="76"/>
      <c r="N13" s="75"/>
      <c r="O13" s="76"/>
      <c r="P13" s="76">
        <f t="shared" si="2"/>
        <v>0</v>
      </c>
      <c r="Q13" s="76">
        <f t="shared" si="0"/>
        <v>0</v>
      </c>
      <c r="R13" s="76">
        <f t="shared" si="0"/>
        <v>0</v>
      </c>
      <c r="S13" s="76">
        <f t="shared" si="0"/>
        <v>0</v>
      </c>
      <c r="T13" s="76">
        <f t="shared" si="0"/>
        <v>0</v>
      </c>
      <c r="U13" s="76"/>
      <c r="V13" s="76">
        <f t="shared" si="1"/>
        <v>6.8</v>
      </c>
      <c r="W13" s="446"/>
    </row>
    <row r="14" spans="1:24" ht="78.599999999999994" customHeight="1" x14ac:dyDescent="0.25">
      <c r="A14" s="447" t="s">
        <v>272</v>
      </c>
      <c r="B14" s="526" t="s">
        <v>584</v>
      </c>
      <c r="C14" s="390" t="s">
        <v>199</v>
      </c>
      <c r="D14" s="163" t="s">
        <v>200</v>
      </c>
      <c r="E14" s="163" t="s">
        <v>585</v>
      </c>
      <c r="F14" s="163" t="s">
        <v>586</v>
      </c>
      <c r="G14" s="277" t="s">
        <v>587</v>
      </c>
      <c r="H14" s="10">
        <v>1367.3</v>
      </c>
      <c r="I14" s="76">
        <v>1367.3</v>
      </c>
      <c r="J14" s="76">
        <v>1309.4000000000001</v>
      </c>
      <c r="K14" s="76">
        <f>1648.2</f>
        <v>1648.2</v>
      </c>
      <c r="L14" s="76">
        <v>1812.7</v>
      </c>
      <c r="M14" s="76"/>
      <c r="N14" s="75"/>
      <c r="O14" s="75">
        <v>2313.1</v>
      </c>
      <c r="P14" s="75">
        <v>3127.3</v>
      </c>
      <c r="Q14" s="76">
        <v>3548.5</v>
      </c>
      <c r="R14" s="76">
        <v>3764.2</v>
      </c>
      <c r="S14" s="76">
        <v>4048.1</v>
      </c>
      <c r="T14" s="76">
        <f t="shared" si="0"/>
        <v>4048.1</v>
      </c>
      <c r="U14" s="76">
        <f t="shared" si="0"/>
        <v>4048.1</v>
      </c>
      <c r="V14" s="76">
        <f>SUM(H14:U14)</f>
        <v>32402.299999999996</v>
      </c>
      <c r="W14" s="445" t="s">
        <v>588</v>
      </c>
    </row>
    <row r="15" spans="1:24" ht="49.5" customHeight="1" x14ac:dyDescent="0.25">
      <c r="A15" s="456"/>
      <c r="B15" s="527"/>
      <c r="C15" s="391"/>
      <c r="D15" s="163" t="s">
        <v>200</v>
      </c>
      <c r="E15" s="163" t="s">
        <v>346</v>
      </c>
      <c r="F15" s="163" t="s">
        <v>589</v>
      </c>
      <c r="G15" s="277">
        <v>622</v>
      </c>
      <c r="H15" s="10">
        <v>344.4</v>
      </c>
      <c r="I15" s="76">
        <v>344.4</v>
      </c>
      <c r="J15" s="76">
        <v>338.1</v>
      </c>
      <c r="K15" s="278">
        <v>0</v>
      </c>
      <c r="L15" s="76"/>
      <c r="M15" s="76"/>
      <c r="N15" s="75"/>
      <c r="O15" s="76"/>
      <c r="P15" s="76">
        <f t="shared" si="2"/>
        <v>0</v>
      </c>
      <c r="Q15" s="76">
        <f t="shared" si="0"/>
        <v>0</v>
      </c>
      <c r="R15" s="76">
        <f t="shared" si="0"/>
        <v>0</v>
      </c>
      <c r="S15" s="76">
        <f t="shared" si="0"/>
        <v>0</v>
      </c>
      <c r="T15" s="76">
        <f t="shared" si="0"/>
        <v>0</v>
      </c>
      <c r="U15" s="76"/>
      <c r="V15" s="76">
        <f t="shared" si="1"/>
        <v>1026.9000000000001</v>
      </c>
      <c r="W15" s="475"/>
    </row>
    <row r="16" spans="1:24" ht="46.5" customHeight="1" x14ac:dyDescent="0.25">
      <c r="A16" s="456"/>
      <c r="B16" s="526" t="s">
        <v>590</v>
      </c>
      <c r="C16" s="391"/>
      <c r="D16" s="163" t="s">
        <v>200</v>
      </c>
      <c r="E16" s="163" t="s">
        <v>346</v>
      </c>
      <c r="F16" s="163" t="s">
        <v>591</v>
      </c>
      <c r="G16" s="277" t="s">
        <v>592</v>
      </c>
      <c r="H16" s="10">
        <v>1.4</v>
      </c>
      <c r="I16" s="76">
        <v>286.10000000000002</v>
      </c>
      <c r="J16" s="76">
        <v>746.2</v>
      </c>
      <c r="K16" s="76">
        <v>358.1</v>
      </c>
      <c r="L16" s="76">
        <v>358.1</v>
      </c>
      <c r="M16" s="76">
        <v>401.7</v>
      </c>
      <c r="N16" s="75"/>
      <c r="O16" s="76"/>
      <c r="P16" s="76"/>
      <c r="Q16" s="76"/>
      <c r="R16" s="76">
        <f t="shared" si="0"/>
        <v>0</v>
      </c>
      <c r="S16" s="76">
        <f t="shared" si="0"/>
        <v>0</v>
      </c>
      <c r="T16" s="76">
        <f t="shared" si="0"/>
        <v>0</v>
      </c>
      <c r="U16" s="76"/>
      <c r="V16" s="76">
        <f t="shared" si="1"/>
        <v>2151.6</v>
      </c>
      <c r="W16" s="475"/>
    </row>
    <row r="17" spans="1:24" ht="79.150000000000006" customHeight="1" x14ac:dyDescent="0.25">
      <c r="A17" s="456"/>
      <c r="B17" s="527"/>
      <c r="C17" s="391"/>
      <c r="D17" s="163" t="s">
        <v>200</v>
      </c>
      <c r="E17" s="163" t="s">
        <v>346</v>
      </c>
      <c r="F17" s="163" t="s">
        <v>593</v>
      </c>
      <c r="G17" s="277" t="s">
        <v>594</v>
      </c>
      <c r="H17" s="10">
        <v>0.4</v>
      </c>
      <c r="I17" s="76">
        <v>72.099999999999994</v>
      </c>
      <c r="J17" s="76">
        <v>73.5</v>
      </c>
      <c r="K17" s="76">
        <v>580.79999999999995</v>
      </c>
      <c r="L17" s="76">
        <v>516.5</v>
      </c>
      <c r="M17" s="76">
        <v>579.79999999999995</v>
      </c>
      <c r="N17" s="75"/>
      <c r="O17" s="75">
        <v>829.3</v>
      </c>
      <c r="P17" s="76"/>
      <c r="Q17" s="76"/>
      <c r="R17" s="76">
        <f t="shared" si="0"/>
        <v>0</v>
      </c>
      <c r="S17" s="76">
        <f t="shared" si="0"/>
        <v>0</v>
      </c>
      <c r="T17" s="76">
        <f t="shared" si="0"/>
        <v>0</v>
      </c>
      <c r="U17" s="76"/>
      <c r="V17" s="76">
        <f t="shared" si="1"/>
        <v>2652.3999999999996</v>
      </c>
      <c r="W17" s="475"/>
    </row>
    <row r="18" spans="1:24" ht="62.25" customHeight="1" x14ac:dyDescent="0.25">
      <c r="A18" s="448"/>
      <c r="B18" s="279" t="s">
        <v>595</v>
      </c>
      <c r="C18" s="406"/>
      <c r="D18" s="163" t="s">
        <v>200</v>
      </c>
      <c r="E18" s="163" t="s">
        <v>596</v>
      </c>
      <c r="F18" s="163" t="s">
        <v>197</v>
      </c>
      <c r="G18" s="163" t="s">
        <v>197</v>
      </c>
      <c r="H18" s="76">
        <v>533</v>
      </c>
      <c r="I18" s="76">
        <v>705.2</v>
      </c>
      <c r="J18" s="76">
        <v>691.4</v>
      </c>
      <c r="K18" s="76">
        <v>691.4</v>
      </c>
      <c r="L18" s="76">
        <v>691.4</v>
      </c>
      <c r="M18" s="76">
        <f>579.8+201.4</f>
        <v>781.19999999999993</v>
      </c>
      <c r="N18" s="75">
        <v>0</v>
      </c>
      <c r="O18" s="76">
        <v>0</v>
      </c>
      <c r="P18" s="76">
        <v>938.2</v>
      </c>
      <c r="Q18" s="75">
        <v>1099</v>
      </c>
      <c r="R18" s="76">
        <v>1108.7</v>
      </c>
      <c r="S18" s="76"/>
      <c r="T18" s="76"/>
      <c r="U18" s="76"/>
      <c r="V18" s="76">
        <f t="shared" si="1"/>
        <v>7239.5</v>
      </c>
      <c r="W18" s="446"/>
    </row>
    <row r="19" spans="1:24" ht="95.45" customHeight="1" x14ac:dyDescent="0.25">
      <c r="A19" s="280"/>
      <c r="B19" s="279" t="s">
        <v>597</v>
      </c>
      <c r="C19" s="10" t="s">
        <v>199</v>
      </c>
      <c r="D19" s="163" t="s">
        <v>200</v>
      </c>
      <c r="E19" s="163" t="s">
        <v>346</v>
      </c>
      <c r="F19" s="163" t="s">
        <v>598</v>
      </c>
      <c r="G19" s="163" t="s">
        <v>599</v>
      </c>
      <c r="H19" s="76"/>
      <c r="I19" s="76"/>
      <c r="J19" s="76"/>
      <c r="K19" s="76"/>
      <c r="L19" s="76"/>
      <c r="M19" s="76"/>
      <c r="N19" s="75"/>
      <c r="O19" s="76"/>
      <c r="P19" s="76">
        <f t="shared" si="2"/>
        <v>0</v>
      </c>
      <c r="Q19" s="76">
        <f t="shared" si="0"/>
        <v>0</v>
      </c>
      <c r="R19" s="76">
        <f t="shared" si="0"/>
        <v>0</v>
      </c>
      <c r="S19" s="76">
        <v>229.7</v>
      </c>
      <c r="T19" s="76">
        <f t="shared" si="0"/>
        <v>229.7</v>
      </c>
      <c r="U19" s="76">
        <v>229.7</v>
      </c>
      <c r="V19" s="76">
        <v>689.1</v>
      </c>
      <c r="W19" s="214"/>
    </row>
    <row r="20" spans="1:24" ht="129.75" customHeight="1" x14ac:dyDescent="0.25">
      <c r="A20" s="268" t="s">
        <v>357</v>
      </c>
      <c r="B20" s="281" t="s">
        <v>600</v>
      </c>
      <c r="C20" s="10" t="s">
        <v>199</v>
      </c>
      <c r="D20" s="25" t="s">
        <v>200</v>
      </c>
      <c r="E20" s="25" t="s">
        <v>585</v>
      </c>
      <c r="F20" s="25" t="s">
        <v>601</v>
      </c>
      <c r="G20" s="25" t="s">
        <v>602</v>
      </c>
      <c r="H20" s="76">
        <v>2887.9</v>
      </c>
      <c r="I20" s="76">
        <v>3076.7</v>
      </c>
      <c r="J20" s="76">
        <v>2913.1</v>
      </c>
      <c r="K20" s="76">
        <v>2917.5</v>
      </c>
      <c r="L20" s="76">
        <v>3303.7</v>
      </c>
      <c r="M20" s="76">
        <v>5258.7</v>
      </c>
      <c r="N20" s="75"/>
      <c r="O20" s="75">
        <v>4285.3</v>
      </c>
      <c r="P20" s="76">
        <v>4930.1000000000004</v>
      </c>
      <c r="Q20" s="76">
        <v>5885.6</v>
      </c>
      <c r="R20" s="76">
        <v>6925.3</v>
      </c>
      <c r="S20" s="76">
        <v>7434.9</v>
      </c>
      <c r="T20" s="76">
        <f t="shared" si="0"/>
        <v>7434.9</v>
      </c>
      <c r="U20" s="76">
        <f t="shared" si="0"/>
        <v>7434.9</v>
      </c>
      <c r="V20" s="76">
        <f>SUM(H20:U20)</f>
        <v>64688.600000000006</v>
      </c>
      <c r="W20" s="215" t="s">
        <v>603</v>
      </c>
      <c r="X20" s="4">
        <v>4</v>
      </c>
    </row>
    <row r="21" spans="1:24" ht="140.25" customHeight="1" x14ac:dyDescent="0.25">
      <c r="A21" s="268" t="s">
        <v>604</v>
      </c>
      <c r="B21" s="281" t="s">
        <v>605</v>
      </c>
      <c r="C21" s="10" t="s">
        <v>199</v>
      </c>
      <c r="D21" s="25" t="s">
        <v>200</v>
      </c>
      <c r="E21" s="25" t="s">
        <v>585</v>
      </c>
      <c r="F21" s="25" t="s">
        <v>606</v>
      </c>
      <c r="G21" s="25" t="s">
        <v>321</v>
      </c>
      <c r="H21" s="76">
        <v>1476.3</v>
      </c>
      <c r="I21" s="76">
        <v>1534.3</v>
      </c>
      <c r="J21" s="76">
        <v>1254.8</v>
      </c>
      <c r="K21" s="76">
        <v>1265.7</v>
      </c>
      <c r="L21" s="76">
        <v>1123.4000000000001</v>
      </c>
      <c r="M21" s="76">
        <v>1171.3</v>
      </c>
      <c r="N21" s="75"/>
      <c r="O21" s="75">
        <v>1632</v>
      </c>
      <c r="P21" s="76">
        <v>0</v>
      </c>
      <c r="Q21" s="76">
        <v>0</v>
      </c>
      <c r="R21" s="76">
        <v>0</v>
      </c>
      <c r="S21" s="76">
        <f t="shared" si="0"/>
        <v>0</v>
      </c>
      <c r="T21" s="76">
        <f t="shared" si="0"/>
        <v>0</v>
      </c>
      <c r="U21" s="76"/>
      <c r="V21" s="76">
        <f t="shared" si="1"/>
        <v>9457.7999999999993</v>
      </c>
      <c r="W21" s="215" t="s">
        <v>607</v>
      </c>
    </row>
    <row r="22" spans="1:24" ht="140.25" hidden="1" customHeight="1" x14ac:dyDescent="0.25">
      <c r="A22" s="268" t="s">
        <v>608</v>
      </c>
      <c r="B22" s="281" t="s">
        <v>609</v>
      </c>
      <c r="C22" s="10" t="s">
        <v>199</v>
      </c>
      <c r="D22" s="25"/>
      <c r="E22" s="25"/>
      <c r="F22" s="25"/>
      <c r="G22" s="25"/>
      <c r="H22" s="76"/>
      <c r="I22" s="76"/>
      <c r="J22" s="282"/>
      <c r="K22" s="76"/>
      <c r="L22" s="76"/>
      <c r="M22" s="76"/>
      <c r="N22" s="75"/>
      <c r="O22" s="76"/>
      <c r="P22" s="76">
        <f t="shared" si="2"/>
        <v>0</v>
      </c>
      <c r="Q22" s="76">
        <f t="shared" si="0"/>
        <v>0</v>
      </c>
      <c r="R22" s="76">
        <f t="shared" si="0"/>
        <v>0</v>
      </c>
      <c r="S22" s="76">
        <f t="shared" si="0"/>
        <v>0</v>
      </c>
      <c r="T22" s="76">
        <f t="shared" si="0"/>
        <v>0</v>
      </c>
      <c r="U22" s="76"/>
      <c r="V22" s="76">
        <f t="shared" si="1"/>
        <v>0</v>
      </c>
      <c r="W22" s="167"/>
    </row>
    <row r="23" spans="1:24" ht="21" customHeight="1" x14ac:dyDescent="0.25">
      <c r="A23" s="524" t="s">
        <v>349</v>
      </c>
      <c r="B23" s="524"/>
      <c r="C23" s="36"/>
      <c r="D23" s="36"/>
      <c r="E23" s="36"/>
      <c r="F23" s="36"/>
      <c r="G23" s="36"/>
      <c r="H23" s="76">
        <f>SUM(H9:H22)</f>
        <v>6929.0000000000009</v>
      </c>
      <c r="I23" s="76">
        <f>SUM(I9:I22)</f>
        <v>7703.2</v>
      </c>
      <c r="J23" s="76">
        <f>SUM(J9:J22)</f>
        <v>7414.4000000000005</v>
      </c>
      <c r="K23" s="76">
        <f t="shared" ref="K23:S23" si="3">SUM(K8:K22)</f>
        <v>7572.3</v>
      </c>
      <c r="L23" s="76">
        <f t="shared" si="3"/>
        <v>7980.7999999999993</v>
      </c>
      <c r="M23" s="76">
        <f t="shared" si="3"/>
        <v>8394.0999999999985</v>
      </c>
      <c r="N23" s="75">
        <f t="shared" si="3"/>
        <v>0</v>
      </c>
      <c r="O23" s="76">
        <f t="shared" si="3"/>
        <v>9059.7000000000007</v>
      </c>
      <c r="P23" s="76">
        <f t="shared" si="3"/>
        <v>8995.6</v>
      </c>
      <c r="Q23" s="76">
        <f t="shared" si="3"/>
        <v>10533.1</v>
      </c>
      <c r="R23" s="76">
        <f t="shared" si="3"/>
        <v>11798.2</v>
      </c>
      <c r="S23" s="76">
        <f t="shared" si="3"/>
        <v>11712.7</v>
      </c>
      <c r="T23" s="76">
        <f>SUM(T8:T22)</f>
        <v>11712.7</v>
      </c>
      <c r="U23" s="76">
        <f>SUM(U8:U22)</f>
        <v>11712.7</v>
      </c>
      <c r="V23" s="76">
        <f>SUM(H23:U23)</f>
        <v>121518.49999999999</v>
      </c>
      <c r="W23" s="83"/>
    </row>
    <row r="24" spans="1:24" s="251" customFormat="1" ht="30" customHeight="1" x14ac:dyDescent="0.25">
      <c r="A24" s="525" t="s">
        <v>566</v>
      </c>
      <c r="B24" s="525"/>
      <c r="C24" s="525"/>
      <c r="D24" s="525"/>
      <c r="E24" s="525"/>
      <c r="F24" s="525"/>
      <c r="G24" s="525"/>
      <c r="H24" s="525"/>
      <c r="I24" s="525"/>
      <c r="J24" s="525"/>
      <c r="K24" s="525"/>
      <c r="L24" s="525"/>
      <c r="M24" s="525"/>
      <c r="N24" s="525"/>
      <c r="O24" s="525"/>
      <c r="P24" s="525"/>
      <c r="Q24" s="525"/>
      <c r="R24" s="525"/>
      <c r="S24" s="525"/>
      <c r="T24" s="525"/>
      <c r="U24" s="525"/>
      <c r="V24" s="525"/>
      <c r="W24" s="525"/>
    </row>
    <row r="25" spans="1:24" ht="35.1" customHeight="1" x14ac:dyDescent="0.25">
      <c r="A25" s="509" t="s">
        <v>359</v>
      </c>
      <c r="B25" s="513" t="s">
        <v>610</v>
      </c>
      <c r="C25" s="411" t="s">
        <v>199</v>
      </c>
      <c r="D25" s="157" t="s">
        <v>200</v>
      </c>
      <c r="E25" s="157" t="s">
        <v>346</v>
      </c>
      <c r="F25" s="157" t="s">
        <v>576</v>
      </c>
      <c r="G25" s="157" t="s">
        <v>322</v>
      </c>
      <c r="H25" s="75">
        <v>18.7</v>
      </c>
      <c r="I25" s="75"/>
      <c r="J25" s="75"/>
      <c r="K25" s="83"/>
      <c r="L25" s="83"/>
      <c r="M25" s="83"/>
      <c r="N25" s="85"/>
      <c r="O25" s="83"/>
      <c r="P25" s="83">
        <f>O25</f>
        <v>0</v>
      </c>
      <c r="Q25" s="83">
        <f>P25</f>
        <v>0</v>
      </c>
      <c r="R25" s="83">
        <f>Q25</f>
        <v>0</v>
      </c>
      <c r="S25" s="83">
        <f>R25</f>
        <v>0</v>
      </c>
      <c r="T25" s="83">
        <f>S25</f>
        <v>0</v>
      </c>
      <c r="U25" s="83"/>
      <c r="V25" s="283">
        <f>SUM(H25:T25)</f>
        <v>18.7</v>
      </c>
      <c r="W25" s="513" t="s">
        <v>611</v>
      </c>
    </row>
    <row r="26" spans="1:24" ht="35.1" customHeight="1" x14ac:dyDescent="0.25">
      <c r="A26" s="510"/>
      <c r="B26" s="514"/>
      <c r="C26" s="476"/>
      <c r="D26" s="157" t="s">
        <v>200</v>
      </c>
      <c r="E26" s="157" t="s">
        <v>346</v>
      </c>
      <c r="F26" s="157" t="s">
        <v>576</v>
      </c>
      <c r="G26" s="157" t="s">
        <v>286</v>
      </c>
      <c r="H26" s="75"/>
      <c r="I26" s="75">
        <v>18.7</v>
      </c>
      <c r="J26" s="75"/>
      <c r="K26" s="275"/>
      <c r="L26" s="275"/>
      <c r="M26" s="275"/>
      <c r="N26" s="276"/>
      <c r="O26" s="275"/>
      <c r="P26" s="83">
        <f t="shared" ref="P26:U38" si="4">O26</f>
        <v>0</v>
      </c>
      <c r="Q26" s="83">
        <f t="shared" si="4"/>
        <v>0</v>
      </c>
      <c r="R26" s="83">
        <f t="shared" si="4"/>
        <v>0</v>
      </c>
      <c r="S26" s="83">
        <f t="shared" si="4"/>
        <v>0</v>
      </c>
      <c r="T26" s="83">
        <f t="shared" si="4"/>
        <v>0</v>
      </c>
      <c r="U26" s="83"/>
      <c r="V26" s="283">
        <f t="shared" ref="V26:V34" si="5">SUM(H26:T26)</f>
        <v>18.7</v>
      </c>
      <c r="W26" s="514"/>
    </row>
    <row r="27" spans="1:24" ht="35.1" customHeight="1" x14ac:dyDescent="0.25">
      <c r="A27" s="509" t="s">
        <v>360</v>
      </c>
      <c r="B27" s="511" t="s">
        <v>612</v>
      </c>
      <c r="C27" s="411" t="s">
        <v>199</v>
      </c>
      <c r="D27" s="157" t="s">
        <v>200</v>
      </c>
      <c r="E27" s="157" t="s">
        <v>346</v>
      </c>
      <c r="F27" s="157" t="s">
        <v>576</v>
      </c>
      <c r="G27" s="157" t="s">
        <v>322</v>
      </c>
      <c r="H27" s="283">
        <v>13.05</v>
      </c>
      <c r="I27" s="75"/>
      <c r="J27" s="75"/>
      <c r="K27" s="76"/>
      <c r="L27" s="76"/>
      <c r="M27" s="76"/>
      <c r="N27" s="75"/>
      <c r="O27" s="76"/>
      <c r="P27" s="83">
        <f t="shared" si="4"/>
        <v>0</v>
      </c>
      <c r="Q27" s="83">
        <f t="shared" si="4"/>
        <v>0</v>
      </c>
      <c r="R27" s="83">
        <f t="shared" si="4"/>
        <v>0</v>
      </c>
      <c r="S27" s="83">
        <f t="shared" si="4"/>
        <v>0</v>
      </c>
      <c r="T27" s="83">
        <f t="shared" si="4"/>
        <v>0</v>
      </c>
      <c r="U27" s="83"/>
      <c r="V27" s="283">
        <f t="shared" si="5"/>
        <v>13.05</v>
      </c>
      <c r="W27" s="513" t="s">
        <v>613</v>
      </c>
    </row>
    <row r="28" spans="1:24" ht="35.1" customHeight="1" x14ac:dyDescent="0.25">
      <c r="A28" s="510"/>
      <c r="B28" s="512"/>
      <c r="C28" s="476"/>
      <c r="D28" s="157" t="s">
        <v>200</v>
      </c>
      <c r="E28" s="157" t="s">
        <v>346</v>
      </c>
      <c r="F28" s="164" t="s">
        <v>576</v>
      </c>
      <c r="G28" s="164" t="s">
        <v>286</v>
      </c>
      <c r="H28" s="283">
        <v>16.25</v>
      </c>
      <c r="I28" s="283">
        <v>29.3</v>
      </c>
      <c r="J28" s="283"/>
      <c r="K28" s="275"/>
      <c r="L28" s="275"/>
      <c r="M28" s="275"/>
      <c r="N28" s="276"/>
      <c r="O28" s="275"/>
      <c r="P28" s="83">
        <f t="shared" si="4"/>
        <v>0</v>
      </c>
      <c r="Q28" s="83">
        <f t="shared" si="4"/>
        <v>0</v>
      </c>
      <c r="R28" s="83">
        <f t="shared" si="4"/>
        <v>0</v>
      </c>
      <c r="S28" s="83">
        <f t="shared" si="4"/>
        <v>0</v>
      </c>
      <c r="T28" s="83">
        <f t="shared" si="4"/>
        <v>0</v>
      </c>
      <c r="U28" s="83"/>
      <c r="V28" s="283">
        <f t="shared" si="5"/>
        <v>45.55</v>
      </c>
      <c r="W28" s="514"/>
    </row>
    <row r="29" spans="1:24" ht="35.1" customHeight="1" x14ac:dyDescent="0.25">
      <c r="A29" s="515" t="s">
        <v>361</v>
      </c>
      <c r="B29" s="518" t="s">
        <v>614</v>
      </c>
      <c r="C29" s="411" t="s">
        <v>199</v>
      </c>
      <c r="D29" s="157" t="s">
        <v>200</v>
      </c>
      <c r="E29" s="137" t="s">
        <v>346</v>
      </c>
      <c r="F29" s="164" t="s">
        <v>576</v>
      </c>
      <c r="G29" s="164" t="s">
        <v>322</v>
      </c>
      <c r="H29" s="55">
        <v>13.7</v>
      </c>
      <c r="I29" s="55"/>
      <c r="J29" s="55"/>
      <c r="K29" s="55"/>
      <c r="L29" s="55"/>
      <c r="M29" s="55"/>
      <c r="N29" s="55"/>
      <c r="O29" s="55"/>
      <c r="P29" s="83">
        <f t="shared" si="4"/>
        <v>0</v>
      </c>
      <c r="Q29" s="83">
        <f t="shared" si="4"/>
        <v>0</v>
      </c>
      <c r="R29" s="83">
        <f t="shared" si="4"/>
        <v>0</v>
      </c>
      <c r="S29" s="83">
        <f t="shared" si="4"/>
        <v>0</v>
      </c>
      <c r="T29" s="83">
        <f t="shared" si="4"/>
        <v>0</v>
      </c>
      <c r="U29" s="83"/>
      <c r="V29" s="283">
        <f t="shared" si="5"/>
        <v>13.7</v>
      </c>
      <c r="W29" s="521"/>
    </row>
    <row r="30" spans="1:24" ht="35.1" customHeight="1" x14ac:dyDescent="0.25">
      <c r="A30" s="516"/>
      <c r="B30" s="519"/>
      <c r="C30" s="412"/>
      <c r="D30" s="157" t="s">
        <v>200</v>
      </c>
      <c r="E30" s="284" t="s">
        <v>346</v>
      </c>
      <c r="F30" s="164" t="s">
        <v>576</v>
      </c>
      <c r="G30" s="164" t="s">
        <v>286</v>
      </c>
      <c r="H30" s="55"/>
      <c r="I30" s="55">
        <v>13.7</v>
      </c>
      <c r="J30" s="55"/>
      <c r="K30" s="55"/>
      <c r="L30" s="55"/>
      <c r="M30" s="55"/>
      <c r="N30" s="55"/>
      <c r="O30" s="55"/>
      <c r="P30" s="83">
        <f t="shared" si="4"/>
        <v>0</v>
      </c>
      <c r="Q30" s="83">
        <f t="shared" si="4"/>
        <v>0</v>
      </c>
      <c r="R30" s="83">
        <f t="shared" si="4"/>
        <v>0</v>
      </c>
      <c r="S30" s="83">
        <f t="shared" si="4"/>
        <v>0</v>
      </c>
      <c r="T30" s="83">
        <f t="shared" si="4"/>
        <v>0</v>
      </c>
      <c r="U30" s="83"/>
      <c r="V30" s="283">
        <f t="shared" si="5"/>
        <v>13.7</v>
      </c>
      <c r="W30" s="522"/>
    </row>
    <row r="31" spans="1:24" ht="35.1" customHeight="1" x14ac:dyDescent="0.25">
      <c r="A31" s="516"/>
      <c r="B31" s="519"/>
      <c r="C31" s="412"/>
      <c r="D31" s="157" t="s">
        <v>200</v>
      </c>
      <c r="E31" s="137" t="s">
        <v>346</v>
      </c>
      <c r="F31" s="164" t="s">
        <v>615</v>
      </c>
      <c r="G31" s="164" t="s">
        <v>445</v>
      </c>
      <c r="H31" s="55"/>
      <c r="I31" s="55"/>
      <c r="J31" s="55"/>
      <c r="K31" s="9">
        <v>83</v>
      </c>
      <c r="L31" s="9"/>
      <c r="M31" s="9"/>
      <c r="N31" s="55"/>
      <c r="O31" s="9"/>
      <c r="P31" s="83">
        <f t="shared" si="4"/>
        <v>0</v>
      </c>
      <c r="Q31" s="83">
        <f t="shared" si="4"/>
        <v>0</v>
      </c>
      <c r="R31" s="83">
        <f t="shared" si="4"/>
        <v>0</v>
      </c>
      <c r="S31" s="83">
        <f t="shared" si="4"/>
        <v>0</v>
      </c>
      <c r="T31" s="83">
        <f t="shared" si="4"/>
        <v>0</v>
      </c>
      <c r="U31" s="83"/>
      <c r="V31" s="283">
        <f t="shared" si="5"/>
        <v>83</v>
      </c>
      <c r="W31" s="522"/>
    </row>
    <row r="32" spans="1:24" ht="35.1" customHeight="1" x14ac:dyDescent="0.25">
      <c r="A32" s="516"/>
      <c r="B32" s="519"/>
      <c r="C32" s="412"/>
      <c r="D32" s="157" t="s">
        <v>200</v>
      </c>
      <c r="E32" s="284" t="s">
        <v>346</v>
      </c>
      <c r="F32" s="164" t="s">
        <v>615</v>
      </c>
      <c r="G32" s="164" t="s">
        <v>286</v>
      </c>
      <c r="H32" s="55"/>
      <c r="I32" s="55"/>
      <c r="J32" s="55"/>
      <c r="K32" s="9">
        <v>371.8</v>
      </c>
      <c r="L32" s="9"/>
      <c r="M32" s="9"/>
      <c r="N32" s="55"/>
      <c r="O32" s="9"/>
      <c r="P32" s="83">
        <f t="shared" si="4"/>
        <v>0</v>
      </c>
      <c r="Q32" s="83">
        <f t="shared" si="4"/>
        <v>0</v>
      </c>
      <c r="R32" s="83">
        <f t="shared" si="4"/>
        <v>0</v>
      </c>
      <c r="S32" s="83">
        <f t="shared" si="4"/>
        <v>0</v>
      </c>
      <c r="T32" s="83">
        <f t="shared" si="4"/>
        <v>0</v>
      </c>
      <c r="U32" s="83"/>
      <c r="V32" s="283">
        <f t="shared" si="5"/>
        <v>371.8</v>
      </c>
      <c r="W32" s="522"/>
    </row>
    <row r="33" spans="1:23" ht="35.1" customHeight="1" x14ac:dyDescent="0.25">
      <c r="A33" s="517"/>
      <c r="B33" s="520"/>
      <c r="C33" s="476"/>
      <c r="D33" s="157" t="s">
        <v>200</v>
      </c>
      <c r="E33" s="137" t="s">
        <v>346</v>
      </c>
      <c r="F33" s="164" t="s">
        <v>616</v>
      </c>
      <c r="G33" s="164" t="s">
        <v>288</v>
      </c>
      <c r="H33" s="55"/>
      <c r="I33" s="55"/>
      <c r="J33" s="55"/>
      <c r="K33" s="9">
        <v>31.2</v>
      </c>
      <c r="L33" s="9"/>
      <c r="M33" s="9"/>
      <c r="N33" s="55"/>
      <c r="O33" s="9"/>
      <c r="P33" s="83">
        <f t="shared" si="4"/>
        <v>0</v>
      </c>
      <c r="Q33" s="83">
        <f t="shared" si="4"/>
        <v>0</v>
      </c>
      <c r="R33" s="83">
        <f t="shared" si="4"/>
        <v>0</v>
      </c>
      <c r="S33" s="83">
        <f t="shared" si="4"/>
        <v>0</v>
      </c>
      <c r="T33" s="83">
        <f t="shared" si="4"/>
        <v>0</v>
      </c>
      <c r="U33" s="83"/>
      <c r="V33" s="283">
        <f t="shared" si="5"/>
        <v>31.2</v>
      </c>
      <c r="W33" s="523"/>
    </row>
    <row r="34" spans="1:23" s="23" customFormat="1" ht="35.1" customHeight="1" x14ac:dyDescent="0.25">
      <c r="A34" s="506" t="s">
        <v>513</v>
      </c>
      <c r="B34" s="506"/>
      <c r="C34" s="22"/>
      <c r="D34" s="22"/>
      <c r="E34" s="22"/>
      <c r="F34" s="22"/>
      <c r="G34" s="22"/>
      <c r="H34" s="76">
        <f>H25+H26+H27+H28+H29+H30</f>
        <v>61.7</v>
      </c>
      <c r="I34" s="76">
        <f>I25+I26+I27+I28+I29+I30</f>
        <v>61.7</v>
      </c>
      <c r="J34" s="76">
        <f>J25+J26+J27+J28+J29+J30</f>
        <v>0</v>
      </c>
      <c r="K34" s="76">
        <f>SUM(K26:K33)</f>
        <v>486</v>
      </c>
      <c r="L34" s="76">
        <f>SUM(L26:L33)</f>
        <v>0</v>
      </c>
      <c r="M34" s="76">
        <f>SUM(M26:M33)</f>
        <v>0</v>
      </c>
      <c r="N34" s="75">
        <f>SUM(N26:N33)</f>
        <v>0</v>
      </c>
      <c r="O34" s="76"/>
      <c r="P34" s="83">
        <f t="shared" si="4"/>
        <v>0</v>
      </c>
      <c r="Q34" s="83">
        <f t="shared" si="4"/>
        <v>0</v>
      </c>
      <c r="R34" s="83">
        <f t="shared" si="4"/>
        <v>0</v>
      </c>
      <c r="S34" s="83">
        <f t="shared" si="4"/>
        <v>0</v>
      </c>
      <c r="T34" s="83">
        <f t="shared" si="4"/>
        <v>0</v>
      </c>
      <c r="U34" s="83"/>
      <c r="V34" s="283">
        <f t="shared" si="5"/>
        <v>609.4</v>
      </c>
      <c r="W34" s="9"/>
    </row>
    <row r="35" spans="1:23" ht="35.1" customHeight="1" x14ac:dyDescent="0.25">
      <c r="A35" s="507" t="s">
        <v>350</v>
      </c>
      <c r="B35" s="507"/>
      <c r="C35" s="30"/>
      <c r="D35" s="30"/>
      <c r="E35" s="30"/>
      <c r="F35" s="30"/>
      <c r="G35" s="30"/>
      <c r="H35" s="76">
        <f t="shared" ref="H35:S35" si="6">H23+H34</f>
        <v>6990.7000000000007</v>
      </c>
      <c r="I35" s="76">
        <f t="shared" si="6"/>
        <v>7764.9</v>
      </c>
      <c r="J35" s="76">
        <f t="shared" si="6"/>
        <v>7414.4000000000005</v>
      </c>
      <c r="K35" s="76">
        <f>K23+K34</f>
        <v>8058.3</v>
      </c>
      <c r="L35" s="76">
        <f t="shared" si="6"/>
        <v>7980.7999999999993</v>
      </c>
      <c r="M35" s="76">
        <f t="shared" si="6"/>
        <v>8394.0999999999985</v>
      </c>
      <c r="N35" s="75">
        <f t="shared" si="6"/>
        <v>0</v>
      </c>
      <c r="O35" s="76">
        <f t="shared" si="6"/>
        <v>9059.7000000000007</v>
      </c>
      <c r="P35" s="76">
        <f t="shared" si="6"/>
        <v>8995.6</v>
      </c>
      <c r="Q35" s="76">
        <f t="shared" si="6"/>
        <v>10533.1</v>
      </c>
      <c r="R35" s="76">
        <f t="shared" si="6"/>
        <v>11798.2</v>
      </c>
      <c r="S35" s="76">
        <f t="shared" si="6"/>
        <v>11712.7</v>
      </c>
      <c r="T35" s="76">
        <f>T23+T34</f>
        <v>11712.7</v>
      </c>
      <c r="U35" s="76">
        <f>U23+U34</f>
        <v>11712.7</v>
      </c>
      <c r="V35" s="283">
        <f>SUM(H35:U35)</f>
        <v>122127.89999999998</v>
      </c>
      <c r="W35" s="83"/>
    </row>
    <row r="36" spans="1:23" ht="35.1" customHeight="1" x14ac:dyDescent="0.25">
      <c r="A36" s="433" t="s">
        <v>328</v>
      </c>
      <c r="B36" s="434"/>
      <c r="C36" s="30"/>
      <c r="D36" s="30"/>
      <c r="E36" s="30"/>
      <c r="F36" s="30"/>
      <c r="G36" s="30"/>
      <c r="H36" s="76">
        <f>H14+H15+H20</f>
        <v>4599.6000000000004</v>
      </c>
      <c r="I36" s="76">
        <f>I14+I15+I20</f>
        <v>4788.3999999999996</v>
      </c>
      <c r="J36" s="76">
        <f>J14+J15+J20</f>
        <v>4560.6000000000004</v>
      </c>
      <c r="K36" s="76">
        <f>K14+K15+K20</f>
        <v>4565.7</v>
      </c>
      <c r="L36" s="76">
        <f t="shared" ref="L36:S36" si="7">L14+L15+L20+L19</f>
        <v>5116.3999999999996</v>
      </c>
      <c r="M36" s="76">
        <f t="shared" si="7"/>
        <v>5258.7</v>
      </c>
      <c r="N36" s="75">
        <f t="shared" si="7"/>
        <v>0</v>
      </c>
      <c r="O36" s="76">
        <f t="shared" si="7"/>
        <v>6598.4</v>
      </c>
      <c r="P36" s="76">
        <f t="shared" si="7"/>
        <v>8057.4000000000005</v>
      </c>
      <c r="Q36" s="76">
        <f t="shared" si="7"/>
        <v>9434.1</v>
      </c>
      <c r="R36" s="76">
        <f t="shared" si="7"/>
        <v>10689.5</v>
      </c>
      <c r="S36" s="76">
        <f t="shared" si="7"/>
        <v>11712.7</v>
      </c>
      <c r="T36" s="76">
        <f>T14+T15+T20+T19</f>
        <v>11712.7</v>
      </c>
      <c r="U36" s="76">
        <f>U14+U15+U20+U19</f>
        <v>11712.7</v>
      </c>
      <c r="V36" s="283">
        <f>SUM(H36:U36)</f>
        <v>98806.9</v>
      </c>
      <c r="W36" s="83"/>
    </row>
    <row r="37" spans="1:23" ht="35.1" customHeight="1" x14ac:dyDescent="0.25">
      <c r="A37" s="433" t="s">
        <v>351</v>
      </c>
      <c r="B37" s="434"/>
      <c r="C37" s="30"/>
      <c r="D37" s="30"/>
      <c r="E37" s="30"/>
      <c r="F37" s="30"/>
      <c r="G37" s="30"/>
      <c r="H37" s="76">
        <f>H9+H10+H11+H12+H13+H16+H17+H21+H25+H26+H27+H28+H29+H30+H31+H32+H33</f>
        <v>1858.1</v>
      </c>
      <c r="I37" s="76">
        <f>I9+I10+I11+I12+I13+I16+I17+I21+I25+I26+I27+I28+I29+I30+I31+I32+I33</f>
        <v>2271.2999999999997</v>
      </c>
      <c r="J37" s="76">
        <f>J9+J10+J11+J12+J13+J16+J17+J21+J25+J26+J27+J28+J29+J30+J31+J32+J33</f>
        <v>2162.4</v>
      </c>
      <c r="K37" s="76">
        <f t="shared" ref="K37:Q37" si="8">K9+K10+K11+K12+K13+K16+K17+K21+K26+K27+K28+K29+K30+K31+K32+K33+K25</f>
        <v>2801.2</v>
      </c>
      <c r="L37" s="76">
        <f t="shared" si="8"/>
        <v>2173</v>
      </c>
      <c r="M37" s="76">
        <f t="shared" si="8"/>
        <v>2354.1999999999998</v>
      </c>
      <c r="N37" s="75">
        <f t="shared" si="8"/>
        <v>0</v>
      </c>
      <c r="O37" s="76">
        <f>O9+O10+O11+O12+O13+O16+O17+O21+O26+O27+O28+O29+O30+O31+O32+O33+O25</f>
        <v>2461.3000000000002</v>
      </c>
      <c r="P37" s="76">
        <f t="shared" si="8"/>
        <v>0</v>
      </c>
      <c r="Q37" s="76">
        <f t="shared" si="8"/>
        <v>0</v>
      </c>
      <c r="R37" s="83">
        <f t="shared" si="4"/>
        <v>0</v>
      </c>
      <c r="S37" s="83">
        <f t="shared" si="4"/>
        <v>0</v>
      </c>
      <c r="T37" s="83">
        <f t="shared" si="4"/>
        <v>0</v>
      </c>
      <c r="U37" s="83">
        <f t="shared" si="4"/>
        <v>0</v>
      </c>
      <c r="V37" s="283">
        <f>SUM(H37:U37)</f>
        <v>16081.5</v>
      </c>
      <c r="W37" s="83"/>
    </row>
    <row r="38" spans="1:23" ht="35.1" customHeight="1" x14ac:dyDescent="0.25">
      <c r="A38" s="433" t="s">
        <v>352</v>
      </c>
      <c r="B38" s="434"/>
      <c r="C38" s="30"/>
      <c r="D38" s="30"/>
      <c r="E38" s="30"/>
      <c r="F38" s="30"/>
      <c r="G38" s="30"/>
      <c r="H38" s="76">
        <f t="shared" ref="H38:M38" si="9">H18</f>
        <v>533</v>
      </c>
      <c r="I38" s="76">
        <f t="shared" si="9"/>
        <v>705.2</v>
      </c>
      <c r="J38" s="76">
        <f t="shared" si="9"/>
        <v>691.4</v>
      </c>
      <c r="K38" s="76">
        <f t="shared" si="9"/>
        <v>691.4</v>
      </c>
      <c r="L38" s="76">
        <f t="shared" si="9"/>
        <v>691.4</v>
      </c>
      <c r="M38" s="76">
        <f t="shared" si="9"/>
        <v>781.19999999999993</v>
      </c>
      <c r="N38" s="75">
        <f>N18</f>
        <v>0</v>
      </c>
      <c r="O38" s="76">
        <f>O18</f>
        <v>0</v>
      </c>
      <c r="P38" s="273">
        <f>P18</f>
        <v>938.2</v>
      </c>
      <c r="Q38" s="273">
        <f>Q18</f>
        <v>1099</v>
      </c>
      <c r="R38" s="273">
        <f>R18</f>
        <v>1108.7</v>
      </c>
      <c r="S38" s="83">
        <v>0</v>
      </c>
      <c r="T38" s="83">
        <f t="shared" si="4"/>
        <v>0</v>
      </c>
      <c r="U38" s="83">
        <f t="shared" si="4"/>
        <v>0</v>
      </c>
      <c r="V38" s="283">
        <f>SUM(H38:U38)</f>
        <v>7239.5</v>
      </c>
      <c r="W38" s="83"/>
    </row>
    <row r="39" spans="1:23" s="289" customFormat="1" ht="35.1" customHeight="1" x14ac:dyDescent="0.25">
      <c r="A39" s="508"/>
      <c r="B39" s="508"/>
      <c r="C39" s="285"/>
      <c r="D39" s="285"/>
      <c r="E39" s="285"/>
      <c r="F39" s="285"/>
      <c r="G39" s="285"/>
      <c r="H39" s="285"/>
      <c r="I39" s="286"/>
      <c r="J39" s="286"/>
      <c r="K39" s="287"/>
      <c r="L39" s="287"/>
      <c r="M39" s="287"/>
      <c r="N39" s="288"/>
      <c r="O39" s="287"/>
      <c r="P39" s="287"/>
      <c r="Q39" s="287"/>
      <c r="R39" s="287"/>
      <c r="S39" s="287"/>
      <c r="T39" s="287"/>
      <c r="U39" s="287"/>
      <c r="V39" s="287"/>
    </row>
    <row r="40" spans="1:23" ht="35.1" customHeight="1" x14ac:dyDescent="0.3">
      <c r="A40" s="505" t="s">
        <v>163</v>
      </c>
      <c r="B40" s="505"/>
      <c r="C40" s="505"/>
      <c r="D40" s="505"/>
      <c r="E40" s="505"/>
      <c r="F40" s="290"/>
      <c r="G40" s="290"/>
      <c r="H40" s="290"/>
      <c r="I40" s="291"/>
      <c r="J40" s="190"/>
      <c r="K40" s="190"/>
      <c r="L40" s="190"/>
      <c r="M40" s="190"/>
      <c r="N40" s="259"/>
      <c r="O40" s="190"/>
      <c r="P40" s="190"/>
      <c r="Q40" s="190"/>
      <c r="R40" s="190"/>
      <c r="S40" s="190"/>
      <c r="T40" s="190"/>
      <c r="U40" s="190"/>
      <c r="V40" s="190"/>
      <c r="W40" s="292" t="s">
        <v>164</v>
      </c>
    </row>
    <row r="41" spans="1:23" x14ac:dyDescent="0.25">
      <c r="A41" s="177"/>
      <c r="B41" s="178"/>
      <c r="C41" s="179"/>
      <c r="D41" s="179"/>
      <c r="E41" s="179"/>
      <c r="F41" s="179"/>
      <c r="G41" s="179"/>
      <c r="H41" s="179"/>
    </row>
    <row r="42" spans="1:23" x14ac:dyDescent="0.25">
      <c r="A42" s="177"/>
      <c r="B42" s="178"/>
      <c r="C42" s="179"/>
      <c r="D42" s="179"/>
      <c r="E42" s="179"/>
      <c r="F42" s="179"/>
      <c r="G42" s="179"/>
      <c r="H42" s="179"/>
    </row>
    <row r="43" spans="1:23" x14ac:dyDescent="0.25">
      <c r="A43" s="177"/>
      <c r="B43" s="178"/>
      <c r="C43" s="179"/>
      <c r="D43" s="179"/>
      <c r="E43" s="179"/>
      <c r="F43" s="179"/>
      <c r="G43" s="179"/>
      <c r="H43" s="179"/>
    </row>
    <row r="44" spans="1:23" x14ac:dyDescent="0.25">
      <c r="A44" s="177"/>
      <c r="B44" s="178"/>
      <c r="C44" s="179"/>
      <c r="D44" s="179"/>
      <c r="E44" s="179"/>
      <c r="F44" s="179"/>
      <c r="G44" s="179"/>
      <c r="H44" s="179"/>
    </row>
    <row r="45" spans="1:23" x14ac:dyDescent="0.25">
      <c r="A45" s="177"/>
      <c r="B45" s="178"/>
      <c r="C45" s="179"/>
      <c r="D45" s="179"/>
      <c r="E45" s="179"/>
      <c r="F45" s="179"/>
      <c r="G45" s="179"/>
      <c r="H45" s="179"/>
    </row>
    <row r="46" spans="1:23" x14ac:dyDescent="0.25">
      <c r="A46" s="177"/>
      <c r="B46" s="178"/>
      <c r="C46" s="179"/>
      <c r="D46" s="179"/>
      <c r="E46" s="179"/>
      <c r="F46" s="179"/>
      <c r="G46" s="179"/>
      <c r="H46" s="179"/>
    </row>
    <row r="47" spans="1:23" x14ac:dyDescent="0.25">
      <c r="A47" s="177"/>
      <c r="B47" s="178"/>
      <c r="C47" s="179"/>
      <c r="D47" s="179"/>
      <c r="E47" s="179"/>
      <c r="F47" s="179"/>
      <c r="G47" s="179"/>
      <c r="H47" s="179"/>
    </row>
    <row r="48" spans="1:23" x14ac:dyDescent="0.25">
      <c r="A48" s="177"/>
      <c r="B48" s="178"/>
      <c r="C48" s="179"/>
      <c r="D48" s="179"/>
      <c r="E48" s="179"/>
      <c r="F48" s="179"/>
      <c r="G48" s="179"/>
      <c r="H48" s="179"/>
    </row>
    <row r="49" spans="1:8" x14ac:dyDescent="0.25">
      <c r="A49" s="177"/>
      <c r="B49" s="178"/>
      <c r="C49" s="179"/>
      <c r="D49" s="179"/>
      <c r="E49" s="179"/>
      <c r="F49" s="179"/>
      <c r="G49" s="179"/>
      <c r="H49" s="179"/>
    </row>
    <row r="50" spans="1:8" x14ac:dyDescent="0.25">
      <c r="A50" s="177"/>
      <c r="B50" s="178"/>
      <c r="C50" s="179"/>
      <c r="D50" s="179"/>
      <c r="E50" s="179"/>
      <c r="F50" s="179"/>
      <c r="G50" s="179"/>
      <c r="H50" s="179"/>
    </row>
    <row r="51" spans="1:8" x14ac:dyDescent="0.25">
      <c r="A51" s="177"/>
      <c r="B51" s="178"/>
      <c r="C51" s="179"/>
      <c r="D51" s="179"/>
      <c r="E51" s="179"/>
      <c r="F51" s="179"/>
      <c r="G51" s="179"/>
      <c r="H51" s="179"/>
    </row>
    <row r="52" spans="1:8" x14ac:dyDescent="0.25">
      <c r="A52" s="177"/>
      <c r="B52" s="178"/>
      <c r="C52" s="179"/>
      <c r="D52" s="179"/>
      <c r="E52" s="179"/>
      <c r="F52" s="179"/>
      <c r="G52" s="179"/>
      <c r="H52" s="179"/>
    </row>
    <row r="53" spans="1:8" x14ac:dyDescent="0.25">
      <c r="A53" s="177"/>
      <c r="B53" s="178"/>
      <c r="C53" s="179"/>
      <c r="D53" s="179"/>
      <c r="E53" s="179"/>
      <c r="F53" s="179"/>
      <c r="G53" s="179"/>
      <c r="H53" s="179"/>
    </row>
    <row r="54" spans="1:8" x14ac:dyDescent="0.25">
      <c r="A54" s="177"/>
      <c r="B54" s="178"/>
      <c r="C54" s="179"/>
      <c r="D54" s="179"/>
      <c r="E54" s="179"/>
      <c r="F54" s="179"/>
      <c r="G54" s="179"/>
      <c r="H54" s="179"/>
    </row>
    <row r="55" spans="1:8" x14ac:dyDescent="0.25">
      <c r="A55" s="177"/>
      <c r="B55" s="178"/>
      <c r="C55" s="179"/>
      <c r="D55" s="179"/>
      <c r="E55" s="179"/>
      <c r="F55" s="179"/>
      <c r="G55" s="179"/>
      <c r="H55" s="179"/>
    </row>
    <row r="56" spans="1:8" x14ac:dyDescent="0.25">
      <c r="A56" s="177"/>
      <c r="B56" s="178"/>
      <c r="C56" s="179"/>
      <c r="D56" s="179"/>
      <c r="E56" s="179"/>
      <c r="F56" s="179"/>
      <c r="G56" s="179"/>
      <c r="H56" s="179"/>
    </row>
    <row r="57" spans="1:8" x14ac:dyDescent="0.25">
      <c r="A57" s="177"/>
      <c r="B57" s="178"/>
      <c r="C57" s="179"/>
      <c r="D57" s="179"/>
      <c r="E57" s="179"/>
      <c r="F57" s="179"/>
      <c r="G57" s="179"/>
      <c r="H57" s="179"/>
    </row>
    <row r="58" spans="1:8" x14ac:dyDescent="0.25">
      <c r="A58" s="177"/>
      <c r="B58" s="178"/>
      <c r="C58" s="179"/>
      <c r="D58" s="179"/>
      <c r="E58" s="179"/>
      <c r="F58" s="179"/>
      <c r="G58" s="179"/>
      <c r="H58" s="179"/>
    </row>
    <row r="59" spans="1:8" x14ac:dyDescent="0.25">
      <c r="A59" s="177"/>
      <c r="B59" s="178"/>
      <c r="C59" s="179"/>
      <c r="D59" s="179"/>
      <c r="E59" s="179"/>
      <c r="F59" s="179"/>
      <c r="G59" s="179"/>
      <c r="H59" s="179"/>
    </row>
    <row r="60" spans="1:8" x14ac:dyDescent="0.25">
      <c r="A60" s="177"/>
      <c r="B60" s="178"/>
      <c r="C60" s="179"/>
      <c r="D60" s="179"/>
      <c r="E60" s="179"/>
      <c r="F60" s="179"/>
      <c r="G60" s="179"/>
      <c r="H60" s="179"/>
    </row>
    <row r="61" spans="1:8" x14ac:dyDescent="0.25">
      <c r="A61" s="177"/>
      <c r="B61" s="178"/>
      <c r="C61" s="179"/>
      <c r="D61" s="179"/>
      <c r="E61" s="179"/>
      <c r="F61" s="179"/>
      <c r="G61" s="179"/>
      <c r="H61" s="179"/>
    </row>
    <row r="62" spans="1:8" x14ac:dyDescent="0.25">
      <c r="A62" s="177"/>
      <c r="B62" s="178"/>
      <c r="C62" s="179"/>
      <c r="D62" s="179"/>
      <c r="E62" s="179"/>
      <c r="F62" s="179"/>
      <c r="G62" s="179"/>
      <c r="H62" s="179"/>
    </row>
    <row r="63" spans="1:8" x14ac:dyDescent="0.25">
      <c r="A63" s="177"/>
      <c r="B63" s="178"/>
      <c r="C63" s="179"/>
      <c r="D63" s="179"/>
      <c r="E63" s="179"/>
      <c r="F63" s="179"/>
      <c r="G63" s="179"/>
      <c r="H63" s="179"/>
    </row>
    <row r="64" spans="1:8" x14ac:dyDescent="0.25">
      <c r="A64" s="177"/>
      <c r="B64" s="178"/>
      <c r="C64" s="179"/>
      <c r="D64" s="179"/>
      <c r="E64" s="179"/>
      <c r="F64" s="179"/>
      <c r="G64" s="179"/>
      <c r="H64" s="179"/>
    </row>
    <row r="65" spans="1:8" x14ac:dyDescent="0.25">
      <c r="A65" s="177"/>
      <c r="B65" s="178"/>
      <c r="C65" s="179"/>
      <c r="D65" s="179"/>
      <c r="E65" s="179"/>
      <c r="F65" s="179"/>
      <c r="G65" s="179"/>
      <c r="H65" s="179"/>
    </row>
    <row r="66" spans="1:8" x14ac:dyDescent="0.25">
      <c r="A66" s="177"/>
      <c r="B66" s="178"/>
      <c r="C66" s="179"/>
      <c r="D66" s="179"/>
      <c r="E66" s="179"/>
      <c r="F66" s="179"/>
      <c r="G66" s="179"/>
      <c r="H66" s="179"/>
    </row>
    <row r="67" spans="1:8" x14ac:dyDescent="0.25">
      <c r="A67" s="177"/>
      <c r="B67" s="178"/>
      <c r="C67" s="179"/>
      <c r="D67" s="179"/>
      <c r="E67" s="179"/>
      <c r="F67" s="179"/>
      <c r="G67" s="179"/>
      <c r="H67" s="179"/>
    </row>
    <row r="68" spans="1:8" x14ac:dyDescent="0.25">
      <c r="A68" s="177"/>
      <c r="B68" s="178"/>
      <c r="C68" s="179"/>
      <c r="D68" s="179"/>
      <c r="E68" s="179"/>
      <c r="F68" s="179"/>
      <c r="G68" s="179"/>
      <c r="H68" s="179"/>
    </row>
    <row r="69" spans="1:8" x14ac:dyDescent="0.25">
      <c r="A69" s="177"/>
      <c r="B69" s="178"/>
      <c r="C69" s="179"/>
      <c r="D69" s="179"/>
      <c r="E69" s="179"/>
      <c r="F69" s="179"/>
      <c r="G69" s="179"/>
      <c r="H69" s="179"/>
    </row>
    <row r="70" spans="1:8" x14ac:dyDescent="0.25">
      <c r="A70" s="177"/>
      <c r="B70" s="178"/>
      <c r="C70" s="179"/>
      <c r="D70" s="179"/>
      <c r="E70" s="179"/>
      <c r="F70" s="179"/>
      <c r="G70" s="179"/>
      <c r="H70" s="179"/>
    </row>
    <row r="71" spans="1:8" x14ac:dyDescent="0.25">
      <c r="A71" s="177"/>
      <c r="B71" s="178"/>
      <c r="C71" s="179"/>
      <c r="D71" s="179"/>
      <c r="E71" s="179"/>
      <c r="F71" s="179"/>
      <c r="G71" s="179"/>
      <c r="H71" s="179"/>
    </row>
    <row r="72" spans="1:8" x14ac:dyDescent="0.25">
      <c r="A72" s="177"/>
      <c r="B72" s="178"/>
      <c r="C72" s="179"/>
      <c r="D72" s="179"/>
      <c r="E72" s="179"/>
      <c r="F72" s="179"/>
      <c r="G72" s="179"/>
      <c r="H72" s="179"/>
    </row>
    <row r="73" spans="1:8" x14ac:dyDescent="0.25">
      <c r="A73" s="177"/>
      <c r="B73" s="178"/>
      <c r="C73" s="179"/>
      <c r="D73" s="179"/>
      <c r="E73" s="179"/>
      <c r="F73" s="179"/>
      <c r="G73" s="179"/>
      <c r="H73" s="179"/>
    </row>
    <row r="74" spans="1:8" x14ac:dyDescent="0.25">
      <c r="A74" s="177"/>
      <c r="B74" s="178"/>
      <c r="C74" s="179"/>
      <c r="D74" s="179"/>
      <c r="E74" s="179"/>
      <c r="F74" s="179"/>
      <c r="G74" s="179"/>
      <c r="H74" s="179"/>
    </row>
    <row r="75" spans="1:8" x14ac:dyDescent="0.25">
      <c r="A75" s="177"/>
      <c r="B75" s="178"/>
      <c r="C75" s="179"/>
      <c r="D75" s="179"/>
      <c r="E75" s="179"/>
      <c r="F75" s="179"/>
      <c r="G75" s="179"/>
      <c r="H75" s="179"/>
    </row>
    <row r="76" spans="1:8" x14ac:dyDescent="0.25">
      <c r="A76" s="177"/>
      <c r="B76" s="178"/>
      <c r="C76" s="179"/>
      <c r="D76" s="179"/>
      <c r="E76" s="179"/>
      <c r="F76" s="179"/>
      <c r="G76" s="179"/>
      <c r="H76" s="179"/>
    </row>
    <row r="77" spans="1:8" x14ac:dyDescent="0.25">
      <c r="A77" s="177"/>
      <c r="B77" s="178"/>
      <c r="C77" s="179"/>
      <c r="D77" s="179"/>
      <c r="E77" s="179"/>
      <c r="F77" s="179"/>
      <c r="G77" s="179"/>
      <c r="H77" s="179"/>
    </row>
  </sheetData>
  <autoFilter ref="A4:X35"/>
  <mergeCells count="45">
    <mergeCell ref="I1:J1"/>
    <mergeCell ref="V1:W1"/>
    <mergeCell ref="A2:W2"/>
    <mergeCell ref="A3:A4"/>
    <mergeCell ref="B3:B4"/>
    <mergeCell ref="C3:C4"/>
    <mergeCell ref="D3:G3"/>
    <mergeCell ref="I3:V3"/>
    <mergeCell ref="W3:W4"/>
    <mergeCell ref="A5:W5"/>
    <mergeCell ref="A7:W7"/>
    <mergeCell ref="A8:A10"/>
    <mergeCell ref="B8:B10"/>
    <mergeCell ref="C8:C10"/>
    <mergeCell ref="W9:W10"/>
    <mergeCell ref="A12:A13"/>
    <mergeCell ref="B12:B13"/>
    <mergeCell ref="C12:C13"/>
    <mergeCell ref="W12:W13"/>
    <mergeCell ref="A14:A18"/>
    <mergeCell ref="B14:B15"/>
    <mergeCell ref="C14:C18"/>
    <mergeCell ref="W14:W18"/>
    <mergeCell ref="B16:B17"/>
    <mergeCell ref="A23:B23"/>
    <mergeCell ref="A24:W24"/>
    <mergeCell ref="A25:A26"/>
    <mergeCell ref="B25:B26"/>
    <mergeCell ref="C25:C26"/>
    <mergeCell ref="W25:W26"/>
    <mergeCell ref="A27:A28"/>
    <mergeCell ref="B27:B28"/>
    <mergeCell ref="C27:C28"/>
    <mergeCell ref="W27:W28"/>
    <mergeCell ref="A29:A33"/>
    <mergeCell ref="B29:B33"/>
    <mergeCell ref="C29:C33"/>
    <mergeCell ref="W29:W33"/>
    <mergeCell ref="A40:E40"/>
    <mergeCell ref="A34:B34"/>
    <mergeCell ref="A35:B35"/>
    <mergeCell ref="A36:B36"/>
    <mergeCell ref="A37:B37"/>
    <mergeCell ref="A38:B38"/>
    <mergeCell ref="A39:B39"/>
  </mergeCells>
  <pageMargins left="0.51181102362204722" right="0.39370078740157483" top="0.55118110236220474" bottom="0.35433070866141736" header="0.31496062992125984" footer="0.31496062992125984"/>
  <pageSetup paperSize="9" scale="38" fitToHeight="0" orientation="landscape" r:id="rId1"/>
  <headerFooter differentFirst="1">
    <oddHeader>&amp;C&amp;P</oddHeader>
  </headerFooter>
  <rowBreaks count="1" manualBreakCount="1">
    <brk id="24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37"/>
  <sheetViews>
    <sheetView view="pageBreakPreview" zoomScaleNormal="100" zoomScaleSheetLayoutView="100" workbookViewId="0">
      <pane xSplit="2" ySplit="6" topLeftCell="D7" activePane="bottomRight" state="frozen"/>
      <selection activeCell="Q12" sqref="Q12"/>
      <selection pane="topRight" activeCell="Q12" sqref="Q12"/>
      <selection pane="bottomLeft" activeCell="Q12" sqref="Q12"/>
      <selection pane="bottomRight" activeCell="R12" sqref="R12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24.42578125" style="4" customWidth="1"/>
    <col min="5" max="11" width="10.7109375" style="4" customWidth="1"/>
    <col min="12" max="12" width="10.7109375" style="6" customWidth="1"/>
    <col min="13" max="13" width="9.140625" style="294"/>
    <col min="14" max="16384" width="9.140625" style="4"/>
  </cols>
  <sheetData>
    <row r="1" spans="1:18" ht="50.25" customHeight="1" x14ac:dyDescent="0.25">
      <c r="B1" s="2"/>
      <c r="C1" s="3"/>
      <c r="D1" s="2"/>
      <c r="E1" s="533" t="s">
        <v>617</v>
      </c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293"/>
    </row>
    <row r="2" spans="1:18" ht="37.5" customHeight="1" x14ac:dyDescent="0.25">
      <c r="A2" s="410" t="s">
        <v>264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18" ht="25.5" customHeight="1" x14ac:dyDescent="0.25">
      <c r="A3" s="377" t="s">
        <v>2</v>
      </c>
      <c r="B3" s="362" t="s">
        <v>265</v>
      </c>
      <c r="C3" s="362" t="s">
        <v>4</v>
      </c>
      <c r="D3" s="362" t="s">
        <v>6</v>
      </c>
      <c r="E3" s="362" t="s">
        <v>8</v>
      </c>
      <c r="F3" s="362" t="s">
        <v>9</v>
      </c>
      <c r="G3" s="362" t="s">
        <v>10</v>
      </c>
      <c r="H3" s="362" t="s">
        <v>11</v>
      </c>
      <c r="I3" s="362" t="s">
        <v>12</v>
      </c>
      <c r="J3" s="362" t="s">
        <v>13</v>
      </c>
      <c r="K3" s="362" t="s">
        <v>14</v>
      </c>
      <c r="L3" s="362" t="s">
        <v>15</v>
      </c>
      <c r="M3" s="362" t="s">
        <v>16</v>
      </c>
      <c r="N3" s="362" t="s">
        <v>17</v>
      </c>
      <c r="O3" s="362" t="s">
        <v>18</v>
      </c>
      <c r="P3" s="362" t="s">
        <v>19</v>
      </c>
      <c r="Q3" s="362" t="s">
        <v>20</v>
      </c>
      <c r="R3" s="362" t="s">
        <v>21</v>
      </c>
    </row>
    <row r="4" spans="1:18" ht="12" customHeight="1" x14ac:dyDescent="0.25">
      <c r="A4" s="377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</row>
    <row r="5" spans="1:18" ht="25.5" customHeight="1" x14ac:dyDescent="0.25">
      <c r="A5" s="377"/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</row>
    <row r="6" spans="1:18" ht="27" customHeight="1" x14ac:dyDescent="0.25">
      <c r="A6" s="374" t="s">
        <v>618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295"/>
    </row>
    <row r="7" spans="1:18" ht="33" customHeight="1" x14ac:dyDescent="0.25">
      <c r="A7" s="428" t="s">
        <v>619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296"/>
    </row>
    <row r="8" spans="1:18" ht="42" customHeight="1" x14ac:dyDescent="0.25">
      <c r="A8" s="10" t="s">
        <v>620</v>
      </c>
      <c r="B8" s="12" t="s">
        <v>109</v>
      </c>
      <c r="C8" s="10" t="s">
        <v>110</v>
      </c>
      <c r="D8" s="10" t="s">
        <v>111</v>
      </c>
      <c r="E8" s="10">
        <v>1460</v>
      </c>
      <c r="F8" s="297">
        <v>1470</v>
      </c>
      <c r="G8" s="10">
        <v>1470</v>
      </c>
      <c r="H8" s="10">
        <v>2863</v>
      </c>
      <c r="I8" s="10">
        <v>3174</v>
      </c>
      <c r="J8" s="10">
        <v>3205</v>
      </c>
      <c r="K8" s="10">
        <v>3199</v>
      </c>
      <c r="L8" s="10">
        <v>3378</v>
      </c>
      <c r="M8" s="10">
        <v>4143.7</v>
      </c>
      <c r="N8" s="130">
        <v>4143.7</v>
      </c>
      <c r="O8" s="130">
        <v>5770.17</v>
      </c>
      <c r="P8" s="299">
        <v>5828.29</v>
      </c>
      <c r="Q8" s="299">
        <v>5828.29</v>
      </c>
      <c r="R8" s="299">
        <v>5828.29</v>
      </c>
    </row>
    <row r="9" spans="1:18" ht="31.5" x14ac:dyDescent="0.25">
      <c r="A9" s="10" t="s">
        <v>112</v>
      </c>
      <c r="B9" s="12" t="s">
        <v>113</v>
      </c>
      <c r="C9" s="10" t="s">
        <v>110</v>
      </c>
      <c r="D9" s="10" t="s">
        <v>111</v>
      </c>
      <c r="E9" s="10">
        <v>28870</v>
      </c>
      <c r="F9" s="297">
        <v>29600</v>
      </c>
      <c r="G9" s="10">
        <v>30690</v>
      </c>
      <c r="H9" s="10">
        <v>32180</v>
      </c>
      <c r="I9" s="10">
        <v>33390</v>
      </c>
      <c r="J9" s="10">
        <v>38561</v>
      </c>
      <c r="K9" s="10">
        <v>38575</v>
      </c>
      <c r="L9" s="10">
        <v>42480</v>
      </c>
      <c r="M9" s="57">
        <v>61044</v>
      </c>
      <c r="N9" s="298">
        <v>61427</v>
      </c>
      <c r="O9" s="130">
        <v>72717</v>
      </c>
      <c r="P9" s="299">
        <v>77837</v>
      </c>
      <c r="Q9" s="299">
        <v>77837</v>
      </c>
      <c r="R9" s="299">
        <v>77837</v>
      </c>
    </row>
    <row r="10" spans="1:18" ht="63" x14ac:dyDescent="0.25">
      <c r="A10" s="10" t="s">
        <v>114</v>
      </c>
      <c r="B10" s="12" t="s">
        <v>115</v>
      </c>
      <c r="C10" s="10" t="s">
        <v>110</v>
      </c>
      <c r="D10" s="10" t="s">
        <v>111</v>
      </c>
      <c r="E10" s="10">
        <v>17972</v>
      </c>
      <c r="F10" s="297">
        <v>18638</v>
      </c>
      <c r="G10" s="10">
        <v>19328</v>
      </c>
      <c r="H10" s="10">
        <v>21911</v>
      </c>
      <c r="I10" s="10">
        <v>24405</v>
      </c>
      <c r="J10" s="10">
        <v>28687</v>
      </c>
      <c r="K10" s="10">
        <v>32078</v>
      </c>
      <c r="L10" s="10">
        <v>33427</v>
      </c>
      <c r="M10" s="57">
        <v>36728</v>
      </c>
      <c r="N10" s="298">
        <v>41968</v>
      </c>
      <c r="O10" s="130">
        <v>57556</v>
      </c>
      <c r="P10" s="299">
        <v>62676</v>
      </c>
      <c r="Q10" s="299">
        <v>62676</v>
      </c>
      <c r="R10" s="299">
        <v>62676</v>
      </c>
    </row>
    <row r="11" spans="1:18" ht="31.5" x14ac:dyDescent="0.25">
      <c r="A11" s="10" t="s">
        <v>116</v>
      </c>
      <c r="B11" s="12" t="s">
        <v>117</v>
      </c>
      <c r="C11" s="10" t="s">
        <v>118</v>
      </c>
      <c r="D11" s="10" t="s">
        <v>29</v>
      </c>
      <c r="E11" s="10">
        <v>25.02</v>
      </c>
      <c r="F11" s="51">
        <v>25</v>
      </c>
      <c r="G11" s="10">
        <v>25</v>
      </c>
      <c r="H11" s="10">
        <v>23.9</v>
      </c>
      <c r="I11" s="10">
        <v>24</v>
      </c>
      <c r="J11" s="10">
        <v>24</v>
      </c>
      <c r="K11" s="10">
        <v>24</v>
      </c>
      <c r="L11" s="10">
        <v>25</v>
      </c>
      <c r="M11" s="57">
        <v>25</v>
      </c>
      <c r="N11" s="55">
        <v>25</v>
      </c>
      <c r="O11" s="9">
        <v>25</v>
      </c>
      <c r="P11" s="9">
        <v>24.7</v>
      </c>
      <c r="Q11" s="329">
        <v>24.7</v>
      </c>
      <c r="R11" s="329">
        <v>24.7</v>
      </c>
    </row>
    <row r="12" spans="1:18" ht="31.5" x14ac:dyDescent="0.25">
      <c r="A12" s="10" t="s">
        <v>119</v>
      </c>
      <c r="B12" s="12" t="s">
        <v>120</v>
      </c>
      <c r="C12" s="10" t="s">
        <v>118</v>
      </c>
      <c r="D12" s="10" t="s">
        <v>29</v>
      </c>
      <c r="E12" s="10">
        <v>18.82</v>
      </c>
      <c r="F12" s="51">
        <v>18.82</v>
      </c>
      <c r="G12" s="10">
        <v>18.8</v>
      </c>
      <c r="H12" s="10">
        <v>17</v>
      </c>
      <c r="I12" s="10">
        <v>17</v>
      </c>
      <c r="J12" s="10">
        <v>17</v>
      </c>
      <c r="K12" s="10">
        <v>17</v>
      </c>
      <c r="L12" s="10">
        <v>17</v>
      </c>
      <c r="M12" s="57">
        <v>16</v>
      </c>
      <c r="N12" s="55">
        <f t="shared" ref="N12:O25" si="0">M12</f>
        <v>16</v>
      </c>
      <c r="O12" s="9">
        <v>16.3</v>
      </c>
      <c r="P12" s="9">
        <v>15.7</v>
      </c>
      <c r="Q12" s="329">
        <v>15.7</v>
      </c>
      <c r="R12" s="329">
        <v>15.7</v>
      </c>
    </row>
    <row r="13" spans="1:18" ht="78.75" x14ac:dyDescent="0.25">
      <c r="A13" s="10" t="s">
        <v>121</v>
      </c>
      <c r="B13" s="12" t="s">
        <v>122</v>
      </c>
      <c r="C13" s="10" t="s">
        <v>123</v>
      </c>
      <c r="D13" s="10" t="s">
        <v>29</v>
      </c>
      <c r="E13" s="10">
        <v>0.7</v>
      </c>
      <c r="F13" s="51">
        <v>0.7</v>
      </c>
      <c r="G13" s="10">
        <v>0.7</v>
      </c>
      <c r="H13" s="10">
        <v>0.7</v>
      </c>
      <c r="I13" s="10">
        <v>0.7</v>
      </c>
      <c r="J13" s="10">
        <v>0.7</v>
      </c>
      <c r="K13" s="10">
        <v>0.7</v>
      </c>
      <c r="L13" s="10">
        <v>0.5</v>
      </c>
      <c r="M13" s="57">
        <v>0.9</v>
      </c>
      <c r="N13" s="55">
        <v>0.9</v>
      </c>
      <c r="O13" s="9">
        <v>1</v>
      </c>
      <c r="P13" s="9">
        <v>1</v>
      </c>
      <c r="Q13" s="9">
        <v>1</v>
      </c>
      <c r="R13" s="9">
        <v>1</v>
      </c>
    </row>
    <row r="14" spans="1:18" ht="31.5" x14ac:dyDescent="0.25">
      <c r="A14" s="10" t="s">
        <v>124</v>
      </c>
      <c r="B14" s="12" t="s">
        <v>125</v>
      </c>
      <c r="C14" s="10" t="s">
        <v>59</v>
      </c>
      <c r="D14" s="10" t="s">
        <v>111</v>
      </c>
      <c r="E14" s="10">
        <v>18</v>
      </c>
      <c r="F14" s="10">
        <v>18</v>
      </c>
      <c r="G14" s="10">
        <v>18</v>
      </c>
      <c r="H14" s="10">
        <v>14</v>
      </c>
      <c r="I14" s="10">
        <v>14</v>
      </c>
      <c r="J14" s="10">
        <v>14</v>
      </c>
      <c r="K14" s="10">
        <v>14</v>
      </c>
      <c r="L14" s="10">
        <v>14</v>
      </c>
      <c r="M14" s="57">
        <v>16</v>
      </c>
      <c r="N14" s="55">
        <v>2</v>
      </c>
      <c r="O14" s="300">
        <v>6</v>
      </c>
      <c r="P14" s="55">
        <v>6</v>
      </c>
      <c r="Q14" s="55">
        <v>6</v>
      </c>
      <c r="R14" s="55">
        <v>6</v>
      </c>
    </row>
    <row r="15" spans="1:18" ht="68.25" customHeight="1" x14ac:dyDescent="0.25">
      <c r="A15" s="10" t="s">
        <v>126</v>
      </c>
      <c r="B15" s="12" t="s">
        <v>127</v>
      </c>
      <c r="C15" s="10" t="s">
        <v>128</v>
      </c>
      <c r="D15" s="10" t="s">
        <v>129</v>
      </c>
      <c r="E15" s="10">
        <v>5</v>
      </c>
      <c r="F15" s="10">
        <v>5</v>
      </c>
      <c r="G15" s="10">
        <v>5</v>
      </c>
      <c r="H15" s="10">
        <v>5</v>
      </c>
      <c r="I15" s="10">
        <v>5</v>
      </c>
      <c r="J15" s="10">
        <v>5</v>
      </c>
      <c r="K15" s="10">
        <v>5</v>
      </c>
      <c r="L15" s="10">
        <v>5</v>
      </c>
      <c r="M15" s="10">
        <v>5</v>
      </c>
      <c r="N15" s="9">
        <f t="shared" si="0"/>
        <v>5</v>
      </c>
      <c r="O15" s="9">
        <f t="shared" si="0"/>
        <v>5</v>
      </c>
      <c r="P15" s="9">
        <f t="shared" ref="P15:R25" si="1">M15</f>
        <v>5</v>
      </c>
      <c r="Q15" s="9">
        <f t="shared" si="1"/>
        <v>5</v>
      </c>
      <c r="R15" s="9">
        <f t="shared" si="1"/>
        <v>5</v>
      </c>
    </row>
    <row r="16" spans="1:18" ht="72.75" customHeight="1" x14ac:dyDescent="0.25">
      <c r="A16" s="7" t="s">
        <v>130</v>
      </c>
      <c r="B16" s="301" t="s">
        <v>131</v>
      </c>
      <c r="C16" s="10" t="s">
        <v>128</v>
      </c>
      <c r="D16" s="10" t="s">
        <v>129</v>
      </c>
      <c r="E16" s="9">
        <v>5</v>
      </c>
      <c r="F16" s="9">
        <v>5</v>
      </c>
      <c r="G16" s="9">
        <v>5</v>
      </c>
      <c r="H16" s="9">
        <v>5</v>
      </c>
      <c r="I16" s="9">
        <v>5</v>
      </c>
      <c r="J16" s="9">
        <v>5</v>
      </c>
      <c r="K16" s="9">
        <v>5</v>
      </c>
      <c r="L16" s="9">
        <v>5</v>
      </c>
      <c r="M16" s="9">
        <v>5</v>
      </c>
      <c r="N16" s="9">
        <f t="shared" si="0"/>
        <v>5</v>
      </c>
      <c r="O16" s="9">
        <f t="shared" si="0"/>
        <v>5</v>
      </c>
      <c r="P16" s="9">
        <f t="shared" si="1"/>
        <v>5</v>
      </c>
      <c r="Q16" s="9">
        <f t="shared" si="1"/>
        <v>5</v>
      </c>
      <c r="R16" s="9">
        <f t="shared" si="1"/>
        <v>5</v>
      </c>
    </row>
    <row r="17" spans="1:18" ht="157.5" x14ac:dyDescent="0.25">
      <c r="A17" s="7" t="s">
        <v>132</v>
      </c>
      <c r="B17" s="302" t="s">
        <v>621</v>
      </c>
      <c r="C17" s="10" t="s">
        <v>128</v>
      </c>
      <c r="D17" s="10" t="s">
        <v>129</v>
      </c>
      <c r="E17" s="9">
        <v>5</v>
      </c>
      <c r="F17" s="9">
        <v>5</v>
      </c>
      <c r="G17" s="9">
        <v>5</v>
      </c>
      <c r="H17" s="9">
        <v>5</v>
      </c>
      <c r="I17" s="9">
        <v>5</v>
      </c>
      <c r="J17" s="9">
        <v>5</v>
      </c>
      <c r="K17" s="9">
        <v>5</v>
      </c>
      <c r="L17" s="9">
        <v>5</v>
      </c>
      <c r="M17" s="9">
        <v>5</v>
      </c>
      <c r="N17" s="9">
        <f t="shared" si="0"/>
        <v>5</v>
      </c>
      <c r="O17" s="9">
        <f t="shared" si="0"/>
        <v>5</v>
      </c>
      <c r="P17" s="9">
        <f t="shared" si="1"/>
        <v>5</v>
      </c>
      <c r="Q17" s="9">
        <f t="shared" si="1"/>
        <v>5</v>
      </c>
      <c r="R17" s="9">
        <f t="shared" si="1"/>
        <v>5</v>
      </c>
    </row>
    <row r="18" spans="1:18" ht="94.5" x14ac:dyDescent="0.25">
      <c r="A18" s="7" t="s">
        <v>134</v>
      </c>
      <c r="B18" s="302" t="s">
        <v>135</v>
      </c>
      <c r="C18" s="10" t="s">
        <v>128</v>
      </c>
      <c r="D18" s="10" t="s">
        <v>129</v>
      </c>
      <c r="E18" s="9">
        <v>5</v>
      </c>
      <c r="F18" s="9">
        <v>5</v>
      </c>
      <c r="G18" s="9">
        <v>5</v>
      </c>
      <c r="H18" s="9">
        <v>5</v>
      </c>
      <c r="I18" s="9">
        <v>5</v>
      </c>
      <c r="J18" s="9">
        <v>5</v>
      </c>
      <c r="K18" s="9">
        <v>5</v>
      </c>
      <c r="L18" s="9">
        <v>5</v>
      </c>
      <c r="M18" s="9">
        <v>5</v>
      </c>
      <c r="N18" s="9">
        <f t="shared" si="0"/>
        <v>5</v>
      </c>
      <c r="O18" s="9">
        <f t="shared" si="0"/>
        <v>5</v>
      </c>
      <c r="P18" s="9">
        <f t="shared" si="1"/>
        <v>5</v>
      </c>
      <c r="Q18" s="9">
        <f t="shared" si="1"/>
        <v>5</v>
      </c>
      <c r="R18" s="9">
        <f t="shared" si="1"/>
        <v>5</v>
      </c>
    </row>
    <row r="19" spans="1:18" ht="63" x14ac:dyDescent="0.25">
      <c r="A19" s="7" t="s">
        <v>136</v>
      </c>
      <c r="B19" s="302" t="s">
        <v>137</v>
      </c>
      <c r="C19" s="10" t="s">
        <v>128</v>
      </c>
      <c r="D19" s="10" t="s">
        <v>622</v>
      </c>
      <c r="E19" s="9">
        <v>5</v>
      </c>
      <c r="F19" s="9">
        <v>5</v>
      </c>
      <c r="G19" s="9">
        <v>5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9">
        <f t="shared" si="0"/>
        <v>5</v>
      </c>
      <c r="O19" s="9">
        <f t="shared" si="0"/>
        <v>5</v>
      </c>
      <c r="P19" s="9">
        <f t="shared" si="1"/>
        <v>5</v>
      </c>
      <c r="Q19" s="9">
        <f t="shared" si="1"/>
        <v>5</v>
      </c>
      <c r="R19" s="9">
        <f t="shared" si="1"/>
        <v>5</v>
      </c>
    </row>
    <row r="20" spans="1:18" ht="63" x14ac:dyDescent="0.25">
      <c r="A20" s="7" t="s">
        <v>138</v>
      </c>
      <c r="B20" s="302" t="s">
        <v>623</v>
      </c>
      <c r="C20" s="10" t="s">
        <v>128</v>
      </c>
      <c r="D20" s="10" t="s">
        <v>622</v>
      </c>
      <c r="E20" s="9">
        <v>5</v>
      </c>
      <c r="F20" s="9">
        <v>5</v>
      </c>
      <c r="G20" s="9">
        <v>5</v>
      </c>
      <c r="H20" s="9">
        <v>5</v>
      </c>
      <c r="I20" s="9">
        <v>5</v>
      </c>
      <c r="J20" s="9">
        <v>5</v>
      </c>
      <c r="K20" s="9">
        <v>5</v>
      </c>
      <c r="L20" s="9">
        <v>5</v>
      </c>
      <c r="M20" s="9">
        <v>5</v>
      </c>
      <c r="N20" s="9">
        <f t="shared" si="0"/>
        <v>5</v>
      </c>
      <c r="O20" s="9">
        <f t="shared" si="0"/>
        <v>5</v>
      </c>
      <c r="P20" s="9">
        <f t="shared" si="1"/>
        <v>5</v>
      </c>
      <c r="Q20" s="9">
        <f t="shared" si="1"/>
        <v>5</v>
      </c>
      <c r="R20" s="9">
        <f t="shared" si="1"/>
        <v>5</v>
      </c>
    </row>
    <row r="21" spans="1:18" ht="63" x14ac:dyDescent="0.25">
      <c r="A21" s="7" t="s">
        <v>140</v>
      </c>
      <c r="B21" s="302" t="s">
        <v>141</v>
      </c>
      <c r="C21" s="10" t="s">
        <v>128</v>
      </c>
      <c r="D21" s="10" t="s">
        <v>129</v>
      </c>
      <c r="E21" s="9">
        <v>5</v>
      </c>
      <c r="F21" s="9">
        <v>5</v>
      </c>
      <c r="G21" s="9">
        <v>5</v>
      </c>
      <c r="H21" s="9">
        <v>5</v>
      </c>
      <c r="I21" s="9">
        <v>5</v>
      </c>
      <c r="J21" s="9">
        <v>5</v>
      </c>
      <c r="K21" s="9">
        <v>5</v>
      </c>
      <c r="L21" s="9">
        <v>5</v>
      </c>
      <c r="M21" s="9">
        <v>5</v>
      </c>
      <c r="N21" s="9">
        <f t="shared" si="0"/>
        <v>5</v>
      </c>
      <c r="O21" s="9">
        <f t="shared" si="0"/>
        <v>5</v>
      </c>
      <c r="P21" s="9">
        <f t="shared" si="1"/>
        <v>5</v>
      </c>
      <c r="Q21" s="9">
        <f t="shared" si="1"/>
        <v>5</v>
      </c>
      <c r="R21" s="9">
        <f t="shared" si="1"/>
        <v>5</v>
      </c>
    </row>
    <row r="22" spans="1:18" ht="63" x14ac:dyDescent="0.25">
      <c r="A22" s="7" t="s">
        <v>624</v>
      </c>
      <c r="B22" s="301" t="s">
        <v>143</v>
      </c>
      <c r="C22" s="10" t="s">
        <v>128</v>
      </c>
      <c r="D22" s="10" t="s">
        <v>129</v>
      </c>
      <c r="E22" s="9">
        <v>5</v>
      </c>
      <c r="F22" s="9">
        <v>5</v>
      </c>
      <c r="G22" s="9">
        <v>5</v>
      </c>
      <c r="H22" s="9">
        <v>5</v>
      </c>
      <c r="I22" s="9">
        <v>5</v>
      </c>
      <c r="J22" s="9">
        <v>5</v>
      </c>
      <c r="K22" s="9">
        <v>5</v>
      </c>
      <c r="L22" s="9">
        <v>5</v>
      </c>
      <c r="M22" s="9">
        <v>5</v>
      </c>
      <c r="N22" s="9">
        <f t="shared" si="0"/>
        <v>5</v>
      </c>
      <c r="O22" s="9">
        <f t="shared" si="0"/>
        <v>5</v>
      </c>
      <c r="P22" s="9">
        <f t="shared" si="1"/>
        <v>5</v>
      </c>
      <c r="Q22" s="9">
        <f t="shared" si="1"/>
        <v>5</v>
      </c>
      <c r="R22" s="9">
        <f t="shared" si="1"/>
        <v>5</v>
      </c>
    </row>
    <row r="23" spans="1:18" ht="63" x14ac:dyDescent="0.25">
      <c r="A23" s="7" t="s">
        <v>144</v>
      </c>
      <c r="B23" s="301" t="s">
        <v>145</v>
      </c>
      <c r="C23" s="10" t="s">
        <v>128</v>
      </c>
      <c r="D23" s="10" t="s">
        <v>129</v>
      </c>
      <c r="E23" s="9">
        <v>5</v>
      </c>
      <c r="F23" s="9">
        <v>5</v>
      </c>
      <c r="G23" s="9">
        <v>5</v>
      </c>
      <c r="H23" s="9">
        <v>5</v>
      </c>
      <c r="I23" s="9">
        <v>5</v>
      </c>
      <c r="J23" s="9">
        <v>5</v>
      </c>
      <c r="K23" s="9">
        <v>5</v>
      </c>
      <c r="L23" s="9">
        <v>5</v>
      </c>
      <c r="M23" s="9">
        <v>5</v>
      </c>
      <c r="N23" s="9">
        <f t="shared" si="0"/>
        <v>5</v>
      </c>
      <c r="O23" s="9">
        <f t="shared" si="0"/>
        <v>5</v>
      </c>
      <c r="P23" s="9">
        <f t="shared" si="1"/>
        <v>5</v>
      </c>
      <c r="Q23" s="9">
        <f t="shared" si="1"/>
        <v>5</v>
      </c>
      <c r="R23" s="9">
        <f t="shared" si="1"/>
        <v>5</v>
      </c>
    </row>
    <row r="24" spans="1:18" ht="63" x14ac:dyDescent="0.25">
      <c r="A24" s="7" t="s">
        <v>146</v>
      </c>
      <c r="B24" s="301" t="s">
        <v>147</v>
      </c>
      <c r="C24" s="10" t="s">
        <v>128</v>
      </c>
      <c r="D24" s="10" t="s">
        <v>129</v>
      </c>
      <c r="E24" s="9">
        <v>5</v>
      </c>
      <c r="F24" s="9">
        <v>5</v>
      </c>
      <c r="G24" s="9">
        <v>5</v>
      </c>
      <c r="H24" s="9">
        <v>5</v>
      </c>
      <c r="I24" s="9">
        <v>5</v>
      </c>
      <c r="J24" s="9">
        <v>5</v>
      </c>
      <c r="K24" s="9">
        <v>5</v>
      </c>
      <c r="L24" s="9">
        <v>5</v>
      </c>
      <c r="M24" s="9">
        <v>5</v>
      </c>
      <c r="N24" s="9">
        <f t="shared" si="0"/>
        <v>5</v>
      </c>
      <c r="O24" s="9">
        <f t="shared" si="0"/>
        <v>5</v>
      </c>
      <c r="P24" s="9">
        <f t="shared" si="1"/>
        <v>5</v>
      </c>
      <c r="Q24" s="9">
        <f t="shared" si="1"/>
        <v>5</v>
      </c>
      <c r="R24" s="9">
        <f t="shared" si="1"/>
        <v>5</v>
      </c>
    </row>
    <row r="25" spans="1:18" ht="63" x14ac:dyDescent="0.25">
      <c r="A25" s="7" t="s">
        <v>148</v>
      </c>
      <c r="B25" s="301" t="s">
        <v>149</v>
      </c>
      <c r="C25" s="10" t="s">
        <v>128</v>
      </c>
      <c r="D25" s="10" t="s">
        <v>129</v>
      </c>
      <c r="E25" s="9">
        <v>5</v>
      </c>
      <c r="F25" s="9">
        <v>5</v>
      </c>
      <c r="G25" s="9">
        <v>5</v>
      </c>
      <c r="H25" s="9">
        <v>5</v>
      </c>
      <c r="I25" s="9">
        <v>5</v>
      </c>
      <c r="J25" s="9">
        <v>5</v>
      </c>
      <c r="K25" s="9">
        <v>5</v>
      </c>
      <c r="L25" s="9">
        <v>5</v>
      </c>
      <c r="M25" s="9">
        <v>5</v>
      </c>
      <c r="N25" s="9">
        <f t="shared" si="0"/>
        <v>5</v>
      </c>
      <c r="O25" s="9">
        <f t="shared" si="0"/>
        <v>5</v>
      </c>
      <c r="P25" s="9">
        <f t="shared" si="1"/>
        <v>5</v>
      </c>
      <c r="Q25" s="9">
        <f t="shared" si="1"/>
        <v>5</v>
      </c>
      <c r="R25" s="9">
        <f t="shared" si="1"/>
        <v>5</v>
      </c>
    </row>
    <row r="26" spans="1:18" ht="32.25" customHeight="1" x14ac:dyDescent="0.25">
      <c r="A26" s="428" t="s">
        <v>625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296"/>
    </row>
    <row r="27" spans="1:18" ht="47.25" x14ac:dyDescent="0.25">
      <c r="A27" s="303" t="s">
        <v>151</v>
      </c>
      <c r="B27" s="12" t="s">
        <v>626</v>
      </c>
      <c r="C27" s="10" t="s">
        <v>24</v>
      </c>
      <c r="D27" s="10" t="s">
        <v>29</v>
      </c>
      <c r="E27" s="10">
        <v>70</v>
      </c>
      <c r="F27" s="10">
        <v>71</v>
      </c>
      <c r="G27" s="10">
        <v>71</v>
      </c>
      <c r="H27" s="10">
        <v>71</v>
      </c>
      <c r="I27" s="10">
        <v>71</v>
      </c>
      <c r="J27" s="10">
        <v>71</v>
      </c>
      <c r="K27" s="10">
        <v>71</v>
      </c>
      <c r="L27" s="10">
        <v>71</v>
      </c>
      <c r="M27" s="10">
        <v>71</v>
      </c>
      <c r="N27" s="9">
        <f>M27</f>
        <v>71</v>
      </c>
      <c r="O27" s="9">
        <f>N27</f>
        <v>71</v>
      </c>
      <c r="P27" s="9">
        <f t="shared" ref="P27:R28" si="2">M27</f>
        <v>71</v>
      </c>
      <c r="Q27" s="9">
        <f t="shared" si="2"/>
        <v>71</v>
      </c>
      <c r="R27" s="9">
        <f t="shared" si="2"/>
        <v>71</v>
      </c>
    </row>
    <row r="28" spans="1:18" ht="94.5" x14ac:dyDescent="0.25">
      <c r="A28" s="10" t="s">
        <v>154</v>
      </c>
      <c r="B28" s="12" t="s">
        <v>155</v>
      </c>
      <c r="C28" s="10" t="s">
        <v>627</v>
      </c>
      <c r="D28" s="10" t="s">
        <v>29</v>
      </c>
      <c r="E28" s="10" t="s">
        <v>156</v>
      </c>
      <c r="F28" s="10" t="s">
        <v>157</v>
      </c>
      <c r="G28" s="10" t="s">
        <v>158</v>
      </c>
      <c r="H28" s="10" t="s">
        <v>159</v>
      </c>
      <c r="I28" s="10" t="s">
        <v>160</v>
      </c>
      <c r="J28" s="10" t="s">
        <v>161</v>
      </c>
      <c r="K28" s="10" t="s">
        <v>162</v>
      </c>
      <c r="L28" s="10" t="s">
        <v>162</v>
      </c>
      <c r="M28" s="10" t="s">
        <v>162</v>
      </c>
      <c r="N28" s="9" t="str">
        <f>M28</f>
        <v>89(57)</v>
      </c>
      <c r="O28" s="9" t="str">
        <f>N28</f>
        <v>89(57)</v>
      </c>
      <c r="P28" s="9" t="str">
        <f t="shared" si="2"/>
        <v>89(57)</v>
      </c>
      <c r="Q28" s="9" t="str">
        <f t="shared" si="2"/>
        <v>89(57)</v>
      </c>
      <c r="R28" s="9" t="str">
        <f t="shared" si="2"/>
        <v>89(57)</v>
      </c>
    </row>
    <row r="29" spans="1:18" ht="45" customHeight="1" x14ac:dyDescent="0.3">
      <c r="A29" s="4"/>
      <c r="B29" s="190" t="s">
        <v>163</v>
      </c>
      <c r="C29" s="190"/>
      <c r="D29" s="190"/>
      <c r="E29" s="190"/>
      <c r="F29" s="190"/>
      <c r="G29" s="532"/>
      <c r="H29" s="532"/>
      <c r="I29" s="181"/>
      <c r="J29" s="181"/>
      <c r="K29" s="532"/>
      <c r="L29" s="532"/>
      <c r="M29" s="532"/>
      <c r="N29" s="532"/>
      <c r="O29" s="532" t="s">
        <v>214</v>
      </c>
      <c r="P29" s="532"/>
    </row>
    <row r="30" spans="1:18" ht="68.25" customHeight="1" x14ac:dyDescent="0.25">
      <c r="A30" s="4"/>
    </row>
    <row r="31" spans="1:18" ht="129.75" customHeight="1" x14ac:dyDescent="0.25">
      <c r="A31" s="4"/>
    </row>
    <row r="32" spans="1:18" ht="98.25" customHeight="1" x14ac:dyDescent="0.25">
      <c r="A32" s="4"/>
    </row>
    <row r="33" spans="1:1" ht="70.5" customHeight="1" x14ac:dyDescent="0.25">
      <c r="A33" s="4"/>
    </row>
    <row r="34" spans="1:1" ht="66.75" customHeight="1" x14ac:dyDescent="0.25">
      <c r="A34" s="4"/>
    </row>
    <row r="35" spans="1:1" ht="53.25" customHeight="1" x14ac:dyDescent="0.25">
      <c r="A35" s="4"/>
    </row>
    <row r="36" spans="1:1" x14ac:dyDescent="0.25">
      <c r="A36" s="4"/>
    </row>
    <row r="37" spans="1:1" x14ac:dyDescent="0.25">
      <c r="A37" s="4"/>
    </row>
  </sheetData>
  <mergeCells count="27">
    <mergeCell ref="Q3:Q5"/>
    <mergeCell ref="E1:Q1"/>
    <mergeCell ref="A2:K2"/>
    <mergeCell ref="A3:A5"/>
    <mergeCell ref="B3:B5"/>
    <mergeCell ref="C3:C5"/>
    <mergeCell ref="D3:D5"/>
    <mergeCell ref="E3:E5"/>
    <mergeCell ref="F3:F5"/>
    <mergeCell ref="G3:G5"/>
    <mergeCell ref="H3:H5"/>
    <mergeCell ref="R3:R5"/>
    <mergeCell ref="A6:Q6"/>
    <mergeCell ref="A26:Q26"/>
    <mergeCell ref="G29:H29"/>
    <mergeCell ref="K29:L29"/>
    <mergeCell ref="M29:N29"/>
    <mergeCell ref="O29:P29"/>
    <mergeCell ref="A7:Q7"/>
    <mergeCell ref="I3:I5"/>
    <mergeCell ref="J3:J5"/>
    <mergeCell ref="K3:K5"/>
    <mergeCell ref="L3:L5"/>
    <mergeCell ref="M3:M5"/>
    <mergeCell ref="N3:N5"/>
    <mergeCell ref="O3:O5"/>
    <mergeCell ref="P3:P5"/>
  </mergeCells>
  <pageMargins left="0.31496062992125984" right="0.11811023622047245" top="0.55118110236220474" bottom="0.35433070866141736" header="0.31496062992125984" footer="0.31496062992125984"/>
  <pageSetup paperSize="9" scale="54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Z106"/>
  <sheetViews>
    <sheetView view="pageBreakPreview" zoomScale="75" zoomScaleNormal="75" zoomScaleSheetLayoutView="75" workbookViewId="0">
      <selection activeCell="U65" sqref="U65"/>
    </sheetView>
  </sheetViews>
  <sheetFormatPr defaultColWidth="9.28515625" defaultRowHeight="15.75" x14ac:dyDescent="0.25"/>
  <cols>
    <col min="1" max="1" width="8.42578125" style="180" customWidth="1"/>
    <col min="2" max="2" width="28.7109375" style="4" customWidth="1"/>
    <col min="3" max="3" width="21.5703125" style="181" customWidth="1"/>
    <col min="4" max="4" width="8.28515625" style="181" customWidth="1"/>
    <col min="5" max="5" width="9.42578125" style="181" customWidth="1"/>
    <col min="6" max="6" width="17.28515625" style="181" customWidth="1"/>
    <col min="7" max="7" width="11.28515625" style="181" customWidth="1"/>
    <col min="8" max="8" width="12.7109375" style="181" bestFit="1" customWidth="1"/>
    <col min="9" max="10" width="12.7109375" style="4" bestFit="1" customWidth="1"/>
    <col min="11" max="11" width="12.7109375" style="23" bestFit="1" customWidth="1"/>
    <col min="12" max="16" width="12.7109375" style="4" bestFit="1" customWidth="1"/>
    <col min="17" max="17" width="13.28515625" style="4" bestFit="1" customWidth="1"/>
    <col min="18" max="18" width="13.85546875" style="4" customWidth="1"/>
    <col min="19" max="20" width="12.7109375" style="4" bestFit="1" customWidth="1"/>
    <col min="21" max="21" width="12.7109375" style="4" customWidth="1"/>
    <col min="22" max="22" width="17.42578125" style="4" bestFit="1" customWidth="1"/>
    <col min="23" max="23" width="43.42578125" style="4" customWidth="1"/>
    <col min="24" max="24" width="9.28515625" style="4"/>
    <col min="25" max="25" width="13.28515625" style="4" bestFit="1" customWidth="1"/>
    <col min="26" max="26" width="12.5703125" style="4" bestFit="1" customWidth="1"/>
    <col min="27" max="16384" width="9.28515625" style="4"/>
  </cols>
  <sheetData>
    <row r="1" spans="1:23" s="37" customFormat="1" x14ac:dyDescent="0.25">
      <c r="A1" s="149"/>
      <c r="B1" s="150"/>
      <c r="C1" s="151"/>
      <c r="D1" s="151"/>
      <c r="E1" s="151"/>
      <c r="F1" s="151"/>
      <c r="G1" s="151"/>
      <c r="H1" s="151"/>
      <c r="I1" s="463"/>
      <c r="J1" s="463"/>
      <c r="K1" s="304"/>
      <c r="O1" s="305"/>
      <c r="V1" s="464" t="s">
        <v>628</v>
      </c>
      <c r="W1" s="464"/>
    </row>
    <row r="2" spans="1:23" s="37" customFormat="1" x14ac:dyDescent="0.25">
      <c r="A2" s="465" t="s">
        <v>275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</row>
    <row r="3" spans="1:23" s="37" customFormat="1" x14ac:dyDescent="0.25">
      <c r="A3" s="362" t="s">
        <v>2</v>
      </c>
      <c r="B3" s="362" t="s">
        <v>276</v>
      </c>
      <c r="C3" s="362" t="s">
        <v>189</v>
      </c>
      <c r="D3" s="362" t="s">
        <v>187</v>
      </c>
      <c r="E3" s="362"/>
      <c r="F3" s="362"/>
      <c r="G3" s="362"/>
      <c r="H3" s="529" t="s">
        <v>188</v>
      </c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1"/>
      <c r="W3" s="362" t="s">
        <v>629</v>
      </c>
    </row>
    <row r="4" spans="1:23" s="37" customFormat="1" x14ac:dyDescent="0.25">
      <c r="A4" s="362"/>
      <c r="B4" s="362"/>
      <c r="C4" s="362"/>
      <c r="D4" s="10" t="s">
        <v>189</v>
      </c>
      <c r="E4" s="10" t="s">
        <v>190</v>
      </c>
      <c r="F4" s="10" t="s">
        <v>191</v>
      </c>
      <c r="G4" s="10" t="s">
        <v>192</v>
      </c>
      <c r="H4" s="10">
        <v>2014</v>
      </c>
      <c r="I4" s="10">
        <v>2015</v>
      </c>
      <c r="J4" s="10">
        <v>2016</v>
      </c>
      <c r="K4" s="10">
        <v>2017</v>
      </c>
      <c r="L4" s="10">
        <v>2018</v>
      </c>
      <c r="M4" s="10">
        <v>2019</v>
      </c>
      <c r="N4" s="10">
        <v>2020</v>
      </c>
      <c r="O4" s="10">
        <v>2021</v>
      </c>
      <c r="P4" s="10">
        <v>2022</v>
      </c>
      <c r="Q4" s="10">
        <v>2023</v>
      </c>
      <c r="R4" s="10">
        <v>2024</v>
      </c>
      <c r="S4" s="10">
        <v>2025</v>
      </c>
      <c r="T4" s="10">
        <v>2026</v>
      </c>
      <c r="U4" s="10">
        <v>2027</v>
      </c>
      <c r="V4" s="10" t="s">
        <v>193</v>
      </c>
      <c r="W4" s="362"/>
    </row>
    <row r="5" spans="1:23" x14ac:dyDescent="0.25">
      <c r="A5" s="374" t="s">
        <v>618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</row>
    <row r="6" spans="1:23" x14ac:dyDescent="0.25">
      <c r="A6" s="541" t="s">
        <v>630</v>
      </c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3"/>
    </row>
    <row r="7" spans="1:23" x14ac:dyDescent="0.25">
      <c r="A7" s="447" t="s">
        <v>108</v>
      </c>
      <c r="B7" s="390" t="s">
        <v>631</v>
      </c>
      <c r="C7" s="390" t="s">
        <v>281</v>
      </c>
      <c r="D7" s="25" t="s">
        <v>200</v>
      </c>
      <c r="E7" s="25" t="s">
        <v>501</v>
      </c>
      <c r="F7" s="25" t="s">
        <v>632</v>
      </c>
      <c r="G7" s="9">
        <v>120</v>
      </c>
      <c r="H7" s="306">
        <v>1257.5999999999999</v>
      </c>
      <c r="I7" s="306">
        <v>1420.8</v>
      </c>
      <c r="J7" s="306">
        <v>1452.9</v>
      </c>
      <c r="K7" s="306">
        <v>1366.4</v>
      </c>
      <c r="L7" s="306">
        <v>1552.5</v>
      </c>
      <c r="M7" s="306">
        <v>1792.7</v>
      </c>
      <c r="N7" s="306">
        <v>1967.9</v>
      </c>
      <c r="O7" s="306">
        <v>2231.1</v>
      </c>
      <c r="P7" s="306">
        <v>2735.3</v>
      </c>
      <c r="Q7" s="306">
        <v>2955.2</v>
      </c>
      <c r="R7" s="307">
        <v>3254.1</v>
      </c>
      <c r="S7" s="306">
        <v>3460</v>
      </c>
      <c r="T7" s="306">
        <v>3280</v>
      </c>
      <c r="U7" s="306">
        <f>T7</f>
        <v>3280</v>
      </c>
      <c r="V7" s="306">
        <f>SUM(H7:U7)</f>
        <v>32006.5</v>
      </c>
      <c r="W7" s="390" t="s">
        <v>633</v>
      </c>
    </row>
    <row r="8" spans="1:23" x14ac:dyDescent="0.25">
      <c r="A8" s="456"/>
      <c r="B8" s="391"/>
      <c r="C8" s="391"/>
      <c r="D8" s="9">
        <v>975</v>
      </c>
      <c r="E8" s="25" t="s">
        <v>501</v>
      </c>
      <c r="F8" s="25" t="s">
        <v>632</v>
      </c>
      <c r="G8" s="9" t="s">
        <v>634</v>
      </c>
      <c r="H8" s="306">
        <v>318.60000000000002</v>
      </c>
      <c r="I8" s="306">
        <v>600.70000000000005</v>
      </c>
      <c r="J8" s="306">
        <v>513.5</v>
      </c>
      <c r="K8" s="306">
        <f>411.1+0.5</f>
        <v>411.6</v>
      </c>
      <c r="L8" s="306">
        <v>298.89999999999998</v>
      </c>
      <c r="M8" s="306">
        <v>317.5</v>
      </c>
      <c r="N8" s="306">
        <f>299.8+0.9+36.1</f>
        <v>336.8</v>
      </c>
      <c r="O8" s="306">
        <f>311.9+0.9</f>
        <v>312.79999999999995</v>
      </c>
      <c r="P8" s="306">
        <v>318.5</v>
      </c>
      <c r="Q8" s="306">
        <v>467.8</v>
      </c>
      <c r="R8" s="307">
        <v>450.8</v>
      </c>
      <c r="S8" s="306">
        <v>450.8</v>
      </c>
      <c r="T8" s="306">
        <f t="shared" ref="R8:U53" si="0">S8</f>
        <v>450.8</v>
      </c>
      <c r="U8" s="306">
        <f t="shared" si="0"/>
        <v>450.8</v>
      </c>
      <c r="V8" s="306">
        <f t="shared" ref="V8:V54" si="1">SUM(H8:U8)</f>
        <v>5699.9000000000015</v>
      </c>
      <c r="W8" s="391"/>
    </row>
    <row r="9" spans="1:23" x14ac:dyDescent="0.25">
      <c r="A9" s="456"/>
      <c r="B9" s="391"/>
      <c r="C9" s="391"/>
      <c r="D9" s="280" t="s">
        <v>200</v>
      </c>
      <c r="E9" s="25" t="s">
        <v>501</v>
      </c>
      <c r="F9" s="25" t="s">
        <v>635</v>
      </c>
      <c r="G9" s="9">
        <v>120</v>
      </c>
      <c r="H9" s="306">
        <v>330.4</v>
      </c>
      <c r="I9" s="306">
        <v>342.6</v>
      </c>
      <c r="J9" s="306">
        <v>342.6</v>
      </c>
      <c r="K9" s="306">
        <v>335.6</v>
      </c>
      <c r="L9" s="306">
        <v>343.5</v>
      </c>
      <c r="M9" s="306">
        <v>360.3</v>
      </c>
      <c r="N9" s="306">
        <v>373.6</v>
      </c>
      <c r="O9" s="306">
        <v>431.7</v>
      </c>
      <c r="P9" s="306">
        <v>435.4</v>
      </c>
      <c r="Q9" s="306">
        <v>542.29999999999995</v>
      </c>
      <c r="R9" s="307">
        <v>626.1</v>
      </c>
      <c r="S9" s="306">
        <v>692.1</v>
      </c>
      <c r="T9" s="306">
        <v>632.1</v>
      </c>
      <c r="U9" s="306">
        <v>632.1</v>
      </c>
      <c r="V9" s="306">
        <f t="shared" si="1"/>
        <v>6420.4000000000015</v>
      </c>
      <c r="W9" s="391"/>
    </row>
    <row r="10" spans="1:23" x14ac:dyDescent="0.25">
      <c r="A10" s="456"/>
      <c r="B10" s="391"/>
      <c r="C10" s="391"/>
      <c r="D10" s="280" t="s">
        <v>200</v>
      </c>
      <c r="E10" s="25" t="s">
        <v>501</v>
      </c>
      <c r="F10" s="25" t="s">
        <v>705</v>
      </c>
      <c r="G10" s="9">
        <v>120</v>
      </c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>
        <v>283.39999999999998</v>
      </c>
      <c r="T10" s="306"/>
      <c r="U10" s="306"/>
      <c r="V10" s="306"/>
      <c r="W10" s="391"/>
    </row>
    <row r="11" spans="1:23" x14ac:dyDescent="0.25">
      <c r="A11" s="456"/>
      <c r="B11" s="391"/>
      <c r="C11" s="391"/>
      <c r="D11" s="280" t="s">
        <v>200</v>
      </c>
      <c r="E11" s="25" t="s">
        <v>501</v>
      </c>
      <c r="F11" s="25" t="s">
        <v>636</v>
      </c>
      <c r="G11" s="9">
        <v>120</v>
      </c>
      <c r="H11" s="306"/>
      <c r="I11" s="306"/>
      <c r="J11" s="306"/>
      <c r="K11" s="306"/>
      <c r="L11" s="306"/>
      <c r="M11" s="306"/>
      <c r="N11" s="306">
        <v>16.3</v>
      </c>
      <c r="O11" s="306"/>
      <c r="P11" s="306"/>
      <c r="Q11" s="306"/>
      <c r="R11" s="306">
        <f t="shared" si="0"/>
        <v>0</v>
      </c>
      <c r="S11" s="306">
        <f t="shared" si="0"/>
        <v>0</v>
      </c>
      <c r="T11" s="306">
        <f t="shared" si="0"/>
        <v>0</v>
      </c>
      <c r="U11" s="306">
        <f t="shared" si="0"/>
        <v>0</v>
      </c>
      <c r="V11" s="306">
        <f t="shared" si="1"/>
        <v>16.3</v>
      </c>
      <c r="W11" s="391"/>
    </row>
    <row r="12" spans="1:23" x14ac:dyDescent="0.25">
      <c r="A12" s="456"/>
      <c r="B12" s="391"/>
      <c r="C12" s="391"/>
      <c r="D12" s="280" t="s">
        <v>200</v>
      </c>
      <c r="E12" s="25" t="s">
        <v>501</v>
      </c>
      <c r="F12" s="25" t="s">
        <v>637</v>
      </c>
      <c r="G12" s="9">
        <v>120</v>
      </c>
      <c r="H12" s="306"/>
      <c r="I12" s="306"/>
      <c r="J12" s="306"/>
      <c r="K12" s="306"/>
      <c r="L12" s="306"/>
      <c r="M12" s="306"/>
      <c r="N12" s="306">
        <v>21.7</v>
      </c>
      <c r="O12" s="306"/>
      <c r="P12" s="306"/>
      <c r="Q12" s="306">
        <f t="shared" ref="Q12:Q53" si="2">P12</f>
        <v>0</v>
      </c>
      <c r="R12" s="306">
        <f t="shared" si="0"/>
        <v>0</v>
      </c>
      <c r="S12" s="306">
        <f t="shared" si="0"/>
        <v>0</v>
      </c>
      <c r="T12" s="306">
        <f t="shared" si="0"/>
        <v>0</v>
      </c>
      <c r="U12" s="306">
        <f t="shared" si="0"/>
        <v>0</v>
      </c>
      <c r="V12" s="306">
        <f t="shared" si="1"/>
        <v>21.7</v>
      </c>
      <c r="W12" s="391"/>
    </row>
    <row r="13" spans="1:23" x14ac:dyDescent="0.25">
      <c r="A13" s="456"/>
      <c r="B13" s="391"/>
      <c r="C13" s="391"/>
      <c r="D13" s="280" t="s">
        <v>200</v>
      </c>
      <c r="E13" s="25" t="s">
        <v>501</v>
      </c>
      <c r="F13" s="25" t="s">
        <v>638</v>
      </c>
      <c r="G13" s="9">
        <v>120</v>
      </c>
      <c r="H13" s="306"/>
      <c r="I13" s="306"/>
      <c r="J13" s="306"/>
      <c r="K13" s="306"/>
      <c r="L13" s="306"/>
      <c r="M13" s="306"/>
      <c r="N13" s="306">
        <v>3.1</v>
      </c>
      <c r="O13" s="306"/>
      <c r="P13" s="306"/>
      <c r="Q13" s="306"/>
      <c r="R13" s="306">
        <f t="shared" si="0"/>
        <v>0</v>
      </c>
      <c r="S13" s="306">
        <f t="shared" si="0"/>
        <v>0</v>
      </c>
      <c r="T13" s="306">
        <f t="shared" si="0"/>
        <v>0</v>
      </c>
      <c r="U13" s="306">
        <f t="shared" si="0"/>
        <v>0</v>
      </c>
      <c r="V13" s="306">
        <f t="shared" si="1"/>
        <v>3.1</v>
      </c>
      <c r="W13" s="391"/>
    </row>
    <row r="14" spans="1:23" x14ac:dyDescent="0.25">
      <c r="A14" s="456"/>
      <c r="B14" s="391"/>
      <c r="C14" s="391"/>
      <c r="D14" s="280" t="s">
        <v>200</v>
      </c>
      <c r="E14" s="25" t="s">
        <v>501</v>
      </c>
      <c r="F14" s="25" t="s">
        <v>639</v>
      </c>
      <c r="G14" s="9">
        <v>120</v>
      </c>
      <c r="H14" s="306"/>
      <c r="I14" s="306"/>
      <c r="J14" s="306"/>
      <c r="K14" s="306"/>
      <c r="L14" s="306"/>
      <c r="M14" s="306"/>
      <c r="N14" s="306">
        <v>228.4</v>
      </c>
      <c r="O14" s="306"/>
      <c r="P14" s="306"/>
      <c r="Q14" s="306">
        <f t="shared" si="2"/>
        <v>0</v>
      </c>
      <c r="R14" s="306">
        <f t="shared" si="0"/>
        <v>0</v>
      </c>
      <c r="S14" s="306">
        <f t="shared" si="0"/>
        <v>0</v>
      </c>
      <c r="T14" s="306">
        <f t="shared" si="0"/>
        <v>0</v>
      </c>
      <c r="U14" s="306">
        <f t="shared" si="0"/>
        <v>0</v>
      </c>
      <c r="V14" s="306">
        <f t="shared" si="1"/>
        <v>228.4</v>
      </c>
      <c r="W14" s="391"/>
    </row>
    <row r="15" spans="1:23" x14ac:dyDescent="0.25">
      <c r="A15" s="456"/>
      <c r="B15" s="391"/>
      <c r="C15" s="391"/>
      <c r="D15" s="280"/>
      <c r="E15" s="25" t="s">
        <v>501</v>
      </c>
      <c r="F15" s="25" t="s">
        <v>640</v>
      </c>
      <c r="G15" s="9">
        <v>831</v>
      </c>
      <c r="H15" s="306"/>
      <c r="I15" s="306"/>
      <c r="J15" s="306"/>
      <c r="K15" s="306"/>
      <c r="L15" s="306"/>
      <c r="M15" s="306"/>
      <c r="N15" s="306"/>
      <c r="O15" s="306">
        <v>160.9</v>
      </c>
      <c r="P15" s="306"/>
      <c r="Q15" s="306"/>
      <c r="R15" s="306"/>
      <c r="S15" s="306"/>
      <c r="T15" s="306"/>
      <c r="U15" s="306"/>
      <c r="V15" s="306">
        <f t="shared" si="1"/>
        <v>160.9</v>
      </c>
      <c r="W15" s="391"/>
    </row>
    <row r="16" spans="1:23" x14ac:dyDescent="0.25">
      <c r="A16" s="456"/>
      <c r="B16" s="391"/>
      <c r="C16" s="391"/>
      <c r="D16" s="280" t="s">
        <v>200</v>
      </c>
      <c r="E16" s="25" t="s">
        <v>501</v>
      </c>
      <c r="F16" s="25" t="s">
        <v>641</v>
      </c>
      <c r="G16" s="9">
        <v>120</v>
      </c>
      <c r="H16" s="306"/>
      <c r="I16" s="306"/>
      <c r="J16" s="306"/>
      <c r="K16" s="306"/>
      <c r="L16" s="306"/>
      <c r="M16" s="306">
        <v>36.4</v>
      </c>
      <c r="N16" s="306"/>
      <c r="O16" s="306"/>
      <c r="P16" s="306">
        <f t="shared" ref="P16:P21" si="3">O16</f>
        <v>0</v>
      </c>
      <c r="Q16" s="306">
        <f t="shared" si="2"/>
        <v>0</v>
      </c>
      <c r="R16" s="306">
        <f t="shared" si="0"/>
        <v>0</v>
      </c>
      <c r="S16" s="306">
        <f t="shared" si="0"/>
        <v>0</v>
      </c>
      <c r="T16" s="306">
        <f t="shared" si="0"/>
        <v>0</v>
      </c>
      <c r="U16" s="306">
        <f t="shared" si="0"/>
        <v>0</v>
      </c>
      <c r="V16" s="306">
        <f t="shared" si="1"/>
        <v>36.4</v>
      </c>
      <c r="W16" s="391"/>
    </row>
    <row r="17" spans="1:25" x14ac:dyDescent="0.25">
      <c r="A17" s="456"/>
      <c r="B17" s="391"/>
      <c r="C17" s="391"/>
      <c r="D17" s="9" t="s">
        <v>200</v>
      </c>
      <c r="E17" s="25" t="s">
        <v>501</v>
      </c>
      <c r="F17" s="25" t="s">
        <v>642</v>
      </c>
      <c r="G17" s="9">
        <v>120</v>
      </c>
      <c r="H17" s="306"/>
      <c r="I17" s="306"/>
      <c r="J17" s="306"/>
      <c r="K17" s="306"/>
      <c r="L17" s="306">
        <v>96.2</v>
      </c>
      <c r="M17" s="306"/>
      <c r="N17" s="306"/>
      <c r="O17" s="306"/>
      <c r="P17" s="306">
        <f t="shared" si="3"/>
        <v>0</v>
      </c>
      <c r="Q17" s="306">
        <f t="shared" si="2"/>
        <v>0</v>
      </c>
      <c r="R17" s="306">
        <f t="shared" si="0"/>
        <v>0</v>
      </c>
      <c r="S17" s="306">
        <f t="shared" si="0"/>
        <v>0</v>
      </c>
      <c r="T17" s="306">
        <f t="shared" si="0"/>
        <v>0</v>
      </c>
      <c r="U17" s="306">
        <f t="shared" si="0"/>
        <v>0</v>
      </c>
      <c r="V17" s="306">
        <f t="shared" si="1"/>
        <v>96.2</v>
      </c>
      <c r="W17" s="391"/>
    </row>
    <row r="18" spans="1:25" ht="31.5" x14ac:dyDescent="0.25">
      <c r="A18" s="448"/>
      <c r="B18" s="406"/>
      <c r="C18" s="406"/>
      <c r="D18" s="9">
        <v>975</v>
      </c>
      <c r="E18" s="25" t="s">
        <v>501</v>
      </c>
      <c r="F18" s="25" t="s">
        <v>643</v>
      </c>
      <c r="G18" s="9">
        <v>120</v>
      </c>
      <c r="H18" s="306"/>
      <c r="I18" s="306"/>
      <c r="J18" s="306"/>
      <c r="K18" s="306"/>
      <c r="L18" s="306">
        <v>12.8</v>
      </c>
      <c r="M18" s="306">
        <v>3.8</v>
      </c>
      <c r="N18" s="306"/>
      <c r="O18" s="306"/>
      <c r="P18" s="306">
        <f t="shared" si="3"/>
        <v>0</v>
      </c>
      <c r="Q18" s="306">
        <f t="shared" si="2"/>
        <v>0</v>
      </c>
      <c r="R18" s="306">
        <f t="shared" si="0"/>
        <v>0</v>
      </c>
      <c r="S18" s="306">
        <f t="shared" si="0"/>
        <v>0</v>
      </c>
      <c r="T18" s="306">
        <f t="shared" si="0"/>
        <v>0</v>
      </c>
      <c r="U18" s="306">
        <f t="shared" si="0"/>
        <v>0</v>
      </c>
      <c r="V18" s="306">
        <f t="shared" si="1"/>
        <v>16.600000000000001</v>
      </c>
      <c r="W18" s="406"/>
    </row>
    <row r="19" spans="1:25" ht="31.5" x14ac:dyDescent="0.25">
      <c r="A19" s="163"/>
      <c r="B19" s="279"/>
      <c r="C19" s="12"/>
      <c r="D19" s="25">
        <v>975</v>
      </c>
      <c r="E19" s="25" t="s">
        <v>501</v>
      </c>
      <c r="F19" s="25" t="s">
        <v>644</v>
      </c>
      <c r="G19" s="9">
        <v>120</v>
      </c>
      <c r="H19" s="306"/>
      <c r="I19" s="306"/>
      <c r="J19" s="306"/>
      <c r="K19" s="306"/>
      <c r="L19" s="306">
        <v>55.9</v>
      </c>
      <c r="M19" s="306">
        <v>18.100000000000001</v>
      </c>
      <c r="N19" s="306"/>
      <c r="O19" s="306"/>
      <c r="P19" s="306">
        <f t="shared" si="3"/>
        <v>0</v>
      </c>
      <c r="Q19" s="306">
        <f t="shared" si="2"/>
        <v>0</v>
      </c>
      <c r="R19" s="306">
        <f t="shared" si="0"/>
        <v>0</v>
      </c>
      <c r="S19" s="306">
        <f t="shared" si="0"/>
        <v>0</v>
      </c>
      <c r="T19" s="306">
        <f t="shared" si="0"/>
        <v>0</v>
      </c>
      <c r="U19" s="306">
        <f t="shared" si="0"/>
        <v>0</v>
      </c>
      <c r="V19" s="306">
        <f t="shared" si="1"/>
        <v>74</v>
      </c>
      <c r="W19" s="167"/>
      <c r="Y19" s="308">
        <f>P19+P21+P28+P29+P30+P37+P39+P42+P49</f>
        <v>9269.5</v>
      </c>
    </row>
    <row r="20" spans="1:25" x14ac:dyDescent="0.25">
      <c r="A20" s="432" t="s">
        <v>645</v>
      </c>
      <c r="B20" s="362" t="s">
        <v>646</v>
      </c>
      <c r="C20" s="362" t="s">
        <v>647</v>
      </c>
      <c r="D20" s="25" t="s">
        <v>200</v>
      </c>
      <c r="E20" s="25" t="s">
        <v>501</v>
      </c>
      <c r="F20" s="25" t="s">
        <v>648</v>
      </c>
      <c r="G20" s="9">
        <v>110</v>
      </c>
      <c r="H20" s="309">
        <v>623.6</v>
      </c>
      <c r="I20" s="309">
        <v>623.6</v>
      </c>
      <c r="J20" s="309">
        <v>623.6</v>
      </c>
      <c r="K20" s="309">
        <v>610</v>
      </c>
      <c r="L20" s="309">
        <f>623.6</f>
        <v>623.6</v>
      </c>
      <c r="M20" s="309">
        <v>623.6</v>
      </c>
      <c r="N20" s="309">
        <v>623.6</v>
      </c>
      <c r="O20" s="309">
        <v>623.6</v>
      </c>
      <c r="P20" s="306">
        <v>623.6</v>
      </c>
      <c r="Q20" s="306">
        <v>623.6</v>
      </c>
      <c r="R20" s="306">
        <f>Q20</f>
        <v>623.6</v>
      </c>
      <c r="S20" s="306">
        <f t="shared" si="0"/>
        <v>623.6</v>
      </c>
      <c r="T20" s="306">
        <f t="shared" si="0"/>
        <v>623.6</v>
      </c>
      <c r="U20" s="306">
        <f t="shared" si="0"/>
        <v>623.6</v>
      </c>
      <c r="V20" s="306">
        <f t="shared" si="1"/>
        <v>8716.8000000000029</v>
      </c>
      <c r="W20" s="374" t="s">
        <v>649</v>
      </c>
    </row>
    <row r="21" spans="1:25" x14ac:dyDescent="0.25">
      <c r="A21" s="432" t="s">
        <v>650</v>
      </c>
      <c r="B21" s="362" t="s">
        <v>651</v>
      </c>
      <c r="C21" s="362" t="s">
        <v>652</v>
      </c>
      <c r="D21" s="25" t="s">
        <v>203</v>
      </c>
      <c r="E21" s="25" t="s">
        <v>501</v>
      </c>
      <c r="F21" s="25" t="s">
        <v>653</v>
      </c>
      <c r="G21" s="9">
        <v>110</v>
      </c>
      <c r="H21" s="309"/>
      <c r="I21" s="309"/>
      <c r="J21" s="309"/>
      <c r="K21" s="309"/>
      <c r="L21" s="309">
        <v>564.29999999999995</v>
      </c>
      <c r="M21" s="309"/>
      <c r="N21" s="309"/>
      <c r="O21" s="309"/>
      <c r="P21" s="306">
        <f t="shared" si="3"/>
        <v>0</v>
      </c>
      <c r="Q21" s="306">
        <f t="shared" si="2"/>
        <v>0</v>
      </c>
      <c r="R21" s="306">
        <f t="shared" si="0"/>
        <v>0</v>
      </c>
      <c r="S21" s="306">
        <f t="shared" si="0"/>
        <v>0</v>
      </c>
      <c r="T21" s="306">
        <f t="shared" si="0"/>
        <v>0</v>
      </c>
      <c r="U21" s="306">
        <f t="shared" si="0"/>
        <v>0</v>
      </c>
      <c r="V21" s="306">
        <f t="shared" si="1"/>
        <v>564.29999999999995</v>
      </c>
      <c r="W21" s="374" t="s">
        <v>654</v>
      </c>
    </row>
    <row r="22" spans="1:25" x14ac:dyDescent="0.25">
      <c r="A22" s="432"/>
      <c r="B22" s="362"/>
      <c r="C22" s="362"/>
      <c r="D22" s="25" t="s">
        <v>203</v>
      </c>
      <c r="E22" s="25" t="s">
        <v>501</v>
      </c>
      <c r="F22" s="25" t="s">
        <v>648</v>
      </c>
      <c r="G22" s="9">
        <v>110</v>
      </c>
      <c r="H22" s="309">
        <v>13131.6</v>
      </c>
      <c r="I22" s="309">
        <v>13815.5</v>
      </c>
      <c r="J22" s="309">
        <v>14161.8</v>
      </c>
      <c r="K22" s="309">
        <v>14410.6</v>
      </c>
      <c r="L22" s="309">
        <f>11061.4+19+3328.3</f>
        <v>14408.7</v>
      </c>
      <c r="M22" s="309">
        <v>15224.3</v>
      </c>
      <c r="N22" s="309">
        <v>15816.8</v>
      </c>
      <c r="O22" s="309">
        <v>19123.3</v>
      </c>
      <c r="P22" s="309">
        <v>23638.7</v>
      </c>
      <c r="Q22" s="306">
        <v>26277.8</v>
      </c>
      <c r="R22" s="306">
        <v>31834.6</v>
      </c>
      <c r="S22" s="306">
        <v>34398.6</v>
      </c>
      <c r="T22" s="306">
        <v>32058.799999999999</v>
      </c>
      <c r="U22" s="306">
        <f t="shared" si="0"/>
        <v>32058.799999999999</v>
      </c>
      <c r="V22" s="306">
        <f t="shared" si="1"/>
        <v>300359.90000000002</v>
      </c>
      <c r="W22" s="374"/>
    </row>
    <row r="23" spans="1:25" x14ac:dyDescent="0.25">
      <c r="A23" s="432"/>
      <c r="B23" s="362"/>
      <c r="C23" s="362"/>
      <c r="D23" s="25" t="s">
        <v>203</v>
      </c>
      <c r="E23" s="25" t="s">
        <v>501</v>
      </c>
      <c r="F23" s="25" t="s">
        <v>655</v>
      </c>
      <c r="G23" s="9">
        <v>110</v>
      </c>
      <c r="H23" s="309"/>
      <c r="I23" s="309">
        <v>9.6999999999999993</v>
      </c>
      <c r="J23" s="309">
        <v>10.9</v>
      </c>
      <c r="K23" s="309">
        <v>12.4</v>
      </c>
      <c r="L23" s="309">
        <v>52.5</v>
      </c>
      <c r="M23" s="309">
        <v>130.5</v>
      </c>
      <c r="N23" s="309">
        <v>159.9</v>
      </c>
      <c r="O23" s="309"/>
      <c r="P23" s="306"/>
      <c r="Q23" s="306">
        <f t="shared" si="2"/>
        <v>0</v>
      </c>
      <c r="R23" s="306">
        <f t="shared" si="0"/>
        <v>0</v>
      </c>
      <c r="S23" s="306">
        <f t="shared" si="0"/>
        <v>0</v>
      </c>
      <c r="T23" s="306">
        <f t="shared" si="0"/>
        <v>0</v>
      </c>
      <c r="U23" s="306">
        <f t="shared" si="0"/>
        <v>0</v>
      </c>
      <c r="V23" s="306">
        <f t="shared" si="1"/>
        <v>375.9</v>
      </c>
      <c r="W23" s="374"/>
    </row>
    <row r="24" spans="1:25" ht="47.25" x14ac:dyDescent="0.25">
      <c r="A24" s="432"/>
      <c r="B24" s="362"/>
      <c r="C24" s="362"/>
      <c r="D24" s="25" t="s">
        <v>203</v>
      </c>
      <c r="E24" s="25" t="s">
        <v>501</v>
      </c>
      <c r="F24" s="25" t="s">
        <v>656</v>
      </c>
      <c r="G24" s="9">
        <v>110</v>
      </c>
      <c r="H24" s="309"/>
      <c r="I24" s="309"/>
      <c r="J24" s="309"/>
      <c r="K24" s="309"/>
      <c r="L24" s="309"/>
      <c r="M24" s="309">
        <v>8.9</v>
      </c>
      <c r="N24" s="309">
        <v>97.3</v>
      </c>
      <c r="O24" s="309">
        <v>0</v>
      </c>
      <c r="P24" s="306">
        <v>81</v>
      </c>
      <c r="Q24" s="306">
        <v>0</v>
      </c>
      <c r="R24" s="306">
        <f t="shared" si="0"/>
        <v>0</v>
      </c>
      <c r="S24" s="306">
        <f t="shared" si="0"/>
        <v>0</v>
      </c>
      <c r="T24" s="306">
        <f t="shared" si="0"/>
        <v>0</v>
      </c>
      <c r="U24" s="306">
        <f t="shared" si="0"/>
        <v>0</v>
      </c>
      <c r="V24" s="306">
        <f t="shared" si="1"/>
        <v>187.2</v>
      </c>
      <c r="W24" s="374"/>
      <c r="Y24" s="93">
        <f>R21+R28</f>
        <v>0</v>
      </c>
    </row>
    <row r="25" spans="1:25" x14ac:dyDescent="0.25">
      <c r="A25" s="432"/>
      <c r="B25" s="362"/>
      <c r="C25" s="362"/>
      <c r="D25" s="25" t="s">
        <v>203</v>
      </c>
      <c r="E25" s="25" t="s">
        <v>501</v>
      </c>
      <c r="F25" s="25" t="s">
        <v>636</v>
      </c>
      <c r="G25" s="9">
        <v>110</v>
      </c>
      <c r="H25" s="309"/>
      <c r="I25" s="309"/>
      <c r="J25" s="309"/>
      <c r="K25" s="309"/>
      <c r="L25" s="309"/>
      <c r="M25" s="309"/>
      <c r="N25" s="309">
        <v>130.19999999999999</v>
      </c>
      <c r="O25" s="309"/>
      <c r="P25" s="306"/>
      <c r="Q25" s="306"/>
      <c r="R25" s="306">
        <f t="shared" si="0"/>
        <v>0</v>
      </c>
      <c r="S25" s="306">
        <f t="shared" si="0"/>
        <v>0</v>
      </c>
      <c r="T25" s="306">
        <f t="shared" si="0"/>
        <v>0</v>
      </c>
      <c r="U25" s="306">
        <f t="shared" si="0"/>
        <v>0</v>
      </c>
      <c r="V25" s="306">
        <f t="shared" si="1"/>
        <v>130.19999999999999</v>
      </c>
      <c r="W25" s="374"/>
    </row>
    <row r="26" spans="1:25" x14ac:dyDescent="0.25">
      <c r="A26" s="432"/>
      <c r="B26" s="362"/>
      <c r="C26" s="362"/>
      <c r="D26" s="25" t="s">
        <v>203</v>
      </c>
      <c r="E26" s="25" t="s">
        <v>501</v>
      </c>
      <c r="F26" s="25" t="s">
        <v>657</v>
      </c>
      <c r="G26" s="9">
        <v>110</v>
      </c>
      <c r="H26" s="309"/>
      <c r="I26" s="309"/>
      <c r="J26" s="309"/>
      <c r="K26" s="309"/>
      <c r="L26" s="309"/>
      <c r="M26" s="309"/>
      <c r="N26" s="309">
        <v>874.3</v>
      </c>
      <c r="O26" s="309"/>
      <c r="P26" s="306"/>
      <c r="Q26" s="306">
        <f t="shared" si="2"/>
        <v>0</v>
      </c>
      <c r="R26" s="306">
        <f t="shared" si="0"/>
        <v>0</v>
      </c>
      <c r="S26" s="306">
        <f t="shared" si="0"/>
        <v>0</v>
      </c>
      <c r="T26" s="306">
        <f t="shared" si="0"/>
        <v>0</v>
      </c>
      <c r="U26" s="306">
        <f t="shared" si="0"/>
        <v>0</v>
      </c>
      <c r="V26" s="306">
        <f t="shared" si="1"/>
        <v>874.3</v>
      </c>
      <c r="W26" s="374"/>
    </row>
    <row r="27" spans="1:25" x14ac:dyDescent="0.25">
      <c r="A27" s="432"/>
      <c r="B27" s="362"/>
      <c r="C27" s="362"/>
      <c r="D27" s="25" t="s">
        <v>203</v>
      </c>
      <c r="E27" s="25" t="s">
        <v>501</v>
      </c>
      <c r="F27" s="25" t="s">
        <v>658</v>
      </c>
      <c r="G27" s="9">
        <v>110</v>
      </c>
      <c r="H27" s="309"/>
      <c r="I27" s="309"/>
      <c r="J27" s="309"/>
      <c r="K27" s="309"/>
      <c r="L27" s="309"/>
      <c r="M27" s="309">
        <v>137.6</v>
      </c>
      <c r="N27" s="309"/>
      <c r="O27" s="309"/>
      <c r="P27" s="306"/>
      <c r="Q27" s="306">
        <f t="shared" si="2"/>
        <v>0</v>
      </c>
      <c r="R27" s="306">
        <f t="shared" si="0"/>
        <v>0</v>
      </c>
      <c r="S27" s="306">
        <f t="shared" si="0"/>
        <v>0</v>
      </c>
      <c r="T27" s="306">
        <f t="shared" si="0"/>
        <v>0</v>
      </c>
      <c r="U27" s="306">
        <f t="shared" si="0"/>
        <v>0</v>
      </c>
      <c r="V27" s="306">
        <f t="shared" si="1"/>
        <v>137.6</v>
      </c>
      <c r="W27" s="374"/>
    </row>
    <row r="28" spans="1:25" x14ac:dyDescent="0.25">
      <c r="A28" s="432"/>
      <c r="B28" s="362"/>
      <c r="C28" s="362"/>
      <c r="D28" s="25" t="s">
        <v>203</v>
      </c>
      <c r="E28" s="25" t="s">
        <v>501</v>
      </c>
      <c r="F28" s="25" t="s">
        <v>648</v>
      </c>
      <c r="G28" s="9">
        <v>850</v>
      </c>
      <c r="H28" s="309">
        <v>0</v>
      </c>
      <c r="I28" s="309">
        <v>0</v>
      </c>
      <c r="J28" s="309">
        <v>0</v>
      </c>
      <c r="K28" s="309">
        <v>21.8</v>
      </c>
      <c r="L28" s="309">
        <v>0.01</v>
      </c>
      <c r="M28" s="309"/>
      <c r="N28" s="309"/>
      <c r="O28" s="309">
        <v>0.8</v>
      </c>
      <c r="P28" s="309"/>
      <c r="Q28" s="306"/>
      <c r="R28" s="310">
        <f t="shared" si="0"/>
        <v>0</v>
      </c>
      <c r="S28" s="306">
        <f t="shared" si="0"/>
        <v>0</v>
      </c>
      <c r="T28" s="306">
        <f t="shared" si="0"/>
        <v>0</v>
      </c>
      <c r="U28" s="306">
        <f t="shared" si="0"/>
        <v>0</v>
      </c>
      <c r="V28" s="306">
        <f t="shared" si="1"/>
        <v>22.610000000000003</v>
      </c>
      <c r="W28" s="374"/>
    </row>
    <row r="29" spans="1:25" x14ac:dyDescent="0.25">
      <c r="A29" s="432"/>
      <c r="B29" s="374"/>
      <c r="C29" s="374"/>
      <c r="D29" s="25" t="s">
        <v>203</v>
      </c>
      <c r="E29" s="25" t="s">
        <v>501</v>
      </c>
      <c r="F29" s="25" t="s">
        <v>648</v>
      </c>
      <c r="G29" s="9">
        <v>240</v>
      </c>
      <c r="H29" s="309">
        <v>1021.5</v>
      </c>
      <c r="I29" s="309">
        <v>1111.2</v>
      </c>
      <c r="J29" s="309">
        <v>1144</v>
      </c>
      <c r="K29" s="309">
        <v>927.7</v>
      </c>
      <c r="L29" s="309">
        <v>969.6</v>
      </c>
      <c r="M29" s="309">
        <v>1242.5</v>
      </c>
      <c r="N29" s="309">
        <v>1442.2</v>
      </c>
      <c r="O29" s="309">
        <v>2917.2</v>
      </c>
      <c r="P29" s="309">
        <f>3210.2+7.4</f>
        <v>3217.6</v>
      </c>
      <c r="Q29" s="306">
        <v>2443</v>
      </c>
      <c r="R29" s="307">
        <v>2619.6999999999998</v>
      </c>
      <c r="S29" s="306">
        <v>2838.3</v>
      </c>
      <c r="T29" s="306">
        <v>2810.6</v>
      </c>
      <c r="U29" s="306">
        <v>2810.6</v>
      </c>
      <c r="V29" s="306">
        <f t="shared" si="1"/>
        <v>27515.699999999997</v>
      </c>
      <c r="W29" s="374"/>
    </row>
    <row r="30" spans="1:25" x14ac:dyDescent="0.25">
      <c r="A30" s="432" t="s">
        <v>659</v>
      </c>
      <c r="B30" s="374" t="s">
        <v>660</v>
      </c>
      <c r="C30" s="374" t="s">
        <v>706</v>
      </c>
      <c r="D30" s="25" t="s">
        <v>200</v>
      </c>
      <c r="E30" s="25" t="s">
        <v>501</v>
      </c>
      <c r="F30" s="25" t="s">
        <v>648</v>
      </c>
      <c r="G30" s="9">
        <v>110</v>
      </c>
      <c r="H30" s="309">
        <f>2965-H20</f>
        <v>2341.4</v>
      </c>
      <c r="I30" s="309">
        <f>3154-I20</f>
        <v>2530.4</v>
      </c>
      <c r="J30" s="309">
        <f>3155.8-J20</f>
        <v>2532.2000000000003</v>
      </c>
      <c r="K30" s="309">
        <f>4414.9-K20</f>
        <v>3804.8999999999996</v>
      </c>
      <c r="L30" s="309">
        <f>4501.5-L20</f>
        <v>3877.9</v>
      </c>
      <c r="M30" s="309">
        <f>4633.1-M20</f>
        <v>4009.5000000000005</v>
      </c>
      <c r="N30" s="309">
        <f>5167.1-N20</f>
        <v>4543.5</v>
      </c>
      <c r="O30" s="309">
        <f>5798.8-O20</f>
        <v>5175.2</v>
      </c>
      <c r="P30" s="309">
        <f>6635-P20</f>
        <v>6011.4</v>
      </c>
      <c r="Q30" s="306">
        <f>7163.9-Q20</f>
        <v>6540.2999999999993</v>
      </c>
      <c r="R30" s="310">
        <f>8411.9-R20</f>
        <v>7788.2999999999993</v>
      </c>
      <c r="S30" s="306">
        <f>8876.2-S20</f>
        <v>8252.6</v>
      </c>
      <c r="T30" s="306">
        <f>8276.2-T20</f>
        <v>7652.6</v>
      </c>
      <c r="U30" s="306">
        <f>8276.2-U20</f>
        <v>7652.6</v>
      </c>
      <c r="V30" s="306">
        <f t="shared" si="1"/>
        <v>72712.800000000003</v>
      </c>
      <c r="W30" s="374" t="s">
        <v>661</v>
      </c>
    </row>
    <row r="31" spans="1:25" x14ac:dyDescent="0.25">
      <c r="A31" s="432"/>
      <c r="B31" s="374"/>
      <c r="C31" s="374"/>
      <c r="D31" s="25" t="s">
        <v>200</v>
      </c>
      <c r="E31" s="25" t="s">
        <v>501</v>
      </c>
      <c r="F31" s="25" t="s">
        <v>648</v>
      </c>
      <c r="G31" s="9">
        <v>240</v>
      </c>
      <c r="H31" s="309">
        <v>452.8</v>
      </c>
      <c r="I31" s="309">
        <v>540.79999999999995</v>
      </c>
      <c r="J31" s="309">
        <v>696.6</v>
      </c>
      <c r="K31" s="309">
        <v>1035.5</v>
      </c>
      <c r="L31" s="309">
        <v>708.9</v>
      </c>
      <c r="M31" s="309">
        <f>374+50</f>
        <v>424</v>
      </c>
      <c r="N31" s="309">
        <v>333.1</v>
      </c>
      <c r="O31" s="309">
        <f>455.5+39.24+114.8+68.1</f>
        <v>677.64</v>
      </c>
      <c r="P31" s="309">
        <f>794.9+85.7</f>
        <v>880.6</v>
      </c>
      <c r="Q31" s="306">
        <f>1154.2+70</f>
        <v>1224.2</v>
      </c>
      <c r="R31" s="307">
        <v>1081.9000000000001</v>
      </c>
      <c r="S31" s="306">
        <v>1568.2</v>
      </c>
      <c r="T31" s="306">
        <v>1114.4000000000001</v>
      </c>
      <c r="U31" s="306">
        <f t="shared" si="0"/>
        <v>1114.4000000000001</v>
      </c>
      <c r="V31" s="306">
        <f t="shared" si="1"/>
        <v>11853.04</v>
      </c>
      <c r="W31" s="374"/>
    </row>
    <row r="32" spans="1:25" x14ac:dyDescent="0.25">
      <c r="A32" s="432"/>
      <c r="B32" s="374"/>
      <c r="C32" s="374"/>
      <c r="D32" s="25" t="s">
        <v>200</v>
      </c>
      <c r="E32" s="25" t="s">
        <v>501</v>
      </c>
      <c r="F32" s="25" t="s">
        <v>655</v>
      </c>
      <c r="G32" s="9">
        <v>110</v>
      </c>
      <c r="H32" s="309">
        <v>17.100000000000001</v>
      </c>
      <c r="I32" s="309">
        <v>29.8</v>
      </c>
      <c r="J32" s="309">
        <v>46.6</v>
      </c>
      <c r="K32" s="309">
        <v>58.6</v>
      </c>
      <c r="L32" s="309">
        <v>84.9</v>
      </c>
      <c r="M32" s="309">
        <v>136</v>
      </c>
      <c r="N32" s="309">
        <v>115.1</v>
      </c>
      <c r="O32" s="309"/>
      <c r="P32" s="306"/>
      <c r="Q32" s="306"/>
      <c r="R32" s="306">
        <f t="shared" si="0"/>
        <v>0</v>
      </c>
      <c r="S32" s="306">
        <f t="shared" si="0"/>
        <v>0</v>
      </c>
      <c r="T32" s="306">
        <f t="shared" si="0"/>
        <v>0</v>
      </c>
      <c r="U32" s="306">
        <f t="shared" si="0"/>
        <v>0</v>
      </c>
      <c r="V32" s="306">
        <f t="shared" si="1"/>
        <v>488.1</v>
      </c>
      <c r="W32" s="374"/>
    </row>
    <row r="33" spans="1:26" x14ac:dyDescent="0.25">
      <c r="A33" s="432"/>
      <c r="B33" s="374"/>
      <c r="C33" s="374"/>
      <c r="D33" s="25" t="s">
        <v>200</v>
      </c>
      <c r="E33" s="25" t="s">
        <v>501</v>
      </c>
      <c r="F33" s="25" t="s">
        <v>657</v>
      </c>
      <c r="G33" s="9">
        <v>110</v>
      </c>
      <c r="H33" s="309"/>
      <c r="I33" s="309"/>
      <c r="J33" s="309"/>
      <c r="K33" s="309"/>
      <c r="L33" s="309"/>
      <c r="M33" s="309"/>
      <c r="N33" s="309">
        <v>295.8</v>
      </c>
      <c r="O33" s="309"/>
      <c r="P33" s="306"/>
      <c r="Q33" s="306">
        <f t="shared" si="2"/>
        <v>0</v>
      </c>
      <c r="R33" s="306">
        <f t="shared" si="0"/>
        <v>0</v>
      </c>
      <c r="S33" s="306">
        <f t="shared" si="0"/>
        <v>0</v>
      </c>
      <c r="T33" s="306">
        <f t="shared" si="0"/>
        <v>0</v>
      </c>
      <c r="U33" s="306">
        <f t="shared" si="0"/>
        <v>0</v>
      </c>
      <c r="V33" s="306">
        <f t="shared" si="1"/>
        <v>295.8</v>
      </c>
      <c r="W33" s="374"/>
      <c r="Z33" s="93"/>
    </row>
    <row r="34" spans="1:26" x14ac:dyDescent="0.25">
      <c r="A34" s="432"/>
      <c r="B34" s="374"/>
      <c r="C34" s="374"/>
      <c r="D34" s="25" t="s">
        <v>200</v>
      </c>
      <c r="E34" s="25" t="s">
        <v>501</v>
      </c>
      <c r="F34" s="25" t="s">
        <v>636</v>
      </c>
      <c r="G34" s="9">
        <v>110</v>
      </c>
      <c r="H34" s="309"/>
      <c r="I34" s="309"/>
      <c r="J34" s="309"/>
      <c r="K34" s="309"/>
      <c r="L34" s="309"/>
      <c r="M34" s="309"/>
      <c r="N34" s="309">
        <v>42.6</v>
      </c>
      <c r="O34" s="309"/>
      <c r="P34" s="306"/>
      <c r="Q34" s="306"/>
      <c r="R34" s="306">
        <f t="shared" si="0"/>
        <v>0</v>
      </c>
      <c r="S34" s="306">
        <f t="shared" si="0"/>
        <v>0</v>
      </c>
      <c r="T34" s="306">
        <f t="shared" si="0"/>
        <v>0</v>
      </c>
      <c r="U34" s="306">
        <f t="shared" si="0"/>
        <v>0</v>
      </c>
      <c r="V34" s="306">
        <f t="shared" si="1"/>
        <v>42.6</v>
      </c>
      <c r="W34" s="374"/>
    </row>
    <row r="35" spans="1:26" x14ac:dyDescent="0.25">
      <c r="A35" s="432"/>
      <c r="B35" s="374"/>
      <c r="C35" s="374"/>
      <c r="D35" s="25" t="s">
        <v>200</v>
      </c>
      <c r="E35" s="25" t="s">
        <v>501</v>
      </c>
      <c r="F35" s="25" t="s">
        <v>662</v>
      </c>
      <c r="G35" s="9">
        <v>110</v>
      </c>
      <c r="H35" s="309">
        <v>41.5</v>
      </c>
      <c r="I35" s="309">
        <v>4.4000000000000004</v>
      </c>
      <c r="J35" s="309"/>
      <c r="K35" s="309"/>
      <c r="L35" s="309"/>
      <c r="M35" s="309"/>
      <c r="N35" s="309"/>
      <c r="O35" s="309"/>
      <c r="P35" s="306">
        <f>O35</f>
        <v>0</v>
      </c>
      <c r="Q35" s="306">
        <f t="shared" si="2"/>
        <v>0</v>
      </c>
      <c r="R35" s="306">
        <f t="shared" si="0"/>
        <v>0</v>
      </c>
      <c r="S35" s="306">
        <f t="shared" si="0"/>
        <v>0</v>
      </c>
      <c r="T35" s="306">
        <f t="shared" si="0"/>
        <v>0</v>
      </c>
      <c r="U35" s="306">
        <f t="shared" si="0"/>
        <v>0</v>
      </c>
      <c r="V35" s="306">
        <f t="shared" si="1"/>
        <v>45.9</v>
      </c>
      <c r="W35" s="374"/>
    </row>
    <row r="36" spans="1:26" x14ac:dyDescent="0.25">
      <c r="A36" s="432"/>
      <c r="B36" s="374"/>
      <c r="C36" s="374"/>
      <c r="D36" s="25" t="s">
        <v>200</v>
      </c>
      <c r="E36" s="25" t="s">
        <v>501</v>
      </c>
      <c r="F36" s="25" t="s">
        <v>658</v>
      </c>
      <c r="G36" s="9">
        <v>110</v>
      </c>
      <c r="H36" s="309">
        <v>0.6</v>
      </c>
      <c r="I36" s="309"/>
      <c r="J36" s="309"/>
      <c r="K36" s="309"/>
      <c r="L36" s="309"/>
      <c r="M36" s="309">
        <v>52.2</v>
      </c>
      <c r="N36" s="309"/>
      <c r="O36" s="309"/>
      <c r="P36" s="306">
        <f>O36</f>
        <v>0</v>
      </c>
      <c r="Q36" s="306">
        <f t="shared" si="2"/>
        <v>0</v>
      </c>
      <c r="R36" s="306">
        <f t="shared" si="0"/>
        <v>0</v>
      </c>
      <c r="S36" s="306">
        <f t="shared" si="0"/>
        <v>0</v>
      </c>
      <c r="T36" s="306">
        <f t="shared" si="0"/>
        <v>0</v>
      </c>
      <c r="U36" s="306">
        <f t="shared" si="0"/>
        <v>0</v>
      </c>
      <c r="V36" s="306">
        <f t="shared" si="1"/>
        <v>52.800000000000004</v>
      </c>
      <c r="W36" s="374"/>
    </row>
    <row r="37" spans="1:26" ht="47.25" x14ac:dyDescent="0.25">
      <c r="A37" s="432"/>
      <c r="B37" s="374"/>
      <c r="C37" s="374"/>
      <c r="D37" s="25" t="s">
        <v>200</v>
      </c>
      <c r="E37" s="25" t="s">
        <v>501</v>
      </c>
      <c r="F37" s="25" t="s">
        <v>656</v>
      </c>
      <c r="G37" s="9">
        <v>110</v>
      </c>
      <c r="H37" s="309"/>
      <c r="I37" s="309"/>
      <c r="J37" s="309"/>
      <c r="K37" s="309"/>
      <c r="L37" s="309"/>
      <c r="M37" s="309">
        <v>1.3</v>
      </c>
      <c r="N37" s="309">
        <v>12.5</v>
      </c>
      <c r="O37" s="309">
        <v>0</v>
      </c>
      <c r="P37" s="309">
        <v>40.5</v>
      </c>
      <c r="Q37" s="306">
        <v>0</v>
      </c>
      <c r="R37" s="307">
        <f t="shared" si="0"/>
        <v>0</v>
      </c>
      <c r="S37" s="306">
        <f t="shared" si="0"/>
        <v>0</v>
      </c>
      <c r="T37" s="306">
        <f t="shared" si="0"/>
        <v>0</v>
      </c>
      <c r="U37" s="306">
        <f t="shared" si="0"/>
        <v>0</v>
      </c>
      <c r="V37" s="306">
        <f t="shared" si="1"/>
        <v>54.3</v>
      </c>
      <c r="W37" s="374"/>
    </row>
    <row r="38" spans="1:26" x14ac:dyDescent="0.25">
      <c r="A38" s="432"/>
      <c r="B38" s="374"/>
      <c r="C38" s="374"/>
      <c r="D38" s="25" t="s">
        <v>200</v>
      </c>
      <c r="E38" s="25" t="s">
        <v>501</v>
      </c>
      <c r="F38" s="25" t="s">
        <v>648</v>
      </c>
      <c r="G38" s="9">
        <v>350</v>
      </c>
      <c r="H38" s="309"/>
      <c r="I38" s="309"/>
      <c r="J38" s="309">
        <v>178.1</v>
      </c>
      <c r="K38" s="309">
        <v>228.1</v>
      </c>
      <c r="L38" s="309">
        <v>209.8</v>
      </c>
      <c r="M38" s="309">
        <v>280</v>
      </c>
      <c r="N38" s="309">
        <v>260</v>
      </c>
      <c r="O38" s="309">
        <v>280</v>
      </c>
      <c r="P38" s="306">
        <v>280</v>
      </c>
      <c r="Q38" s="306">
        <v>287.89999999999998</v>
      </c>
      <c r="R38" s="307">
        <v>336.5</v>
      </c>
      <c r="S38" s="306">
        <v>369.4</v>
      </c>
      <c r="T38" s="306">
        <f t="shared" si="0"/>
        <v>369.4</v>
      </c>
      <c r="U38" s="306">
        <f t="shared" si="0"/>
        <v>369.4</v>
      </c>
      <c r="V38" s="306">
        <f t="shared" si="1"/>
        <v>3448.6000000000004</v>
      </c>
      <c r="W38" s="374"/>
    </row>
    <row r="39" spans="1:26" x14ac:dyDescent="0.25">
      <c r="A39" s="432"/>
      <c r="B39" s="374"/>
      <c r="C39" s="374"/>
      <c r="D39" s="25" t="s">
        <v>200</v>
      </c>
      <c r="E39" s="25" t="s">
        <v>501</v>
      </c>
      <c r="F39" s="25" t="s">
        <v>648</v>
      </c>
      <c r="G39" s="9">
        <v>360</v>
      </c>
      <c r="H39" s="309"/>
      <c r="I39" s="309"/>
      <c r="J39" s="309">
        <v>102</v>
      </c>
      <c r="K39" s="309">
        <v>70</v>
      </c>
      <c r="L39" s="309">
        <v>100</v>
      </c>
      <c r="M39" s="309"/>
      <c r="N39" s="309"/>
      <c r="O39" s="309"/>
      <c r="P39" s="309">
        <f>O39</f>
        <v>0</v>
      </c>
      <c r="Q39" s="309">
        <f t="shared" si="2"/>
        <v>0</v>
      </c>
      <c r="R39" s="307">
        <f t="shared" si="0"/>
        <v>0</v>
      </c>
      <c r="S39" s="306">
        <f t="shared" si="0"/>
        <v>0</v>
      </c>
      <c r="T39" s="306">
        <f t="shared" si="0"/>
        <v>0</v>
      </c>
      <c r="U39" s="306">
        <f t="shared" si="0"/>
        <v>0</v>
      </c>
      <c r="V39" s="306">
        <f t="shared" si="1"/>
        <v>272</v>
      </c>
      <c r="W39" s="374"/>
    </row>
    <row r="40" spans="1:26" x14ac:dyDescent="0.25">
      <c r="A40" s="432"/>
      <c r="B40" s="374"/>
      <c r="C40" s="374"/>
      <c r="D40" s="25" t="s">
        <v>200</v>
      </c>
      <c r="E40" s="25" t="s">
        <v>501</v>
      </c>
      <c r="F40" s="25" t="s">
        <v>648</v>
      </c>
      <c r="G40" s="9">
        <v>850</v>
      </c>
      <c r="H40" s="309"/>
      <c r="I40" s="309"/>
      <c r="J40" s="309"/>
      <c r="K40" s="309">
        <v>10.1</v>
      </c>
      <c r="L40" s="309"/>
      <c r="M40" s="309">
        <v>0.1</v>
      </c>
      <c r="N40" s="309"/>
      <c r="O40" s="309">
        <v>8</v>
      </c>
      <c r="P40" s="306">
        <v>0.5</v>
      </c>
      <c r="Q40" s="306">
        <v>0.1</v>
      </c>
      <c r="R40" s="307">
        <v>3.2</v>
      </c>
      <c r="S40" s="306"/>
      <c r="T40" s="306"/>
      <c r="U40" s="306"/>
      <c r="V40" s="306">
        <f t="shared" si="1"/>
        <v>22</v>
      </c>
      <c r="W40" s="374"/>
    </row>
    <row r="41" spans="1:26" x14ac:dyDescent="0.25">
      <c r="A41" s="432"/>
      <c r="B41" s="374"/>
      <c r="C41" s="374"/>
      <c r="D41" s="25" t="s">
        <v>200</v>
      </c>
      <c r="E41" s="25" t="s">
        <v>501</v>
      </c>
      <c r="F41" s="25" t="s">
        <v>653</v>
      </c>
      <c r="G41" s="9">
        <v>110</v>
      </c>
      <c r="H41" s="309"/>
      <c r="I41" s="309"/>
      <c r="J41" s="309"/>
      <c r="K41" s="309"/>
      <c r="L41" s="309">
        <v>164.2</v>
      </c>
      <c r="M41" s="309"/>
      <c r="N41" s="309"/>
      <c r="O41" s="309"/>
      <c r="P41" s="306">
        <f>O41</f>
        <v>0</v>
      </c>
      <c r="Q41" s="306">
        <f t="shared" si="2"/>
        <v>0</v>
      </c>
      <c r="R41" s="307">
        <f t="shared" si="0"/>
        <v>0</v>
      </c>
      <c r="S41" s="306">
        <f t="shared" si="0"/>
        <v>0</v>
      </c>
      <c r="T41" s="306">
        <f t="shared" si="0"/>
        <v>0</v>
      </c>
      <c r="U41" s="306">
        <f t="shared" si="0"/>
        <v>0</v>
      </c>
      <c r="V41" s="306">
        <f t="shared" si="1"/>
        <v>164.2</v>
      </c>
      <c r="W41" s="374"/>
    </row>
    <row r="42" spans="1:26" x14ac:dyDescent="0.25">
      <c r="A42" s="440"/>
      <c r="B42" s="390"/>
      <c r="C42" s="390"/>
      <c r="D42" s="25" t="s">
        <v>200</v>
      </c>
      <c r="E42" s="25" t="s">
        <v>501</v>
      </c>
      <c r="F42" s="25" t="s">
        <v>663</v>
      </c>
      <c r="G42" s="9">
        <v>110</v>
      </c>
      <c r="H42" s="309">
        <v>0</v>
      </c>
      <c r="I42" s="309">
        <v>0</v>
      </c>
      <c r="J42" s="309">
        <v>0</v>
      </c>
      <c r="K42" s="309">
        <v>210.1</v>
      </c>
      <c r="L42" s="309"/>
      <c r="M42" s="309">
        <v>0</v>
      </c>
      <c r="N42" s="309">
        <v>0</v>
      </c>
      <c r="O42" s="309">
        <v>0</v>
      </c>
      <c r="P42" s="306">
        <f>O42</f>
        <v>0</v>
      </c>
      <c r="Q42" s="306">
        <f t="shared" si="2"/>
        <v>0</v>
      </c>
      <c r="R42" s="307">
        <f t="shared" si="0"/>
        <v>0</v>
      </c>
      <c r="S42" s="306">
        <f t="shared" si="0"/>
        <v>0</v>
      </c>
      <c r="T42" s="306">
        <f t="shared" si="0"/>
        <v>0</v>
      </c>
      <c r="U42" s="306">
        <f t="shared" si="0"/>
        <v>0</v>
      </c>
      <c r="V42" s="306">
        <f t="shared" si="1"/>
        <v>210.1</v>
      </c>
      <c r="W42" s="374"/>
    </row>
    <row r="43" spans="1:26" x14ac:dyDescent="0.25">
      <c r="A43" s="444" t="s">
        <v>664</v>
      </c>
      <c r="B43" s="391" t="s">
        <v>665</v>
      </c>
      <c r="C43" s="391" t="s">
        <v>666</v>
      </c>
      <c r="D43" s="25" t="s">
        <v>200</v>
      </c>
      <c r="E43" s="25" t="s">
        <v>501</v>
      </c>
      <c r="F43" s="25" t="s">
        <v>648</v>
      </c>
      <c r="G43" s="9">
        <v>110</v>
      </c>
      <c r="H43" s="309"/>
      <c r="I43" s="309"/>
      <c r="J43" s="309"/>
      <c r="K43" s="309"/>
      <c r="L43" s="309"/>
      <c r="M43" s="309">
        <v>2933.4</v>
      </c>
      <c r="N43" s="309">
        <v>7572.5</v>
      </c>
      <c r="O43" s="309">
        <v>11389.5</v>
      </c>
      <c r="P43" s="306">
        <v>12601.2</v>
      </c>
      <c r="Q43" s="306">
        <v>14393.6</v>
      </c>
      <c r="R43" s="306">
        <v>16022.3</v>
      </c>
      <c r="S43" s="306">
        <v>20349.7</v>
      </c>
      <c r="T43" s="306">
        <v>17662.2</v>
      </c>
      <c r="U43" s="306">
        <f t="shared" si="0"/>
        <v>17662.2</v>
      </c>
      <c r="V43" s="306">
        <f t="shared" si="1"/>
        <v>120586.59999999999</v>
      </c>
      <c r="W43" s="374"/>
    </row>
    <row r="44" spans="1:26" ht="47.25" x14ac:dyDescent="0.25">
      <c r="A44" s="444"/>
      <c r="B44" s="391"/>
      <c r="C44" s="391"/>
      <c r="D44" s="25" t="s">
        <v>200</v>
      </c>
      <c r="E44" s="25" t="s">
        <v>501</v>
      </c>
      <c r="F44" s="25" t="s">
        <v>656</v>
      </c>
      <c r="G44" s="9">
        <v>110</v>
      </c>
      <c r="H44" s="309"/>
      <c r="I44" s="309"/>
      <c r="J44" s="309"/>
      <c r="K44" s="309"/>
      <c r="L44" s="309"/>
      <c r="M44" s="309">
        <v>24</v>
      </c>
      <c r="N44" s="309">
        <v>217.3</v>
      </c>
      <c r="O44" s="309"/>
      <c r="P44" s="306">
        <v>324.2</v>
      </c>
      <c r="Q44" s="306">
        <v>0</v>
      </c>
      <c r="R44" s="306">
        <v>0</v>
      </c>
      <c r="S44" s="306">
        <f t="shared" si="0"/>
        <v>0</v>
      </c>
      <c r="T44" s="306">
        <f t="shared" si="0"/>
        <v>0</v>
      </c>
      <c r="U44" s="306">
        <f t="shared" si="0"/>
        <v>0</v>
      </c>
      <c r="V44" s="306">
        <f t="shared" si="1"/>
        <v>565.5</v>
      </c>
      <c r="W44" s="374"/>
      <c r="Z44" s="93">
        <f>R42+R49+R51</f>
        <v>576</v>
      </c>
    </row>
    <row r="45" spans="1:26" x14ac:dyDescent="0.25">
      <c r="A45" s="444"/>
      <c r="B45" s="391"/>
      <c r="C45" s="391"/>
      <c r="D45" s="25" t="s">
        <v>200</v>
      </c>
      <c r="E45" s="25" t="s">
        <v>501</v>
      </c>
      <c r="F45" s="25" t="s">
        <v>636</v>
      </c>
      <c r="G45" s="9">
        <v>110</v>
      </c>
      <c r="H45" s="309"/>
      <c r="I45" s="309"/>
      <c r="J45" s="309"/>
      <c r="K45" s="309"/>
      <c r="L45" s="309"/>
      <c r="M45" s="309"/>
      <c r="N45" s="309">
        <v>62.2</v>
      </c>
      <c r="O45" s="309"/>
      <c r="P45" s="306"/>
      <c r="Q45" s="306"/>
      <c r="R45" s="306">
        <f t="shared" si="0"/>
        <v>0</v>
      </c>
      <c r="S45" s="306">
        <f t="shared" si="0"/>
        <v>0</v>
      </c>
      <c r="T45" s="306">
        <f t="shared" si="0"/>
        <v>0</v>
      </c>
      <c r="U45" s="306">
        <f t="shared" si="0"/>
        <v>0</v>
      </c>
      <c r="V45" s="306">
        <f t="shared" si="1"/>
        <v>62.2</v>
      </c>
      <c r="W45" s="374"/>
    </row>
    <row r="46" spans="1:26" x14ac:dyDescent="0.25">
      <c r="A46" s="444"/>
      <c r="B46" s="391"/>
      <c r="C46" s="391"/>
      <c r="D46" s="25" t="s">
        <v>200</v>
      </c>
      <c r="E46" s="25" t="s">
        <v>501</v>
      </c>
      <c r="F46" s="25" t="s">
        <v>667</v>
      </c>
      <c r="G46" s="9">
        <v>110</v>
      </c>
      <c r="H46" s="309"/>
      <c r="I46" s="309"/>
      <c r="J46" s="309"/>
      <c r="K46" s="309"/>
      <c r="L46" s="309"/>
      <c r="M46" s="309">
        <v>172.3</v>
      </c>
      <c r="N46" s="309"/>
      <c r="O46" s="309"/>
      <c r="P46" s="306"/>
      <c r="Q46" s="306">
        <f t="shared" si="2"/>
        <v>0</v>
      </c>
      <c r="R46" s="306">
        <f t="shared" si="0"/>
        <v>0</v>
      </c>
      <c r="S46" s="306">
        <f t="shared" si="0"/>
        <v>0</v>
      </c>
      <c r="T46" s="306">
        <f t="shared" si="0"/>
        <v>0</v>
      </c>
      <c r="U46" s="306">
        <f t="shared" si="0"/>
        <v>0</v>
      </c>
      <c r="V46" s="306">
        <f t="shared" si="1"/>
        <v>172.3</v>
      </c>
      <c r="W46" s="374"/>
    </row>
    <row r="47" spans="1:26" x14ac:dyDescent="0.25">
      <c r="A47" s="444"/>
      <c r="B47" s="391"/>
      <c r="C47" s="391"/>
      <c r="D47" s="25" t="s">
        <v>200</v>
      </c>
      <c r="E47" s="25" t="s">
        <v>501</v>
      </c>
      <c r="F47" s="25" t="s">
        <v>657</v>
      </c>
      <c r="G47" s="9">
        <v>110</v>
      </c>
      <c r="H47" s="309"/>
      <c r="I47" s="309"/>
      <c r="J47" s="309"/>
      <c r="K47" s="309"/>
      <c r="L47" s="309"/>
      <c r="M47" s="309"/>
      <c r="N47" s="309">
        <v>202.8</v>
      </c>
      <c r="O47" s="309"/>
      <c r="P47" s="306"/>
      <c r="Q47" s="306">
        <f t="shared" si="2"/>
        <v>0</v>
      </c>
      <c r="R47" s="306">
        <f t="shared" si="0"/>
        <v>0</v>
      </c>
      <c r="S47" s="306">
        <f t="shared" si="0"/>
        <v>0</v>
      </c>
      <c r="T47" s="306">
        <f t="shared" si="0"/>
        <v>0</v>
      </c>
      <c r="U47" s="306">
        <f t="shared" si="0"/>
        <v>0</v>
      </c>
      <c r="V47" s="306">
        <f t="shared" si="1"/>
        <v>202.8</v>
      </c>
      <c r="W47" s="374"/>
    </row>
    <row r="48" spans="1:26" x14ac:dyDescent="0.25">
      <c r="A48" s="444"/>
      <c r="B48" s="391"/>
      <c r="C48" s="391"/>
      <c r="D48" s="25" t="s">
        <v>200</v>
      </c>
      <c r="E48" s="25" t="s">
        <v>501</v>
      </c>
      <c r="F48" s="25" t="s">
        <v>658</v>
      </c>
      <c r="G48" s="9">
        <v>110</v>
      </c>
      <c r="H48" s="309"/>
      <c r="I48" s="309"/>
      <c r="J48" s="309"/>
      <c r="K48" s="309"/>
      <c r="L48" s="309"/>
      <c r="M48" s="309">
        <v>51.5</v>
      </c>
      <c r="N48" s="309"/>
      <c r="O48" s="309"/>
      <c r="P48" s="306"/>
      <c r="Q48" s="306">
        <f t="shared" si="2"/>
        <v>0</v>
      </c>
      <c r="R48" s="306">
        <f t="shared" si="0"/>
        <v>0</v>
      </c>
      <c r="S48" s="306">
        <f t="shared" si="0"/>
        <v>0</v>
      </c>
      <c r="T48" s="306">
        <f t="shared" si="0"/>
        <v>0</v>
      </c>
      <c r="U48" s="306">
        <f t="shared" si="0"/>
        <v>0</v>
      </c>
      <c r="V48" s="306">
        <f t="shared" si="1"/>
        <v>51.5</v>
      </c>
      <c r="W48" s="374"/>
    </row>
    <row r="49" spans="1:25" x14ac:dyDescent="0.25">
      <c r="A49" s="444"/>
      <c r="B49" s="391"/>
      <c r="C49" s="391"/>
      <c r="D49" s="25" t="s">
        <v>200</v>
      </c>
      <c r="E49" s="25" t="s">
        <v>501</v>
      </c>
      <c r="F49" s="25" t="s">
        <v>668</v>
      </c>
      <c r="G49" s="9">
        <v>110</v>
      </c>
      <c r="H49" s="309"/>
      <c r="I49" s="309"/>
      <c r="J49" s="309"/>
      <c r="K49" s="309"/>
      <c r="L49" s="309"/>
      <c r="M49" s="309"/>
      <c r="N49" s="309"/>
      <c r="O49" s="309"/>
      <c r="P49" s="306"/>
      <c r="Q49" s="306"/>
      <c r="R49" s="307">
        <v>576</v>
      </c>
      <c r="S49" s="306"/>
      <c r="T49" s="306"/>
      <c r="U49" s="306"/>
      <c r="V49" s="306">
        <f t="shared" si="1"/>
        <v>576</v>
      </c>
      <c r="W49" s="374"/>
    </row>
    <row r="50" spans="1:25" x14ac:dyDescent="0.25">
      <c r="A50" s="444"/>
      <c r="B50" s="391"/>
      <c r="C50" s="391"/>
      <c r="D50" s="25" t="s">
        <v>200</v>
      </c>
      <c r="E50" s="25" t="s">
        <v>501</v>
      </c>
      <c r="F50" s="25" t="s">
        <v>648</v>
      </c>
      <c r="G50" s="9">
        <v>240</v>
      </c>
      <c r="H50" s="309"/>
      <c r="I50" s="309"/>
      <c r="J50" s="309"/>
      <c r="K50" s="309"/>
      <c r="L50" s="309"/>
      <c r="M50" s="309">
        <v>2454.6</v>
      </c>
      <c r="N50" s="309">
        <v>3780.8</v>
      </c>
      <c r="O50" s="309">
        <v>5328</v>
      </c>
      <c r="P50" s="306">
        <f>5411.6+31</f>
        <v>5442.6</v>
      </c>
      <c r="Q50" s="306">
        <v>4921</v>
      </c>
      <c r="R50" s="306">
        <v>4429.1000000000004</v>
      </c>
      <c r="S50" s="306">
        <v>4751.8</v>
      </c>
      <c r="T50" s="306">
        <v>4819.8</v>
      </c>
      <c r="U50" s="306">
        <v>4819.8</v>
      </c>
      <c r="V50" s="306">
        <f t="shared" si="1"/>
        <v>40747.5</v>
      </c>
      <c r="W50" s="374"/>
    </row>
    <row r="51" spans="1:25" x14ac:dyDescent="0.25">
      <c r="A51" s="444"/>
      <c r="B51" s="391"/>
      <c r="C51" s="391"/>
      <c r="D51" s="25" t="s">
        <v>200</v>
      </c>
      <c r="E51" s="25" t="s">
        <v>501</v>
      </c>
      <c r="F51" s="25" t="s">
        <v>648</v>
      </c>
      <c r="G51" s="9">
        <v>320</v>
      </c>
      <c r="H51" s="309"/>
      <c r="I51" s="309"/>
      <c r="J51" s="309"/>
      <c r="K51" s="309"/>
      <c r="L51" s="309"/>
      <c r="M51" s="309">
        <v>310.10000000000002</v>
      </c>
      <c r="N51" s="309"/>
      <c r="O51" s="309"/>
      <c r="P51" s="306">
        <f>O51</f>
        <v>0</v>
      </c>
      <c r="Q51" s="306">
        <f t="shared" si="2"/>
        <v>0</v>
      </c>
      <c r="R51" s="306">
        <f t="shared" si="0"/>
        <v>0</v>
      </c>
      <c r="S51" s="306">
        <f t="shared" si="0"/>
        <v>0</v>
      </c>
      <c r="T51" s="306">
        <f t="shared" si="0"/>
        <v>0</v>
      </c>
      <c r="U51" s="306">
        <f t="shared" si="0"/>
        <v>0</v>
      </c>
      <c r="V51" s="306">
        <f t="shared" si="1"/>
        <v>310.10000000000002</v>
      </c>
      <c r="W51" s="374"/>
    </row>
    <row r="52" spans="1:25" x14ac:dyDescent="0.25">
      <c r="A52" s="441"/>
      <c r="B52" s="406"/>
      <c r="C52" s="406"/>
      <c r="D52" s="25" t="s">
        <v>200</v>
      </c>
      <c r="E52" s="25" t="s">
        <v>501</v>
      </c>
      <c r="F52" s="25" t="s">
        <v>648</v>
      </c>
      <c r="G52" s="9">
        <v>850</v>
      </c>
      <c r="H52" s="309"/>
      <c r="I52" s="309"/>
      <c r="J52" s="309"/>
      <c r="K52" s="309"/>
      <c r="L52" s="309"/>
      <c r="M52" s="309">
        <v>29.3</v>
      </c>
      <c r="N52" s="309">
        <f>21+8.3</f>
        <v>29.3</v>
      </c>
      <c r="O52" s="309"/>
      <c r="P52" s="306">
        <f>37-31</f>
        <v>6</v>
      </c>
      <c r="Q52" s="306">
        <v>5</v>
      </c>
      <c r="R52" s="306">
        <f>5+33.9</f>
        <v>38.9</v>
      </c>
      <c r="S52" s="306">
        <v>5</v>
      </c>
      <c r="T52" s="306">
        <v>5</v>
      </c>
      <c r="U52" s="306">
        <v>5</v>
      </c>
      <c r="V52" s="306">
        <f t="shared" si="1"/>
        <v>123.5</v>
      </c>
      <c r="W52" s="374"/>
    </row>
    <row r="53" spans="1:25" x14ac:dyDescent="0.25">
      <c r="A53" s="368"/>
      <c r="B53" s="368"/>
      <c r="C53" s="10"/>
      <c r="D53" s="25" t="s">
        <v>200</v>
      </c>
      <c r="E53" s="25" t="s">
        <v>501</v>
      </c>
      <c r="F53" s="30" t="s">
        <v>655</v>
      </c>
      <c r="G53" s="25">
        <v>110</v>
      </c>
      <c r="H53" s="309"/>
      <c r="I53" s="309"/>
      <c r="J53" s="309"/>
      <c r="K53" s="309"/>
      <c r="L53" s="309"/>
      <c r="M53" s="309">
        <v>1700.2</v>
      </c>
      <c r="N53" s="309">
        <f>1887.7+576.2</f>
        <v>2463.9</v>
      </c>
      <c r="O53" s="309"/>
      <c r="P53" s="309"/>
      <c r="Q53" s="309">
        <f t="shared" si="2"/>
        <v>0</v>
      </c>
      <c r="R53" s="309">
        <f t="shared" si="0"/>
        <v>0</v>
      </c>
      <c r="S53" s="309">
        <f t="shared" si="0"/>
        <v>0</v>
      </c>
      <c r="T53" s="309">
        <f t="shared" si="0"/>
        <v>0</v>
      </c>
      <c r="U53" s="309">
        <f t="shared" si="0"/>
        <v>0</v>
      </c>
      <c r="V53" s="306">
        <f t="shared" si="1"/>
        <v>4164.1000000000004</v>
      </c>
      <c r="W53" s="374"/>
    </row>
    <row r="54" spans="1:25" x14ac:dyDescent="0.25">
      <c r="A54" s="428" t="s">
        <v>349</v>
      </c>
      <c r="B54" s="428"/>
      <c r="C54" s="428"/>
      <c r="D54" s="428"/>
      <c r="E54" s="428"/>
      <c r="F54" s="428"/>
      <c r="G54" s="428"/>
      <c r="H54" s="428">
        <f>SUM(H7:H42)</f>
        <v>19536.699999999997</v>
      </c>
      <c r="I54" s="428">
        <f>SUM(I7:I42)</f>
        <v>21029.500000000004</v>
      </c>
      <c r="J54" s="428">
        <f>SUM(J7:J42)</f>
        <v>21804.799999999996</v>
      </c>
      <c r="K54" s="428">
        <f>SUM(K7:K42)</f>
        <v>23513.399999999994</v>
      </c>
      <c r="L54" s="428">
        <f>SUM(L7:L42)</f>
        <v>24124.210000000003</v>
      </c>
      <c r="M54" s="428">
        <f t="shared" ref="M54:S54" si="4">SUM(M7:M53)</f>
        <v>32474.699999999997</v>
      </c>
      <c r="N54" s="428">
        <f t="shared" si="4"/>
        <v>42023.500000000007</v>
      </c>
      <c r="O54" s="428">
        <f t="shared" si="4"/>
        <v>48659.74</v>
      </c>
      <c r="P54" s="428">
        <f t="shared" si="4"/>
        <v>56637.1</v>
      </c>
      <c r="Q54" s="428">
        <f t="shared" si="4"/>
        <v>60681.799999999996</v>
      </c>
      <c r="R54" s="428">
        <f t="shared" si="4"/>
        <v>69685.099999999991</v>
      </c>
      <c r="S54" s="428">
        <f t="shared" si="4"/>
        <v>78043.5</v>
      </c>
      <c r="T54" s="428">
        <f>SUM(T7:T53)</f>
        <v>71479.3</v>
      </c>
      <c r="U54" s="428">
        <f>SUM(U7:U53)</f>
        <v>71479.3</v>
      </c>
      <c r="V54" s="428">
        <f t="shared" si="1"/>
        <v>641172.65</v>
      </c>
      <c r="W54" s="428"/>
    </row>
    <row r="55" spans="1:25" x14ac:dyDescent="0.25">
      <c r="A55" s="440" t="s">
        <v>625</v>
      </c>
      <c r="B55" s="390"/>
      <c r="C55" s="390"/>
      <c r="D55" s="540"/>
      <c r="E55" s="377"/>
      <c r="F55" s="25"/>
      <c r="G55" s="10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74"/>
    </row>
    <row r="56" spans="1:25" x14ac:dyDescent="0.25">
      <c r="A56" s="444" t="s">
        <v>669</v>
      </c>
      <c r="B56" s="391" t="s">
        <v>670</v>
      </c>
      <c r="C56" s="391" t="s">
        <v>671</v>
      </c>
      <c r="D56" s="540" t="s">
        <v>200</v>
      </c>
      <c r="E56" s="377" t="s">
        <v>501</v>
      </c>
      <c r="F56" s="25" t="s">
        <v>672</v>
      </c>
      <c r="G56" s="10">
        <v>120</v>
      </c>
      <c r="H56" s="309">
        <v>817.5</v>
      </c>
      <c r="I56" s="309">
        <v>841.6</v>
      </c>
      <c r="J56" s="309">
        <v>858.7</v>
      </c>
      <c r="K56" s="309">
        <v>858.7</v>
      </c>
      <c r="L56" s="309">
        <v>1430.7</v>
      </c>
      <c r="M56" s="309">
        <v>1626.7</v>
      </c>
      <c r="N56" s="309">
        <v>1904.9</v>
      </c>
      <c r="O56" s="309">
        <v>2072.4</v>
      </c>
      <c r="P56" s="309">
        <f>2279.6+98</f>
        <v>2377.6</v>
      </c>
      <c r="Q56" s="309">
        <v>2992.3</v>
      </c>
      <c r="R56" s="309">
        <v>3519.2</v>
      </c>
      <c r="S56" s="309">
        <v>4479.5</v>
      </c>
      <c r="T56" s="309">
        <v>3808.6</v>
      </c>
      <c r="U56" s="309">
        <f t="shared" ref="S56:U61" si="5">T56</f>
        <v>3808.6</v>
      </c>
      <c r="V56" s="309">
        <f>SUM(H56:U56)</f>
        <v>31396.999999999996</v>
      </c>
      <c r="W56" s="374" t="s">
        <v>673</v>
      </c>
      <c r="Y56" s="93">
        <f>R55+R57+R58+R59+R61</f>
        <v>814.5</v>
      </c>
    </row>
    <row r="57" spans="1:25" x14ac:dyDescent="0.25">
      <c r="A57" s="444"/>
      <c r="B57" s="391"/>
      <c r="C57" s="391"/>
      <c r="D57" s="540"/>
      <c r="E57" s="377"/>
      <c r="F57" s="25" t="s">
        <v>672</v>
      </c>
      <c r="G57" s="9">
        <v>850</v>
      </c>
      <c r="H57" s="309"/>
      <c r="I57" s="309"/>
      <c r="J57" s="309">
        <v>0.3</v>
      </c>
      <c r="K57" s="309"/>
      <c r="L57" s="309">
        <v>0.6</v>
      </c>
      <c r="M57" s="309">
        <v>0.6</v>
      </c>
      <c r="N57" s="309">
        <v>0.6</v>
      </c>
      <c r="O57" s="309">
        <v>0</v>
      </c>
      <c r="P57" s="309">
        <v>0</v>
      </c>
      <c r="Q57" s="309">
        <f>P57</f>
        <v>0</v>
      </c>
      <c r="R57" s="309">
        <f>Q57</f>
        <v>0</v>
      </c>
      <c r="S57" s="309">
        <f t="shared" si="5"/>
        <v>0</v>
      </c>
      <c r="T57" s="309">
        <f t="shared" si="5"/>
        <v>0</v>
      </c>
      <c r="U57" s="309">
        <f t="shared" si="5"/>
        <v>0</v>
      </c>
      <c r="V57" s="309">
        <f t="shared" ref="V57:V68" si="6">SUM(H57:U57)</f>
        <v>2.1</v>
      </c>
      <c r="W57" s="374"/>
    </row>
    <row r="58" spans="1:25" x14ac:dyDescent="0.25">
      <c r="A58" s="444"/>
      <c r="B58" s="391"/>
      <c r="C58" s="391"/>
      <c r="D58" s="7"/>
      <c r="E58" s="25"/>
      <c r="F58" s="25" t="s">
        <v>672</v>
      </c>
      <c r="G58" s="10">
        <v>244</v>
      </c>
      <c r="H58" s="309">
        <v>248</v>
      </c>
      <c r="I58" s="309">
        <v>247.9</v>
      </c>
      <c r="J58" s="309">
        <v>247.6</v>
      </c>
      <c r="K58" s="309">
        <v>247.9</v>
      </c>
      <c r="L58" s="309">
        <v>383.9</v>
      </c>
      <c r="M58" s="309">
        <v>399</v>
      </c>
      <c r="N58" s="309">
        <v>399</v>
      </c>
      <c r="O58" s="309">
        <v>432.2</v>
      </c>
      <c r="P58" s="309">
        <v>449</v>
      </c>
      <c r="Q58" s="309">
        <v>552.1</v>
      </c>
      <c r="R58" s="309">
        <v>662.5</v>
      </c>
      <c r="S58" s="309">
        <v>695.7</v>
      </c>
      <c r="T58" s="309">
        <f t="shared" si="5"/>
        <v>695.7</v>
      </c>
      <c r="U58" s="309">
        <f t="shared" si="5"/>
        <v>695.7</v>
      </c>
      <c r="V58" s="309">
        <f t="shared" si="6"/>
        <v>6356.2</v>
      </c>
      <c r="W58" s="12"/>
      <c r="Y58" s="91">
        <f>S55+S57</f>
        <v>0</v>
      </c>
    </row>
    <row r="59" spans="1:25" x14ac:dyDescent="0.25">
      <c r="A59" s="441"/>
      <c r="B59" s="406"/>
      <c r="C59" s="406"/>
      <c r="D59" s="7" t="s">
        <v>200</v>
      </c>
      <c r="E59" s="25" t="s">
        <v>501</v>
      </c>
      <c r="F59" s="25" t="s">
        <v>674</v>
      </c>
      <c r="G59" s="10">
        <v>120</v>
      </c>
      <c r="H59" s="309"/>
      <c r="I59" s="309"/>
      <c r="J59" s="309"/>
      <c r="K59" s="309"/>
      <c r="L59" s="309"/>
      <c r="M59" s="309"/>
      <c r="N59" s="309"/>
      <c r="O59" s="309"/>
      <c r="P59" s="309">
        <v>103.2</v>
      </c>
      <c r="Q59" s="309">
        <v>136.5</v>
      </c>
      <c r="R59" s="309">
        <f>217.1-50-15.1</f>
        <v>152</v>
      </c>
      <c r="S59" s="309">
        <v>152</v>
      </c>
      <c r="T59" s="309">
        <v>152</v>
      </c>
      <c r="U59" s="309">
        <v>152</v>
      </c>
      <c r="V59" s="309">
        <f t="shared" si="6"/>
        <v>847.7</v>
      </c>
      <c r="W59" s="12"/>
      <c r="Y59" s="91">
        <f>S58+S59</f>
        <v>847.7</v>
      </c>
    </row>
    <row r="60" spans="1:25" x14ac:dyDescent="0.25">
      <c r="A60" s="432"/>
      <c r="B60" s="538"/>
      <c r="C60" s="374"/>
      <c r="D60" s="25" t="s">
        <v>200</v>
      </c>
      <c r="E60" s="25" t="s">
        <v>501</v>
      </c>
      <c r="F60" s="25" t="s">
        <v>674</v>
      </c>
      <c r="G60" s="25">
        <v>244</v>
      </c>
      <c r="H60" s="309"/>
      <c r="I60" s="309"/>
      <c r="J60" s="309"/>
      <c r="K60" s="309"/>
      <c r="L60" s="309"/>
      <c r="M60" s="309"/>
      <c r="N60" s="309"/>
      <c r="O60" s="309"/>
      <c r="P60" s="309">
        <v>4.0999999999999996</v>
      </c>
      <c r="Q60" s="309">
        <v>4.3</v>
      </c>
      <c r="R60" s="309">
        <v>5.6</v>
      </c>
      <c r="S60" s="309">
        <v>6</v>
      </c>
      <c r="T60" s="309">
        <f t="shared" si="5"/>
        <v>6</v>
      </c>
      <c r="U60" s="309">
        <f t="shared" si="5"/>
        <v>6</v>
      </c>
      <c r="V60" s="309">
        <f t="shared" si="6"/>
        <v>32</v>
      </c>
      <c r="W60" s="374"/>
    </row>
    <row r="61" spans="1:25" x14ac:dyDescent="0.25">
      <c r="A61" s="432" t="s">
        <v>675</v>
      </c>
      <c r="B61" s="538" t="s">
        <v>676</v>
      </c>
      <c r="C61" s="374" t="s">
        <v>677</v>
      </c>
      <c r="D61" s="25" t="s">
        <v>202</v>
      </c>
      <c r="E61" s="25" t="s">
        <v>319</v>
      </c>
      <c r="F61" s="25" t="s">
        <v>678</v>
      </c>
      <c r="G61" s="25" t="s">
        <v>679</v>
      </c>
      <c r="H61" s="309">
        <v>2129.1999999999998</v>
      </c>
      <c r="I61" s="309">
        <v>3247.3</v>
      </c>
      <c r="J61" s="309">
        <v>9009.9</v>
      </c>
      <c r="K61" s="309">
        <v>0</v>
      </c>
      <c r="L61" s="309"/>
      <c r="M61" s="309"/>
      <c r="N61" s="309"/>
      <c r="O61" s="309"/>
      <c r="P61" s="309">
        <f>O61</f>
        <v>0</v>
      </c>
      <c r="Q61" s="309">
        <f>P61</f>
        <v>0</v>
      </c>
      <c r="R61" s="309">
        <f>Q61</f>
        <v>0</v>
      </c>
      <c r="S61" s="309">
        <f t="shared" si="5"/>
        <v>0</v>
      </c>
      <c r="T61" s="309">
        <f t="shared" si="5"/>
        <v>0</v>
      </c>
      <c r="U61" s="309">
        <f t="shared" si="5"/>
        <v>0</v>
      </c>
      <c r="V61" s="309">
        <f t="shared" si="6"/>
        <v>14386.4</v>
      </c>
      <c r="W61" s="374" t="s">
        <v>680</v>
      </c>
    </row>
    <row r="62" spans="1:25" ht="31.5" x14ac:dyDescent="0.25">
      <c r="A62" s="432"/>
      <c r="B62" s="538"/>
      <c r="C62" s="374"/>
      <c r="D62" s="25" t="s">
        <v>202</v>
      </c>
      <c r="E62" s="25" t="s">
        <v>319</v>
      </c>
      <c r="F62" s="25" t="s">
        <v>681</v>
      </c>
      <c r="G62" s="25" t="s">
        <v>679</v>
      </c>
      <c r="H62" s="309">
        <v>5394</v>
      </c>
      <c r="I62" s="309">
        <v>4190.7</v>
      </c>
      <c r="J62" s="309"/>
      <c r="K62" s="309"/>
      <c r="L62" s="309"/>
      <c r="M62" s="309"/>
      <c r="N62" s="309"/>
      <c r="O62" s="309">
        <v>5577.5</v>
      </c>
      <c r="P62" s="309">
        <v>26172.400000000001</v>
      </c>
      <c r="Q62" s="309">
        <f>22020.4-3237.4+709.5+1205.7</f>
        <v>20698.2</v>
      </c>
      <c r="R62" s="309">
        <v>28780.6</v>
      </c>
      <c r="S62" s="309">
        <v>26578.6</v>
      </c>
      <c r="T62" s="309">
        <v>29131.9</v>
      </c>
      <c r="U62" s="309">
        <v>28993.200000000001</v>
      </c>
      <c r="V62" s="309">
        <f t="shared" si="6"/>
        <v>175517.1</v>
      </c>
      <c r="W62" s="374"/>
    </row>
    <row r="63" spans="1:25" ht="37.5" x14ac:dyDescent="0.3">
      <c r="A63" s="539"/>
      <c r="B63" s="539"/>
      <c r="C63" s="311"/>
      <c r="D63" s="312" t="s">
        <v>202</v>
      </c>
      <c r="E63" s="312" t="s">
        <v>319</v>
      </c>
      <c r="F63" s="313" t="s">
        <v>682</v>
      </c>
      <c r="G63" s="312" t="s">
        <v>679</v>
      </c>
      <c r="H63" s="309"/>
      <c r="I63" s="309"/>
      <c r="J63" s="309">
        <v>473.9</v>
      </c>
      <c r="K63" s="309">
        <f>5610+2805+765</f>
        <v>9180</v>
      </c>
      <c r="L63" s="309">
        <v>10241.9</v>
      </c>
      <c r="M63" s="309">
        <v>9907.9</v>
      </c>
      <c r="N63" s="309">
        <v>15279.7</v>
      </c>
      <c r="O63" s="309">
        <f>3555.7-3473.3-82.4</f>
        <v>-3.694822225952521E-13</v>
      </c>
      <c r="P63" s="309">
        <v>920</v>
      </c>
      <c r="Q63" s="309">
        <f>1737.2+3237.4</f>
        <v>4974.6000000000004</v>
      </c>
      <c r="R63" s="309">
        <v>0</v>
      </c>
      <c r="S63" s="309">
        <v>2539.3000000000002</v>
      </c>
      <c r="T63" s="309">
        <v>0</v>
      </c>
      <c r="U63" s="309">
        <v>2219.6</v>
      </c>
      <c r="V63" s="309">
        <f t="shared" si="6"/>
        <v>55736.899999999994</v>
      </c>
      <c r="W63" s="314"/>
    </row>
    <row r="64" spans="1:25" s="23" customFormat="1" ht="18.75" x14ac:dyDescent="0.25">
      <c r="A64" s="536" t="s">
        <v>513</v>
      </c>
      <c r="B64" s="536"/>
      <c r="C64" s="311"/>
      <c r="D64" s="312"/>
      <c r="E64" s="311"/>
      <c r="F64" s="311"/>
      <c r="G64" s="311"/>
      <c r="H64" s="309">
        <f t="shared" ref="H64:U64" si="7">SUM(H56:H63)</f>
        <v>8588.7000000000007</v>
      </c>
      <c r="I64" s="309">
        <f t="shared" si="7"/>
        <v>8527.5</v>
      </c>
      <c r="J64" s="309">
        <f t="shared" si="7"/>
        <v>10590.4</v>
      </c>
      <c r="K64" s="309">
        <f t="shared" si="7"/>
        <v>10286.6</v>
      </c>
      <c r="L64" s="309">
        <f>SUM(L56:L63)</f>
        <v>12057.099999999999</v>
      </c>
      <c r="M64" s="309">
        <f t="shared" si="7"/>
        <v>11934.199999999999</v>
      </c>
      <c r="N64" s="309">
        <f t="shared" si="7"/>
        <v>17584.2</v>
      </c>
      <c r="O64" s="309">
        <f t="shared" si="7"/>
        <v>8082.1</v>
      </c>
      <c r="P64" s="309">
        <f t="shared" si="7"/>
        <v>30026.300000000003</v>
      </c>
      <c r="Q64" s="309">
        <f t="shared" si="7"/>
        <v>29358</v>
      </c>
      <c r="R64" s="309">
        <f t="shared" si="7"/>
        <v>33119.9</v>
      </c>
      <c r="S64" s="309">
        <f t="shared" si="7"/>
        <v>34451.1</v>
      </c>
      <c r="T64" s="309">
        <f t="shared" si="7"/>
        <v>33794.200000000004</v>
      </c>
      <c r="U64" s="309">
        <f t="shared" si="7"/>
        <v>35875.1</v>
      </c>
      <c r="V64" s="309">
        <f t="shared" si="6"/>
        <v>284275.40000000002</v>
      </c>
      <c r="W64" s="315"/>
    </row>
    <row r="65" spans="1:23" s="23" customFormat="1" ht="18.75" x14ac:dyDescent="0.25">
      <c r="A65" s="534" t="s">
        <v>350</v>
      </c>
      <c r="B65" s="535"/>
      <c r="C65" s="311"/>
      <c r="D65" s="312"/>
      <c r="E65" s="311"/>
      <c r="F65" s="311"/>
      <c r="G65" s="311"/>
      <c r="H65" s="309">
        <f t="shared" ref="H65:M65" si="8">H54+H64</f>
        <v>28125.399999999998</v>
      </c>
      <c r="I65" s="309">
        <f t="shared" si="8"/>
        <v>29557.000000000004</v>
      </c>
      <c r="J65" s="309">
        <f t="shared" si="8"/>
        <v>32395.199999999997</v>
      </c>
      <c r="K65" s="309">
        <f t="shared" si="8"/>
        <v>33799.999999999993</v>
      </c>
      <c r="L65" s="309">
        <f t="shared" si="8"/>
        <v>36181.31</v>
      </c>
      <c r="M65" s="309">
        <f t="shared" si="8"/>
        <v>44408.899999999994</v>
      </c>
      <c r="N65" s="309">
        <f>N54+N64</f>
        <v>59607.700000000012</v>
      </c>
      <c r="O65" s="309">
        <f>O54+O64+0.1</f>
        <v>56741.939999999995</v>
      </c>
      <c r="P65" s="309">
        <f>P54+P64</f>
        <v>86663.4</v>
      </c>
      <c r="Q65" s="309">
        <f>Q54+Q64</f>
        <v>90039.799999999988</v>
      </c>
      <c r="R65" s="309">
        <f>R54+R64</f>
        <v>102805</v>
      </c>
      <c r="S65" s="358">
        <v>112494.6</v>
      </c>
      <c r="T65" s="358">
        <v>105273.5</v>
      </c>
      <c r="U65" s="358">
        <v>107354.5</v>
      </c>
      <c r="V65" s="309">
        <f t="shared" si="6"/>
        <v>925448.24999999988</v>
      </c>
      <c r="W65" s="315"/>
    </row>
    <row r="66" spans="1:23" s="23" customFormat="1" ht="18.75" x14ac:dyDescent="0.25">
      <c r="A66" s="536" t="s">
        <v>559</v>
      </c>
      <c r="B66" s="536"/>
      <c r="C66" s="311"/>
      <c r="D66" s="312"/>
      <c r="E66" s="311"/>
      <c r="F66" s="311"/>
      <c r="G66" s="311"/>
      <c r="H66" s="309"/>
      <c r="I66" s="309"/>
      <c r="J66" s="309"/>
      <c r="K66" s="309"/>
      <c r="L66" s="309"/>
      <c r="M66" s="309"/>
      <c r="N66" s="309"/>
      <c r="O66" s="309"/>
      <c r="P66" s="309">
        <f>P63</f>
        <v>920</v>
      </c>
      <c r="Q66" s="309">
        <v>4974.6000000000004</v>
      </c>
      <c r="R66" s="309">
        <f>R63</f>
        <v>0</v>
      </c>
      <c r="S66" s="309">
        <f>S63</f>
        <v>2539.3000000000002</v>
      </c>
      <c r="T66" s="309">
        <f>T63</f>
        <v>0</v>
      </c>
      <c r="U66" s="309">
        <f>U63</f>
        <v>2219.6</v>
      </c>
      <c r="V66" s="309">
        <f t="shared" si="6"/>
        <v>10653.500000000002</v>
      </c>
      <c r="W66" s="316"/>
    </row>
    <row r="67" spans="1:23" s="23" customFormat="1" ht="18.75" x14ac:dyDescent="0.25">
      <c r="A67" s="536" t="s">
        <v>328</v>
      </c>
      <c r="B67" s="536"/>
      <c r="C67" s="311"/>
      <c r="D67" s="312"/>
      <c r="E67" s="311"/>
      <c r="F67" s="311"/>
      <c r="G67" s="311"/>
      <c r="H67" s="309">
        <f>H64</f>
        <v>8588.7000000000007</v>
      </c>
      <c r="I67" s="309">
        <f>I64</f>
        <v>8527.5</v>
      </c>
      <c r="J67" s="309">
        <f>J64</f>
        <v>10590.4</v>
      </c>
      <c r="K67" s="309">
        <f>K64</f>
        <v>10286.6</v>
      </c>
      <c r="L67" s="309">
        <f>L64+L41+L19+L18+L21+L17</f>
        <v>12950.499999999998</v>
      </c>
      <c r="M67" s="309">
        <f>M16+M18+M19+M24+M27+M36+M37+M44+M46+M48+M64</f>
        <v>12440.3</v>
      </c>
      <c r="N67" s="309">
        <f>N11+N12+N14+N24+N25+N26+N33+N34+N37+N45++N44+N47+N64+N13</f>
        <v>19788.699999999997</v>
      </c>
      <c r="O67" s="309">
        <f>O16+O18+O19+O24+O27+O36+O37+O44+O46+O48+O64</f>
        <v>8082.1</v>
      </c>
      <c r="P67" s="309">
        <f>P16+P18+P19+P24+P27+P36+P37+P44+P46+P48+P64-P66</f>
        <v>29552.000000000004</v>
      </c>
      <c r="Q67" s="309">
        <f>Q16+Q18+Q19+Q24+Q27+Q36+Q37+Q44+Q46+Q48+Q64-Q66</f>
        <v>24383.4</v>
      </c>
      <c r="R67" s="309">
        <f>R16+R18+R19+R24+R27+R36+R37+R44+R46+R48+R64+R49-R66</f>
        <v>33695.9</v>
      </c>
      <c r="S67" s="309">
        <f>S16+S18+S19+S24+S27+S36+S37+S44+S46+S48+S64+S10-S66</f>
        <v>32195.200000000001</v>
      </c>
      <c r="T67" s="309">
        <f>T16+T18+T19+T24+T27+T36+T37+T44+T46+T48+T64-T66</f>
        <v>33794.200000000004</v>
      </c>
      <c r="U67" s="309">
        <f>U16+U18+U19+U24+U27+U36+U37+U44+U46+U48+U64-U66</f>
        <v>33655.5</v>
      </c>
      <c r="V67" s="309">
        <f t="shared" si="6"/>
        <v>278531</v>
      </c>
      <c r="W67" s="315"/>
    </row>
    <row r="68" spans="1:23" s="23" customFormat="1" ht="18.75" x14ac:dyDescent="0.25">
      <c r="A68" s="317" t="s">
        <v>351</v>
      </c>
      <c r="B68" s="317"/>
      <c r="C68" s="318"/>
      <c r="D68" s="319"/>
      <c r="E68" s="318"/>
      <c r="F68" s="318"/>
      <c r="G68" s="318"/>
      <c r="H68" s="320">
        <f>H54</f>
        <v>19536.699999999997</v>
      </c>
      <c r="I68" s="320">
        <f>I54</f>
        <v>21029.500000000004</v>
      </c>
      <c r="J68" s="320">
        <f>J54</f>
        <v>21804.799999999996</v>
      </c>
      <c r="K68" s="320">
        <f>K54</f>
        <v>23513.399999999994</v>
      </c>
      <c r="L68" s="320">
        <f>L7+L8+L20+L22+L23+L28+L29+L30+L31+L32+L38+L39+L9</f>
        <v>23230.81</v>
      </c>
      <c r="M68" s="320">
        <f>M65-M67</f>
        <v>31968.599999999995</v>
      </c>
      <c r="N68" s="320">
        <f>N65-N67</f>
        <v>39819.000000000015</v>
      </c>
      <c r="O68" s="320">
        <f>O65-O67</f>
        <v>48659.839999999997</v>
      </c>
      <c r="P68" s="320">
        <f t="shared" ref="P68:U68" si="9">P65-P67-P66</f>
        <v>56191.399999999994</v>
      </c>
      <c r="Q68" s="320">
        <f t="shared" si="9"/>
        <v>60681.799999999996</v>
      </c>
      <c r="R68" s="320">
        <f t="shared" si="9"/>
        <v>69109.100000000006</v>
      </c>
      <c r="S68" s="320">
        <f t="shared" si="9"/>
        <v>77760.100000000006</v>
      </c>
      <c r="T68" s="320">
        <f t="shared" si="9"/>
        <v>71479.299999999988</v>
      </c>
      <c r="U68" s="320">
        <f t="shared" si="9"/>
        <v>71479.399999999994</v>
      </c>
      <c r="V68" s="320">
        <f t="shared" si="6"/>
        <v>636263.74999999988</v>
      </c>
      <c r="W68" s="321"/>
    </row>
    <row r="69" spans="1:23" s="190" customFormat="1" ht="20.25" x14ac:dyDescent="0.3">
      <c r="A69" s="537"/>
      <c r="B69" s="537"/>
      <c r="C69" s="537"/>
      <c r="D69" s="537"/>
      <c r="E69" s="537"/>
      <c r="F69" s="537"/>
      <c r="G69" s="537"/>
      <c r="H69" s="322"/>
      <c r="I69" s="323"/>
      <c r="J69" s="324"/>
      <c r="K69" s="325"/>
      <c r="L69" s="326"/>
      <c r="M69" s="326"/>
      <c r="N69" s="326"/>
      <c r="O69" s="326"/>
      <c r="P69" s="324"/>
      <c r="Q69" s="324"/>
      <c r="R69" s="324"/>
      <c r="S69" s="324"/>
      <c r="T69" s="324"/>
      <c r="U69" s="324"/>
      <c r="V69" s="324"/>
      <c r="W69" s="327"/>
    </row>
    <row r="70" spans="1:23" x14ac:dyDescent="0.25">
      <c r="A70" s="177" t="s">
        <v>683</v>
      </c>
      <c r="B70" s="178"/>
      <c r="C70" s="179"/>
      <c r="D70" s="179"/>
      <c r="E70" s="179"/>
      <c r="F70" s="179"/>
      <c r="G70" s="179"/>
      <c r="H70" s="179"/>
      <c r="L70" s="93"/>
      <c r="W70" s="4" t="s">
        <v>164</v>
      </c>
    </row>
    <row r="71" spans="1:23" x14ac:dyDescent="0.25">
      <c r="A71" s="177"/>
      <c r="B71" s="178"/>
      <c r="C71" s="179"/>
      <c r="D71" s="179"/>
      <c r="E71" s="179"/>
      <c r="F71" s="179"/>
      <c r="G71" s="179"/>
      <c r="H71" s="179"/>
    </row>
    <row r="72" spans="1:23" x14ac:dyDescent="0.25">
      <c r="A72" s="177"/>
      <c r="B72" s="178"/>
      <c r="C72" s="179"/>
      <c r="D72" s="179"/>
      <c r="E72" s="179"/>
      <c r="F72" s="179"/>
      <c r="G72" s="179"/>
      <c r="H72" s="179"/>
      <c r="I72" s="91"/>
      <c r="Q72" s="308">
        <f>Q19+Q21+Q29+Q42</f>
        <v>2443</v>
      </c>
    </row>
    <row r="73" spans="1:23" x14ac:dyDescent="0.25">
      <c r="A73" s="177"/>
      <c r="B73" s="178"/>
      <c r="C73" s="179"/>
      <c r="D73" s="179"/>
      <c r="E73" s="179"/>
      <c r="F73" s="179"/>
      <c r="G73" s="179"/>
      <c r="H73" s="179"/>
    </row>
    <row r="74" spans="1:23" x14ac:dyDescent="0.25">
      <c r="A74" s="177"/>
      <c r="B74" s="178"/>
      <c r="C74" s="179"/>
      <c r="D74" s="179"/>
      <c r="E74" s="179"/>
      <c r="F74" s="179"/>
      <c r="G74" s="179"/>
      <c r="H74" s="179"/>
    </row>
    <row r="75" spans="1:23" x14ac:dyDescent="0.25">
      <c r="A75" s="177"/>
      <c r="B75" s="178"/>
      <c r="C75" s="179"/>
      <c r="D75" s="179"/>
      <c r="E75" s="179"/>
      <c r="F75" s="179"/>
      <c r="G75" s="179"/>
      <c r="H75" s="179"/>
    </row>
    <row r="76" spans="1:23" x14ac:dyDescent="0.25">
      <c r="A76" s="177"/>
      <c r="B76" s="178"/>
      <c r="C76" s="179"/>
      <c r="D76" s="179"/>
      <c r="E76" s="179"/>
      <c r="F76" s="179"/>
      <c r="G76" s="179"/>
      <c r="H76" s="179"/>
    </row>
    <row r="77" spans="1:23" x14ac:dyDescent="0.25">
      <c r="A77" s="177"/>
      <c r="B77" s="178"/>
      <c r="C77" s="179"/>
      <c r="D77" s="179"/>
      <c r="E77" s="179"/>
      <c r="F77" s="179"/>
      <c r="G77" s="179"/>
      <c r="H77" s="179"/>
    </row>
    <row r="78" spans="1:23" x14ac:dyDescent="0.25">
      <c r="A78" s="177"/>
      <c r="B78" s="178"/>
      <c r="C78" s="179"/>
      <c r="D78" s="179"/>
      <c r="E78" s="179"/>
      <c r="F78" s="179"/>
      <c r="G78" s="179"/>
      <c r="H78" s="179"/>
    </row>
    <row r="79" spans="1:23" x14ac:dyDescent="0.25">
      <c r="A79" s="177"/>
      <c r="B79" s="178"/>
      <c r="C79" s="179"/>
      <c r="D79" s="179"/>
      <c r="E79" s="179"/>
      <c r="F79" s="179"/>
      <c r="G79" s="179"/>
      <c r="H79" s="179"/>
    </row>
    <row r="80" spans="1:23" x14ac:dyDescent="0.25">
      <c r="A80" s="177"/>
      <c r="B80" s="178"/>
      <c r="C80" s="179"/>
      <c r="D80" s="179"/>
      <c r="E80" s="179"/>
      <c r="F80" s="179"/>
      <c r="G80" s="179"/>
      <c r="H80" s="179"/>
    </row>
    <row r="81" spans="1:8" x14ac:dyDescent="0.25">
      <c r="A81" s="177"/>
      <c r="B81" s="178"/>
      <c r="C81" s="179"/>
      <c r="D81" s="179"/>
      <c r="E81" s="179"/>
      <c r="F81" s="179"/>
      <c r="G81" s="179"/>
      <c r="H81" s="179"/>
    </row>
    <row r="82" spans="1:8" x14ac:dyDescent="0.25">
      <c r="A82" s="177"/>
      <c r="B82" s="178"/>
      <c r="C82" s="179"/>
      <c r="D82" s="179"/>
      <c r="E82" s="179"/>
      <c r="F82" s="179"/>
      <c r="G82" s="179"/>
      <c r="H82" s="179"/>
    </row>
    <row r="83" spans="1:8" x14ac:dyDescent="0.25">
      <c r="A83" s="177"/>
      <c r="B83" s="178"/>
      <c r="C83" s="179"/>
      <c r="D83" s="179"/>
      <c r="E83" s="179"/>
      <c r="F83" s="179"/>
      <c r="G83" s="179"/>
      <c r="H83" s="179"/>
    </row>
    <row r="84" spans="1:8" x14ac:dyDescent="0.25">
      <c r="A84" s="177"/>
      <c r="B84" s="178"/>
      <c r="C84" s="179"/>
      <c r="D84" s="179"/>
      <c r="E84" s="179"/>
      <c r="F84" s="179"/>
      <c r="G84" s="179"/>
      <c r="H84" s="179"/>
    </row>
    <row r="85" spans="1:8" x14ac:dyDescent="0.25">
      <c r="A85" s="177"/>
      <c r="B85" s="178"/>
      <c r="C85" s="179"/>
      <c r="D85" s="179"/>
      <c r="E85" s="179"/>
      <c r="F85" s="179"/>
      <c r="G85" s="179"/>
      <c r="H85" s="179"/>
    </row>
    <row r="86" spans="1:8" x14ac:dyDescent="0.25">
      <c r="A86" s="177"/>
      <c r="B86" s="178"/>
      <c r="C86" s="179"/>
      <c r="D86" s="179"/>
      <c r="E86" s="179"/>
      <c r="F86" s="179"/>
      <c r="G86" s="179"/>
      <c r="H86" s="179"/>
    </row>
    <row r="87" spans="1:8" x14ac:dyDescent="0.25">
      <c r="A87" s="177"/>
      <c r="B87" s="178"/>
      <c r="C87" s="179"/>
      <c r="D87" s="179"/>
      <c r="E87" s="179"/>
      <c r="F87" s="179"/>
      <c r="G87" s="179"/>
      <c r="H87" s="179"/>
    </row>
    <row r="88" spans="1:8" x14ac:dyDescent="0.25">
      <c r="A88" s="177"/>
      <c r="B88" s="178"/>
      <c r="C88" s="179"/>
      <c r="D88" s="179"/>
      <c r="E88" s="179"/>
      <c r="F88" s="179"/>
      <c r="G88" s="179"/>
      <c r="H88" s="179"/>
    </row>
    <row r="89" spans="1:8" x14ac:dyDescent="0.25">
      <c r="A89" s="177"/>
      <c r="B89" s="178"/>
      <c r="C89" s="179"/>
      <c r="D89" s="179"/>
      <c r="E89" s="179"/>
      <c r="F89" s="179"/>
      <c r="G89" s="179"/>
      <c r="H89" s="179"/>
    </row>
    <row r="90" spans="1:8" x14ac:dyDescent="0.25">
      <c r="A90" s="177"/>
      <c r="B90" s="178"/>
      <c r="C90" s="179"/>
      <c r="D90" s="179"/>
      <c r="E90" s="179"/>
      <c r="F90" s="179"/>
      <c r="G90" s="179"/>
      <c r="H90" s="179"/>
    </row>
    <row r="91" spans="1:8" x14ac:dyDescent="0.25">
      <c r="A91" s="177"/>
      <c r="B91" s="178"/>
      <c r="C91" s="179"/>
      <c r="D91" s="179"/>
      <c r="E91" s="179"/>
      <c r="F91" s="179"/>
      <c r="G91" s="179"/>
      <c r="H91" s="179"/>
    </row>
    <row r="92" spans="1:8" x14ac:dyDescent="0.25">
      <c r="A92" s="177"/>
      <c r="B92" s="178"/>
      <c r="C92" s="179"/>
      <c r="D92" s="179"/>
      <c r="E92" s="179"/>
      <c r="F92" s="179"/>
      <c r="G92" s="179"/>
      <c r="H92" s="179"/>
    </row>
    <row r="93" spans="1:8" x14ac:dyDescent="0.25">
      <c r="A93" s="177"/>
      <c r="B93" s="178"/>
      <c r="C93" s="179"/>
      <c r="D93" s="179"/>
      <c r="E93" s="179"/>
      <c r="F93" s="179"/>
      <c r="G93" s="179"/>
      <c r="H93" s="179"/>
    </row>
    <row r="94" spans="1:8" x14ac:dyDescent="0.25">
      <c r="A94" s="177"/>
      <c r="B94" s="178"/>
      <c r="C94" s="179"/>
      <c r="D94" s="179"/>
      <c r="E94" s="179"/>
      <c r="F94" s="179"/>
      <c r="G94" s="179"/>
      <c r="H94" s="179"/>
    </row>
    <row r="95" spans="1:8" x14ac:dyDescent="0.25">
      <c r="A95" s="177"/>
      <c r="B95" s="178"/>
      <c r="C95" s="179"/>
      <c r="D95" s="179"/>
      <c r="E95" s="179"/>
      <c r="F95" s="179"/>
      <c r="G95" s="179"/>
      <c r="H95" s="179"/>
    </row>
    <row r="96" spans="1:8" x14ac:dyDescent="0.25">
      <c r="A96" s="177"/>
      <c r="B96" s="178"/>
      <c r="C96" s="179"/>
      <c r="D96" s="179"/>
      <c r="E96" s="179"/>
      <c r="F96" s="179"/>
      <c r="G96" s="179"/>
      <c r="H96" s="179"/>
    </row>
    <row r="97" spans="1:8" x14ac:dyDescent="0.25">
      <c r="A97" s="177"/>
      <c r="B97" s="178"/>
      <c r="C97" s="179"/>
      <c r="D97" s="179"/>
      <c r="E97" s="179"/>
      <c r="F97" s="179"/>
      <c r="G97" s="179"/>
      <c r="H97" s="179"/>
    </row>
    <row r="98" spans="1:8" x14ac:dyDescent="0.25">
      <c r="A98" s="177"/>
      <c r="B98" s="178"/>
      <c r="C98" s="179"/>
      <c r="D98" s="179"/>
      <c r="E98" s="179"/>
      <c r="F98" s="179"/>
      <c r="G98" s="179"/>
      <c r="H98" s="179"/>
    </row>
    <row r="99" spans="1:8" x14ac:dyDescent="0.25">
      <c r="A99" s="177"/>
      <c r="B99" s="178"/>
      <c r="C99" s="179"/>
      <c r="D99" s="179"/>
      <c r="E99" s="179"/>
      <c r="F99" s="179"/>
      <c r="G99" s="179"/>
      <c r="H99" s="179"/>
    </row>
    <row r="100" spans="1:8" x14ac:dyDescent="0.25">
      <c r="A100" s="177"/>
      <c r="B100" s="178"/>
      <c r="C100" s="179"/>
      <c r="D100" s="179"/>
      <c r="E100" s="179"/>
      <c r="F100" s="179"/>
      <c r="G100" s="179"/>
      <c r="H100" s="179"/>
    </row>
    <row r="101" spans="1:8" x14ac:dyDescent="0.25">
      <c r="A101" s="177"/>
      <c r="B101" s="178"/>
      <c r="C101" s="179"/>
      <c r="D101" s="179"/>
      <c r="E101" s="179"/>
      <c r="F101" s="179"/>
      <c r="G101" s="179"/>
      <c r="H101" s="179"/>
    </row>
    <row r="102" spans="1:8" x14ac:dyDescent="0.25">
      <c r="A102" s="177"/>
      <c r="B102" s="178"/>
      <c r="C102" s="179"/>
      <c r="D102" s="179"/>
      <c r="E102" s="179"/>
      <c r="F102" s="179"/>
      <c r="G102" s="179"/>
      <c r="H102" s="179"/>
    </row>
    <row r="103" spans="1:8" x14ac:dyDescent="0.25">
      <c r="A103" s="177"/>
      <c r="B103" s="178"/>
      <c r="C103" s="179"/>
      <c r="D103" s="179"/>
      <c r="E103" s="179"/>
      <c r="F103" s="179"/>
      <c r="G103" s="179"/>
      <c r="H103" s="179"/>
    </row>
    <row r="104" spans="1:8" x14ac:dyDescent="0.25">
      <c r="A104" s="177"/>
      <c r="B104" s="178"/>
      <c r="C104" s="179"/>
      <c r="D104" s="179"/>
      <c r="E104" s="179"/>
      <c r="F104" s="179"/>
      <c r="G104" s="179"/>
      <c r="H104" s="179"/>
    </row>
    <row r="105" spans="1:8" x14ac:dyDescent="0.25">
      <c r="A105" s="177"/>
      <c r="B105" s="178"/>
      <c r="C105" s="179"/>
      <c r="D105" s="179"/>
      <c r="E105" s="179"/>
      <c r="F105" s="179"/>
      <c r="G105" s="179"/>
      <c r="H105" s="179"/>
    </row>
    <row r="106" spans="1:8" x14ac:dyDescent="0.25">
      <c r="A106" s="177"/>
      <c r="B106" s="178"/>
      <c r="C106" s="179"/>
      <c r="D106" s="179"/>
      <c r="E106" s="179"/>
      <c r="F106" s="179"/>
      <c r="G106" s="179"/>
      <c r="H106" s="179"/>
    </row>
  </sheetData>
  <mergeCells count="44">
    <mergeCell ref="I1:J1"/>
    <mergeCell ref="V1:W1"/>
    <mergeCell ref="A2:W2"/>
    <mergeCell ref="A3:A4"/>
    <mergeCell ref="B3:B4"/>
    <mergeCell ref="C3:C4"/>
    <mergeCell ref="D3:G3"/>
    <mergeCell ref="H3:V3"/>
    <mergeCell ref="W3:W4"/>
    <mergeCell ref="A5:W5"/>
    <mergeCell ref="A6:W6"/>
    <mergeCell ref="A7:A18"/>
    <mergeCell ref="B7:B18"/>
    <mergeCell ref="C7:C18"/>
    <mergeCell ref="W7:W18"/>
    <mergeCell ref="A20:A28"/>
    <mergeCell ref="B20:B28"/>
    <mergeCell ref="C20:C28"/>
    <mergeCell ref="W20:W28"/>
    <mergeCell ref="A29:A41"/>
    <mergeCell ref="B29:B41"/>
    <mergeCell ref="C29:C41"/>
    <mergeCell ref="W29:W53"/>
    <mergeCell ref="A42:A52"/>
    <mergeCell ref="B42:B52"/>
    <mergeCell ref="W60:W62"/>
    <mergeCell ref="A63:B63"/>
    <mergeCell ref="A64:B64"/>
    <mergeCell ref="C42:C52"/>
    <mergeCell ref="A53:B53"/>
    <mergeCell ref="A54:W54"/>
    <mergeCell ref="A55:A59"/>
    <mergeCell ref="B55:B59"/>
    <mergeCell ref="C55:C59"/>
    <mergeCell ref="D55:D57"/>
    <mergeCell ref="E55:E57"/>
    <mergeCell ref="W55:W57"/>
    <mergeCell ref="A65:B65"/>
    <mergeCell ref="A66:B66"/>
    <mergeCell ref="A67:B67"/>
    <mergeCell ref="A69:G69"/>
    <mergeCell ref="A60:A62"/>
    <mergeCell ref="B60:B62"/>
    <mergeCell ref="C60:C62"/>
  </mergeCells>
  <pageMargins left="0" right="0" top="0" bottom="0" header="0" footer="0"/>
  <pageSetup paperSize="9" scale="4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AD17"/>
  <sheetViews>
    <sheetView view="pageBreakPreview" zoomScaleNormal="100" zoomScaleSheetLayoutView="100" workbookViewId="0">
      <selection activeCell="A11" sqref="A11:T11"/>
    </sheetView>
  </sheetViews>
  <sheetFormatPr defaultRowHeight="15.75" x14ac:dyDescent="0.25"/>
  <cols>
    <col min="1" max="1" width="5.140625" style="39" customWidth="1"/>
    <col min="2" max="2" width="57.42578125" style="40" customWidth="1"/>
    <col min="3" max="3" width="11.7109375" style="40" customWidth="1"/>
    <col min="4" max="4" width="10.42578125" style="40" hidden="1" customWidth="1"/>
    <col min="5" max="6" width="10.5703125" style="40" hidden="1" customWidth="1"/>
    <col min="7" max="7" width="9.42578125" style="40" bestFit="1" customWidth="1"/>
    <col min="8" max="15" width="10.5703125" style="40" customWidth="1"/>
    <col min="16" max="16" width="10.42578125" style="40" customWidth="1"/>
    <col min="17" max="30" width="11.140625" style="40" customWidth="1"/>
    <col min="31" max="16384" width="9.140625" style="40"/>
  </cols>
  <sheetData>
    <row r="1" spans="1:30" ht="78" customHeight="1" x14ac:dyDescent="0.25">
      <c r="K1" s="41"/>
      <c r="L1" s="41"/>
      <c r="M1" s="42"/>
      <c r="N1" s="42"/>
      <c r="O1" s="42"/>
      <c r="P1" s="42"/>
      <c r="Q1" s="42"/>
      <c r="R1" s="43"/>
      <c r="S1" s="43"/>
      <c r="T1" s="383" t="s">
        <v>165</v>
      </c>
      <c r="U1" s="383"/>
      <c r="V1" s="383"/>
      <c r="W1" s="383"/>
      <c r="X1" s="383"/>
      <c r="Y1" s="383"/>
      <c r="Z1" s="383"/>
      <c r="AA1" s="383"/>
      <c r="AB1" s="383"/>
      <c r="AC1" s="383"/>
      <c r="AD1" s="383"/>
    </row>
    <row r="2" spans="1:30" ht="34.5" customHeight="1" x14ac:dyDescent="0.25">
      <c r="A2" s="384" t="s">
        <v>166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5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0" ht="17.25" customHeight="1" x14ac:dyDescent="0.25">
      <c r="A3" s="386" t="s">
        <v>2</v>
      </c>
      <c r="B3" s="386" t="s">
        <v>167</v>
      </c>
      <c r="C3" s="386" t="s">
        <v>4</v>
      </c>
      <c r="D3" s="362" t="s">
        <v>168</v>
      </c>
      <c r="E3" s="362" t="s">
        <v>7</v>
      </c>
      <c r="F3" s="362" t="s">
        <v>169</v>
      </c>
      <c r="G3" s="45"/>
      <c r="H3" s="46"/>
      <c r="I3" s="46"/>
      <c r="J3" s="46"/>
      <c r="K3" s="46"/>
      <c r="L3" s="46"/>
      <c r="M3" s="46"/>
      <c r="N3" s="46"/>
      <c r="O3" s="46"/>
      <c r="P3" s="46"/>
      <c r="Q3" s="47"/>
      <c r="R3" s="48"/>
      <c r="S3" s="387" t="s">
        <v>170</v>
      </c>
      <c r="T3" s="388"/>
      <c r="U3" s="389" t="s">
        <v>171</v>
      </c>
      <c r="V3" s="389"/>
      <c r="W3" s="389"/>
      <c r="X3" s="389"/>
      <c r="Y3" s="389"/>
      <c r="Z3" s="389"/>
      <c r="AA3" s="389"/>
      <c r="AB3" s="389"/>
      <c r="AC3" s="389"/>
      <c r="AD3" s="388"/>
    </row>
    <row r="4" spans="1:30" ht="33" customHeight="1" x14ac:dyDescent="0.25">
      <c r="A4" s="386"/>
      <c r="B4" s="386"/>
      <c r="C4" s="386"/>
      <c r="D4" s="362"/>
      <c r="E4" s="362"/>
      <c r="F4" s="362"/>
      <c r="G4" s="49" t="s">
        <v>172</v>
      </c>
      <c r="H4" s="50" t="s">
        <v>8</v>
      </c>
      <c r="I4" s="51" t="s">
        <v>9</v>
      </c>
      <c r="J4" s="51" t="s">
        <v>10</v>
      </c>
      <c r="K4" s="51" t="s">
        <v>11</v>
      </c>
      <c r="L4" s="51" t="s">
        <v>12</v>
      </c>
      <c r="M4" s="51" t="s">
        <v>13</v>
      </c>
      <c r="N4" s="51" t="s">
        <v>14</v>
      </c>
      <c r="O4" s="51" t="s">
        <v>15</v>
      </c>
      <c r="P4" s="51" t="s">
        <v>16</v>
      </c>
      <c r="Q4" s="52" t="s">
        <v>17</v>
      </c>
      <c r="R4" s="52" t="s">
        <v>18</v>
      </c>
      <c r="S4" s="52" t="s">
        <v>19</v>
      </c>
      <c r="T4" s="52" t="s">
        <v>20</v>
      </c>
      <c r="U4" s="52" t="s">
        <v>21</v>
      </c>
      <c r="V4" s="52" t="s">
        <v>173</v>
      </c>
      <c r="W4" s="52" t="s">
        <v>174</v>
      </c>
      <c r="X4" s="52" t="s">
        <v>175</v>
      </c>
      <c r="Y4" s="52" t="s">
        <v>176</v>
      </c>
      <c r="Z4" s="52" t="s">
        <v>177</v>
      </c>
      <c r="AA4" s="52" t="s">
        <v>178</v>
      </c>
      <c r="AB4" s="52" t="s">
        <v>179</v>
      </c>
      <c r="AC4" s="52" t="s">
        <v>180</v>
      </c>
      <c r="AD4" s="52" t="s">
        <v>181</v>
      </c>
    </row>
    <row r="5" spans="1:30" ht="36.75" customHeight="1" x14ac:dyDescent="0.25">
      <c r="A5" s="378" t="s">
        <v>22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</row>
    <row r="6" spans="1:30" ht="56.25" customHeight="1" x14ac:dyDescent="0.25">
      <c r="A6" s="51">
        <v>1</v>
      </c>
      <c r="B6" s="8" t="s">
        <v>23</v>
      </c>
      <c r="C6" s="9" t="s">
        <v>24</v>
      </c>
      <c r="D6" s="53">
        <v>54.1</v>
      </c>
      <c r="E6" s="17">
        <v>2.34</v>
      </c>
      <c r="F6" s="54">
        <v>94</v>
      </c>
      <c r="G6" s="54">
        <v>94.5</v>
      </c>
      <c r="H6" s="54">
        <v>95</v>
      </c>
      <c r="I6" s="54">
        <v>95</v>
      </c>
      <c r="J6" s="54">
        <v>96</v>
      </c>
      <c r="K6" s="54">
        <v>96.2</v>
      </c>
      <c r="L6" s="54">
        <v>96.3</v>
      </c>
      <c r="M6" s="54">
        <v>96.4</v>
      </c>
      <c r="N6" s="54">
        <v>96.4</v>
      </c>
      <c r="O6" s="54">
        <v>96.5</v>
      </c>
      <c r="P6" s="54">
        <v>96.5</v>
      </c>
      <c r="Q6" s="54">
        <v>96.6</v>
      </c>
      <c r="R6" s="54">
        <v>96.6</v>
      </c>
      <c r="S6" s="54">
        <v>96.6</v>
      </c>
      <c r="T6" s="54">
        <v>96.6</v>
      </c>
      <c r="U6" s="54">
        <v>96.6</v>
      </c>
      <c r="V6" s="54">
        <v>96.6</v>
      </c>
      <c r="W6" s="54">
        <v>96.6</v>
      </c>
      <c r="X6" s="54">
        <v>96.6</v>
      </c>
      <c r="Y6" s="54">
        <v>96.6</v>
      </c>
      <c r="Z6" s="54">
        <v>96.6</v>
      </c>
      <c r="AA6" s="54">
        <v>96.6</v>
      </c>
      <c r="AB6" s="54">
        <v>96.6</v>
      </c>
      <c r="AC6" s="54">
        <v>96.6</v>
      </c>
      <c r="AD6" s="54">
        <v>96.6</v>
      </c>
    </row>
    <row r="7" spans="1:30" ht="108" customHeight="1" x14ac:dyDescent="0.25">
      <c r="A7" s="10">
        <v>2</v>
      </c>
      <c r="B7" s="8" t="s">
        <v>28</v>
      </c>
      <c r="C7" s="9" t="s">
        <v>24</v>
      </c>
      <c r="D7" s="10" t="e">
        <f>#REF!</f>
        <v>#REF!</v>
      </c>
      <c r="E7" s="17">
        <v>60.5</v>
      </c>
      <c r="F7" s="55">
        <v>82.4</v>
      </c>
      <c r="G7" s="55">
        <v>86.6</v>
      </c>
      <c r="H7" s="55">
        <v>91.3</v>
      </c>
      <c r="I7" s="55">
        <v>100</v>
      </c>
      <c r="J7" s="55">
        <v>100</v>
      </c>
      <c r="K7" s="55">
        <v>100</v>
      </c>
      <c r="L7" s="55">
        <v>100</v>
      </c>
      <c r="M7" s="55">
        <v>100</v>
      </c>
      <c r="N7" s="55">
        <v>100</v>
      </c>
      <c r="O7" s="55">
        <v>100</v>
      </c>
      <c r="P7" s="55">
        <v>100</v>
      </c>
      <c r="Q7" s="55">
        <v>100</v>
      </c>
      <c r="R7" s="55">
        <v>100</v>
      </c>
      <c r="S7" s="55">
        <v>100</v>
      </c>
      <c r="T7" s="55">
        <v>100</v>
      </c>
      <c r="U7" s="55">
        <v>100</v>
      </c>
      <c r="V7" s="55">
        <v>100</v>
      </c>
      <c r="W7" s="55">
        <v>100</v>
      </c>
      <c r="X7" s="55">
        <v>100</v>
      </c>
      <c r="Y7" s="55">
        <v>100</v>
      </c>
      <c r="Z7" s="55">
        <v>100</v>
      </c>
      <c r="AA7" s="55">
        <v>100</v>
      </c>
      <c r="AB7" s="55">
        <v>100</v>
      </c>
      <c r="AC7" s="55">
        <v>100</v>
      </c>
      <c r="AD7" s="55">
        <v>100</v>
      </c>
    </row>
    <row r="8" spans="1:30" ht="89.25" customHeight="1" x14ac:dyDescent="0.25">
      <c r="A8" s="51">
        <v>3</v>
      </c>
      <c r="B8" s="8" t="s">
        <v>31</v>
      </c>
      <c r="C8" s="10" t="s">
        <v>24</v>
      </c>
      <c r="D8" s="56">
        <v>95.6</v>
      </c>
      <c r="E8" s="56">
        <v>96.7</v>
      </c>
      <c r="F8" s="57">
        <v>98.53</v>
      </c>
      <c r="G8" s="57">
        <v>98.04</v>
      </c>
      <c r="H8" s="57">
        <v>98.53</v>
      </c>
      <c r="I8" s="57">
        <v>98.6</v>
      </c>
      <c r="J8" s="57">
        <v>98.6</v>
      </c>
      <c r="K8" s="57">
        <v>100</v>
      </c>
      <c r="L8" s="57">
        <v>100</v>
      </c>
      <c r="M8" s="57">
        <v>100</v>
      </c>
      <c r="N8" s="57">
        <v>100</v>
      </c>
      <c r="O8" s="57">
        <v>100</v>
      </c>
      <c r="P8" s="57">
        <v>100</v>
      </c>
      <c r="Q8" s="57">
        <v>100</v>
      </c>
      <c r="R8" s="57">
        <v>100</v>
      </c>
      <c r="S8" s="57">
        <v>100</v>
      </c>
      <c r="T8" s="57">
        <v>100</v>
      </c>
      <c r="U8" s="57">
        <v>100</v>
      </c>
      <c r="V8" s="57">
        <v>100</v>
      </c>
      <c r="W8" s="57">
        <v>100</v>
      </c>
      <c r="X8" s="57">
        <v>100</v>
      </c>
      <c r="Y8" s="57">
        <v>100</v>
      </c>
      <c r="Z8" s="57">
        <v>100</v>
      </c>
      <c r="AA8" s="57">
        <v>100</v>
      </c>
      <c r="AB8" s="57">
        <v>100</v>
      </c>
      <c r="AC8" s="57">
        <v>100</v>
      </c>
      <c r="AD8" s="57">
        <v>100</v>
      </c>
    </row>
    <row r="9" spans="1:30" ht="85.5" customHeight="1" x14ac:dyDescent="0.25">
      <c r="A9" s="51">
        <v>4</v>
      </c>
      <c r="B9" s="8" t="s">
        <v>33</v>
      </c>
      <c r="C9" s="10" t="s">
        <v>24</v>
      </c>
      <c r="D9" s="56"/>
      <c r="E9" s="56"/>
      <c r="F9" s="58">
        <v>67</v>
      </c>
      <c r="G9" s="58">
        <v>67</v>
      </c>
      <c r="H9" s="58">
        <v>67</v>
      </c>
      <c r="I9" s="58">
        <v>83</v>
      </c>
      <c r="J9" s="58">
        <v>83</v>
      </c>
      <c r="K9" s="58">
        <v>83</v>
      </c>
      <c r="L9" s="58">
        <v>83</v>
      </c>
      <c r="M9" s="58">
        <v>83</v>
      </c>
      <c r="N9" s="58">
        <v>100</v>
      </c>
      <c r="O9" s="58">
        <v>100</v>
      </c>
      <c r="P9" s="58">
        <v>100</v>
      </c>
      <c r="Q9" s="58">
        <v>100</v>
      </c>
      <c r="R9" s="58">
        <v>100</v>
      </c>
      <c r="S9" s="58">
        <v>100</v>
      </c>
      <c r="T9" s="58">
        <v>100</v>
      </c>
      <c r="U9" s="58">
        <v>100</v>
      </c>
      <c r="V9" s="58">
        <v>100</v>
      </c>
      <c r="W9" s="58">
        <v>100</v>
      </c>
      <c r="X9" s="58">
        <v>100</v>
      </c>
      <c r="Y9" s="58">
        <v>100</v>
      </c>
      <c r="Z9" s="58">
        <v>100</v>
      </c>
      <c r="AA9" s="58">
        <v>100</v>
      </c>
      <c r="AB9" s="58">
        <v>100</v>
      </c>
      <c r="AC9" s="58">
        <v>100</v>
      </c>
      <c r="AD9" s="58">
        <v>100</v>
      </c>
    </row>
    <row r="10" spans="1:30" ht="35.25" customHeight="1" x14ac:dyDescent="0.25">
      <c r="A10" s="380" t="s">
        <v>163</v>
      </c>
      <c r="B10" s="380"/>
      <c r="C10" s="380"/>
      <c r="D10" s="380"/>
      <c r="E10" s="380"/>
      <c r="F10" s="59"/>
      <c r="G10" s="60"/>
      <c r="H10" s="60"/>
      <c r="I10" s="60"/>
      <c r="J10" s="60"/>
      <c r="K10" s="60"/>
      <c r="L10" s="60"/>
      <c r="M10" s="381"/>
      <c r="N10" s="381"/>
      <c r="O10" s="381"/>
      <c r="P10" s="381"/>
      <c r="Q10" s="382"/>
      <c r="R10" s="61"/>
      <c r="S10" s="61"/>
      <c r="T10" s="381" t="s">
        <v>164</v>
      </c>
      <c r="U10" s="381"/>
      <c r="V10" s="381"/>
      <c r="W10" s="381"/>
      <c r="X10" s="381"/>
      <c r="Y10" s="381"/>
      <c r="Z10" s="381"/>
      <c r="AA10" s="381"/>
      <c r="AB10" s="381"/>
      <c r="AC10" s="381"/>
      <c r="AD10" s="382"/>
    </row>
    <row r="15" spans="1:30" x14ac:dyDescent="0.25">
      <c r="D15" s="62"/>
      <c r="E15" s="62"/>
      <c r="F15" s="37"/>
      <c r="G15" s="62"/>
    </row>
    <row r="16" spans="1:30" x14ac:dyDescent="0.25">
      <c r="D16" s="63"/>
      <c r="E16" s="64"/>
      <c r="F16" s="65"/>
      <c r="G16" s="64"/>
    </row>
    <row r="17" spans="4:7" x14ac:dyDescent="0.25">
      <c r="D17" s="66"/>
      <c r="E17" s="66"/>
      <c r="F17" s="67"/>
      <c r="G17" s="66"/>
    </row>
  </sheetData>
  <mergeCells count="14">
    <mergeCell ref="A5:AD5"/>
    <mergeCell ref="A10:E10"/>
    <mergeCell ref="M10:Q10"/>
    <mergeCell ref="T10:AD10"/>
    <mergeCell ref="T1:AD1"/>
    <mergeCell ref="A2:Q2"/>
    <mergeCell ref="A3:A4"/>
    <mergeCell ref="B3:B4"/>
    <mergeCell ref="C3:C4"/>
    <mergeCell ref="D3:D4"/>
    <mergeCell ref="E3:E4"/>
    <mergeCell ref="F3:F4"/>
    <mergeCell ref="S3:T3"/>
    <mergeCell ref="U3:AD3"/>
  </mergeCells>
  <pageMargins left="0.55118110236220474" right="0.35433070866141736" top="0.55118110236220474" bottom="0.19685039370078741" header="0.51181102362204722" footer="0.51181102362204722"/>
  <pageSetup paperSize="9" scale="41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65" zoomScaleNormal="65" workbookViewId="0">
      <selection activeCell="N24" sqref="N24:V26"/>
    </sheetView>
  </sheetViews>
  <sheetFormatPr defaultColWidth="9.28515625" defaultRowHeight="15.75" x14ac:dyDescent="0.25"/>
  <cols>
    <col min="1" max="1" width="18.5703125" style="40" customWidth="1"/>
    <col min="2" max="2" width="22.28515625" style="40" customWidth="1"/>
    <col min="3" max="3" width="25.28515625" style="40" customWidth="1"/>
    <col min="4" max="7" width="9.28515625" style="40"/>
    <col min="8" max="8" width="15.140625" style="40" customWidth="1"/>
    <col min="9" max="10" width="15.42578125" style="40" customWidth="1"/>
    <col min="11" max="11" width="15.42578125" style="4" customWidth="1"/>
    <col min="12" max="15" width="15.42578125" style="40" customWidth="1"/>
    <col min="16" max="18" width="15.42578125" style="60" customWidth="1"/>
    <col min="19" max="19" width="15.85546875" style="60" customWidth="1"/>
    <col min="20" max="21" width="15.42578125" style="60" customWidth="1"/>
    <col min="22" max="22" width="17" style="40" customWidth="1"/>
    <col min="23" max="23" width="15.28515625" style="40" bestFit="1" customWidth="1"/>
    <col min="24" max="16384" width="9.28515625" style="40"/>
  </cols>
  <sheetData>
    <row r="1" spans="1:23" ht="58.5" customHeight="1" x14ac:dyDescent="0.25">
      <c r="J1" s="68"/>
      <c r="K1" s="69"/>
      <c r="L1" s="70"/>
      <c r="M1" s="401" t="s">
        <v>182</v>
      </c>
      <c r="N1" s="401"/>
      <c r="O1" s="401"/>
      <c r="P1" s="401"/>
      <c r="Q1" s="401"/>
      <c r="R1" s="401"/>
      <c r="S1" s="401"/>
      <c r="T1" s="401"/>
      <c r="U1" s="401"/>
      <c r="V1" s="401"/>
    </row>
    <row r="2" spans="1:23" ht="30" customHeight="1" x14ac:dyDescent="0.25">
      <c r="A2" s="402" t="s">
        <v>183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</row>
    <row r="3" spans="1:23" ht="18.75" customHeight="1" x14ac:dyDescent="0.25">
      <c r="A3" s="386" t="s">
        <v>184</v>
      </c>
      <c r="B3" s="386" t="s">
        <v>185</v>
      </c>
      <c r="C3" s="386" t="s">
        <v>186</v>
      </c>
      <c r="D3" s="386" t="s">
        <v>187</v>
      </c>
      <c r="E3" s="386"/>
      <c r="F3" s="386"/>
      <c r="G3" s="386"/>
      <c r="H3" s="403" t="s">
        <v>188</v>
      </c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5"/>
    </row>
    <row r="4" spans="1:23" ht="49.5" customHeight="1" x14ac:dyDescent="0.25">
      <c r="A4" s="386"/>
      <c r="B4" s="386"/>
      <c r="C4" s="386"/>
      <c r="D4" s="51" t="s">
        <v>189</v>
      </c>
      <c r="E4" s="51" t="s">
        <v>190</v>
      </c>
      <c r="F4" s="51" t="s">
        <v>191</v>
      </c>
      <c r="G4" s="51" t="s">
        <v>192</v>
      </c>
      <c r="H4" s="51">
        <v>2014</v>
      </c>
      <c r="I4" s="51">
        <v>2015</v>
      </c>
      <c r="J4" s="51">
        <v>2016</v>
      </c>
      <c r="K4" s="10">
        <v>2017</v>
      </c>
      <c r="L4" s="51">
        <v>2018</v>
      </c>
      <c r="M4" s="10">
        <v>2019</v>
      </c>
      <c r="N4" s="10">
        <v>2020</v>
      </c>
      <c r="O4" s="10">
        <v>2021</v>
      </c>
      <c r="P4" s="57">
        <v>2022</v>
      </c>
      <c r="Q4" s="57">
        <v>2023</v>
      </c>
      <c r="R4" s="57">
        <v>2024</v>
      </c>
      <c r="S4" s="57">
        <v>2025</v>
      </c>
      <c r="T4" s="57">
        <v>2026</v>
      </c>
      <c r="U4" s="57">
        <v>2027</v>
      </c>
      <c r="V4" s="51" t="s">
        <v>193</v>
      </c>
    </row>
    <row r="5" spans="1:23" ht="48" customHeight="1" x14ac:dyDescent="0.25">
      <c r="A5" s="395" t="s">
        <v>194</v>
      </c>
      <c r="B5" s="398" t="s">
        <v>195</v>
      </c>
      <c r="C5" s="71" t="s">
        <v>196</v>
      </c>
      <c r="D5" s="52" t="s">
        <v>197</v>
      </c>
      <c r="E5" s="52" t="s">
        <v>197</v>
      </c>
      <c r="F5" s="52" t="s">
        <v>197</v>
      </c>
      <c r="G5" s="52" t="s">
        <v>197</v>
      </c>
      <c r="H5" s="72">
        <f t="shared" ref="H5:S5" si="0">H7+H8+H9+H10</f>
        <v>447829.6</v>
      </c>
      <c r="I5" s="72">
        <f t="shared" si="0"/>
        <v>473625.60000000003</v>
      </c>
      <c r="J5" s="73">
        <f t="shared" si="0"/>
        <v>511729.7</v>
      </c>
      <c r="K5" s="73">
        <f t="shared" si="0"/>
        <v>523227.99999999994</v>
      </c>
      <c r="L5" s="73">
        <f t="shared" si="0"/>
        <v>549349</v>
      </c>
      <c r="M5" s="72">
        <v>614389.6</v>
      </c>
      <c r="N5" s="72">
        <v>635052.30000000005</v>
      </c>
      <c r="O5" s="72">
        <v>730302.4</v>
      </c>
      <c r="P5" s="72">
        <v>859995.3</v>
      </c>
      <c r="Q5" s="72">
        <v>902222.3</v>
      </c>
      <c r="R5" s="72">
        <v>1115287.8</v>
      </c>
      <c r="S5" s="72">
        <v>1091665.2</v>
      </c>
      <c r="T5" s="72">
        <v>1010464.4</v>
      </c>
      <c r="U5" s="72">
        <v>1068049.6000000001</v>
      </c>
      <c r="V5" s="72">
        <v>10533190.800000001</v>
      </c>
    </row>
    <row r="6" spans="1:23" x14ac:dyDescent="0.25">
      <c r="A6" s="396"/>
      <c r="B6" s="399"/>
      <c r="C6" s="71" t="s">
        <v>198</v>
      </c>
      <c r="D6" s="74"/>
      <c r="E6" s="74"/>
      <c r="F6" s="74"/>
      <c r="G6" s="74"/>
      <c r="H6" s="74"/>
      <c r="I6" s="75"/>
      <c r="J6" s="75"/>
      <c r="K6" s="76"/>
      <c r="L6" s="76"/>
      <c r="M6" s="75"/>
      <c r="N6" s="75"/>
      <c r="O6" s="75"/>
      <c r="P6" s="72">
        <f>O6</f>
        <v>0</v>
      </c>
      <c r="Q6" s="72"/>
      <c r="R6" s="72">
        <f>Q6</f>
        <v>0</v>
      </c>
      <c r="S6" s="72">
        <f>R6</f>
        <v>0</v>
      </c>
      <c r="T6" s="72">
        <f>S6</f>
        <v>0</v>
      </c>
      <c r="U6" s="72"/>
      <c r="V6" s="72">
        <f>SUM(H6:T6)</f>
        <v>0</v>
      </c>
    </row>
    <row r="7" spans="1:23" ht="51.75" customHeight="1" x14ac:dyDescent="0.25">
      <c r="A7" s="396"/>
      <c r="B7" s="399"/>
      <c r="C7" s="71" t="s">
        <v>199</v>
      </c>
      <c r="D7" s="77" t="s">
        <v>200</v>
      </c>
      <c r="E7" s="52" t="s">
        <v>197</v>
      </c>
      <c r="F7" s="52" t="s">
        <v>197</v>
      </c>
      <c r="G7" s="52" t="s">
        <v>197</v>
      </c>
      <c r="H7" s="78">
        <f t="shared" ref="H7:R7" si="1">H13+H18+H21+H24</f>
        <v>426153.3</v>
      </c>
      <c r="I7" s="78">
        <f t="shared" si="1"/>
        <v>451251.20000000001</v>
      </c>
      <c r="J7" s="78">
        <f t="shared" si="1"/>
        <v>486929.2</v>
      </c>
      <c r="K7" s="79">
        <f t="shared" si="1"/>
        <v>498675.49999999994</v>
      </c>
      <c r="L7" s="79">
        <f t="shared" si="1"/>
        <v>523112</v>
      </c>
      <c r="M7" s="78">
        <v>587737.9</v>
      </c>
      <c r="N7" s="78">
        <v>601251.9</v>
      </c>
      <c r="O7" s="78">
        <v>702683.6</v>
      </c>
      <c r="P7" s="78">
        <v>805965.6</v>
      </c>
      <c r="Q7" s="78">
        <v>847828.7</v>
      </c>
      <c r="R7" s="78">
        <v>1052052.8</v>
      </c>
      <c r="S7" s="78">
        <v>1025310.4</v>
      </c>
      <c r="T7" s="78">
        <v>946463.1</v>
      </c>
      <c r="U7" s="78">
        <v>1001967.4</v>
      </c>
      <c r="V7" s="72">
        <v>9957382.5999999996</v>
      </c>
      <c r="W7" s="80"/>
    </row>
    <row r="8" spans="1:23" ht="49.5" hidden="1" customHeight="1" x14ac:dyDescent="0.25">
      <c r="A8" s="396"/>
      <c r="B8" s="399"/>
      <c r="C8" s="81" t="s">
        <v>201</v>
      </c>
      <c r="D8" s="82" t="s">
        <v>202</v>
      </c>
      <c r="E8" s="52" t="s">
        <v>197</v>
      </c>
      <c r="F8" s="52" t="s">
        <v>197</v>
      </c>
      <c r="G8" s="52" t="s">
        <v>197</v>
      </c>
      <c r="H8" s="78"/>
      <c r="I8" s="78"/>
      <c r="J8" s="78"/>
      <c r="K8" s="79"/>
      <c r="L8" s="79"/>
      <c r="M8" s="78">
        <f>M17</f>
        <v>0</v>
      </c>
      <c r="N8" s="78"/>
      <c r="O8" s="78"/>
      <c r="P8" s="72">
        <f>O8</f>
        <v>0</v>
      </c>
      <c r="Q8" s="72"/>
      <c r="R8" s="72">
        <f>Q8</f>
        <v>0</v>
      </c>
      <c r="S8" s="72">
        <f>R8</f>
        <v>0</v>
      </c>
      <c r="T8" s="72">
        <f>S8</f>
        <v>0</v>
      </c>
      <c r="U8" s="72">
        <f>T8</f>
        <v>0</v>
      </c>
      <c r="V8" s="72">
        <f>SUM(H8:U8)</f>
        <v>0</v>
      </c>
      <c r="W8" s="80"/>
    </row>
    <row r="9" spans="1:23" ht="39.950000000000003" customHeight="1" x14ac:dyDescent="0.25">
      <c r="A9" s="396"/>
      <c r="B9" s="399"/>
      <c r="C9" s="12" t="s">
        <v>111</v>
      </c>
      <c r="D9" s="77" t="s">
        <v>203</v>
      </c>
      <c r="E9" s="52" t="s">
        <v>197</v>
      </c>
      <c r="F9" s="52" t="s">
        <v>197</v>
      </c>
      <c r="G9" s="52" t="s">
        <v>197</v>
      </c>
      <c r="H9" s="78">
        <f t="shared" ref="H9:T9" si="2">H26</f>
        <v>14153.1</v>
      </c>
      <c r="I9" s="78">
        <f t="shared" si="2"/>
        <v>14936.4</v>
      </c>
      <c r="J9" s="78">
        <f t="shared" si="2"/>
        <v>15316.7</v>
      </c>
      <c r="K9" s="79">
        <f t="shared" si="2"/>
        <v>15372.5</v>
      </c>
      <c r="L9" s="79">
        <f t="shared" si="2"/>
        <v>15995.1</v>
      </c>
      <c r="M9" s="78">
        <v>18520.7</v>
      </c>
      <c r="N9" s="78">
        <v>22041.3</v>
      </c>
      <c r="O9" s="78">
        <v>26937.3</v>
      </c>
      <c r="P9" s="78">
        <v>28720.799999999999</v>
      </c>
      <c r="Q9" s="78">
        <v>34454.400000000001</v>
      </c>
      <c r="R9" s="78">
        <v>37236.9</v>
      </c>
      <c r="S9" s="78">
        <v>34869.4</v>
      </c>
      <c r="T9" s="78">
        <v>34869.4</v>
      </c>
      <c r="U9" s="78">
        <v>330167.8</v>
      </c>
      <c r="V9" s="72">
        <f>SUM(H9:U9)</f>
        <v>643591.80000000005</v>
      </c>
      <c r="W9" s="80"/>
    </row>
    <row r="10" spans="1:23" ht="39.950000000000003" customHeight="1" x14ac:dyDescent="0.25">
      <c r="A10" s="397"/>
      <c r="B10" s="400"/>
      <c r="C10" s="12" t="s">
        <v>201</v>
      </c>
      <c r="D10" s="77" t="s">
        <v>202</v>
      </c>
      <c r="E10" s="52" t="s">
        <v>197</v>
      </c>
      <c r="F10" s="52" t="s">
        <v>197</v>
      </c>
      <c r="G10" s="52" t="s">
        <v>197</v>
      </c>
      <c r="H10" s="78">
        <f t="shared" ref="H10:T10" si="3">H25</f>
        <v>7523.2</v>
      </c>
      <c r="I10" s="78">
        <f t="shared" si="3"/>
        <v>7438</v>
      </c>
      <c r="J10" s="78">
        <f t="shared" si="3"/>
        <v>9483.7999999999993</v>
      </c>
      <c r="K10" s="79">
        <f t="shared" si="3"/>
        <v>9180</v>
      </c>
      <c r="L10" s="79">
        <f t="shared" si="3"/>
        <v>10241.9</v>
      </c>
      <c r="M10" s="78">
        <v>9907.9</v>
      </c>
      <c r="N10" s="78">
        <v>15279.7</v>
      </c>
      <c r="O10" s="78">
        <v>5577.5</v>
      </c>
      <c r="P10" s="78">
        <v>27092.400000000001</v>
      </c>
      <c r="Q10" s="78">
        <v>25672.799999999999</v>
      </c>
      <c r="R10" s="78">
        <v>28780.6</v>
      </c>
      <c r="S10" s="78">
        <v>29117.9</v>
      </c>
      <c r="T10" s="78">
        <v>29131.9</v>
      </c>
      <c r="U10" s="78">
        <v>31212.799999999999</v>
      </c>
      <c r="V10" s="72">
        <v>245640.4</v>
      </c>
      <c r="W10" s="80"/>
    </row>
    <row r="11" spans="1:23" ht="46.5" customHeight="1" x14ac:dyDescent="0.25">
      <c r="A11" s="374" t="s">
        <v>204</v>
      </c>
      <c r="B11" s="374" t="s">
        <v>205</v>
      </c>
      <c r="C11" s="12" t="s">
        <v>196</v>
      </c>
      <c r="D11" s="9" t="s">
        <v>197</v>
      </c>
      <c r="E11" s="7" t="s">
        <v>197</v>
      </c>
      <c r="F11" s="9" t="s">
        <v>197</v>
      </c>
      <c r="G11" s="55" t="s">
        <v>197</v>
      </c>
      <c r="H11" s="78">
        <f t="shared" ref="H11:M11" si="4">H13+H14</f>
        <v>198091.6</v>
      </c>
      <c r="I11" s="78">
        <f t="shared" si="4"/>
        <v>204824.6</v>
      </c>
      <c r="J11" s="78">
        <f t="shared" si="4"/>
        <v>219030.5</v>
      </c>
      <c r="K11" s="79">
        <f t="shared" si="4"/>
        <v>218633.1</v>
      </c>
      <c r="L11" s="79">
        <f t="shared" si="4"/>
        <v>229336.9</v>
      </c>
      <c r="M11" s="78">
        <v>267495.40000000002</v>
      </c>
      <c r="N11" s="78">
        <v>275550.40000000002</v>
      </c>
      <c r="O11" s="78">
        <v>310856.8</v>
      </c>
      <c r="P11" s="78">
        <v>356848.4</v>
      </c>
      <c r="Q11" s="72">
        <v>350814.5</v>
      </c>
      <c r="R11" s="72">
        <v>397147.3</v>
      </c>
      <c r="S11" s="72">
        <v>404294.8</v>
      </c>
      <c r="T11" s="72">
        <v>382228.4</v>
      </c>
      <c r="U11" s="72">
        <v>455555</v>
      </c>
      <c r="V11" s="72">
        <v>4270707.7</v>
      </c>
    </row>
    <row r="12" spans="1:23" x14ac:dyDescent="0.25">
      <c r="A12" s="374"/>
      <c r="B12" s="374"/>
      <c r="C12" s="12" t="s">
        <v>198</v>
      </c>
      <c r="D12" s="83"/>
      <c r="E12" s="84"/>
      <c r="F12" s="83"/>
      <c r="G12" s="85"/>
      <c r="H12" s="85"/>
      <c r="I12" s="78"/>
      <c r="J12" s="78"/>
      <c r="K12" s="79"/>
      <c r="L12" s="79"/>
      <c r="M12" s="78"/>
      <c r="N12" s="78"/>
      <c r="O12" s="78"/>
      <c r="P12" s="72">
        <f>O12</f>
        <v>0</v>
      </c>
      <c r="Q12" s="72"/>
      <c r="R12" s="72">
        <f>Q12</f>
        <v>0</v>
      </c>
      <c r="S12" s="72">
        <f>R12</f>
        <v>0</v>
      </c>
      <c r="T12" s="72">
        <f>S12</f>
        <v>0</v>
      </c>
      <c r="U12" s="72"/>
      <c r="V12" s="72">
        <f>SUM(H12:T12)</f>
        <v>0</v>
      </c>
    </row>
    <row r="13" spans="1:23" ht="55.5" customHeight="1" x14ac:dyDescent="0.25">
      <c r="A13" s="374"/>
      <c r="B13" s="374"/>
      <c r="C13" s="71" t="s">
        <v>199</v>
      </c>
      <c r="D13" s="7" t="s">
        <v>200</v>
      </c>
      <c r="E13" s="7" t="s">
        <v>197</v>
      </c>
      <c r="F13" s="9" t="s">
        <v>197</v>
      </c>
      <c r="G13" s="55" t="s">
        <v>197</v>
      </c>
      <c r="H13" s="78">
        <v>198091.6</v>
      </c>
      <c r="I13" s="78">
        <v>204824.6</v>
      </c>
      <c r="J13" s="78">
        <v>219030.5</v>
      </c>
      <c r="K13" s="79">
        <v>218633.1</v>
      </c>
      <c r="L13" s="79">
        <v>229336.9</v>
      </c>
      <c r="M13" s="78">
        <v>267495.40000000002</v>
      </c>
      <c r="N13" s="78">
        <v>275550.40000000002</v>
      </c>
      <c r="O13" s="78">
        <v>310856.8</v>
      </c>
      <c r="P13" s="72">
        <v>356848.4</v>
      </c>
      <c r="Q13" s="73">
        <v>350814.5</v>
      </c>
      <c r="R13" s="72">
        <v>397147.3</v>
      </c>
      <c r="S13" s="72">
        <v>404294.8</v>
      </c>
      <c r="T13" s="72">
        <v>382228.4</v>
      </c>
      <c r="U13" s="72">
        <v>455555</v>
      </c>
      <c r="V13" s="72">
        <v>4270707.7</v>
      </c>
    </row>
    <row r="14" spans="1:23" ht="63" x14ac:dyDescent="0.25">
      <c r="A14" s="374"/>
      <c r="B14" s="374"/>
      <c r="C14" s="71" t="s">
        <v>206</v>
      </c>
      <c r="D14" s="7" t="s">
        <v>207</v>
      </c>
      <c r="E14" s="7" t="s">
        <v>197</v>
      </c>
      <c r="F14" s="9" t="s">
        <v>197</v>
      </c>
      <c r="G14" s="55" t="s">
        <v>197</v>
      </c>
      <c r="H14" s="78"/>
      <c r="I14" s="78"/>
      <c r="J14" s="78">
        <v>0</v>
      </c>
      <c r="K14" s="79"/>
      <c r="L14" s="79"/>
      <c r="M14" s="78"/>
      <c r="N14" s="78"/>
      <c r="O14" s="78"/>
      <c r="P14" s="72"/>
      <c r="Q14" s="73"/>
      <c r="R14" s="72">
        <f>Q14</f>
        <v>0</v>
      </c>
      <c r="S14" s="72">
        <f>R14</f>
        <v>0</v>
      </c>
      <c r="T14" s="72">
        <f>S14</f>
        <v>0</v>
      </c>
      <c r="U14" s="72"/>
      <c r="V14" s="72">
        <f>SUM(H14:T14)</f>
        <v>0</v>
      </c>
    </row>
    <row r="15" spans="1:23" ht="47.25" x14ac:dyDescent="0.25">
      <c r="A15" s="390" t="s">
        <v>208</v>
      </c>
      <c r="B15" s="392" t="s">
        <v>209</v>
      </c>
      <c r="C15" s="12" t="s">
        <v>196</v>
      </c>
      <c r="D15" s="9" t="s">
        <v>197</v>
      </c>
      <c r="E15" s="7" t="s">
        <v>197</v>
      </c>
      <c r="F15" s="9" t="s">
        <v>197</v>
      </c>
      <c r="G15" s="55" t="s">
        <v>197</v>
      </c>
      <c r="H15" s="78">
        <f t="shared" ref="H15:U15" si="5">H18</f>
        <v>214621.9</v>
      </c>
      <c r="I15" s="78">
        <f t="shared" si="5"/>
        <v>231479.1</v>
      </c>
      <c r="J15" s="78">
        <f t="shared" si="5"/>
        <v>252889.60000000001</v>
      </c>
      <c r="K15" s="79">
        <f t="shared" si="5"/>
        <v>262736.59999999998</v>
      </c>
      <c r="L15" s="79">
        <f t="shared" si="5"/>
        <v>275850</v>
      </c>
      <c r="M15" s="78">
        <f>M17+M18</f>
        <v>294091.2</v>
      </c>
      <c r="N15" s="78">
        <v>299894.2</v>
      </c>
      <c r="O15" s="78">
        <v>353644</v>
      </c>
      <c r="P15" s="72">
        <v>407487.9</v>
      </c>
      <c r="Q15" s="73">
        <v>450834.9</v>
      </c>
      <c r="R15" s="72">
        <v>603537.30000000005</v>
      </c>
      <c r="S15" s="72">
        <v>563163.1</v>
      </c>
      <c r="T15" s="72">
        <v>511249.8</v>
      </c>
      <c r="U15" s="72">
        <v>493427.4</v>
      </c>
      <c r="V15" s="72">
        <v>5214907</v>
      </c>
    </row>
    <row r="16" spans="1:23" x14ac:dyDescent="0.25">
      <c r="A16" s="391"/>
      <c r="B16" s="393"/>
      <c r="C16" s="12" t="s">
        <v>198</v>
      </c>
      <c r="D16" s="83"/>
      <c r="E16" s="84"/>
      <c r="F16" s="83"/>
      <c r="G16" s="85"/>
      <c r="H16" s="78"/>
      <c r="I16" s="78"/>
      <c r="J16" s="78"/>
      <c r="K16" s="79"/>
      <c r="L16" s="79"/>
      <c r="M16" s="78"/>
      <c r="N16" s="78"/>
      <c r="O16" s="78"/>
      <c r="P16" s="72"/>
      <c r="Q16" s="73"/>
      <c r="R16" s="72">
        <f t="shared" ref="R16:T17" si="6">Q16</f>
        <v>0</v>
      </c>
      <c r="S16" s="72">
        <f t="shared" si="6"/>
        <v>0</v>
      </c>
      <c r="T16" s="72">
        <f t="shared" si="6"/>
        <v>0</v>
      </c>
      <c r="U16" s="72"/>
      <c r="V16" s="72">
        <f>SUM(H16:T16)</f>
        <v>0</v>
      </c>
    </row>
    <row r="17" spans="1:22" ht="31.5" hidden="1" x14ac:dyDescent="0.25">
      <c r="A17" s="391"/>
      <c r="B17" s="393"/>
      <c r="C17" s="81" t="s">
        <v>201</v>
      </c>
      <c r="D17" s="82" t="s">
        <v>202</v>
      </c>
      <c r="E17" s="52" t="s">
        <v>197</v>
      </c>
      <c r="F17" s="52" t="s">
        <v>197</v>
      </c>
      <c r="G17" s="52" t="s">
        <v>197</v>
      </c>
      <c r="H17" s="78"/>
      <c r="I17" s="78"/>
      <c r="J17" s="78"/>
      <c r="K17" s="79"/>
      <c r="L17" s="79"/>
      <c r="M17" s="78">
        <v>0</v>
      </c>
      <c r="N17" s="78"/>
      <c r="O17" s="78">
        <f>'[1]Прил №2 к МП'!$K$11</f>
        <v>312164</v>
      </c>
      <c r="P17" s="72">
        <f>O17</f>
        <v>312164</v>
      </c>
      <c r="Q17" s="73"/>
      <c r="R17" s="72">
        <f t="shared" si="6"/>
        <v>0</v>
      </c>
      <c r="S17" s="72">
        <f t="shared" si="6"/>
        <v>0</v>
      </c>
      <c r="T17" s="72">
        <f t="shared" si="6"/>
        <v>0</v>
      </c>
      <c r="U17" s="72"/>
      <c r="V17" s="72">
        <f>SUM(H17:T17)</f>
        <v>624328</v>
      </c>
    </row>
    <row r="18" spans="1:22" ht="50.25" customHeight="1" x14ac:dyDescent="0.25">
      <c r="A18" s="391"/>
      <c r="B18" s="394"/>
      <c r="C18" s="71" t="s">
        <v>199</v>
      </c>
      <c r="D18" s="39">
        <v>975</v>
      </c>
      <c r="E18" s="7" t="s">
        <v>197</v>
      </c>
      <c r="F18" s="9" t="s">
        <v>197</v>
      </c>
      <c r="G18" s="55" t="s">
        <v>197</v>
      </c>
      <c r="H18" s="86">
        <v>214621.9</v>
      </c>
      <c r="I18" s="78">
        <v>231479.1</v>
      </c>
      <c r="J18" s="78">
        <v>252889.60000000001</v>
      </c>
      <c r="K18" s="79">
        <v>262736.59999999998</v>
      </c>
      <c r="L18" s="79">
        <v>275850</v>
      </c>
      <c r="M18" s="78">
        <v>294091.2</v>
      </c>
      <c r="N18" s="78">
        <v>299894.2</v>
      </c>
      <c r="O18" s="78">
        <v>353644</v>
      </c>
      <c r="P18" s="72">
        <v>407487.9</v>
      </c>
      <c r="Q18" s="73">
        <v>450834.9</v>
      </c>
      <c r="R18" s="72">
        <v>603537.30000000005</v>
      </c>
      <c r="S18" s="72">
        <v>563163.1</v>
      </c>
      <c r="T18" s="72">
        <v>511249.8</v>
      </c>
      <c r="U18" s="72">
        <v>493427.4</v>
      </c>
      <c r="V18" s="72">
        <v>5214907</v>
      </c>
    </row>
    <row r="19" spans="1:22" ht="47.25" customHeight="1" x14ac:dyDescent="0.25">
      <c r="A19" s="390" t="s">
        <v>210</v>
      </c>
      <c r="B19" s="392" t="s">
        <v>211</v>
      </c>
      <c r="C19" s="12" t="s">
        <v>196</v>
      </c>
      <c r="D19" s="7" t="s">
        <v>200</v>
      </c>
      <c r="E19" s="7" t="s">
        <v>197</v>
      </c>
      <c r="F19" s="9" t="s">
        <v>197</v>
      </c>
      <c r="G19" s="55" t="s">
        <v>197</v>
      </c>
      <c r="H19" s="78">
        <f t="shared" ref="H19:N19" si="7">H21</f>
        <v>6990.7</v>
      </c>
      <c r="I19" s="78">
        <f t="shared" si="7"/>
        <v>7764.9</v>
      </c>
      <c r="J19" s="78">
        <f t="shared" si="7"/>
        <v>7414.4</v>
      </c>
      <c r="K19" s="79">
        <f t="shared" si="7"/>
        <v>8058.3</v>
      </c>
      <c r="L19" s="79">
        <f t="shared" si="7"/>
        <v>7980.8</v>
      </c>
      <c r="M19" s="78">
        <f t="shared" si="7"/>
        <v>8394.1</v>
      </c>
      <c r="N19" s="78">
        <v>0</v>
      </c>
      <c r="O19" s="78">
        <v>9059.7000000000007</v>
      </c>
      <c r="P19" s="78">
        <v>8995.6</v>
      </c>
      <c r="Q19" s="79">
        <v>10533.1</v>
      </c>
      <c r="R19" s="72">
        <v>11798.2</v>
      </c>
      <c r="S19" s="72">
        <v>11712.7</v>
      </c>
      <c r="T19" s="72">
        <v>11712.7</v>
      </c>
      <c r="U19" s="72">
        <v>11712.7</v>
      </c>
      <c r="V19" s="72">
        <v>122127.9</v>
      </c>
    </row>
    <row r="20" spans="1:22" x14ac:dyDescent="0.25">
      <c r="A20" s="391"/>
      <c r="B20" s="393"/>
      <c r="C20" s="12" t="s">
        <v>198</v>
      </c>
      <c r="D20" s="83"/>
      <c r="E20" s="84"/>
      <c r="F20" s="83"/>
      <c r="G20" s="85"/>
      <c r="H20" s="78"/>
      <c r="I20" s="78"/>
      <c r="J20" s="78"/>
      <c r="K20" s="79"/>
      <c r="L20" s="79"/>
      <c r="M20" s="78"/>
      <c r="N20" s="78"/>
      <c r="O20" s="78"/>
      <c r="P20" s="72">
        <f>O20</f>
        <v>0</v>
      </c>
      <c r="Q20" s="73"/>
      <c r="R20" s="72">
        <f>Q20</f>
        <v>0</v>
      </c>
      <c r="S20" s="72">
        <f>R20</f>
        <v>0</v>
      </c>
      <c r="T20" s="72">
        <f>S20</f>
        <v>0</v>
      </c>
      <c r="U20" s="72"/>
      <c r="V20" s="72">
        <f>SUM(H20:T20)</f>
        <v>0</v>
      </c>
    </row>
    <row r="21" spans="1:22" ht="55.5" customHeight="1" x14ac:dyDescent="0.25">
      <c r="A21" s="391"/>
      <c r="B21" s="394"/>
      <c r="C21" s="71" t="s">
        <v>199</v>
      </c>
      <c r="D21" s="87">
        <v>975</v>
      </c>
      <c r="E21" s="88" t="s">
        <v>197</v>
      </c>
      <c r="F21" s="87" t="s">
        <v>197</v>
      </c>
      <c r="G21" s="89" t="s">
        <v>197</v>
      </c>
      <c r="H21" s="78">
        <v>6990.7</v>
      </c>
      <c r="I21" s="78">
        <v>7764.9</v>
      </c>
      <c r="J21" s="78">
        <v>7414.4</v>
      </c>
      <c r="K21" s="79">
        <v>8058.3</v>
      </c>
      <c r="L21" s="79">
        <v>7980.8</v>
      </c>
      <c r="M21" s="78">
        <v>8394.1</v>
      </c>
      <c r="N21" s="78"/>
      <c r="O21" s="78">
        <v>9059.7000000000007</v>
      </c>
      <c r="P21" s="78">
        <v>8995.6</v>
      </c>
      <c r="Q21" s="79">
        <v>10533.1</v>
      </c>
      <c r="R21" s="72">
        <v>11798.2</v>
      </c>
      <c r="S21" s="72">
        <v>11712.7</v>
      </c>
      <c r="T21" s="72">
        <v>11712.7</v>
      </c>
      <c r="U21" s="72">
        <v>11712.7</v>
      </c>
      <c r="V21" s="72">
        <v>122127.9</v>
      </c>
    </row>
    <row r="22" spans="1:22" ht="47.25" customHeight="1" x14ac:dyDescent="0.25">
      <c r="A22" s="362" t="s">
        <v>212</v>
      </c>
      <c r="B22" s="392" t="s">
        <v>213</v>
      </c>
      <c r="C22" s="12" t="s">
        <v>196</v>
      </c>
      <c r="D22" s="9"/>
      <c r="E22" s="7"/>
      <c r="F22" s="9"/>
      <c r="G22" s="55"/>
      <c r="H22" s="78">
        <f t="shared" ref="H22:M22" si="8">H24+H25+H26</f>
        <v>28125.4</v>
      </c>
      <c r="I22" s="78">
        <f t="shared" si="8"/>
        <v>29557</v>
      </c>
      <c r="J22" s="78">
        <f t="shared" si="8"/>
        <v>32395.200000000001</v>
      </c>
      <c r="K22" s="79">
        <f>K24+K25+K26</f>
        <v>33800</v>
      </c>
      <c r="L22" s="79">
        <f>L24+L25+L26</f>
        <v>36181.299999999996</v>
      </c>
      <c r="M22" s="78">
        <f t="shared" si="8"/>
        <v>44408.899999999994</v>
      </c>
      <c r="N22" s="78">
        <v>59607.7</v>
      </c>
      <c r="O22" s="78">
        <v>56741.9</v>
      </c>
      <c r="P22" s="78">
        <v>86663.4</v>
      </c>
      <c r="Q22" s="73">
        <v>90039.8</v>
      </c>
      <c r="R22" s="72">
        <v>102805</v>
      </c>
      <c r="S22" s="72">
        <v>112494.6</v>
      </c>
      <c r="T22" s="72">
        <v>105273.5</v>
      </c>
      <c r="U22" s="72">
        <v>107354.5</v>
      </c>
      <c r="V22" s="72">
        <v>925448.2</v>
      </c>
    </row>
    <row r="23" spans="1:22" x14ac:dyDescent="0.25">
      <c r="A23" s="362"/>
      <c r="B23" s="393"/>
      <c r="C23" s="12" t="s">
        <v>198</v>
      </c>
      <c r="D23" s="83"/>
      <c r="E23" s="84"/>
      <c r="F23" s="83"/>
      <c r="G23" s="85"/>
      <c r="H23" s="78"/>
      <c r="I23" s="78"/>
      <c r="J23" s="78"/>
      <c r="K23" s="79"/>
      <c r="L23" s="79"/>
      <c r="M23" s="78"/>
      <c r="N23" s="78"/>
      <c r="O23" s="78"/>
      <c r="P23" s="72">
        <f>O23</f>
        <v>0</v>
      </c>
      <c r="Q23" s="73"/>
      <c r="R23" s="72">
        <f>Q23</f>
        <v>0</v>
      </c>
      <c r="S23" s="72">
        <f>R23</f>
        <v>0</v>
      </c>
      <c r="T23" s="72">
        <f>S23</f>
        <v>0</v>
      </c>
      <c r="U23" s="72"/>
      <c r="V23" s="72">
        <f>SUM(H23:T23)</f>
        <v>0</v>
      </c>
    </row>
    <row r="24" spans="1:22" ht="48.75" customHeight="1" x14ac:dyDescent="0.25">
      <c r="A24" s="362"/>
      <c r="B24" s="393"/>
      <c r="C24" s="71" t="s">
        <v>199</v>
      </c>
      <c r="D24" s="7" t="s">
        <v>200</v>
      </c>
      <c r="E24" s="7" t="s">
        <v>197</v>
      </c>
      <c r="F24" s="9"/>
      <c r="G24" s="55"/>
      <c r="H24" s="78">
        <v>6449.1</v>
      </c>
      <c r="I24" s="78">
        <v>7182.6</v>
      </c>
      <c r="J24" s="78">
        <v>7594.7</v>
      </c>
      <c r="K24" s="79">
        <v>9247.5</v>
      </c>
      <c r="L24" s="79">
        <v>9944.2999999999993</v>
      </c>
      <c r="M24" s="78">
        <f>44408.9-M25-M26</f>
        <v>17757.2</v>
      </c>
      <c r="N24" s="78">
        <v>25807.3</v>
      </c>
      <c r="O24" s="78">
        <v>29123.1</v>
      </c>
      <c r="P24" s="72">
        <v>32633.7</v>
      </c>
      <c r="Q24" s="73">
        <v>35646.199999999997</v>
      </c>
      <c r="R24" s="72">
        <v>39570</v>
      </c>
      <c r="S24" s="72">
        <v>46139.8</v>
      </c>
      <c r="T24" s="72">
        <v>41272.199999999997</v>
      </c>
      <c r="U24" s="72">
        <v>41272.300000000003</v>
      </c>
      <c r="V24" s="72">
        <v>349640</v>
      </c>
    </row>
    <row r="25" spans="1:22" ht="39" customHeight="1" x14ac:dyDescent="0.25">
      <c r="A25" s="362"/>
      <c r="B25" s="393"/>
      <c r="C25" s="12" t="s">
        <v>201</v>
      </c>
      <c r="D25" s="9">
        <v>906</v>
      </c>
      <c r="E25" s="7" t="s">
        <v>197</v>
      </c>
      <c r="F25" s="9"/>
      <c r="G25" s="9"/>
      <c r="H25" s="79">
        <v>7523.2</v>
      </c>
      <c r="I25" s="79">
        <f>3247.3+4190.7</f>
        <v>7438</v>
      </c>
      <c r="J25" s="79">
        <f>9009.9+473.9</f>
        <v>9483.7999999999993</v>
      </c>
      <c r="K25" s="79">
        <f>8415+765</f>
        <v>9180</v>
      </c>
      <c r="L25" s="79">
        <v>10241.9</v>
      </c>
      <c r="M25" s="78">
        <v>9907.9</v>
      </c>
      <c r="N25" s="78">
        <v>15279.7</v>
      </c>
      <c r="O25" s="78">
        <v>5577.5</v>
      </c>
      <c r="P25" s="72">
        <v>27092.400000000001</v>
      </c>
      <c r="Q25" s="73">
        <v>25672.799999999999</v>
      </c>
      <c r="R25" s="72">
        <v>28780.6</v>
      </c>
      <c r="S25" s="72">
        <v>29117.9</v>
      </c>
      <c r="T25" s="72">
        <v>29131.9</v>
      </c>
      <c r="U25" s="72">
        <v>31212.799999999999</v>
      </c>
      <c r="V25" s="72">
        <v>245640.4</v>
      </c>
    </row>
    <row r="26" spans="1:22" ht="30" customHeight="1" x14ac:dyDescent="0.25">
      <c r="A26" s="362"/>
      <c r="B26" s="394"/>
      <c r="C26" s="12" t="s">
        <v>111</v>
      </c>
      <c r="D26" s="87">
        <v>976</v>
      </c>
      <c r="E26" s="88" t="s">
        <v>197</v>
      </c>
      <c r="F26" s="83"/>
      <c r="G26" s="83"/>
      <c r="H26" s="78">
        <v>14153.1</v>
      </c>
      <c r="I26" s="78">
        <v>14936.4</v>
      </c>
      <c r="J26" s="79">
        <v>15316.7</v>
      </c>
      <c r="K26" s="79">
        <v>15372.5</v>
      </c>
      <c r="L26" s="79">
        <v>15995.1</v>
      </c>
      <c r="M26" s="78">
        <v>16743.8</v>
      </c>
      <c r="N26" s="78">
        <v>18520.7</v>
      </c>
      <c r="O26" s="78">
        <v>22041.3</v>
      </c>
      <c r="P26" s="72">
        <v>26937.3</v>
      </c>
      <c r="Q26" s="73">
        <v>28720.799999999999</v>
      </c>
      <c r="R26" s="72">
        <v>34454.400000000001</v>
      </c>
      <c r="S26" s="72">
        <v>37236.9</v>
      </c>
      <c r="T26" s="72">
        <v>34869.4</v>
      </c>
      <c r="U26" s="72">
        <v>34869.4</v>
      </c>
      <c r="V26" s="72">
        <v>330167.8</v>
      </c>
    </row>
    <row r="27" spans="1:22" x14ac:dyDescent="0.25">
      <c r="I27" s="90"/>
      <c r="J27" s="90"/>
      <c r="K27" s="91"/>
      <c r="L27" s="90"/>
      <c r="M27" s="90"/>
      <c r="N27" s="90"/>
      <c r="O27" s="90"/>
      <c r="P27" s="92"/>
      <c r="Q27" s="92"/>
      <c r="R27" s="92"/>
      <c r="S27" s="92"/>
      <c r="T27" s="92"/>
      <c r="U27" s="92"/>
    </row>
    <row r="28" spans="1:22" ht="18.75" customHeight="1" x14ac:dyDescent="0.25">
      <c r="A28" s="40" t="s">
        <v>163</v>
      </c>
      <c r="V28" s="40" t="s">
        <v>214</v>
      </c>
    </row>
    <row r="29" spans="1:22" x14ac:dyDescent="0.25">
      <c r="K29" s="93"/>
      <c r="L29" s="93"/>
      <c r="M29" s="93"/>
      <c r="N29" s="93"/>
      <c r="O29" s="93"/>
      <c r="P29" s="94"/>
      <c r="Q29" s="94"/>
      <c r="R29" s="94"/>
      <c r="S29" s="94"/>
      <c r="T29" s="94"/>
      <c r="U29" s="94"/>
      <c r="V29" s="93"/>
    </row>
    <row r="31" spans="1:22" x14ac:dyDescent="0.25">
      <c r="L31" s="95"/>
    </row>
    <row r="32" spans="1:22" x14ac:dyDescent="0.25">
      <c r="L32" s="95"/>
    </row>
    <row r="33" spans="12:22" x14ac:dyDescent="0.25">
      <c r="V33" s="90"/>
    </row>
    <row r="34" spans="12:22" x14ac:dyDescent="0.25">
      <c r="L34" s="95"/>
      <c r="V34" s="90"/>
    </row>
    <row r="36" spans="12:22" x14ac:dyDescent="0.25">
      <c r="V36" s="90"/>
    </row>
    <row r="37" spans="12:22" x14ac:dyDescent="0.25">
      <c r="V37" s="90"/>
    </row>
  </sheetData>
  <mergeCells count="17">
    <mergeCell ref="M1:V1"/>
    <mergeCell ref="A2:V2"/>
    <mergeCell ref="A3:A4"/>
    <mergeCell ref="B3:B4"/>
    <mergeCell ref="C3:C4"/>
    <mergeCell ref="D3:G3"/>
    <mergeCell ref="H3:V3"/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</mergeCells>
  <pageMargins left="0.7" right="0.37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139"/>
  <sheetViews>
    <sheetView view="pageBreakPreview" topLeftCell="A4" zoomScaleNormal="100" zoomScaleSheetLayoutView="100" workbookViewId="0">
      <selection activeCell="R33" sqref="N30:R33"/>
    </sheetView>
  </sheetViews>
  <sheetFormatPr defaultColWidth="9.28515625" defaultRowHeight="15" x14ac:dyDescent="0.2"/>
  <cols>
    <col min="1" max="1" width="18.42578125" style="96" customWidth="1"/>
    <col min="2" max="2" width="24.85546875" style="96" customWidth="1"/>
    <col min="3" max="3" width="30.140625" style="96" customWidth="1"/>
    <col min="4" max="10" width="10.140625" style="96" customWidth="1"/>
    <col min="11" max="11" width="10.140625" style="97" customWidth="1"/>
    <col min="12" max="12" width="11.85546875" style="97" customWidth="1"/>
    <col min="13" max="13" width="12.28515625" style="97" customWidth="1"/>
    <col min="14" max="14" width="12.5703125" style="97" customWidth="1"/>
    <col min="15" max="17" width="12.42578125" style="97" customWidth="1"/>
    <col min="18" max="18" width="16" style="97" customWidth="1"/>
    <col min="19" max="19" width="10" style="96" bestFit="1" customWidth="1"/>
    <col min="20" max="21" width="11.42578125" style="96" bestFit="1" customWidth="1"/>
    <col min="22" max="16384" width="9.28515625" style="96"/>
  </cols>
  <sheetData>
    <row r="1" spans="1:33" ht="72" customHeight="1" x14ac:dyDescent="0.25">
      <c r="L1" s="408" t="s">
        <v>215</v>
      </c>
      <c r="M1" s="408"/>
      <c r="N1" s="408"/>
      <c r="O1" s="408"/>
      <c r="P1" s="408"/>
      <c r="Q1" s="408"/>
      <c r="R1" s="408"/>
      <c r="S1" s="98"/>
      <c r="T1" s="98"/>
      <c r="U1" s="98"/>
      <c r="V1" s="4"/>
      <c r="W1" s="4"/>
      <c r="Y1" s="98"/>
      <c r="Z1" s="98"/>
      <c r="AA1" s="98"/>
      <c r="AB1" s="409" t="s">
        <v>216</v>
      </c>
      <c r="AC1" s="409"/>
      <c r="AD1" s="409"/>
      <c r="AE1" s="409"/>
      <c r="AF1" s="409"/>
      <c r="AG1" s="409"/>
    </row>
    <row r="2" spans="1:33" ht="55.5" customHeight="1" x14ac:dyDescent="0.2">
      <c r="A2" s="410" t="s">
        <v>217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</row>
    <row r="3" spans="1:33" ht="33.75" customHeight="1" x14ac:dyDescent="0.2">
      <c r="A3" s="362" t="s">
        <v>218</v>
      </c>
      <c r="B3" s="374" t="s">
        <v>219</v>
      </c>
      <c r="C3" s="411" t="s">
        <v>220</v>
      </c>
      <c r="D3" s="413" t="s">
        <v>221</v>
      </c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</row>
    <row r="4" spans="1:33" ht="43.5" customHeight="1" x14ac:dyDescent="0.2">
      <c r="A4" s="362"/>
      <c r="B4" s="374"/>
      <c r="C4" s="412"/>
      <c r="D4" s="99" t="s">
        <v>8</v>
      </c>
      <c r="E4" s="99" t="s">
        <v>9</v>
      </c>
      <c r="F4" s="99" t="s">
        <v>10</v>
      </c>
      <c r="G4" s="100" t="s">
        <v>11</v>
      </c>
      <c r="H4" s="99" t="s">
        <v>12</v>
      </c>
      <c r="I4" s="99" t="s">
        <v>13</v>
      </c>
      <c r="J4" s="99" t="s">
        <v>14</v>
      </c>
      <c r="K4" s="99" t="s">
        <v>15</v>
      </c>
      <c r="L4" s="99" t="s">
        <v>16</v>
      </c>
      <c r="M4" s="99" t="s">
        <v>17</v>
      </c>
      <c r="N4" s="99" t="s">
        <v>18</v>
      </c>
      <c r="O4" s="99" t="s">
        <v>19</v>
      </c>
      <c r="P4" s="99" t="s">
        <v>20</v>
      </c>
      <c r="Q4" s="99" t="s">
        <v>21</v>
      </c>
      <c r="R4" s="99" t="s">
        <v>193</v>
      </c>
    </row>
    <row r="5" spans="1:33" ht="15.75" customHeight="1" x14ac:dyDescent="0.2">
      <c r="A5" s="390" t="s">
        <v>194</v>
      </c>
      <c r="B5" s="392" t="s">
        <v>195</v>
      </c>
      <c r="C5" s="101" t="s">
        <v>222</v>
      </c>
      <c r="D5" s="102">
        <f t="shared" ref="D5:I5" si="0">D8+D9+D10</f>
        <v>447829.60000000003</v>
      </c>
      <c r="E5" s="102">
        <f t="shared" si="0"/>
        <v>473625.59999999998</v>
      </c>
      <c r="F5" s="102">
        <f t="shared" si="0"/>
        <v>511729.69999999995</v>
      </c>
      <c r="G5" s="103">
        <f t="shared" si="0"/>
        <v>523228.00000000006</v>
      </c>
      <c r="H5" s="103">
        <f>H8+H9+H10</f>
        <v>549349</v>
      </c>
      <c r="I5" s="102">
        <f t="shared" si="0"/>
        <v>614389.6</v>
      </c>
      <c r="J5" s="102">
        <f t="shared" ref="J5:M5" si="1">J8+J9+J10+J7</f>
        <v>635052.30000000005</v>
      </c>
      <c r="K5" s="102">
        <f t="shared" si="1"/>
        <v>730302.39999999991</v>
      </c>
      <c r="L5" s="102">
        <f t="shared" si="1"/>
        <v>859995.30000000016</v>
      </c>
      <c r="M5" s="102">
        <f t="shared" si="1"/>
        <v>902222.29999999993</v>
      </c>
      <c r="N5" s="102">
        <v>1115287.8</v>
      </c>
      <c r="O5" s="102">
        <v>1091665.2</v>
      </c>
      <c r="P5" s="102">
        <v>1010464.4</v>
      </c>
      <c r="Q5" s="102">
        <v>1068049.6000000001</v>
      </c>
      <c r="R5" s="102">
        <v>10533190.800000001</v>
      </c>
    </row>
    <row r="6" spans="1:33" ht="15.75" x14ac:dyDescent="0.2">
      <c r="A6" s="391"/>
      <c r="B6" s="393"/>
      <c r="C6" s="104" t="s">
        <v>223</v>
      </c>
      <c r="D6" s="105"/>
      <c r="E6" s="106"/>
      <c r="F6" s="106"/>
      <c r="G6" s="107"/>
      <c r="H6" s="107"/>
      <c r="I6" s="106"/>
      <c r="J6" s="106"/>
      <c r="K6" s="106"/>
      <c r="L6" s="102"/>
      <c r="M6" s="102"/>
      <c r="N6" s="102">
        <f>L6</f>
        <v>0</v>
      </c>
      <c r="O6" s="102">
        <f>M6</f>
        <v>0</v>
      </c>
      <c r="P6" s="102">
        <f>N6</f>
        <v>0</v>
      </c>
      <c r="Q6" s="102">
        <f>O6</f>
        <v>0</v>
      </c>
      <c r="R6" s="102"/>
      <c r="T6" s="108"/>
      <c r="U6" s="108"/>
    </row>
    <row r="7" spans="1:33" ht="15.75" x14ac:dyDescent="0.2">
      <c r="A7" s="391"/>
      <c r="B7" s="393"/>
      <c r="C7" s="109" t="s">
        <v>224</v>
      </c>
      <c r="D7" s="105"/>
      <c r="E7" s="106"/>
      <c r="F7" s="106"/>
      <c r="G7" s="107"/>
      <c r="H7" s="107"/>
      <c r="I7" s="106"/>
      <c r="J7" s="106">
        <f>J19</f>
        <v>12598.599999999999</v>
      </c>
      <c r="K7" s="106">
        <f>K19+K30</f>
        <v>26440.1</v>
      </c>
      <c r="L7" s="106">
        <f>L19+L30</f>
        <v>26300.799999999999</v>
      </c>
      <c r="M7" s="106">
        <f>M19+M30</f>
        <v>32549.1</v>
      </c>
      <c r="N7" s="106">
        <v>56222.2</v>
      </c>
      <c r="O7" s="106">
        <v>51734.9</v>
      </c>
      <c r="P7" s="106">
        <v>56815.8</v>
      </c>
      <c r="Q7" s="106">
        <v>103994.6</v>
      </c>
      <c r="R7" s="106">
        <v>366656.1</v>
      </c>
    </row>
    <row r="8" spans="1:33" ht="15.75" customHeight="1" x14ac:dyDescent="0.2">
      <c r="A8" s="391"/>
      <c r="B8" s="393"/>
      <c r="C8" s="109" t="s">
        <v>225</v>
      </c>
      <c r="D8" s="102">
        <f>D14+D20+D25+D31</f>
        <v>215148.1</v>
      </c>
      <c r="E8" s="102">
        <f>E14+E20+E25+E31</f>
        <v>208367.5</v>
      </c>
      <c r="F8" s="102">
        <f>F14+F20+F25+F31</f>
        <v>280623.8</v>
      </c>
      <c r="G8" s="103">
        <f>G14+G20+G25+G31</f>
        <v>301525.8</v>
      </c>
      <c r="H8" s="103">
        <f>H14+H20+H25+H31</f>
        <v>326259.80000000005</v>
      </c>
      <c r="I8" s="102">
        <f>I14+I20+I25+I31</f>
        <v>354583.9</v>
      </c>
      <c r="J8" s="102">
        <f>J14+J20+J25+J31</f>
        <v>389409.10000000003</v>
      </c>
      <c r="K8" s="102">
        <f>K14+K20+K25+K31</f>
        <v>409788</v>
      </c>
      <c r="L8" s="102">
        <f>L14+L20+L25+L31</f>
        <v>516969.80000000005</v>
      </c>
      <c r="M8" s="102">
        <f>M14+M20+M25+M31</f>
        <v>542003.5</v>
      </c>
      <c r="N8" s="102">
        <v>656915</v>
      </c>
      <c r="O8" s="102">
        <v>637925.6</v>
      </c>
      <c r="P8" s="102">
        <v>590605.1</v>
      </c>
      <c r="Q8" s="102">
        <v>600793.9</v>
      </c>
      <c r="R8" s="102">
        <v>6030918.9000000004</v>
      </c>
      <c r="T8" s="108"/>
    </row>
    <row r="9" spans="1:33" ht="15.75" x14ac:dyDescent="0.2">
      <c r="A9" s="391"/>
      <c r="B9" s="393"/>
      <c r="C9" s="109" t="s">
        <v>226</v>
      </c>
      <c r="D9" s="102">
        <f>D15+D21+D26+D32</f>
        <v>217161.60000000001</v>
      </c>
      <c r="E9" s="102">
        <f>E15+E21+E26+E32</f>
        <v>249957.8</v>
      </c>
      <c r="F9" s="102">
        <f>F15+F21+F26+F32</f>
        <v>211534.09999999998</v>
      </c>
      <c r="G9" s="103">
        <f>G15+G21+G26+G32</f>
        <v>199302.50000000003</v>
      </c>
      <c r="H9" s="103">
        <f>H15+H21+H26+H32</f>
        <v>198036.09999999998</v>
      </c>
      <c r="I9" s="102">
        <f>I15+I21+I26+I32</f>
        <v>232969.00000000003</v>
      </c>
      <c r="J9" s="102">
        <f>J15+J21+J26+J32</f>
        <v>211201.8</v>
      </c>
      <c r="K9" s="102">
        <f>K15+K21+K26+K32</f>
        <v>271205.7</v>
      </c>
      <c r="L9" s="102">
        <f>L15+L21+L26+L32</f>
        <v>293078.90000000002</v>
      </c>
      <c r="M9" s="102">
        <f>M15+M21+M26+M32</f>
        <v>303155.09999999998</v>
      </c>
      <c r="N9" s="102">
        <v>363192.9</v>
      </c>
      <c r="O9" s="102">
        <v>367112</v>
      </c>
      <c r="P9" s="102">
        <v>339484</v>
      </c>
      <c r="Q9" s="102">
        <v>339701.6</v>
      </c>
      <c r="R9" s="102">
        <v>3797093.1</v>
      </c>
    </row>
    <row r="10" spans="1:33" ht="15" customHeight="1" x14ac:dyDescent="0.2">
      <c r="A10" s="406"/>
      <c r="B10" s="394"/>
      <c r="C10" s="109" t="s">
        <v>227</v>
      </c>
      <c r="D10" s="102">
        <f>D16+D22+D27+D33</f>
        <v>15519.9</v>
      </c>
      <c r="E10" s="102">
        <f>E16+E22+E27+E33</f>
        <v>15300.3</v>
      </c>
      <c r="F10" s="102">
        <f>F16+F22+F27+F33</f>
        <v>19571.8</v>
      </c>
      <c r="G10" s="102">
        <f>G16+G22+G27+G33</f>
        <v>22399.7</v>
      </c>
      <c r="H10" s="102">
        <f>H16+H22+H27+H33</f>
        <v>25053.100000000002</v>
      </c>
      <c r="I10" s="102">
        <f>I16+I22+I27+I33</f>
        <v>26836.7</v>
      </c>
      <c r="J10" s="102">
        <f>J16+J22+J27+J33</f>
        <v>21842.799999999999</v>
      </c>
      <c r="K10" s="102">
        <f>K16+K22+K27+K33</f>
        <v>22868.6</v>
      </c>
      <c r="L10" s="102">
        <f>L16+L22+L27+L33</f>
        <v>23645.8</v>
      </c>
      <c r="M10" s="102">
        <f>M16+M22+M27+M33</f>
        <v>24514.6</v>
      </c>
      <c r="N10" s="102">
        <v>38957.699999999997</v>
      </c>
      <c r="O10" s="102">
        <v>34892.699999999997</v>
      </c>
      <c r="P10" s="102">
        <v>23559.5</v>
      </c>
      <c r="Q10" s="102">
        <v>23559.5</v>
      </c>
      <c r="R10" s="102">
        <v>338522.7</v>
      </c>
      <c r="T10" s="108"/>
    </row>
    <row r="11" spans="1:33" ht="15.75" customHeight="1" x14ac:dyDescent="0.2">
      <c r="A11" s="390" t="s">
        <v>228</v>
      </c>
      <c r="B11" s="392" t="s">
        <v>205</v>
      </c>
      <c r="C11" s="101" t="s">
        <v>222</v>
      </c>
      <c r="D11" s="102">
        <f>D14+D15+D16</f>
        <v>198091.59999999998</v>
      </c>
      <c r="E11" s="102">
        <f>E14+E15+E16</f>
        <v>204824.59999999998</v>
      </c>
      <c r="F11" s="102">
        <f>F14+F15+F16</f>
        <v>219030.5</v>
      </c>
      <c r="G11" s="102">
        <f>G14+G15+G16</f>
        <v>218633.1</v>
      </c>
      <c r="H11" s="102">
        <f>H14+H15+H16</f>
        <v>229336.9</v>
      </c>
      <c r="I11" s="102">
        <f>I14+I15+I16</f>
        <v>267495.40000000002</v>
      </c>
      <c r="J11" s="102">
        <f>J14+J15+J16</f>
        <v>275550.39999999997</v>
      </c>
      <c r="K11" s="102">
        <f>K14+K15+K16</f>
        <v>310856.8</v>
      </c>
      <c r="L11" s="102">
        <f>L14+L15+L16</f>
        <v>356848.4</v>
      </c>
      <c r="M11" s="102">
        <f>M14+M15+M16</f>
        <v>350814.5</v>
      </c>
      <c r="N11" s="102">
        <v>397147.3</v>
      </c>
      <c r="O11" s="102">
        <v>404294.8</v>
      </c>
      <c r="P11" s="102">
        <v>382228.4</v>
      </c>
      <c r="Q11" s="102">
        <v>455555</v>
      </c>
      <c r="R11" s="102">
        <v>4270707.7</v>
      </c>
    </row>
    <row r="12" spans="1:33" ht="15.75" x14ac:dyDescent="0.2">
      <c r="A12" s="391"/>
      <c r="B12" s="393"/>
      <c r="C12" s="104" t="s">
        <v>223</v>
      </c>
      <c r="D12" s="105"/>
      <c r="E12" s="102"/>
      <c r="F12" s="106"/>
      <c r="G12" s="106"/>
      <c r="H12" s="106"/>
      <c r="I12" s="106"/>
      <c r="J12" s="106"/>
      <c r="K12" s="106"/>
      <c r="L12" s="102">
        <f>K12</f>
        <v>0</v>
      </c>
      <c r="M12" s="102"/>
      <c r="N12" s="102">
        <f>L12</f>
        <v>0</v>
      </c>
      <c r="O12" s="102">
        <f>M12</f>
        <v>0</v>
      </c>
      <c r="P12" s="102">
        <f>N12</f>
        <v>0</v>
      </c>
      <c r="Q12" s="102">
        <f>O12</f>
        <v>0</v>
      </c>
      <c r="R12" s="102">
        <f>SUM(D12:M12)</f>
        <v>0</v>
      </c>
      <c r="U12" s="108"/>
    </row>
    <row r="13" spans="1:33" ht="15.75" x14ac:dyDescent="0.2">
      <c r="A13" s="391"/>
      <c r="B13" s="393"/>
      <c r="C13" s="104" t="s">
        <v>224</v>
      </c>
      <c r="D13" s="105"/>
      <c r="E13" s="102"/>
      <c r="F13" s="106"/>
      <c r="G13" s="106"/>
      <c r="H13" s="106"/>
      <c r="I13" s="106"/>
      <c r="J13" s="106"/>
      <c r="K13" s="106"/>
      <c r="L13" s="102"/>
      <c r="M13" s="102"/>
      <c r="N13" s="102">
        <v>0</v>
      </c>
      <c r="O13" s="102">
        <v>0</v>
      </c>
      <c r="P13" s="102">
        <v>0</v>
      </c>
      <c r="Q13" s="102">
        <v>55437.599999999999</v>
      </c>
      <c r="R13" s="102">
        <v>55437.599999999999</v>
      </c>
      <c r="U13" s="108"/>
    </row>
    <row r="14" spans="1:33" ht="15.75" x14ac:dyDescent="0.2">
      <c r="A14" s="391"/>
      <c r="B14" s="393"/>
      <c r="C14" s="110" t="s">
        <v>229</v>
      </c>
      <c r="D14" s="105">
        <v>92552.9</v>
      </c>
      <c r="E14" s="102">
        <v>81485.8</v>
      </c>
      <c r="F14" s="106">
        <v>116158.7</v>
      </c>
      <c r="G14" s="106">
        <v>122752.3</v>
      </c>
      <c r="H14" s="106">
        <v>129296.8</v>
      </c>
      <c r="I14" s="106">
        <v>147632</v>
      </c>
      <c r="J14" s="106">
        <v>168234.1</v>
      </c>
      <c r="K14" s="106">
        <v>174939.2</v>
      </c>
      <c r="L14" s="106">
        <v>213384.2</v>
      </c>
      <c r="M14" s="107">
        <v>205376.6</v>
      </c>
      <c r="N14" s="102">
        <v>229639.6</v>
      </c>
      <c r="O14" s="102">
        <v>236345.7</v>
      </c>
      <c r="P14" s="102">
        <v>220200.3</v>
      </c>
      <c r="Q14" s="102">
        <v>236749.3</v>
      </c>
      <c r="R14" s="102">
        <v>2374747.5</v>
      </c>
    </row>
    <row r="15" spans="1:33" ht="15.75" x14ac:dyDescent="0.2">
      <c r="A15" s="391"/>
      <c r="B15" s="393"/>
      <c r="C15" s="110" t="s">
        <v>230</v>
      </c>
      <c r="D15" s="105">
        <v>92376.4</v>
      </c>
      <c r="E15" s="102">
        <v>110895</v>
      </c>
      <c r="F15" s="102">
        <v>86284.2</v>
      </c>
      <c r="G15" s="102">
        <v>76465.3</v>
      </c>
      <c r="H15" s="102">
        <v>78788.7</v>
      </c>
      <c r="I15" s="102">
        <v>99489.9</v>
      </c>
      <c r="J15" s="102">
        <v>92286.7</v>
      </c>
      <c r="K15" s="102">
        <v>115743.3</v>
      </c>
      <c r="L15" s="102">
        <v>124018.6</v>
      </c>
      <c r="M15" s="107">
        <v>125029.1</v>
      </c>
      <c r="N15" s="111">
        <v>145356</v>
      </c>
      <c r="O15" s="102">
        <v>147236.79999999999</v>
      </c>
      <c r="P15" s="102">
        <v>140810.6</v>
      </c>
      <c r="Q15" s="102">
        <v>142150.6</v>
      </c>
      <c r="R15" s="102">
        <v>1576931.2</v>
      </c>
    </row>
    <row r="16" spans="1:33" ht="31.5" x14ac:dyDescent="0.2">
      <c r="A16" s="406"/>
      <c r="B16" s="394"/>
      <c r="C16" s="110" t="s">
        <v>231</v>
      </c>
      <c r="D16" s="105">
        <v>13162.3</v>
      </c>
      <c r="E16" s="102">
        <v>12443.8</v>
      </c>
      <c r="F16" s="106">
        <v>16587.599999999999</v>
      </c>
      <c r="G16" s="106">
        <v>19415.5</v>
      </c>
      <c r="H16" s="106">
        <v>21251.4</v>
      </c>
      <c r="I16" s="106">
        <v>20373.5</v>
      </c>
      <c r="J16" s="106">
        <v>15029.6</v>
      </c>
      <c r="K16" s="106">
        <v>20174.3</v>
      </c>
      <c r="L16" s="106">
        <v>19445.599999999999</v>
      </c>
      <c r="M16" s="107">
        <v>20408.8</v>
      </c>
      <c r="N16" s="102">
        <v>22151.7</v>
      </c>
      <c r="O16" s="102">
        <v>20712.3</v>
      </c>
      <c r="P16" s="102">
        <v>21217.5</v>
      </c>
      <c r="Q16" s="102">
        <v>21217.5</v>
      </c>
      <c r="R16" s="102">
        <v>263591.40000000002</v>
      </c>
    </row>
    <row r="17" spans="1:21" ht="15.75" customHeight="1" x14ac:dyDescent="0.2">
      <c r="A17" s="390" t="s">
        <v>232</v>
      </c>
      <c r="B17" s="392" t="s">
        <v>209</v>
      </c>
      <c r="C17" s="101" t="s">
        <v>222</v>
      </c>
      <c r="D17" s="102">
        <f t="shared" ref="D17:I17" si="2">D20+D21+D22</f>
        <v>214621.9</v>
      </c>
      <c r="E17" s="102">
        <f t="shared" si="2"/>
        <v>231479.09999999998</v>
      </c>
      <c r="F17" s="102">
        <f t="shared" si="2"/>
        <v>252889.59999999998</v>
      </c>
      <c r="G17" s="102">
        <f t="shared" si="2"/>
        <v>262736.60000000003</v>
      </c>
      <c r="H17" s="102">
        <f t="shared" si="2"/>
        <v>275850</v>
      </c>
      <c r="I17" s="102">
        <f t="shared" si="2"/>
        <v>294091.2</v>
      </c>
      <c r="J17" s="102">
        <f>J20+J21+J22+J19</f>
        <v>299894.2</v>
      </c>
      <c r="K17" s="102">
        <f>K20+K21+K22+K19</f>
        <v>353643.99999999994</v>
      </c>
      <c r="L17" s="102">
        <f>L20+L21+L22+L19</f>
        <v>407487.89999999997</v>
      </c>
      <c r="M17" s="103">
        <f>M19+M20+M21+M22</f>
        <v>450834.9</v>
      </c>
      <c r="N17" s="102">
        <v>603537.30000000005</v>
      </c>
      <c r="O17" s="102">
        <v>563163.1</v>
      </c>
      <c r="P17" s="102">
        <v>511249.8</v>
      </c>
      <c r="Q17" s="102">
        <v>493427.4</v>
      </c>
      <c r="R17" s="102">
        <v>5214907</v>
      </c>
    </row>
    <row r="18" spans="1:21" ht="15.75" x14ac:dyDescent="0.2">
      <c r="A18" s="391"/>
      <c r="B18" s="393"/>
      <c r="C18" s="104" t="s">
        <v>223</v>
      </c>
      <c r="D18" s="105"/>
      <c r="E18" s="106"/>
      <c r="F18" s="106"/>
      <c r="G18" s="106"/>
      <c r="H18" s="106"/>
      <c r="I18" s="106"/>
      <c r="J18" s="106"/>
      <c r="K18" s="106"/>
      <c r="L18" s="102">
        <f>K18</f>
        <v>0</v>
      </c>
      <c r="M18" s="103"/>
      <c r="N18" s="102"/>
      <c r="O18" s="102"/>
      <c r="P18" s="102"/>
      <c r="Q18" s="102"/>
      <c r="R18" s="102">
        <f t="shared" ref="R15:R22" si="3">SUM(D18:Q18)</f>
        <v>0</v>
      </c>
    </row>
    <row r="19" spans="1:21" ht="15.75" x14ac:dyDescent="0.2">
      <c r="A19" s="391"/>
      <c r="B19" s="393"/>
      <c r="C19" s="109" t="s">
        <v>224</v>
      </c>
      <c r="D19" s="105"/>
      <c r="E19" s="106"/>
      <c r="F19" s="106"/>
      <c r="G19" s="106"/>
      <c r="H19" s="106"/>
      <c r="I19" s="106"/>
      <c r="J19" s="106">
        <f>2668.9+5195+4734.7</f>
        <v>12598.599999999999</v>
      </c>
      <c r="K19" s="106">
        <v>26440.1</v>
      </c>
      <c r="L19" s="102">
        <v>25380.799999999999</v>
      </c>
      <c r="M19" s="103">
        <v>27574.5</v>
      </c>
      <c r="N19" s="111">
        <v>56222.2</v>
      </c>
      <c r="O19" s="102">
        <v>49195.6</v>
      </c>
      <c r="P19" s="102">
        <v>56815.8</v>
      </c>
      <c r="Q19" s="102">
        <v>46337.4</v>
      </c>
      <c r="R19" s="102">
        <v>300565</v>
      </c>
      <c r="U19" s="108"/>
    </row>
    <row r="20" spans="1:21" ht="15.75" x14ac:dyDescent="0.2">
      <c r="A20" s="391"/>
      <c r="B20" s="393"/>
      <c r="C20" s="101" t="s">
        <v>233</v>
      </c>
      <c r="D20" s="105">
        <v>109406.9</v>
      </c>
      <c r="E20" s="102">
        <v>113565.8</v>
      </c>
      <c r="F20" s="106">
        <v>149314.1</v>
      </c>
      <c r="G20" s="106">
        <v>163921.20000000001</v>
      </c>
      <c r="H20" s="106">
        <v>178896.1</v>
      </c>
      <c r="I20" s="106">
        <v>189252.9</v>
      </c>
      <c r="J20" s="106">
        <v>201386.3</v>
      </c>
      <c r="K20" s="106">
        <v>220168.3</v>
      </c>
      <c r="L20" s="102">
        <v>265976.2</v>
      </c>
      <c r="M20" s="103">
        <v>302809.40000000002</v>
      </c>
      <c r="N20" s="102">
        <v>382890</v>
      </c>
      <c r="O20" s="102">
        <v>357672</v>
      </c>
      <c r="P20" s="102">
        <v>324897.90000000002</v>
      </c>
      <c r="Q20" s="102">
        <v>318676.40000000002</v>
      </c>
      <c r="R20" s="102">
        <v>3278833.5</v>
      </c>
    </row>
    <row r="21" spans="1:21" ht="15.75" x14ac:dyDescent="0.2">
      <c r="A21" s="391"/>
      <c r="B21" s="393"/>
      <c r="C21" s="101" t="s">
        <v>234</v>
      </c>
      <c r="D21" s="105">
        <v>103390.39999999999</v>
      </c>
      <c r="E21" s="102">
        <v>115762</v>
      </c>
      <c r="F21" s="102">
        <v>101282.7</v>
      </c>
      <c r="G21" s="102">
        <v>96522.6</v>
      </c>
      <c r="H21" s="102">
        <v>93843.6</v>
      </c>
      <c r="I21" s="102">
        <v>99156.3</v>
      </c>
      <c r="J21" s="102">
        <v>79096.100000000006</v>
      </c>
      <c r="K21" s="102">
        <v>104341.3</v>
      </c>
      <c r="L21" s="102">
        <v>112868.9</v>
      </c>
      <c r="M21" s="103">
        <v>117444.2</v>
      </c>
      <c r="N21" s="111">
        <v>148727.79999999999</v>
      </c>
      <c r="O21" s="102">
        <v>142115.1</v>
      </c>
      <c r="P21" s="102">
        <v>127194.1</v>
      </c>
      <c r="Q21" s="102">
        <v>126071.6</v>
      </c>
      <c r="R21" s="102">
        <v>1567816.7</v>
      </c>
    </row>
    <row r="22" spans="1:21" ht="15.75" x14ac:dyDescent="0.2">
      <c r="A22" s="406"/>
      <c r="B22" s="394"/>
      <c r="C22" s="101" t="s">
        <v>235</v>
      </c>
      <c r="D22" s="105">
        <v>1824.6</v>
      </c>
      <c r="E22" s="102">
        <v>2151.3000000000002</v>
      </c>
      <c r="F22" s="106">
        <v>2292.8000000000002</v>
      </c>
      <c r="G22" s="106">
        <v>2292.8000000000002</v>
      </c>
      <c r="H22" s="106">
        <v>3110.3</v>
      </c>
      <c r="I22" s="106">
        <v>5682</v>
      </c>
      <c r="J22" s="106">
        <v>6813.2</v>
      </c>
      <c r="K22" s="106">
        <v>2694.3</v>
      </c>
      <c r="L22" s="102">
        <v>3262</v>
      </c>
      <c r="M22" s="102">
        <v>3006.8</v>
      </c>
      <c r="N22" s="102">
        <v>15697.3</v>
      </c>
      <c r="O22" s="102">
        <v>14180.4</v>
      </c>
      <c r="P22" s="102">
        <v>2342</v>
      </c>
      <c r="Q22" s="102">
        <v>2342</v>
      </c>
      <c r="R22" s="102">
        <v>67691.8</v>
      </c>
    </row>
    <row r="23" spans="1:21" ht="15.75" customHeight="1" x14ac:dyDescent="0.2">
      <c r="A23" s="390" t="s">
        <v>210</v>
      </c>
      <c r="B23" s="392" t="s">
        <v>211</v>
      </c>
      <c r="C23" s="101" t="s">
        <v>222</v>
      </c>
      <c r="D23" s="102">
        <f t="shared" ref="D23:I23" si="4">D25+D26+D27</f>
        <v>6990.7000000000007</v>
      </c>
      <c r="E23" s="102">
        <f t="shared" si="4"/>
        <v>7764.9</v>
      </c>
      <c r="F23" s="102">
        <f t="shared" si="4"/>
        <v>7414.4</v>
      </c>
      <c r="G23" s="102">
        <f t="shared" si="4"/>
        <v>8058.2999999999993</v>
      </c>
      <c r="H23" s="102">
        <f>H25+H26+H27</f>
        <v>7980.7999999999993</v>
      </c>
      <c r="I23" s="102">
        <f t="shared" si="4"/>
        <v>8394.1</v>
      </c>
      <c r="J23" s="102">
        <f>J25+J26+J27</f>
        <v>0</v>
      </c>
      <c r="K23" s="102">
        <f>K25+K26+K27</f>
        <v>9059.7000000000007</v>
      </c>
      <c r="L23" s="102">
        <f>L25+L26+L27</f>
        <v>8995.6</v>
      </c>
      <c r="M23" s="102">
        <f>M25+M26+M27</f>
        <v>10533.1</v>
      </c>
      <c r="N23" s="102">
        <v>11798.2</v>
      </c>
      <c r="O23" s="102">
        <v>11712.7</v>
      </c>
      <c r="P23" s="102">
        <v>11712.7</v>
      </c>
      <c r="Q23" s="102">
        <v>11712.7</v>
      </c>
      <c r="R23" s="102">
        <v>122127.9</v>
      </c>
    </row>
    <row r="24" spans="1:21" ht="15.75" x14ac:dyDescent="0.2">
      <c r="A24" s="391"/>
      <c r="B24" s="393"/>
      <c r="C24" s="104" t="s">
        <v>223</v>
      </c>
      <c r="D24" s="105"/>
      <c r="E24" s="102"/>
      <c r="F24" s="106"/>
      <c r="G24" s="106"/>
      <c r="H24" s="106"/>
      <c r="I24" s="106"/>
      <c r="J24" s="106"/>
      <c r="K24" s="106"/>
      <c r="L24" s="102">
        <f>K24</f>
        <v>0</v>
      </c>
      <c r="M24" s="102"/>
      <c r="N24" s="102">
        <f>L24</f>
        <v>0</v>
      </c>
      <c r="O24" s="102">
        <f>M24</f>
        <v>0</v>
      </c>
      <c r="P24" s="102">
        <f>N24</f>
        <v>0</v>
      </c>
      <c r="Q24" s="102"/>
      <c r="R24" s="102">
        <f t="shared" ref="R23:R33" si="5">SUM(D24:Q24)</f>
        <v>0</v>
      </c>
    </row>
    <row r="25" spans="1:21" ht="15.75" x14ac:dyDescent="0.2">
      <c r="A25" s="391"/>
      <c r="B25" s="393"/>
      <c r="C25" s="109" t="s">
        <v>225</v>
      </c>
      <c r="D25" s="105">
        <v>4599.6000000000004</v>
      </c>
      <c r="E25" s="102">
        <v>4788.3999999999996</v>
      </c>
      <c r="F25" s="106">
        <v>4560.6000000000004</v>
      </c>
      <c r="G25" s="106">
        <v>4565.7</v>
      </c>
      <c r="H25" s="106">
        <v>5116.3999999999996</v>
      </c>
      <c r="I25" s="106">
        <v>5258.7</v>
      </c>
      <c r="J25" s="106">
        <v>0</v>
      </c>
      <c r="K25" s="106">
        <v>6598.4</v>
      </c>
      <c r="L25" s="106">
        <f>'[2]Мероприятия пп 3'!$P$36</f>
        <v>8057.4</v>
      </c>
      <c r="M25" s="106">
        <v>9434.1</v>
      </c>
      <c r="N25" s="102">
        <v>10689.5</v>
      </c>
      <c r="O25" s="102">
        <v>11712.7</v>
      </c>
      <c r="P25" s="102">
        <v>11712.7</v>
      </c>
      <c r="Q25" s="102">
        <v>11712.7</v>
      </c>
      <c r="R25" s="102">
        <v>98806.9</v>
      </c>
    </row>
    <row r="26" spans="1:21" ht="15.75" x14ac:dyDescent="0.2">
      <c r="A26" s="391"/>
      <c r="B26" s="393"/>
      <c r="C26" s="109" t="s">
        <v>226</v>
      </c>
      <c r="D26" s="105">
        <v>1858.1</v>
      </c>
      <c r="E26" s="102">
        <v>2271.3000000000002</v>
      </c>
      <c r="F26" s="102">
        <v>2162.4</v>
      </c>
      <c r="G26" s="102">
        <v>2801.2</v>
      </c>
      <c r="H26" s="102">
        <v>2173</v>
      </c>
      <c r="I26" s="102">
        <v>2354.1999999999998</v>
      </c>
      <c r="J26" s="102">
        <v>0</v>
      </c>
      <c r="K26" s="102">
        <v>2461.3000000000002</v>
      </c>
      <c r="L26" s="102">
        <v>0</v>
      </c>
      <c r="M26" s="106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f t="shared" si="5"/>
        <v>16081.5</v>
      </c>
    </row>
    <row r="27" spans="1:21" ht="15.75" x14ac:dyDescent="0.2">
      <c r="A27" s="406"/>
      <c r="B27" s="394"/>
      <c r="C27" s="109" t="s">
        <v>227</v>
      </c>
      <c r="D27" s="105">
        <v>533</v>
      </c>
      <c r="E27" s="102">
        <v>705.2</v>
      </c>
      <c r="F27" s="106">
        <v>691.4</v>
      </c>
      <c r="G27" s="106">
        <v>691.4</v>
      </c>
      <c r="H27" s="106">
        <v>691.4</v>
      </c>
      <c r="I27" s="106">
        <v>781.2</v>
      </c>
      <c r="J27" s="106">
        <v>0</v>
      </c>
      <c r="K27" s="106">
        <v>0</v>
      </c>
      <c r="L27" s="106">
        <v>938.2</v>
      </c>
      <c r="M27" s="106">
        <v>1099</v>
      </c>
      <c r="N27" s="102">
        <v>1108.7</v>
      </c>
      <c r="O27" s="102">
        <v>0</v>
      </c>
      <c r="P27" s="102">
        <v>0</v>
      </c>
      <c r="Q27" s="102">
        <v>0</v>
      </c>
      <c r="R27" s="102">
        <v>7239.5</v>
      </c>
    </row>
    <row r="28" spans="1:21" ht="15.75" customHeight="1" x14ac:dyDescent="0.2">
      <c r="A28" s="390" t="s">
        <v>212</v>
      </c>
      <c r="B28" s="392" t="s">
        <v>213</v>
      </c>
      <c r="C28" s="101" t="s">
        <v>222</v>
      </c>
      <c r="D28" s="102">
        <f t="shared" ref="D28:I28" si="6">D31+D32+D33</f>
        <v>28125.4</v>
      </c>
      <c r="E28" s="102">
        <f t="shared" si="6"/>
        <v>29557</v>
      </c>
      <c r="F28" s="102">
        <f t="shared" si="6"/>
        <v>32395.199999999997</v>
      </c>
      <c r="G28" s="102">
        <f t="shared" si="6"/>
        <v>33800</v>
      </c>
      <c r="H28" s="102">
        <f t="shared" si="6"/>
        <v>36181.300000000003</v>
      </c>
      <c r="I28" s="102">
        <f t="shared" si="6"/>
        <v>44408.899999999994</v>
      </c>
      <c r="J28" s="102">
        <f>J31+J32+J33</f>
        <v>59607.7</v>
      </c>
      <c r="K28" s="102">
        <f>K31+K32+K33+K30</f>
        <v>56741.899999999994</v>
      </c>
      <c r="L28" s="102">
        <f t="shared" ref="L28:Q28" si="7">L29+L31+L32+L30</f>
        <v>86663.4</v>
      </c>
      <c r="M28" s="102">
        <f t="shared" si="7"/>
        <v>90039.800000000017</v>
      </c>
      <c r="N28" s="102">
        <v>102805</v>
      </c>
      <c r="O28" s="102">
        <v>112494.6</v>
      </c>
      <c r="P28" s="102">
        <v>105273.5</v>
      </c>
      <c r="Q28" s="102">
        <v>107354.5</v>
      </c>
      <c r="R28" s="102">
        <v>925448.2</v>
      </c>
    </row>
    <row r="29" spans="1:21" ht="15.75" x14ac:dyDescent="0.2">
      <c r="A29" s="391"/>
      <c r="B29" s="393"/>
      <c r="C29" s="104" t="s">
        <v>223</v>
      </c>
      <c r="D29" s="105"/>
      <c r="E29" s="102"/>
      <c r="F29" s="106"/>
      <c r="G29" s="106"/>
      <c r="H29" s="106"/>
      <c r="I29" s="106"/>
      <c r="J29" s="106"/>
      <c r="K29" s="106"/>
      <c r="L29" s="102"/>
      <c r="M29" s="102"/>
      <c r="N29" s="102"/>
      <c r="O29" s="102"/>
      <c r="P29" s="102"/>
      <c r="Q29" s="102"/>
      <c r="R29" s="102">
        <f t="shared" si="5"/>
        <v>0</v>
      </c>
    </row>
    <row r="30" spans="1:21" ht="15.75" x14ac:dyDescent="0.2">
      <c r="A30" s="391"/>
      <c r="B30" s="393"/>
      <c r="C30" s="109" t="s">
        <v>224</v>
      </c>
      <c r="D30" s="105"/>
      <c r="E30" s="102"/>
      <c r="F30" s="106"/>
      <c r="G30" s="106"/>
      <c r="H30" s="106"/>
      <c r="I30" s="106"/>
      <c r="J30" s="106"/>
      <c r="K30" s="106">
        <f>3555.7-3473.3-82.4</f>
        <v>-3.694822225952521E-13</v>
      </c>
      <c r="L30" s="102">
        <v>920</v>
      </c>
      <c r="M30" s="102">
        <v>4974.6000000000004</v>
      </c>
      <c r="N30" s="102">
        <v>0</v>
      </c>
      <c r="O30" s="102">
        <v>0</v>
      </c>
      <c r="P30" s="102">
        <v>0</v>
      </c>
      <c r="Q30" s="102">
        <v>0</v>
      </c>
      <c r="R30" s="102">
        <f t="shared" si="5"/>
        <v>5894.6</v>
      </c>
    </row>
    <row r="31" spans="1:21" ht="15.75" x14ac:dyDescent="0.2">
      <c r="A31" s="391"/>
      <c r="B31" s="393"/>
      <c r="C31" s="109" t="s">
        <v>225</v>
      </c>
      <c r="D31" s="105">
        <v>8588.7000000000007</v>
      </c>
      <c r="E31" s="102">
        <v>8527.5</v>
      </c>
      <c r="F31" s="106">
        <v>10590.4</v>
      </c>
      <c r="G31" s="106">
        <v>10286.6</v>
      </c>
      <c r="H31" s="106">
        <v>12950.5</v>
      </c>
      <c r="I31" s="106">
        <v>12440.3</v>
      </c>
      <c r="J31" s="106">
        <v>19788.7</v>
      </c>
      <c r="K31" s="106">
        <v>8082.1</v>
      </c>
      <c r="L31" s="102">
        <v>29552</v>
      </c>
      <c r="M31" s="102">
        <v>24383.4</v>
      </c>
      <c r="N31" s="102">
        <v>36608.300000000003</v>
      </c>
      <c r="O31" s="102">
        <v>23902.1</v>
      </c>
      <c r="P31" s="102">
        <v>20315.8</v>
      </c>
      <c r="Q31" s="102">
        <v>20315.8</v>
      </c>
      <c r="R31" s="102">
        <f t="shared" si="5"/>
        <v>246332.19999999998</v>
      </c>
    </row>
    <row r="32" spans="1:21" ht="15.75" x14ac:dyDescent="0.2">
      <c r="A32" s="391"/>
      <c r="B32" s="393"/>
      <c r="C32" s="109" t="s">
        <v>226</v>
      </c>
      <c r="D32" s="105">
        <v>19536.7</v>
      </c>
      <c r="E32" s="102">
        <v>21029.5</v>
      </c>
      <c r="F32" s="102">
        <v>21804.799999999999</v>
      </c>
      <c r="G32" s="102">
        <v>23513.4</v>
      </c>
      <c r="H32" s="102">
        <v>23230.799999999999</v>
      </c>
      <c r="I32" s="102">
        <v>31968.6</v>
      </c>
      <c r="J32" s="102">
        <v>39819</v>
      </c>
      <c r="K32" s="102">
        <f>26618.3+22041.3+0.2</f>
        <v>48659.799999999996</v>
      </c>
      <c r="L32" s="102">
        <v>56191.4</v>
      </c>
      <c r="M32" s="103">
        <v>60681.8</v>
      </c>
      <c r="N32" s="111">
        <v>67750.899999999994</v>
      </c>
      <c r="O32" s="102">
        <v>60049</v>
      </c>
      <c r="P32" s="102">
        <v>60049</v>
      </c>
      <c r="Q32" s="102">
        <v>60049</v>
      </c>
      <c r="R32" s="102">
        <f t="shared" si="5"/>
        <v>594333.69999999995</v>
      </c>
    </row>
    <row r="33" spans="1:19" ht="15" customHeight="1" x14ac:dyDescent="0.2">
      <c r="A33" s="406"/>
      <c r="B33" s="394"/>
      <c r="C33" s="109" t="s">
        <v>227</v>
      </c>
      <c r="D33" s="105">
        <v>0</v>
      </c>
      <c r="E33" s="102">
        <v>0</v>
      </c>
      <c r="F33" s="106">
        <v>0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02">
        <f>K33</f>
        <v>0</v>
      </c>
      <c r="M33" s="102">
        <f>L33</f>
        <v>0</v>
      </c>
      <c r="N33" s="102">
        <f>L33</f>
        <v>0</v>
      </c>
      <c r="O33" s="102">
        <f>M33</f>
        <v>0</v>
      </c>
      <c r="P33" s="102">
        <f>N33</f>
        <v>0</v>
      </c>
      <c r="Q33" s="102">
        <f>O33</f>
        <v>0</v>
      </c>
      <c r="R33" s="102">
        <f t="shared" si="5"/>
        <v>0</v>
      </c>
    </row>
    <row r="34" spans="1:19" s="4" customFormat="1" ht="30.75" customHeight="1" x14ac:dyDescent="0.25">
      <c r="A34" s="112" t="s">
        <v>163</v>
      </c>
      <c r="B34" s="112"/>
      <c r="C34" s="113"/>
      <c r="D34" s="113"/>
      <c r="E34" s="114"/>
      <c r="F34" s="60"/>
      <c r="G34" s="407" t="s">
        <v>214</v>
      </c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115"/>
    </row>
    <row r="35" spans="1:19" x14ac:dyDescent="0.2">
      <c r="D35" s="108"/>
      <c r="E35" s="108"/>
      <c r="F35" s="108"/>
      <c r="G35" s="108"/>
      <c r="H35" s="108"/>
      <c r="I35" s="108"/>
      <c r="J35" s="108"/>
      <c r="K35" s="108"/>
      <c r="L35" s="116"/>
      <c r="M35" s="108"/>
      <c r="N35" s="108"/>
      <c r="O35" s="108"/>
      <c r="P35" s="108"/>
      <c r="Q35" s="108"/>
    </row>
    <row r="36" spans="1:19" x14ac:dyDescent="0.2">
      <c r="D36" s="108"/>
      <c r="E36" s="108"/>
      <c r="F36" s="108"/>
      <c r="G36" s="108"/>
      <c r="H36" s="108"/>
      <c r="I36" s="108"/>
      <c r="J36" s="108"/>
      <c r="K36" s="108"/>
      <c r="L36" s="116"/>
      <c r="M36" s="108"/>
      <c r="N36" s="108"/>
      <c r="O36" s="108"/>
      <c r="P36" s="108"/>
      <c r="Q36" s="108"/>
    </row>
    <row r="139" spans="21:21" ht="105" customHeight="1" x14ac:dyDescent="0.25">
      <c r="U139" s="4"/>
    </row>
  </sheetData>
  <mergeCells count="18">
    <mergeCell ref="L1:R1"/>
    <mergeCell ref="AB1:AG1"/>
    <mergeCell ref="A2:R2"/>
    <mergeCell ref="A3:A4"/>
    <mergeCell ref="B3:B4"/>
    <mergeCell ref="C3:C4"/>
    <mergeCell ref="D3:R3"/>
    <mergeCell ref="A5:A10"/>
    <mergeCell ref="B5:B10"/>
    <mergeCell ref="A11:A16"/>
    <mergeCell ref="B11:B16"/>
    <mergeCell ref="A17:A22"/>
    <mergeCell ref="B17:B22"/>
    <mergeCell ref="A23:A27"/>
    <mergeCell ref="B23:B27"/>
    <mergeCell ref="A28:A33"/>
    <mergeCell ref="B28:B33"/>
    <mergeCell ref="G34:R34"/>
  </mergeCells>
  <printOptions horizontalCentered="1"/>
  <pageMargins left="0.15748031496062992" right="0.15748031496062992" top="0.78740157480314965" bottom="0" header="0.31496062992125984" footer="0.31496062992125984"/>
  <pageSetup paperSize="9" scale="59" orientation="landscape" useFirstPageNumber="1" r:id="rId1"/>
  <headerFooter differentFirst="1">
    <oddHeader>&amp;C&amp;P</oddHeader>
  </headerFooter>
  <rowBreaks count="1" manualBreakCount="1">
    <brk id="2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view="pageBreakPreview" topLeftCell="H7" zoomScaleNormal="100" zoomScaleSheetLayoutView="100" workbookViewId="0">
      <selection activeCell="AC28" sqref="Z28:AC28"/>
    </sheetView>
  </sheetViews>
  <sheetFormatPr defaultRowHeight="15.75" x14ac:dyDescent="0.25"/>
  <cols>
    <col min="1" max="1" width="46.42578125" style="4" customWidth="1"/>
    <col min="2" max="15" width="9.140625" style="4" customWidth="1"/>
    <col min="16" max="16" width="11.28515625" style="4" customWidth="1"/>
    <col min="17" max="17" width="9.5703125" style="4" customWidth="1"/>
    <col min="18" max="18" width="11.42578125" style="4" customWidth="1"/>
    <col min="19" max="19" width="11.7109375" style="4" customWidth="1"/>
    <col min="20" max="21" width="12.28515625" style="4" customWidth="1"/>
    <col min="22" max="22" width="11.5703125" style="4" customWidth="1"/>
    <col min="23" max="23" width="12.85546875" style="4" customWidth="1"/>
    <col min="24" max="24" width="11" style="60" customWidth="1"/>
    <col min="25" max="27" width="12.28515625" style="4" customWidth="1"/>
    <col min="28" max="28" width="13" style="4" customWidth="1"/>
    <col min="29" max="29" width="11.7109375" style="4" customWidth="1"/>
    <col min="30" max="30" width="17.7109375" style="4" customWidth="1"/>
    <col min="31" max="31" width="9.140625" style="4" customWidth="1"/>
    <col min="32" max="32" width="13.85546875" style="4" customWidth="1"/>
    <col min="33" max="33" width="9.28515625" style="4" customWidth="1"/>
    <col min="34" max="34" width="19.42578125" style="4" customWidth="1"/>
    <col min="35" max="35" width="9.5703125" style="4" bestFit="1" customWidth="1"/>
    <col min="36" max="36" width="15.42578125" style="4" bestFit="1" customWidth="1"/>
    <col min="37" max="37" width="11.140625" style="4" bestFit="1" customWidth="1"/>
    <col min="38" max="38" width="12.28515625" style="4" customWidth="1"/>
    <col min="39" max="16384" width="9.140625" style="4"/>
  </cols>
  <sheetData>
    <row r="1" spans="1:38" ht="71.25" customHeight="1" x14ac:dyDescent="0.25">
      <c r="P1" s="427" t="s">
        <v>236</v>
      </c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</row>
    <row r="2" spans="1:38" s="3" customFormat="1" ht="34.5" customHeight="1" x14ac:dyDescent="0.25">
      <c r="A2" s="410" t="s">
        <v>237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117"/>
    </row>
    <row r="3" spans="1:38" ht="35.25" customHeight="1" x14ac:dyDescent="0.25">
      <c r="A3" s="362" t="s">
        <v>238</v>
      </c>
      <c r="B3" s="362" t="s">
        <v>239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 t="s">
        <v>240</v>
      </c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</row>
    <row r="4" spans="1:38" ht="31.5" x14ac:dyDescent="0.25">
      <c r="A4" s="362"/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 t="s">
        <v>18</v>
      </c>
      <c r="M4" s="10" t="s">
        <v>19</v>
      </c>
      <c r="N4" s="10" t="s">
        <v>20</v>
      </c>
      <c r="O4" s="10" t="s">
        <v>21</v>
      </c>
      <c r="P4" s="10" t="s">
        <v>8</v>
      </c>
      <c r="Q4" s="10" t="s">
        <v>9</v>
      </c>
      <c r="R4" s="10" t="s">
        <v>10</v>
      </c>
      <c r="S4" s="10" t="s">
        <v>11</v>
      </c>
      <c r="T4" s="10" t="s">
        <v>12</v>
      </c>
      <c r="U4" s="10" t="s">
        <v>13</v>
      </c>
      <c r="V4" s="10" t="s">
        <v>14</v>
      </c>
      <c r="W4" s="10" t="s">
        <v>15</v>
      </c>
      <c r="X4" s="57" t="s">
        <v>16</v>
      </c>
      <c r="Y4" s="10" t="s">
        <v>17</v>
      </c>
      <c r="Z4" s="10" t="s">
        <v>18</v>
      </c>
      <c r="AA4" s="118" t="s">
        <v>19</v>
      </c>
      <c r="AB4" s="118" t="s">
        <v>20</v>
      </c>
      <c r="AC4" s="118" t="s">
        <v>21</v>
      </c>
    </row>
    <row r="5" spans="1:38" x14ac:dyDescent="0.25">
      <c r="A5" s="420" t="s">
        <v>241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</row>
    <row r="6" spans="1:38" x14ac:dyDescent="0.25">
      <c r="A6" s="119" t="s">
        <v>242</v>
      </c>
      <c r="B6" s="423" t="s">
        <v>243</v>
      </c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</row>
    <row r="7" spans="1:38" ht="15.75" customHeight="1" x14ac:dyDescent="0.25">
      <c r="A7" s="419" t="s">
        <v>244</v>
      </c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</row>
    <row r="8" spans="1:38" ht="31.5" x14ac:dyDescent="0.25">
      <c r="A8" s="12" t="s">
        <v>245</v>
      </c>
      <c r="B8" s="9">
        <v>1264</v>
      </c>
      <c r="C8" s="9">
        <v>1687</v>
      </c>
      <c r="D8" s="9">
        <v>1731</v>
      </c>
      <c r="E8" s="9">
        <v>1673</v>
      </c>
      <c r="F8" s="9">
        <v>1753</v>
      </c>
      <c r="G8" s="9">
        <v>1753</v>
      </c>
      <c r="H8" s="9">
        <f>(1741+1617)/2</f>
        <v>1679</v>
      </c>
      <c r="I8" s="9">
        <v>1617</v>
      </c>
      <c r="J8" s="9">
        <v>1489</v>
      </c>
      <c r="K8" s="9">
        <v>1489</v>
      </c>
      <c r="L8" s="9">
        <v>1232</v>
      </c>
      <c r="M8" s="9">
        <v>1489</v>
      </c>
      <c r="N8" s="9">
        <v>1489</v>
      </c>
      <c r="O8" s="9">
        <v>1489</v>
      </c>
      <c r="P8" s="16">
        <v>110039.9</v>
      </c>
      <c r="Q8" s="9">
        <v>115982.1</v>
      </c>
      <c r="R8" s="16">
        <v>189224.3</v>
      </c>
      <c r="S8" s="16">
        <f>165397.3+24524.8</f>
        <v>189922.09999999998</v>
      </c>
      <c r="T8" s="16">
        <v>229336.9</v>
      </c>
      <c r="U8" s="16">
        <v>267495.40000000002</v>
      </c>
      <c r="V8" s="16">
        <v>275550.40000000002</v>
      </c>
      <c r="W8" s="16">
        <v>310856.8</v>
      </c>
      <c r="X8" s="16">
        <v>356848.4</v>
      </c>
      <c r="Y8" s="16">
        <v>323199.3</v>
      </c>
      <c r="Z8" s="16">
        <v>356506.7</v>
      </c>
      <c r="AA8" s="16">
        <v>373426.6</v>
      </c>
      <c r="AB8" s="16">
        <v>355882.2</v>
      </c>
      <c r="AC8" s="16">
        <v>355886.2</v>
      </c>
      <c r="AH8" s="120" t="s">
        <v>246</v>
      </c>
      <c r="AL8" s="4">
        <v>2023</v>
      </c>
    </row>
    <row r="9" spans="1:38" ht="18.600000000000001" customHeight="1" x14ac:dyDescent="0.25">
      <c r="A9" s="420" t="s">
        <v>247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H9" s="120"/>
    </row>
    <row r="10" spans="1:38" x14ac:dyDescent="0.25">
      <c r="A10" s="121" t="s">
        <v>242</v>
      </c>
      <c r="B10" s="365" t="s">
        <v>248</v>
      </c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H10" s="120"/>
    </row>
    <row r="11" spans="1:38" ht="15.75" customHeight="1" x14ac:dyDescent="0.25">
      <c r="A11" s="416" t="s">
        <v>249</v>
      </c>
      <c r="B11" s="417"/>
      <c r="C11" s="417"/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E11" s="4">
        <v>2021</v>
      </c>
      <c r="AF11" s="122">
        <f>W12+W16+W20</f>
        <v>291978.10000000003</v>
      </c>
      <c r="AH11" s="120"/>
    </row>
    <row r="12" spans="1:38" ht="31.5" x14ac:dyDescent="0.25">
      <c r="A12" s="12" t="s">
        <v>245</v>
      </c>
      <c r="B12" s="9">
        <v>1265</v>
      </c>
      <c r="C12" s="9">
        <v>1233</v>
      </c>
      <c r="D12" s="9">
        <v>1194</v>
      </c>
      <c r="E12" s="9">
        <v>1267</v>
      </c>
      <c r="F12" s="9">
        <v>1351</v>
      </c>
      <c r="G12" s="9">
        <v>1351</v>
      </c>
      <c r="H12" s="9">
        <v>1409</v>
      </c>
      <c r="I12" s="9">
        <v>1466</v>
      </c>
      <c r="J12" s="9">
        <v>1464</v>
      </c>
      <c r="K12" s="9">
        <f>1455+9</f>
        <v>1464</v>
      </c>
      <c r="L12" s="9">
        <v>1445</v>
      </c>
      <c r="M12" s="9">
        <v>1464</v>
      </c>
      <c r="N12" s="9">
        <v>1464</v>
      </c>
      <c r="O12" s="9">
        <v>1464</v>
      </c>
      <c r="P12" s="9">
        <v>58719.245999999999</v>
      </c>
      <c r="Q12" s="9">
        <v>61890.1</v>
      </c>
      <c r="R12" s="16">
        <v>56463.8</v>
      </c>
      <c r="S12" s="16">
        <v>108873.3</v>
      </c>
      <c r="T12" s="16">
        <f>70.55*F12</f>
        <v>95313.05</v>
      </c>
      <c r="U12" s="16">
        <f>82.468081*1351</f>
        <v>111414.377431</v>
      </c>
      <c r="V12" s="16">
        <f>81.4854983*H12</f>
        <v>114813.06710470001</v>
      </c>
      <c r="W12" s="16">
        <v>130103.3</v>
      </c>
      <c r="X12" s="16">
        <v>143156.6</v>
      </c>
      <c r="Y12" s="16">
        <v>147073.5</v>
      </c>
      <c r="Z12" s="16">
        <v>173152.8</v>
      </c>
      <c r="AA12" s="16">
        <v>180205.5</v>
      </c>
      <c r="AB12" s="16">
        <v>147073.5</v>
      </c>
      <c r="AC12" s="16">
        <v>147073.5</v>
      </c>
      <c r="AD12" s="4">
        <v>2020</v>
      </c>
      <c r="AF12" s="123">
        <f>293953.6/3290</f>
        <v>89.347598784194517</v>
      </c>
      <c r="AG12" s="122"/>
      <c r="AH12" s="120" t="s">
        <v>250</v>
      </c>
      <c r="AJ12" s="124">
        <v>299872302.11000001</v>
      </c>
      <c r="AK12" s="125">
        <f>AJ14*J12/1000</f>
        <v>131559.19996674859</v>
      </c>
      <c r="AL12" s="4">
        <f>K12*AJ14/1000</f>
        <v>131559.19996674859</v>
      </c>
    </row>
    <row r="13" spans="1:38" x14ac:dyDescent="0.25">
      <c r="A13" s="425" t="s">
        <v>251</v>
      </c>
      <c r="B13" s="426"/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">
        <v>2021</v>
      </c>
      <c r="AG13" s="122"/>
      <c r="AH13" s="120"/>
      <c r="AI13" s="122"/>
      <c r="AJ13" s="4">
        <f>J12+J16+J20</f>
        <v>3337</v>
      </c>
      <c r="AK13" s="125"/>
    </row>
    <row r="14" spans="1:38" x14ac:dyDescent="0.25">
      <c r="A14" s="83" t="s">
        <v>242</v>
      </c>
      <c r="B14" s="365" t="s">
        <v>252</v>
      </c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E14" s="4">
        <v>2022</v>
      </c>
      <c r="AF14" s="122">
        <f>X12+X16+X20</f>
        <v>326307.10000000003</v>
      </c>
      <c r="AG14" s="122"/>
      <c r="AH14" s="120"/>
      <c r="AJ14" s="4">
        <f>AJ12/AJ13</f>
        <v>89862.841507341931</v>
      </c>
      <c r="AK14" s="125"/>
    </row>
    <row r="15" spans="1:38" ht="15.75" customHeight="1" x14ac:dyDescent="0.25">
      <c r="A15" s="416" t="s">
        <v>249</v>
      </c>
      <c r="B15" s="417"/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">
        <v>2022</v>
      </c>
      <c r="AF15" s="123">
        <f>282458.5/3290</f>
        <v>85.853647416413381</v>
      </c>
      <c r="AH15" s="120"/>
      <c r="AK15" s="125"/>
    </row>
    <row r="16" spans="1:38" ht="31.5" x14ac:dyDescent="0.25">
      <c r="A16" s="12" t="s">
        <v>245</v>
      </c>
      <c r="B16" s="10">
        <v>1284</v>
      </c>
      <c r="C16" s="10">
        <v>1377</v>
      </c>
      <c r="D16" s="10">
        <v>1433</v>
      </c>
      <c r="E16" s="10">
        <v>1086</v>
      </c>
      <c r="F16" s="10">
        <v>1419</v>
      </c>
      <c r="G16" s="10">
        <v>1419</v>
      </c>
      <c r="H16" s="10">
        <v>1450</v>
      </c>
      <c r="I16" s="10">
        <v>1471</v>
      </c>
      <c r="J16" s="10">
        <v>1607</v>
      </c>
      <c r="K16" s="10">
        <v>1605</v>
      </c>
      <c r="L16" s="10">
        <v>1654</v>
      </c>
      <c r="M16" s="10">
        <v>1605</v>
      </c>
      <c r="N16" s="10">
        <v>1605</v>
      </c>
      <c r="O16" s="10">
        <v>1605</v>
      </c>
      <c r="P16" s="16">
        <v>59652</v>
      </c>
      <c r="Q16" s="9">
        <v>62873.2</v>
      </c>
      <c r="R16" s="9">
        <v>82739.399999999994</v>
      </c>
      <c r="S16" s="16">
        <v>93320</v>
      </c>
      <c r="T16" s="16">
        <f>70.55*F16</f>
        <v>100110.45</v>
      </c>
      <c r="U16" s="16">
        <f>82.468081*1419</f>
        <v>117022.206939</v>
      </c>
      <c r="V16" s="9">
        <f>81.4854983*H16</f>
        <v>118153.97253500001</v>
      </c>
      <c r="W16" s="16">
        <v>130547.1</v>
      </c>
      <c r="X16" s="16">
        <v>157139.79999999999</v>
      </c>
      <c r="Y16" s="16">
        <v>138397</v>
      </c>
      <c r="Z16" s="16">
        <v>155340.4</v>
      </c>
      <c r="AA16" s="16">
        <v>138397</v>
      </c>
      <c r="AB16" s="16">
        <v>138397</v>
      </c>
      <c r="AC16" s="16">
        <v>138397</v>
      </c>
      <c r="AD16" s="4">
        <v>2023</v>
      </c>
      <c r="AH16" s="120" t="s">
        <v>250</v>
      </c>
      <c r="AK16" s="125">
        <f>J16*AJ14/1000</f>
        <v>144409.5863022985</v>
      </c>
      <c r="AL16" s="122">
        <f>K16*AJ14/1000</f>
        <v>144229.86061928381</v>
      </c>
    </row>
    <row r="17" spans="1:38" x14ac:dyDescent="0.25">
      <c r="A17" s="420" t="s">
        <v>253</v>
      </c>
      <c r="B17" s="420"/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  <c r="AC17" s="420"/>
      <c r="AH17" s="120"/>
      <c r="AK17" s="125"/>
    </row>
    <row r="18" spans="1:38" x14ac:dyDescent="0.25">
      <c r="A18" s="126" t="s">
        <v>242</v>
      </c>
      <c r="B18" s="365" t="s">
        <v>254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127"/>
      <c r="AE18" s="4">
        <v>2023</v>
      </c>
      <c r="AF18" s="122">
        <f>Y12+Y16+Y20</f>
        <v>313288.5</v>
      </c>
      <c r="AH18" s="120"/>
      <c r="AK18" s="125"/>
    </row>
    <row r="19" spans="1:38" ht="15.75" customHeight="1" x14ac:dyDescent="0.25">
      <c r="A19" s="419" t="s">
        <v>249</v>
      </c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  <c r="AC19" s="419"/>
      <c r="AF19" s="4">
        <f>286007.7/3290</f>
        <v>86.93243161094226</v>
      </c>
      <c r="AH19" s="120"/>
      <c r="AI19" s="120"/>
      <c r="AK19" s="125"/>
    </row>
    <row r="20" spans="1:38" ht="31.5" x14ac:dyDescent="0.25">
      <c r="A20" s="12" t="s">
        <v>245</v>
      </c>
      <c r="B20" s="9">
        <v>338</v>
      </c>
      <c r="C20" s="9">
        <v>309</v>
      </c>
      <c r="D20" s="9">
        <v>277</v>
      </c>
      <c r="E20" s="9">
        <v>270</v>
      </c>
      <c r="F20" s="9">
        <v>388</v>
      </c>
      <c r="G20" s="9">
        <v>388</v>
      </c>
      <c r="H20" s="9">
        <v>382</v>
      </c>
      <c r="I20" s="9">
        <v>353</v>
      </c>
      <c r="J20" s="9">
        <v>266</v>
      </c>
      <c r="K20" s="9">
        <v>268</v>
      </c>
      <c r="L20" s="9">
        <v>280</v>
      </c>
      <c r="M20" s="9">
        <v>268</v>
      </c>
      <c r="N20" s="9">
        <v>268</v>
      </c>
      <c r="O20" s="9">
        <v>268</v>
      </c>
      <c r="P20" s="9">
        <v>14085.156999999999</v>
      </c>
      <c r="Q20" s="9">
        <v>14845.7</v>
      </c>
      <c r="R20" s="16">
        <v>16243.5</v>
      </c>
      <c r="S20" s="16">
        <f>23201.1-13.98</f>
        <v>23187.119999999999</v>
      </c>
      <c r="T20" s="16">
        <f>70.55*F20-3.5</f>
        <v>27369.899999999998</v>
      </c>
      <c r="U20" s="16">
        <v>33657</v>
      </c>
      <c r="V20" s="9">
        <f>81.4854983*H20</f>
        <v>31127.460350600002</v>
      </c>
      <c r="W20" s="16">
        <v>31327.7</v>
      </c>
      <c r="X20" s="16">
        <v>26010.7</v>
      </c>
      <c r="Y20" s="16">
        <v>27818</v>
      </c>
      <c r="Z20" s="16">
        <v>35847.599999999999</v>
      </c>
      <c r="AA20" s="16">
        <v>41172.400000000001</v>
      </c>
      <c r="AB20" s="16">
        <v>27818</v>
      </c>
      <c r="AC20" s="16">
        <v>27818</v>
      </c>
      <c r="AD20" s="128">
        <f>AC20/3290</f>
        <v>8.4553191489361694</v>
      </c>
      <c r="AE20" s="4">
        <v>2021</v>
      </c>
      <c r="AH20" s="120" t="s">
        <v>250</v>
      </c>
      <c r="AK20" s="125">
        <f>J20*AJ14/1000</f>
        <v>23903.515840952954</v>
      </c>
      <c r="AL20" s="4">
        <f>K20*AJ14/1000</f>
        <v>24083.241523967637</v>
      </c>
    </row>
    <row r="21" spans="1:38" x14ac:dyDescent="0.25">
      <c r="A21" s="420"/>
      <c r="B21" s="420"/>
      <c r="C21" s="420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128">
        <f>AC21/3290</f>
        <v>0</v>
      </c>
      <c r="AE21" s="4">
        <v>2022</v>
      </c>
      <c r="AH21" s="129"/>
      <c r="AI21" s="122"/>
    </row>
    <row r="22" spans="1:38" x14ac:dyDescent="0.25">
      <c r="A22" s="121" t="s">
        <v>242</v>
      </c>
      <c r="B22" s="365" t="s">
        <v>255</v>
      </c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H22" s="120"/>
      <c r="AI22" s="122"/>
    </row>
    <row r="23" spans="1:38" ht="15.75" customHeight="1" x14ac:dyDescent="0.25">
      <c r="A23" s="419" t="s">
        <v>256</v>
      </c>
      <c r="B23" s="419"/>
      <c r="C23" s="419"/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  <c r="AC23" s="419"/>
      <c r="AH23" s="120"/>
    </row>
    <row r="24" spans="1:38" ht="31.5" x14ac:dyDescent="0.25">
      <c r="A24" s="12" t="s">
        <v>245</v>
      </c>
      <c r="B24" s="9">
        <v>2859</v>
      </c>
      <c r="C24" s="9">
        <v>2860</v>
      </c>
      <c r="D24" s="9">
        <v>2850</v>
      </c>
      <c r="E24" s="9">
        <v>2783</v>
      </c>
      <c r="F24" s="9">
        <v>2783</v>
      </c>
      <c r="G24" s="9">
        <v>2783</v>
      </c>
      <c r="H24" s="9">
        <v>2783</v>
      </c>
      <c r="I24" s="9">
        <v>2783</v>
      </c>
      <c r="J24" s="9">
        <v>2783</v>
      </c>
      <c r="K24" s="9">
        <v>2783</v>
      </c>
      <c r="L24" s="9">
        <v>2783</v>
      </c>
      <c r="M24" s="9">
        <v>2783</v>
      </c>
      <c r="N24" s="9">
        <v>2783</v>
      </c>
      <c r="O24" s="9">
        <v>2783</v>
      </c>
      <c r="P24" s="16">
        <v>6990.7</v>
      </c>
      <c r="Q24" s="9">
        <v>7764.9</v>
      </c>
      <c r="R24" s="9">
        <v>7414.4</v>
      </c>
      <c r="S24" s="9">
        <v>8058.3</v>
      </c>
      <c r="T24" s="9">
        <v>7980.8</v>
      </c>
      <c r="U24" s="9">
        <v>8394.1</v>
      </c>
      <c r="V24" s="9">
        <v>0</v>
      </c>
      <c r="W24" s="9">
        <v>9059.7000000000007</v>
      </c>
      <c r="X24" s="9">
        <v>8057.4</v>
      </c>
      <c r="Y24" s="130">
        <v>9434.1</v>
      </c>
      <c r="Z24" s="130">
        <v>10689.5</v>
      </c>
      <c r="AA24" s="130">
        <v>11712.7</v>
      </c>
      <c r="AB24" s="130">
        <v>11712.7</v>
      </c>
      <c r="AC24" s="130">
        <v>11712.7</v>
      </c>
      <c r="AD24" s="122"/>
      <c r="AG24" s="122">
        <f>W12+W16+W20</f>
        <v>291978.10000000003</v>
      </c>
      <c r="AH24" s="120" t="s">
        <v>257</v>
      </c>
    </row>
    <row r="25" spans="1:38" x14ac:dyDescent="0.25">
      <c r="A25" s="420" t="s">
        <v>258</v>
      </c>
      <c r="B25" s="420"/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H25" s="120"/>
    </row>
    <row r="26" spans="1:38" x14ac:dyDescent="0.25">
      <c r="A26" s="121" t="s">
        <v>242</v>
      </c>
      <c r="B26" s="365" t="s">
        <v>259</v>
      </c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G26" s="122">
        <f>X12+X16+X20</f>
        <v>326307.10000000003</v>
      </c>
      <c r="AH26" s="120"/>
    </row>
    <row r="27" spans="1:38" ht="15.75" customHeight="1" x14ac:dyDescent="0.25">
      <c r="A27" s="419" t="s">
        <v>249</v>
      </c>
      <c r="B27" s="419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H27" s="120"/>
    </row>
    <row r="28" spans="1:38" ht="31.5" x14ac:dyDescent="0.25">
      <c r="A28" s="12" t="s">
        <v>245</v>
      </c>
      <c r="B28" s="130">
        <v>1760</v>
      </c>
      <c r="C28" s="130">
        <v>1718</v>
      </c>
      <c r="D28" s="130">
        <v>1663</v>
      </c>
      <c r="E28" s="130">
        <v>1639</v>
      </c>
      <c r="F28" s="130">
        <v>1639</v>
      </c>
      <c r="G28" s="130">
        <v>1639</v>
      </c>
      <c r="H28" s="130">
        <v>1639</v>
      </c>
      <c r="I28" s="130">
        <v>1600</v>
      </c>
      <c r="J28" s="130">
        <v>1600</v>
      </c>
      <c r="K28" s="130">
        <v>1600</v>
      </c>
      <c r="L28" s="130">
        <v>1600</v>
      </c>
      <c r="M28" s="130">
        <v>1600</v>
      </c>
      <c r="N28" s="130">
        <v>1600</v>
      </c>
      <c r="O28" s="130">
        <v>1600</v>
      </c>
      <c r="P28" s="130">
        <v>24540.2</v>
      </c>
      <c r="Q28" s="130">
        <v>27318.799999999999</v>
      </c>
      <c r="R28" s="131">
        <v>37615.9</v>
      </c>
      <c r="S28" s="131">
        <v>34556.199999999997</v>
      </c>
      <c r="T28" s="131">
        <v>32389.599999999999</v>
      </c>
      <c r="U28" s="130">
        <v>33657</v>
      </c>
      <c r="V28" s="130">
        <v>35799.699999999997</v>
      </c>
      <c r="W28" s="130">
        <v>61666.1</v>
      </c>
      <c r="X28" s="130">
        <v>77918.8</v>
      </c>
      <c r="Y28" s="130">
        <v>37036.9</v>
      </c>
      <c r="Z28" s="130">
        <v>40980.199999999997</v>
      </c>
      <c r="AA28" s="130">
        <v>38305</v>
      </c>
      <c r="AB28" s="130">
        <v>37036.9</v>
      </c>
      <c r="AC28" s="130">
        <v>37036.9</v>
      </c>
      <c r="AH28" s="120" t="s">
        <v>260</v>
      </c>
    </row>
    <row r="29" spans="1:38" hidden="1" x14ac:dyDescent="0.25">
      <c r="A29" s="421" t="s">
        <v>261</v>
      </c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132"/>
      <c r="Y29" s="133"/>
      <c r="Z29" s="134"/>
      <c r="AA29" s="134"/>
      <c r="AB29" s="37"/>
    </row>
    <row r="30" spans="1:38" hidden="1" x14ac:dyDescent="0.25">
      <c r="A30" s="83" t="s">
        <v>242</v>
      </c>
      <c r="B30" s="414" t="s">
        <v>262</v>
      </c>
      <c r="C30" s="415"/>
      <c r="D30" s="415"/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132"/>
      <c r="Y30" s="133"/>
      <c r="Z30" s="134"/>
      <c r="AA30" s="134"/>
      <c r="AB30" s="37"/>
    </row>
    <row r="31" spans="1:38" hidden="1" x14ac:dyDescent="0.25">
      <c r="A31" s="416" t="s">
        <v>249</v>
      </c>
      <c r="B31" s="417"/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132"/>
      <c r="Y31" s="133"/>
      <c r="Z31" s="134"/>
      <c r="AA31" s="134"/>
      <c r="AB31" s="37"/>
    </row>
    <row r="32" spans="1:38" ht="31.5" hidden="1" x14ac:dyDescent="0.25">
      <c r="A32" s="12" t="s">
        <v>245</v>
      </c>
      <c r="B32" s="9">
        <v>272</v>
      </c>
      <c r="C32" s="9">
        <v>272</v>
      </c>
      <c r="D32" s="9">
        <v>272</v>
      </c>
      <c r="E32" s="9">
        <v>509</v>
      </c>
      <c r="F32" s="9">
        <v>520</v>
      </c>
      <c r="G32" s="9">
        <v>520</v>
      </c>
      <c r="H32" s="9">
        <v>520</v>
      </c>
      <c r="I32" s="9">
        <v>520</v>
      </c>
      <c r="J32" s="9">
        <v>520</v>
      </c>
      <c r="K32" s="9">
        <v>520</v>
      </c>
      <c r="L32" s="9">
        <v>520</v>
      </c>
      <c r="M32" s="9">
        <v>520</v>
      </c>
      <c r="N32" s="9"/>
      <c r="O32" s="9"/>
      <c r="P32" s="16">
        <v>1840.2</v>
      </c>
      <c r="Q32" s="16">
        <v>1939.6</v>
      </c>
      <c r="R32" s="16">
        <v>760.7</v>
      </c>
      <c r="S32" s="16">
        <f>415+1197.4</f>
        <v>1612.4</v>
      </c>
      <c r="T32" s="16">
        <f>444+1240.7</f>
        <v>1684.7</v>
      </c>
      <c r="U32" s="16">
        <f>444+1240.7</f>
        <v>1684.7</v>
      </c>
      <c r="V32" s="16">
        <f>444+1240.7</f>
        <v>1684.7</v>
      </c>
      <c r="W32" s="16">
        <f>444+1240.7</f>
        <v>1684.7</v>
      </c>
      <c r="X32" s="135">
        <f>444+1240.7</f>
        <v>1684.7</v>
      </c>
      <c r="Y32" s="131">
        <f>X32</f>
        <v>1684.7</v>
      </c>
      <c r="Z32" s="131">
        <f>X32</f>
        <v>1684.7</v>
      </c>
      <c r="AA32" s="131">
        <f>Y32</f>
        <v>1684.7</v>
      </c>
      <c r="AB32" s="136"/>
    </row>
    <row r="34" spans="1:26" x14ac:dyDescent="0.25">
      <c r="U34" s="122"/>
      <c r="V34" s="122"/>
    </row>
    <row r="35" spans="1:26" x14ac:dyDescent="0.25">
      <c r="A35" s="4" t="s">
        <v>163</v>
      </c>
      <c r="R35" s="418"/>
      <c r="S35" s="418"/>
      <c r="T35" s="418"/>
      <c r="U35" s="418"/>
      <c r="V35" s="418"/>
      <c r="Z35" s="4" t="s">
        <v>214</v>
      </c>
    </row>
  </sheetData>
  <mergeCells count="27">
    <mergeCell ref="A5:AC5"/>
    <mergeCell ref="P1:AB1"/>
    <mergeCell ref="A2:W2"/>
    <mergeCell ref="A3:A4"/>
    <mergeCell ref="B3:O3"/>
    <mergeCell ref="P3:AC3"/>
    <mergeCell ref="A21:AC21"/>
    <mergeCell ref="B6:AC6"/>
    <mergeCell ref="A7:AC7"/>
    <mergeCell ref="A9:AC9"/>
    <mergeCell ref="B10:AC10"/>
    <mergeCell ref="A11:AC11"/>
    <mergeCell ref="A13:AC13"/>
    <mergeCell ref="B14:AC14"/>
    <mergeCell ref="A15:AC15"/>
    <mergeCell ref="A17:AC17"/>
    <mergeCell ref="B18:AC18"/>
    <mergeCell ref="A19:AC19"/>
    <mergeCell ref="B30:W30"/>
    <mergeCell ref="A31:W31"/>
    <mergeCell ref="R35:V35"/>
    <mergeCell ref="B22:AC22"/>
    <mergeCell ref="A23:AC23"/>
    <mergeCell ref="A25:AC25"/>
    <mergeCell ref="B26:AC26"/>
    <mergeCell ref="A27:AC27"/>
    <mergeCell ref="A29:W29"/>
  </mergeCells>
  <pageMargins left="0.7" right="0.28000000000000003" top="0.75" bottom="0.75" header="0.3" footer="0.3"/>
  <pageSetup paperSize="9" scale="40" fitToHeight="0" orientation="landscape" r:id="rId1"/>
  <colBreaks count="2" manualBreakCount="2">
    <brk id="28" max="34" man="1"/>
    <brk id="3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M16" sqref="M16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7" width="11.42578125" style="4" customWidth="1"/>
    <col min="8" max="10" width="11.42578125" style="60" customWidth="1"/>
    <col min="11" max="11" width="9.140625" style="60"/>
    <col min="12" max="12" width="9.140625" style="4"/>
    <col min="13" max="13" width="10.7109375" style="4" customWidth="1"/>
    <col min="14" max="16384" width="9.140625" style="4"/>
  </cols>
  <sheetData>
    <row r="1" spans="1:20" ht="51.75" customHeight="1" x14ac:dyDescent="0.25">
      <c r="B1" s="2"/>
      <c r="C1" s="3"/>
      <c r="E1" s="375"/>
      <c r="F1" s="375"/>
      <c r="G1" s="375"/>
      <c r="H1" s="375"/>
      <c r="I1" s="375"/>
      <c r="J1" s="375"/>
      <c r="K1" s="375" t="s">
        <v>263</v>
      </c>
      <c r="L1" s="375"/>
      <c r="M1" s="375"/>
      <c r="N1" s="375"/>
      <c r="O1" s="375"/>
      <c r="P1" s="375"/>
      <c r="Q1" s="375"/>
      <c r="R1" s="375"/>
    </row>
    <row r="2" spans="1:20" ht="37.5" customHeight="1" x14ac:dyDescent="0.25">
      <c r="A2" s="410" t="s">
        <v>264</v>
      </c>
      <c r="B2" s="410"/>
      <c r="C2" s="410"/>
      <c r="D2" s="410"/>
      <c r="E2" s="410"/>
      <c r="F2" s="410"/>
      <c r="G2" s="410"/>
      <c r="H2" s="410"/>
      <c r="I2" s="410"/>
      <c r="J2" s="410"/>
      <c r="N2" s="60"/>
      <c r="O2" s="60"/>
      <c r="P2" s="60"/>
      <c r="Q2" s="60"/>
    </row>
    <row r="3" spans="1:20" ht="25.5" customHeight="1" x14ac:dyDescent="0.25">
      <c r="A3" s="377" t="s">
        <v>2</v>
      </c>
      <c r="B3" s="362" t="s">
        <v>265</v>
      </c>
      <c r="C3" s="362" t="s">
        <v>4</v>
      </c>
      <c r="D3" s="362" t="s">
        <v>6</v>
      </c>
      <c r="E3" s="362" t="s">
        <v>8</v>
      </c>
      <c r="F3" s="362" t="s">
        <v>9</v>
      </c>
      <c r="G3" s="362" t="s">
        <v>10</v>
      </c>
      <c r="H3" s="413" t="s">
        <v>11</v>
      </c>
      <c r="I3" s="413" t="s">
        <v>12</v>
      </c>
      <c r="J3" s="413" t="s">
        <v>13</v>
      </c>
      <c r="K3" s="413" t="s">
        <v>14</v>
      </c>
      <c r="L3" s="413" t="s">
        <v>15</v>
      </c>
      <c r="M3" s="413" t="s">
        <v>16</v>
      </c>
      <c r="N3" s="413" t="s">
        <v>17</v>
      </c>
      <c r="O3" s="413" t="s">
        <v>18</v>
      </c>
      <c r="P3" s="413" t="s">
        <v>19</v>
      </c>
      <c r="Q3" s="413" t="s">
        <v>20</v>
      </c>
      <c r="R3" s="413" t="s">
        <v>21</v>
      </c>
    </row>
    <row r="4" spans="1:20" ht="25.5" customHeight="1" x14ac:dyDescent="0.25">
      <c r="A4" s="377"/>
      <c r="B4" s="362"/>
      <c r="C4" s="362"/>
      <c r="D4" s="362"/>
      <c r="E4" s="429"/>
      <c r="F4" s="430"/>
      <c r="G4" s="362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</row>
    <row r="5" spans="1:20" ht="25.5" customHeight="1" x14ac:dyDescent="0.25">
      <c r="A5" s="377"/>
      <c r="B5" s="362"/>
      <c r="C5" s="362"/>
      <c r="D5" s="362"/>
      <c r="E5" s="429"/>
      <c r="F5" s="430"/>
      <c r="G5" s="362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</row>
    <row r="6" spans="1:20" ht="39.75" customHeight="1" x14ac:dyDescent="0.25">
      <c r="A6" s="374" t="s">
        <v>266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</row>
    <row r="7" spans="1:20" ht="33" customHeight="1" x14ac:dyDescent="0.25">
      <c r="A7" s="428" t="s">
        <v>267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</row>
    <row r="8" spans="1:20" ht="47.25" customHeight="1" x14ac:dyDescent="0.25">
      <c r="A8" s="137" t="s">
        <v>268</v>
      </c>
      <c r="B8" s="138" t="s">
        <v>38</v>
      </c>
      <c r="C8" s="55" t="s">
        <v>24</v>
      </c>
      <c r="D8" s="139" t="s">
        <v>39</v>
      </c>
      <c r="E8" s="9">
        <v>90.1</v>
      </c>
      <c r="F8" s="135">
        <v>97.5</v>
      </c>
      <c r="G8" s="135">
        <v>100</v>
      </c>
      <c r="H8" s="135">
        <v>100</v>
      </c>
      <c r="I8" s="135">
        <v>100</v>
      </c>
      <c r="J8" s="135">
        <v>100</v>
      </c>
      <c r="K8" s="135">
        <v>100</v>
      </c>
      <c r="L8" s="135">
        <v>100</v>
      </c>
      <c r="M8" s="135">
        <v>100</v>
      </c>
      <c r="N8" s="135">
        <v>100</v>
      </c>
      <c r="O8" s="135">
        <v>100</v>
      </c>
      <c r="P8" s="135">
        <v>100</v>
      </c>
      <c r="Q8" s="135">
        <v>100</v>
      </c>
      <c r="R8" s="135">
        <v>100</v>
      </c>
    </row>
    <row r="9" spans="1:20" ht="72.75" customHeight="1" x14ac:dyDescent="0.25">
      <c r="A9" s="137" t="s">
        <v>269</v>
      </c>
      <c r="B9" s="138" t="s">
        <v>41</v>
      </c>
      <c r="C9" s="55" t="s">
        <v>24</v>
      </c>
      <c r="D9" s="139" t="s">
        <v>39</v>
      </c>
      <c r="E9" s="10">
        <v>85</v>
      </c>
      <c r="F9" s="57">
        <v>97</v>
      </c>
      <c r="G9" s="135">
        <v>100</v>
      </c>
      <c r="H9" s="135">
        <v>100</v>
      </c>
      <c r="I9" s="135">
        <v>100</v>
      </c>
      <c r="J9" s="135">
        <v>100</v>
      </c>
      <c r="K9" s="135">
        <v>100</v>
      </c>
      <c r="L9" s="135">
        <v>100</v>
      </c>
      <c r="M9" s="135">
        <v>100</v>
      </c>
      <c r="N9" s="135">
        <v>100</v>
      </c>
      <c r="O9" s="135">
        <v>100</v>
      </c>
      <c r="P9" s="135">
        <v>100</v>
      </c>
      <c r="Q9" s="135">
        <v>100</v>
      </c>
      <c r="R9" s="135">
        <v>100</v>
      </c>
    </row>
    <row r="10" spans="1:20" ht="105" customHeight="1" x14ac:dyDescent="0.25">
      <c r="A10" s="137" t="s">
        <v>270</v>
      </c>
      <c r="B10" s="138" t="s">
        <v>271</v>
      </c>
      <c r="C10" s="55" t="s">
        <v>24</v>
      </c>
      <c r="D10" s="139" t="s">
        <v>39</v>
      </c>
      <c r="E10" s="16">
        <v>0</v>
      </c>
      <c r="F10" s="135">
        <v>0</v>
      </c>
      <c r="G10" s="135">
        <v>0</v>
      </c>
      <c r="H10" s="135">
        <v>100</v>
      </c>
      <c r="I10" s="135">
        <v>100</v>
      </c>
      <c r="J10" s="135">
        <v>100</v>
      </c>
      <c r="K10" s="135">
        <v>100</v>
      </c>
      <c r="L10" s="135">
        <v>100</v>
      </c>
      <c r="M10" s="135">
        <v>100</v>
      </c>
      <c r="N10" s="135">
        <v>100</v>
      </c>
      <c r="O10" s="135">
        <v>100</v>
      </c>
      <c r="P10" s="135">
        <v>100</v>
      </c>
      <c r="Q10" s="135">
        <v>100</v>
      </c>
      <c r="R10" s="135">
        <v>100</v>
      </c>
      <c r="S10" s="140"/>
      <c r="T10" s="140"/>
    </row>
    <row r="11" spans="1:20" ht="118.5" customHeight="1" x14ac:dyDescent="0.25">
      <c r="A11" s="137" t="s">
        <v>272</v>
      </c>
      <c r="B11" s="8" t="s">
        <v>273</v>
      </c>
      <c r="C11" s="55" t="s">
        <v>24</v>
      </c>
      <c r="D11" s="139" t="s">
        <v>39</v>
      </c>
      <c r="E11" s="9" t="s">
        <v>47</v>
      </c>
      <c r="F11" s="135" t="s">
        <v>48</v>
      </c>
      <c r="G11" s="135">
        <v>0</v>
      </c>
      <c r="H11" s="135">
        <v>0</v>
      </c>
      <c r="I11" s="135" t="s">
        <v>48</v>
      </c>
      <c r="J11" s="135" t="s">
        <v>48</v>
      </c>
      <c r="K11" s="135" t="s">
        <v>48</v>
      </c>
      <c r="L11" s="135" t="s">
        <v>48</v>
      </c>
      <c r="M11" s="135" t="s">
        <v>48</v>
      </c>
      <c r="N11" s="135" t="s">
        <v>48</v>
      </c>
      <c r="O11" s="135" t="s">
        <v>48</v>
      </c>
      <c r="P11" s="135" t="s">
        <v>48</v>
      </c>
      <c r="Q11" s="135" t="s">
        <v>48</v>
      </c>
      <c r="R11" s="135" t="s">
        <v>48</v>
      </c>
      <c r="S11" s="140"/>
      <c r="T11" s="140"/>
    </row>
    <row r="12" spans="1:20" ht="20.25" customHeight="1" x14ac:dyDescent="0.25">
      <c r="A12" s="141"/>
      <c r="B12" s="142"/>
      <c r="C12" s="143"/>
      <c r="D12" s="144"/>
      <c r="E12" s="144"/>
      <c r="F12" s="144"/>
      <c r="G12" s="144"/>
      <c r="H12" s="145"/>
      <c r="I12" s="145"/>
      <c r="J12" s="145"/>
      <c r="N12" s="60"/>
      <c r="O12" s="60"/>
      <c r="P12" s="60"/>
      <c r="Q12" s="60"/>
    </row>
    <row r="13" spans="1:20" ht="26.25" customHeight="1" x14ac:dyDescent="0.25">
      <c r="A13" s="146" t="s">
        <v>163</v>
      </c>
      <c r="B13" s="146"/>
      <c r="C13" s="146"/>
      <c r="G13" s="112"/>
      <c r="H13" s="147"/>
      <c r="I13" s="147"/>
      <c r="J13" s="148"/>
      <c r="N13" s="60"/>
      <c r="O13" s="147"/>
      <c r="P13" s="147" t="s">
        <v>164</v>
      </c>
      <c r="Q13" s="147"/>
    </row>
  </sheetData>
  <mergeCells count="23">
    <mergeCell ref="E1:J1"/>
    <mergeCell ref="K1:R1"/>
    <mergeCell ref="A2:J2"/>
    <mergeCell ref="A3:A5"/>
    <mergeCell ref="B3:B5"/>
    <mergeCell ref="C3:C5"/>
    <mergeCell ref="D3:D5"/>
    <mergeCell ref="E3:E5"/>
    <mergeCell ref="F3:F5"/>
    <mergeCell ref="G3:G5"/>
    <mergeCell ref="A7:R7"/>
    <mergeCell ref="N3:N5"/>
    <mergeCell ref="O3:O5"/>
    <mergeCell ref="P3:P5"/>
    <mergeCell ref="Q3:Q5"/>
    <mergeCell ref="R3:R5"/>
    <mergeCell ref="A6:R6"/>
    <mergeCell ref="H3:H5"/>
    <mergeCell ref="I3:I5"/>
    <mergeCell ref="J3:J5"/>
    <mergeCell ref="K3:K5"/>
    <mergeCell ref="L3:L5"/>
    <mergeCell ref="M3:M5"/>
  </mergeCells>
  <pageMargins left="0.51181102362204722" right="0.51181102362204722" top="0.55118110236220474" bottom="0.35433070866141736" header="0.31496062992125984" footer="0.31496062992125984"/>
  <pageSetup paperSize="9" scale="53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B97"/>
  <sheetViews>
    <sheetView view="pageBreakPreview" zoomScale="98" zoomScaleNormal="98" zoomScaleSheetLayoutView="98" workbookViewId="0">
      <pane xSplit="3" ySplit="6" topLeftCell="S71" activePane="bottomRight" state="frozen"/>
      <selection activeCell="Q12" sqref="Q12"/>
      <selection pane="topRight" activeCell="Q12" sqref="Q12"/>
      <selection pane="bottomLeft" activeCell="Q12" sqref="Q12"/>
      <selection pane="bottomRight" activeCell="P81" sqref="P81:V81"/>
    </sheetView>
  </sheetViews>
  <sheetFormatPr defaultColWidth="9.28515625" defaultRowHeight="25.5" customHeight="1" x14ac:dyDescent="0.25"/>
  <cols>
    <col min="1" max="1" width="8.42578125" style="180" customWidth="1"/>
    <col min="2" max="2" width="60.7109375" style="4" customWidth="1"/>
    <col min="3" max="3" width="33.7109375" style="181" customWidth="1"/>
    <col min="4" max="5" width="9.28515625" style="181"/>
    <col min="6" max="6" width="13.85546875" style="181" bestFit="1" customWidth="1"/>
    <col min="7" max="7" width="10.7109375" style="181" bestFit="1" customWidth="1"/>
    <col min="8" max="8" width="12.85546875" style="181" bestFit="1" customWidth="1"/>
    <col min="9" max="15" width="12.85546875" style="4" bestFit="1" customWidth="1"/>
    <col min="16" max="16" width="12.85546875" style="60" bestFit="1" customWidth="1"/>
    <col min="17" max="21" width="12.85546875" style="4" bestFit="1" customWidth="1"/>
    <col min="22" max="22" width="17.140625" style="4" customWidth="1"/>
    <col min="23" max="23" width="29.5703125" style="4" customWidth="1"/>
    <col min="24" max="24" width="12" style="4" customWidth="1"/>
    <col min="25" max="25" width="15.42578125" style="4" customWidth="1"/>
    <col min="26" max="26" width="21.28515625" style="4" customWidth="1"/>
    <col min="27" max="27" width="15.42578125" style="4" customWidth="1"/>
    <col min="28" max="16384" width="9.28515625" style="4"/>
  </cols>
  <sheetData>
    <row r="1" spans="1:28" s="37" customFormat="1" ht="57" customHeight="1" x14ac:dyDescent="0.25">
      <c r="A1" s="149"/>
      <c r="B1" s="150"/>
      <c r="C1" s="151"/>
      <c r="D1" s="151"/>
      <c r="E1" s="151"/>
      <c r="F1" s="151"/>
      <c r="G1" s="151"/>
      <c r="H1" s="151"/>
      <c r="I1" s="463"/>
      <c r="J1" s="463"/>
      <c r="P1" s="152"/>
      <c r="S1" s="115"/>
      <c r="T1" s="115"/>
      <c r="U1" s="464" t="s">
        <v>274</v>
      </c>
      <c r="V1" s="464"/>
      <c r="W1" s="464"/>
      <c r="X1" s="5"/>
      <c r="Y1" s="5"/>
      <c r="Z1" s="5"/>
    </row>
    <row r="2" spans="1:28" s="37" customFormat="1" ht="25.5" customHeight="1" x14ac:dyDescent="0.25">
      <c r="A2" s="465" t="s">
        <v>275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</row>
    <row r="3" spans="1:28" s="37" customFormat="1" ht="25.5" customHeight="1" x14ac:dyDescent="0.25">
      <c r="A3" s="362" t="s">
        <v>2</v>
      </c>
      <c r="B3" s="362" t="s">
        <v>276</v>
      </c>
      <c r="C3" s="362" t="s">
        <v>189</v>
      </c>
      <c r="D3" s="362" t="s">
        <v>187</v>
      </c>
      <c r="E3" s="362"/>
      <c r="F3" s="362"/>
      <c r="G3" s="362"/>
      <c r="H3" s="10"/>
      <c r="I3" s="362" t="s">
        <v>188</v>
      </c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 t="s">
        <v>277</v>
      </c>
    </row>
    <row r="4" spans="1:28" s="37" customFormat="1" ht="68.25" customHeight="1" x14ac:dyDescent="0.25">
      <c r="A4" s="362"/>
      <c r="B4" s="362"/>
      <c r="C4" s="362"/>
      <c r="D4" s="10" t="s">
        <v>189</v>
      </c>
      <c r="E4" s="10" t="s">
        <v>190</v>
      </c>
      <c r="F4" s="10" t="s">
        <v>191</v>
      </c>
      <c r="G4" s="10" t="s">
        <v>192</v>
      </c>
      <c r="H4" s="10">
        <v>2014</v>
      </c>
      <c r="I4" s="10">
        <v>2015</v>
      </c>
      <c r="J4" s="10">
        <v>2016</v>
      </c>
      <c r="K4" s="10">
        <v>2017</v>
      </c>
      <c r="L4" s="10">
        <v>2018</v>
      </c>
      <c r="M4" s="10">
        <v>2019</v>
      </c>
      <c r="N4" s="10">
        <v>2020</v>
      </c>
      <c r="O4" s="10">
        <v>2021</v>
      </c>
      <c r="P4" s="57">
        <v>2022</v>
      </c>
      <c r="Q4" s="10">
        <v>2023</v>
      </c>
      <c r="R4" s="10">
        <v>2024</v>
      </c>
      <c r="S4" s="10">
        <v>2025</v>
      </c>
      <c r="T4" s="10">
        <v>2026</v>
      </c>
      <c r="U4" s="10">
        <v>2027</v>
      </c>
      <c r="V4" s="10" t="s">
        <v>193</v>
      </c>
      <c r="W4" s="362"/>
    </row>
    <row r="5" spans="1:28" ht="25.5" customHeight="1" x14ac:dyDescent="0.25">
      <c r="A5" s="374" t="s">
        <v>278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</row>
    <row r="6" spans="1:28" ht="25.5" customHeight="1" x14ac:dyDescent="0.25">
      <c r="A6" s="428" t="s">
        <v>279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</row>
    <row r="7" spans="1:28" ht="25.5" customHeight="1" x14ac:dyDescent="0.25">
      <c r="A7" s="447" t="s">
        <v>37</v>
      </c>
      <c r="B7" s="457" t="s">
        <v>280</v>
      </c>
      <c r="C7" s="447" t="s">
        <v>281</v>
      </c>
      <c r="D7" s="25" t="s">
        <v>200</v>
      </c>
      <c r="E7" s="25" t="s">
        <v>282</v>
      </c>
      <c r="F7" s="25" t="s">
        <v>283</v>
      </c>
      <c r="G7" s="25" t="s">
        <v>284</v>
      </c>
      <c r="H7" s="153">
        <v>69765.3</v>
      </c>
      <c r="I7" s="153">
        <v>78566.5</v>
      </c>
      <c r="J7" s="153">
        <v>53980.2</v>
      </c>
      <c r="K7" s="153">
        <v>48275.5</v>
      </c>
      <c r="L7" s="153">
        <v>47527.3</v>
      </c>
      <c r="M7" s="153">
        <v>50883.5</v>
      </c>
      <c r="N7" s="153">
        <f>46469-53.6</f>
        <v>46415.4</v>
      </c>
      <c r="O7" s="153">
        <v>6593.4</v>
      </c>
      <c r="P7" s="337">
        <v>8852</v>
      </c>
      <c r="Q7" s="338">
        <v>9119.4</v>
      </c>
      <c r="R7" s="337">
        <v>8425.9</v>
      </c>
      <c r="S7" s="337">
        <v>9058.5</v>
      </c>
      <c r="T7" s="338">
        <v>9284.2999999999993</v>
      </c>
      <c r="U7" s="338">
        <v>9288.2999999999993</v>
      </c>
      <c r="V7" s="338">
        <f>SUM(H7:U7)</f>
        <v>456035.50000000006</v>
      </c>
      <c r="W7" s="390" t="s">
        <v>285</v>
      </c>
    </row>
    <row r="8" spans="1:28" ht="25.5" customHeight="1" x14ac:dyDescent="0.25">
      <c r="A8" s="456"/>
      <c r="B8" s="458"/>
      <c r="C8" s="456"/>
      <c r="D8" s="25" t="s">
        <v>200</v>
      </c>
      <c r="E8" s="25" t="s">
        <v>282</v>
      </c>
      <c r="F8" s="25" t="s">
        <v>283</v>
      </c>
      <c r="G8" s="25" t="s">
        <v>286</v>
      </c>
      <c r="H8" s="153">
        <v>2247.3000000000002</v>
      </c>
      <c r="I8" s="153">
        <v>6941.5</v>
      </c>
      <c r="J8" s="153">
        <v>7305.1</v>
      </c>
      <c r="K8" s="153">
        <v>3060.4</v>
      </c>
      <c r="L8" s="153">
        <v>788.7</v>
      </c>
      <c r="M8" s="153">
        <v>2751.6</v>
      </c>
      <c r="N8" s="153">
        <f>3804.6+382</f>
        <v>4186.6000000000004</v>
      </c>
      <c r="O8" s="153">
        <v>10365.4</v>
      </c>
      <c r="P8" s="337">
        <v>4766.8</v>
      </c>
      <c r="Q8" s="338">
        <v>3748</v>
      </c>
      <c r="R8" s="337">
        <v>11951.7</v>
      </c>
      <c r="S8" s="337">
        <v>0</v>
      </c>
      <c r="T8" s="337">
        <v>0</v>
      </c>
      <c r="U8" s="337">
        <v>698.8</v>
      </c>
      <c r="V8" s="338">
        <f t="shared" ref="V8" si="0">SUM(H8:U8)</f>
        <v>58811.900000000009</v>
      </c>
      <c r="W8" s="391"/>
    </row>
    <row r="9" spans="1:28" ht="25.5" customHeight="1" x14ac:dyDescent="0.25">
      <c r="A9" s="456"/>
      <c r="B9" s="458"/>
      <c r="C9" s="456"/>
      <c r="D9" s="25" t="s">
        <v>200</v>
      </c>
      <c r="E9" s="25" t="s">
        <v>282</v>
      </c>
      <c r="F9" s="25" t="s">
        <v>283</v>
      </c>
      <c r="G9" s="25" t="s">
        <v>287</v>
      </c>
      <c r="H9" s="153">
        <v>11537</v>
      </c>
      <c r="I9" s="153">
        <v>12269.9</v>
      </c>
      <c r="J9" s="153">
        <v>8827.4</v>
      </c>
      <c r="K9" s="153">
        <v>7585.8</v>
      </c>
      <c r="L9" s="153">
        <v>7298.7</v>
      </c>
      <c r="M9" s="153">
        <v>7606.8</v>
      </c>
      <c r="N9" s="153">
        <v>6945.3</v>
      </c>
      <c r="O9" s="153">
        <v>1491.1</v>
      </c>
      <c r="P9" s="154">
        <v>1603.6</v>
      </c>
      <c r="Q9" s="153">
        <v>1743.2</v>
      </c>
      <c r="R9" s="154">
        <v>1715.5</v>
      </c>
      <c r="S9" s="153">
        <v>1767.4</v>
      </c>
      <c r="T9" s="153">
        <v>1767.4</v>
      </c>
      <c r="U9" s="153">
        <v>1767.4</v>
      </c>
      <c r="V9" s="153">
        <v>73926.5</v>
      </c>
      <c r="W9" s="391"/>
    </row>
    <row r="10" spans="1:28" ht="25.5" customHeight="1" x14ac:dyDescent="0.25">
      <c r="A10" s="456"/>
      <c r="B10" s="458"/>
      <c r="C10" s="456"/>
      <c r="D10" s="25" t="s">
        <v>200</v>
      </c>
      <c r="E10" s="25" t="s">
        <v>282</v>
      </c>
      <c r="F10" s="25" t="s">
        <v>283</v>
      </c>
      <c r="G10" s="25" t="s">
        <v>288</v>
      </c>
      <c r="H10" s="153">
        <v>180</v>
      </c>
      <c r="I10" s="153">
        <v>1248.0999999999999</v>
      </c>
      <c r="J10" s="153">
        <v>101.9</v>
      </c>
      <c r="K10" s="153">
        <v>10</v>
      </c>
      <c r="L10" s="153"/>
      <c r="M10" s="153"/>
      <c r="N10" s="153"/>
      <c r="O10" s="153"/>
      <c r="P10" s="154">
        <v>0</v>
      </c>
      <c r="Q10" s="153">
        <v>34.200000000000003</v>
      </c>
      <c r="R10" s="154">
        <v>495.6</v>
      </c>
      <c r="S10" s="153">
        <v>0</v>
      </c>
      <c r="T10" s="153">
        <v>0</v>
      </c>
      <c r="U10" s="153">
        <v>0</v>
      </c>
      <c r="V10" s="153">
        <v>2069.8000000000002</v>
      </c>
      <c r="W10" s="391"/>
    </row>
    <row r="11" spans="1:28" ht="25.5" customHeight="1" x14ac:dyDescent="0.25">
      <c r="A11" s="456"/>
      <c r="B11" s="458"/>
      <c r="C11" s="456"/>
      <c r="D11" s="25" t="s">
        <v>200</v>
      </c>
      <c r="E11" s="25" t="s">
        <v>282</v>
      </c>
      <c r="F11" s="25" t="s">
        <v>283</v>
      </c>
      <c r="G11" s="25" t="s">
        <v>289</v>
      </c>
      <c r="H11" s="153">
        <v>0</v>
      </c>
      <c r="I11" s="153">
        <v>0</v>
      </c>
      <c r="J11" s="153">
        <v>0</v>
      </c>
      <c r="K11" s="153">
        <v>0</v>
      </c>
      <c r="L11" s="153"/>
      <c r="M11" s="153"/>
      <c r="N11" s="153"/>
      <c r="O11" s="153"/>
      <c r="P11" s="154">
        <v>0</v>
      </c>
      <c r="Q11" s="153">
        <v>7.5</v>
      </c>
      <c r="R11" s="154">
        <v>0</v>
      </c>
      <c r="S11" s="153">
        <v>0</v>
      </c>
      <c r="T11" s="153">
        <v>0</v>
      </c>
      <c r="U11" s="153">
        <v>0</v>
      </c>
      <c r="V11" s="153">
        <v>7.5</v>
      </c>
      <c r="W11" s="391"/>
    </row>
    <row r="12" spans="1:28" ht="25.5" customHeight="1" x14ac:dyDescent="0.25">
      <c r="A12" s="456"/>
      <c r="B12" s="458"/>
      <c r="C12" s="456"/>
      <c r="D12" s="25" t="s">
        <v>200</v>
      </c>
      <c r="E12" s="25" t="s">
        <v>282</v>
      </c>
      <c r="F12" s="25" t="s">
        <v>290</v>
      </c>
      <c r="G12" s="25" t="s">
        <v>284</v>
      </c>
      <c r="H12" s="153"/>
      <c r="I12" s="153"/>
      <c r="J12" s="153"/>
      <c r="K12" s="153"/>
      <c r="L12" s="153"/>
      <c r="M12" s="153"/>
      <c r="N12" s="153"/>
      <c r="O12" s="153">
        <v>14888.7</v>
      </c>
      <c r="P12" s="154">
        <v>22561.5</v>
      </c>
      <c r="Q12" s="153">
        <v>17632.5</v>
      </c>
      <c r="R12" s="154">
        <v>17530.5</v>
      </c>
      <c r="S12" s="153">
        <v>17482.3</v>
      </c>
      <c r="T12" s="153">
        <v>18816.7</v>
      </c>
      <c r="U12" s="153">
        <v>18816.7</v>
      </c>
      <c r="V12" s="153">
        <v>127728.9</v>
      </c>
      <c r="W12" s="391"/>
    </row>
    <row r="13" spans="1:28" ht="25.5" customHeight="1" x14ac:dyDescent="0.25">
      <c r="A13" s="456"/>
      <c r="B13" s="458"/>
      <c r="C13" s="456"/>
      <c r="D13" s="25" t="s">
        <v>200</v>
      </c>
      <c r="E13" s="25" t="s">
        <v>282</v>
      </c>
      <c r="F13" s="25" t="s">
        <v>290</v>
      </c>
      <c r="G13" s="25" t="s">
        <v>287</v>
      </c>
      <c r="H13" s="153"/>
      <c r="I13" s="153"/>
      <c r="J13" s="153"/>
      <c r="K13" s="153"/>
      <c r="L13" s="153"/>
      <c r="M13" s="153"/>
      <c r="N13" s="153"/>
      <c r="O13" s="153">
        <v>2688.7</v>
      </c>
      <c r="P13" s="154">
        <v>3291.9</v>
      </c>
      <c r="Q13" s="153">
        <v>3163.1</v>
      </c>
      <c r="R13" s="154">
        <v>2851</v>
      </c>
      <c r="S13" s="153">
        <v>3599.3</v>
      </c>
      <c r="T13" s="153">
        <v>3599.3</v>
      </c>
      <c r="U13" s="153">
        <v>3599.3</v>
      </c>
      <c r="V13" s="153">
        <v>22792.6</v>
      </c>
      <c r="W13" s="391"/>
    </row>
    <row r="14" spans="1:28" ht="25.5" customHeight="1" x14ac:dyDescent="0.25">
      <c r="A14" s="456"/>
      <c r="B14" s="458"/>
      <c r="C14" s="456"/>
      <c r="D14" s="25" t="s">
        <v>200</v>
      </c>
      <c r="E14" s="25" t="s">
        <v>282</v>
      </c>
      <c r="F14" s="25" t="s">
        <v>291</v>
      </c>
      <c r="G14" s="25" t="s">
        <v>284</v>
      </c>
      <c r="H14" s="153"/>
      <c r="I14" s="153"/>
      <c r="J14" s="153"/>
      <c r="K14" s="153"/>
      <c r="L14" s="153"/>
      <c r="M14" s="153"/>
      <c r="N14" s="153"/>
      <c r="O14" s="153">
        <v>15496.1</v>
      </c>
      <c r="P14" s="154">
        <v>16236.6</v>
      </c>
      <c r="Q14" s="153">
        <v>17026</v>
      </c>
      <c r="R14" s="154">
        <v>17715.3</v>
      </c>
      <c r="S14" s="153">
        <v>19219.8</v>
      </c>
      <c r="T14" s="153">
        <v>19446.099999999999</v>
      </c>
      <c r="U14" s="153">
        <v>19446.099999999999</v>
      </c>
      <c r="V14" s="153">
        <v>124586</v>
      </c>
      <c r="W14" s="391"/>
      <c r="Y14" s="156">
        <f>R12+R13</f>
        <v>20381.5</v>
      </c>
      <c r="Z14" s="156">
        <f>S12+S13</f>
        <v>21081.599999999999</v>
      </c>
      <c r="AA14" s="156">
        <f>T12+T13</f>
        <v>22416</v>
      </c>
    </row>
    <row r="15" spans="1:28" s="60" customFormat="1" ht="25.5" customHeight="1" x14ac:dyDescent="0.25">
      <c r="A15" s="456"/>
      <c r="B15" s="458"/>
      <c r="C15" s="456"/>
      <c r="D15" s="157" t="s">
        <v>200</v>
      </c>
      <c r="E15" s="157" t="s">
        <v>282</v>
      </c>
      <c r="F15" s="157" t="s">
        <v>291</v>
      </c>
      <c r="G15" s="157" t="s">
        <v>286</v>
      </c>
      <c r="H15" s="154"/>
      <c r="I15" s="154"/>
      <c r="J15" s="154"/>
      <c r="K15" s="154"/>
      <c r="L15" s="154"/>
      <c r="M15" s="154"/>
      <c r="N15" s="154"/>
      <c r="O15" s="154">
        <v>0</v>
      </c>
      <c r="P15" s="154">
        <v>0</v>
      </c>
      <c r="Q15" s="153">
        <v>637.9</v>
      </c>
      <c r="R15" s="155">
        <v>1554.1</v>
      </c>
      <c r="S15" s="154">
        <v>335.3</v>
      </c>
      <c r="T15" s="154">
        <v>0</v>
      </c>
      <c r="U15" s="154">
        <v>0</v>
      </c>
      <c r="V15" s="153">
        <v>2527.3000000000002</v>
      </c>
      <c r="W15" s="391"/>
      <c r="Y15" s="158">
        <f>R7+R8+R9+R10</f>
        <v>22588.699999999997</v>
      </c>
      <c r="Z15" s="158">
        <f>S7+S8+S9+S10</f>
        <v>10825.9</v>
      </c>
      <c r="AA15" s="158">
        <f>T7+T8+T9+T10</f>
        <v>11051.699999999999</v>
      </c>
    </row>
    <row r="16" spans="1:28" ht="25.5" customHeight="1" x14ac:dyDescent="0.25">
      <c r="A16" s="456"/>
      <c r="B16" s="458"/>
      <c r="C16" s="456"/>
      <c r="D16" s="25" t="s">
        <v>200</v>
      </c>
      <c r="E16" s="25" t="s">
        <v>282</v>
      </c>
      <c r="F16" s="25" t="s">
        <v>291</v>
      </c>
      <c r="G16" s="25" t="s">
        <v>287</v>
      </c>
      <c r="H16" s="153"/>
      <c r="I16" s="153"/>
      <c r="J16" s="153"/>
      <c r="K16" s="153"/>
      <c r="L16" s="153"/>
      <c r="M16" s="153"/>
      <c r="N16" s="153"/>
      <c r="O16" s="153">
        <v>1754.1</v>
      </c>
      <c r="P16" s="154">
        <v>2056.1</v>
      </c>
      <c r="Q16" s="153">
        <v>1923.9</v>
      </c>
      <c r="R16" s="154">
        <v>2170.9</v>
      </c>
      <c r="S16" s="153">
        <v>2385.3000000000002</v>
      </c>
      <c r="T16" s="153">
        <v>2453.3000000000002</v>
      </c>
      <c r="U16" s="153">
        <v>2453.3000000000002</v>
      </c>
      <c r="V16" s="153">
        <v>15196.9</v>
      </c>
      <c r="W16" s="391"/>
      <c r="Y16" s="156">
        <f>R14+R16+R15</f>
        <v>21440.3</v>
      </c>
      <c r="Z16" s="156">
        <f>S14+S16+S15</f>
        <v>21940.399999999998</v>
      </c>
      <c r="AA16" s="156">
        <f>T14+T16+T15</f>
        <v>21899.399999999998</v>
      </c>
      <c r="AB16" s="156">
        <f>V14+V16+V15</f>
        <v>142310.19999999998</v>
      </c>
    </row>
    <row r="17" spans="1:27" ht="25.5" customHeight="1" x14ac:dyDescent="0.25">
      <c r="A17" s="456"/>
      <c r="B17" s="458"/>
      <c r="C17" s="456"/>
      <c r="D17" s="25" t="s">
        <v>200</v>
      </c>
      <c r="E17" s="25" t="s">
        <v>282</v>
      </c>
      <c r="F17" s="25" t="s">
        <v>292</v>
      </c>
      <c r="G17" s="25" t="s">
        <v>284</v>
      </c>
      <c r="H17" s="153"/>
      <c r="I17" s="153"/>
      <c r="J17" s="153"/>
      <c r="K17" s="153"/>
      <c r="L17" s="153"/>
      <c r="M17" s="153"/>
      <c r="N17" s="153"/>
      <c r="O17" s="153">
        <v>54327.5</v>
      </c>
      <c r="P17" s="154"/>
      <c r="Q17" s="153"/>
      <c r="R17" s="154">
        <v>212.3</v>
      </c>
      <c r="S17" s="153"/>
      <c r="T17" s="153"/>
      <c r="U17" s="153"/>
      <c r="V17" s="153">
        <v>212.3</v>
      </c>
      <c r="W17" s="391"/>
      <c r="Y17" s="156">
        <f>R18+R17+R19</f>
        <v>80859.7</v>
      </c>
      <c r="Z17" s="156">
        <f>S18+S17+S19</f>
        <v>88539.5</v>
      </c>
      <c r="AA17" s="156">
        <f>T18+T17+T19</f>
        <v>85285.9</v>
      </c>
    </row>
    <row r="18" spans="1:27" ht="25.5" customHeight="1" x14ac:dyDescent="0.25">
      <c r="A18" s="456"/>
      <c r="B18" s="458"/>
      <c r="C18" s="456"/>
      <c r="D18" s="25" t="s">
        <v>200</v>
      </c>
      <c r="E18" s="25" t="s">
        <v>282</v>
      </c>
      <c r="F18" s="25" t="s">
        <v>292</v>
      </c>
      <c r="G18" s="25" t="s">
        <v>287</v>
      </c>
      <c r="H18" s="153"/>
      <c r="I18" s="153"/>
      <c r="J18" s="153"/>
      <c r="K18" s="153"/>
      <c r="L18" s="153"/>
      <c r="M18" s="153"/>
      <c r="N18" s="153"/>
      <c r="O18" s="153">
        <v>8138.3</v>
      </c>
      <c r="P18" s="154">
        <v>55125.9</v>
      </c>
      <c r="Q18" s="153">
        <v>59299</v>
      </c>
      <c r="R18" s="154">
        <v>67845.5</v>
      </c>
      <c r="S18" s="153">
        <v>73358.100000000006</v>
      </c>
      <c r="T18" s="153">
        <v>70854.399999999994</v>
      </c>
      <c r="U18" s="153">
        <v>70854.399999999994</v>
      </c>
      <c r="V18" s="153">
        <v>451664.8</v>
      </c>
      <c r="W18" s="391"/>
    </row>
    <row r="19" spans="1:27" ht="25.5" customHeight="1" x14ac:dyDescent="0.25">
      <c r="A19" s="456"/>
      <c r="B19" s="458"/>
      <c r="C19" s="456"/>
      <c r="D19" s="25" t="s">
        <v>200</v>
      </c>
      <c r="E19" s="25" t="s">
        <v>282</v>
      </c>
      <c r="F19" s="25" t="s">
        <v>292</v>
      </c>
      <c r="G19" s="25" t="s">
        <v>289</v>
      </c>
      <c r="H19" s="153"/>
      <c r="I19" s="153"/>
      <c r="J19" s="153"/>
      <c r="K19" s="153"/>
      <c r="L19" s="153"/>
      <c r="M19" s="153"/>
      <c r="N19" s="153"/>
      <c r="O19" s="153">
        <v>0</v>
      </c>
      <c r="P19" s="154">
        <v>8908.9</v>
      </c>
      <c r="Q19" s="153">
        <v>10694.3</v>
      </c>
      <c r="R19" s="154">
        <v>12801.9</v>
      </c>
      <c r="S19" s="153">
        <v>15181.4</v>
      </c>
      <c r="T19" s="153">
        <v>14431.5</v>
      </c>
      <c r="U19" s="153">
        <v>14431.5</v>
      </c>
      <c r="V19" s="153">
        <v>84587.8</v>
      </c>
      <c r="W19" s="391"/>
    </row>
    <row r="20" spans="1:27" ht="25.5" customHeight="1" x14ac:dyDescent="0.25">
      <c r="A20" s="456"/>
      <c r="B20" s="458"/>
      <c r="C20" s="456"/>
      <c r="D20" s="25" t="s">
        <v>200</v>
      </c>
      <c r="E20" s="25" t="s">
        <v>282</v>
      </c>
      <c r="F20" s="25" t="s">
        <v>293</v>
      </c>
      <c r="G20" s="25" t="s">
        <v>284</v>
      </c>
      <c r="H20" s="153">
        <v>5961.4</v>
      </c>
      <c r="I20" s="153">
        <v>10099.9</v>
      </c>
      <c r="J20" s="153">
        <v>13561.6</v>
      </c>
      <c r="K20" s="153">
        <v>14858.8</v>
      </c>
      <c r="L20" s="153">
        <v>19814.900000000001</v>
      </c>
      <c r="M20" s="153">
        <v>33192.5</v>
      </c>
      <c r="N20" s="153">
        <f>30336.6-328.4</f>
        <v>30008.199999999997</v>
      </c>
      <c r="O20" s="153">
        <v>0</v>
      </c>
      <c r="P20" s="154">
        <v>0</v>
      </c>
      <c r="Q20" s="153">
        <v>0</v>
      </c>
      <c r="R20" s="154">
        <v>0</v>
      </c>
      <c r="S20" s="153">
        <v>4691.8</v>
      </c>
      <c r="T20" s="153">
        <v>0</v>
      </c>
      <c r="U20" s="153">
        <v>0</v>
      </c>
      <c r="V20" s="153">
        <v>4691.8</v>
      </c>
      <c r="W20" s="391"/>
    </row>
    <row r="21" spans="1:27" ht="25.5" customHeight="1" x14ac:dyDescent="0.25">
      <c r="A21" s="456"/>
      <c r="B21" s="458"/>
      <c r="C21" s="456"/>
      <c r="D21" s="25" t="s">
        <v>200</v>
      </c>
      <c r="E21" s="25" t="s">
        <v>282</v>
      </c>
      <c r="F21" s="25" t="s">
        <v>293</v>
      </c>
      <c r="G21" s="25" t="s">
        <v>287</v>
      </c>
      <c r="H21" s="153">
        <v>1142</v>
      </c>
      <c r="I21" s="153">
        <v>1752.1</v>
      </c>
      <c r="J21" s="153">
        <v>2506</v>
      </c>
      <c r="K21" s="153">
        <v>2673.8</v>
      </c>
      <c r="L21" s="153">
        <v>3359.1</v>
      </c>
      <c r="M21" s="153">
        <v>5005.5</v>
      </c>
      <c r="N21" s="153">
        <v>4731.2</v>
      </c>
      <c r="O21" s="153">
        <v>0</v>
      </c>
      <c r="P21" s="154"/>
      <c r="Q21" s="153"/>
      <c r="R21" s="153">
        <v>0</v>
      </c>
      <c r="S21" s="153">
        <v>0</v>
      </c>
      <c r="T21" s="153">
        <v>0</v>
      </c>
      <c r="U21" s="153">
        <v>0</v>
      </c>
      <c r="V21" s="153">
        <v>127497.3</v>
      </c>
      <c r="W21" s="391"/>
    </row>
    <row r="22" spans="1:27" ht="20.25" customHeight="1" x14ac:dyDescent="0.25">
      <c r="A22" s="456"/>
      <c r="B22" s="458"/>
      <c r="C22" s="456"/>
      <c r="D22" s="25" t="s">
        <v>200</v>
      </c>
      <c r="E22" s="25" t="s">
        <v>282</v>
      </c>
      <c r="F22" s="25" t="s">
        <v>294</v>
      </c>
      <c r="G22" s="25" t="s">
        <v>286</v>
      </c>
      <c r="H22" s="153"/>
      <c r="I22" s="153"/>
      <c r="J22" s="153"/>
      <c r="K22" s="153"/>
      <c r="L22" s="153">
        <v>0</v>
      </c>
      <c r="M22" s="153">
        <v>50</v>
      </c>
      <c r="N22" s="153">
        <v>0</v>
      </c>
      <c r="O22" s="153">
        <v>0</v>
      </c>
      <c r="P22" s="154"/>
      <c r="Q22" s="153"/>
      <c r="R22" s="153">
        <v>0</v>
      </c>
      <c r="S22" s="153">
        <v>0</v>
      </c>
      <c r="T22" s="153">
        <v>0</v>
      </c>
      <c r="U22" s="153">
        <v>0</v>
      </c>
      <c r="V22" s="153">
        <v>21169.7</v>
      </c>
      <c r="W22" s="391"/>
    </row>
    <row r="23" spans="1:27" ht="20.25" customHeight="1" x14ac:dyDescent="0.25">
      <c r="A23" s="456"/>
      <c r="B23" s="458"/>
      <c r="C23" s="456"/>
      <c r="D23" s="25" t="s">
        <v>200</v>
      </c>
      <c r="E23" s="25" t="s">
        <v>282</v>
      </c>
      <c r="F23" s="25" t="s">
        <v>294</v>
      </c>
      <c r="G23" s="25" t="s">
        <v>286</v>
      </c>
      <c r="H23" s="153">
        <v>0</v>
      </c>
      <c r="I23" s="153">
        <v>0</v>
      </c>
      <c r="J23" s="153">
        <v>2</v>
      </c>
      <c r="K23" s="153">
        <v>0</v>
      </c>
      <c r="L23" s="153">
        <v>0</v>
      </c>
      <c r="M23" s="153">
        <v>1000</v>
      </c>
      <c r="N23" s="153">
        <v>0</v>
      </c>
      <c r="O23" s="153">
        <v>0</v>
      </c>
      <c r="P23" s="154">
        <v>0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3">
        <v>50</v>
      </c>
      <c r="W23" s="391"/>
    </row>
    <row r="24" spans="1:27" ht="25.5" customHeight="1" x14ac:dyDescent="0.25">
      <c r="A24" s="456"/>
      <c r="B24" s="458"/>
      <c r="C24" s="456"/>
      <c r="D24" s="25" t="s">
        <v>200</v>
      </c>
      <c r="E24" s="25" t="s">
        <v>282</v>
      </c>
      <c r="F24" s="25" t="s">
        <v>295</v>
      </c>
      <c r="G24" s="25" t="s">
        <v>286</v>
      </c>
      <c r="H24" s="153"/>
      <c r="I24" s="153"/>
      <c r="J24" s="153"/>
      <c r="K24" s="153"/>
      <c r="L24" s="153"/>
      <c r="M24" s="153"/>
      <c r="N24" s="153"/>
      <c r="O24" s="153"/>
      <c r="P24" s="154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1002</v>
      </c>
      <c r="W24" s="391"/>
    </row>
    <row r="25" spans="1:27" ht="25.5" customHeight="1" x14ac:dyDescent="0.25">
      <c r="A25" s="456"/>
      <c r="B25" s="458"/>
      <c r="C25" s="456"/>
      <c r="D25" s="331" t="s">
        <v>200</v>
      </c>
      <c r="E25" s="331" t="s">
        <v>282</v>
      </c>
      <c r="F25" s="331" t="s">
        <v>295</v>
      </c>
      <c r="G25" s="331" t="s">
        <v>286</v>
      </c>
      <c r="H25" s="153"/>
      <c r="I25" s="153"/>
      <c r="J25" s="153"/>
      <c r="K25" s="153"/>
      <c r="L25" s="153"/>
      <c r="M25" s="153"/>
      <c r="N25" s="153"/>
      <c r="O25" s="153"/>
      <c r="P25" s="154">
        <v>606.70000000000005</v>
      </c>
      <c r="Q25" s="153"/>
      <c r="R25" s="153"/>
      <c r="S25" s="153"/>
      <c r="T25" s="153"/>
      <c r="U25" s="153"/>
      <c r="V25" s="153">
        <v>606.70000000000005</v>
      </c>
      <c r="W25" s="391"/>
    </row>
    <row r="26" spans="1:27" ht="21.75" customHeight="1" x14ac:dyDescent="0.25">
      <c r="A26" s="456"/>
      <c r="B26" s="459"/>
      <c r="C26" s="448"/>
      <c r="D26" s="25" t="s">
        <v>200</v>
      </c>
      <c r="E26" s="25" t="s">
        <v>282</v>
      </c>
      <c r="F26" s="25" t="s">
        <v>296</v>
      </c>
      <c r="G26" s="25" t="s">
        <v>288</v>
      </c>
      <c r="H26" s="153">
        <v>0</v>
      </c>
      <c r="I26" s="153">
        <v>0</v>
      </c>
      <c r="J26" s="153">
        <v>0</v>
      </c>
      <c r="K26" s="153">
        <v>1</v>
      </c>
      <c r="L26" s="153">
        <v>0</v>
      </c>
      <c r="M26" s="153">
        <v>0</v>
      </c>
      <c r="N26" s="153">
        <v>0</v>
      </c>
      <c r="O26" s="153">
        <v>0</v>
      </c>
      <c r="P26" s="154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1</v>
      </c>
      <c r="W26" s="391"/>
    </row>
    <row r="27" spans="1:27" ht="15.75" customHeight="1" x14ac:dyDescent="0.25">
      <c r="A27" s="456"/>
      <c r="B27" s="454" t="s">
        <v>297</v>
      </c>
      <c r="C27" s="390" t="s">
        <v>281</v>
      </c>
      <c r="D27" s="25" t="s">
        <v>298</v>
      </c>
      <c r="E27" s="25" t="s">
        <v>282</v>
      </c>
      <c r="F27" s="25" t="s">
        <v>299</v>
      </c>
      <c r="G27" s="25" t="s">
        <v>286</v>
      </c>
      <c r="H27" s="153">
        <v>0</v>
      </c>
      <c r="I27" s="153">
        <v>0</v>
      </c>
      <c r="J27" s="153">
        <v>141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4">
        <f>O27</f>
        <v>0</v>
      </c>
      <c r="Q27" s="153">
        <f>P27</f>
        <v>0</v>
      </c>
      <c r="R27" s="153">
        <f t="shared" ref="R27:U74" si="1">Q27</f>
        <v>0</v>
      </c>
      <c r="S27" s="153">
        <f t="shared" si="1"/>
        <v>0</v>
      </c>
      <c r="T27" s="153">
        <f t="shared" si="1"/>
        <v>0</v>
      </c>
      <c r="U27" s="153">
        <f t="shared" si="1"/>
        <v>0</v>
      </c>
      <c r="V27" s="153">
        <f t="shared" ref="V27:V72" si="2">SUM(H27:U27)</f>
        <v>141</v>
      </c>
      <c r="W27" s="391"/>
    </row>
    <row r="28" spans="1:27" ht="19.5" customHeight="1" x14ac:dyDescent="0.25">
      <c r="A28" s="456"/>
      <c r="B28" s="460"/>
      <c r="C28" s="461"/>
      <c r="D28" s="25" t="s">
        <v>298</v>
      </c>
      <c r="E28" s="25" t="s">
        <v>282</v>
      </c>
      <c r="F28" s="25" t="s">
        <v>299</v>
      </c>
      <c r="G28" s="25" t="s">
        <v>288</v>
      </c>
      <c r="H28" s="153">
        <v>0</v>
      </c>
      <c r="I28" s="153">
        <v>0</v>
      </c>
      <c r="J28" s="153">
        <v>0</v>
      </c>
      <c r="K28" s="153">
        <v>70.5</v>
      </c>
      <c r="L28" s="153">
        <v>0</v>
      </c>
      <c r="M28" s="153">
        <v>0</v>
      </c>
      <c r="N28" s="153">
        <v>0</v>
      </c>
      <c r="O28" s="153">
        <v>0</v>
      </c>
      <c r="P28" s="154">
        <f>O28</f>
        <v>0</v>
      </c>
      <c r="Q28" s="153">
        <f>P28</f>
        <v>0</v>
      </c>
      <c r="R28" s="153">
        <f t="shared" si="1"/>
        <v>0</v>
      </c>
      <c r="S28" s="153">
        <f t="shared" si="1"/>
        <v>0</v>
      </c>
      <c r="T28" s="153">
        <f t="shared" si="1"/>
        <v>0</v>
      </c>
      <c r="U28" s="153">
        <f t="shared" si="1"/>
        <v>0</v>
      </c>
      <c r="V28" s="153">
        <f t="shared" si="2"/>
        <v>70.5</v>
      </c>
      <c r="W28" s="391"/>
    </row>
    <row r="29" spans="1:27" ht="24" customHeight="1" x14ac:dyDescent="0.25">
      <c r="A29" s="456"/>
      <c r="B29" s="460"/>
      <c r="C29" s="461"/>
      <c r="D29" s="25" t="s">
        <v>200</v>
      </c>
      <c r="E29" s="25" t="s">
        <v>282</v>
      </c>
      <c r="F29" s="25" t="s">
        <v>300</v>
      </c>
      <c r="G29" s="25" t="s">
        <v>284</v>
      </c>
      <c r="H29" s="159">
        <v>55471</v>
      </c>
      <c r="I29" s="159">
        <v>64558.6</v>
      </c>
      <c r="J29" s="159">
        <v>62740.3</v>
      </c>
      <c r="K29" s="159">
        <v>67910</v>
      </c>
      <c r="L29" s="159">
        <v>69926.5</v>
      </c>
      <c r="M29" s="159">
        <v>80492.399999999994</v>
      </c>
      <c r="N29" s="159">
        <v>91762.1</v>
      </c>
      <c r="O29" s="159">
        <v>101231.3</v>
      </c>
      <c r="P29" s="160">
        <v>119079.3</v>
      </c>
      <c r="Q29" s="153">
        <v>126017.8</v>
      </c>
      <c r="R29" s="154">
        <v>139169.4</v>
      </c>
      <c r="S29" s="153">
        <v>138093.9</v>
      </c>
      <c r="T29" s="153">
        <v>129430</v>
      </c>
      <c r="U29" s="153">
        <v>129430</v>
      </c>
      <c r="V29" s="153">
        <v>1375312.6</v>
      </c>
      <c r="W29" s="391"/>
    </row>
    <row r="30" spans="1:27" ht="21.75" customHeight="1" x14ac:dyDescent="0.25">
      <c r="A30" s="456"/>
      <c r="B30" s="460"/>
      <c r="C30" s="461"/>
      <c r="D30" s="25" t="s">
        <v>200</v>
      </c>
      <c r="E30" s="25" t="s">
        <v>282</v>
      </c>
      <c r="F30" s="25" t="s">
        <v>300</v>
      </c>
      <c r="G30" s="25" t="s">
        <v>286</v>
      </c>
      <c r="H30" s="159">
        <v>216.4</v>
      </c>
      <c r="I30" s="159">
        <v>268.39999999999998</v>
      </c>
      <c r="J30" s="159">
        <v>343.4</v>
      </c>
      <c r="K30" s="159">
        <v>380.2</v>
      </c>
      <c r="L30" s="159">
        <v>337</v>
      </c>
      <c r="M30" s="159">
        <v>341</v>
      </c>
      <c r="N30" s="159">
        <v>0</v>
      </c>
      <c r="O30" s="159">
        <v>0</v>
      </c>
      <c r="P30" s="154">
        <v>0</v>
      </c>
      <c r="Q30" s="153">
        <f>P30</f>
        <v>0</v>
      </c>
      <c r="R30" s="154">
        <f t="shared" si="1"/>
        <v>0</v>
      </c>
      <c r="S30" s="153">
        <f t="shared" si="1"/>
        <v>0</v>
      </c>
      <c r="T30" s="153">
        <f t="shared" si="1"/>
        <v>0</v>
      </c>
      <c r="U30" s="153">
        <f t="shared" si="1"/>
        <v>0</v>
      </c>
      <c r="V30" s="153">
        <f t="shared" si="2"/>
        <v>1886.3999999999999</v>
      </c>
      <c r="W30" s="391"/>
    </row>
    <row r="31" spans="1:27" ht="24" customHeight="1" x14ac:dyDescent="0.25">
      <c r="A31" s="456"/>
      <c r="B31" s="460"/>
      <c r="C31" s="461"/>
      <c r="D31" s="25" t="s">
        <v>200</v>
      </c>
      <c r="E31" s="25" t="s">
        <v>282</v>
      </c>
      <c r="F31" s="25" t="s">
        <v>300</v>
      </c>
      <c r="G31" s="25" t="s">
        <v>287</v>
      </c>
      <c r="H31" s="159">
        <v>8073.9</v>
      </c>
      <c r="I31" s="159">
        <v>9286.4</v>
      </c>
      <c r="J31" s="159">
        <v>9020.2999999999993</v>
      </c>
      <c r="K31" s="159">
        <v>9425.2000000000007</v>
      </c>
      <c r="L31" s="159">
        <v>10547.1</v>
      </c>
      <c r="M31" s="159">
        <v>12198.3</v>
      </c>
      <c r="N31" s="159">
        <v>15809.8</v>
      </c>
      <c r="O31" s="159">
        <v>15995.7</v>
      </c>
      <c r="P31" s="160">
        <f>17836.3+926.2+24.5</f>
        <v>18787</v>
      </c>
      <c r="Q31" s="153">
        <v>18262.8</v>
      </c>
      <c r="R31" s="154">
        <v>21523.8</v>
      </c>
      <c r="S31" s="153">
        <v>22247.599999999999</v>
      </c>
      <c r="T31" s="153">
        <v>21034.3</v>
      </c>
      <c r="U31" s="153">
        <v>21034.3</v>
      </c>
      <c r="V31" s="153">
        <v>213246.5</v>
      </c>
      <c r="W31" s="391"/>
      <c r="Y31" s="156">
        <f>S29+S31+S32</f>
        <v>160341.5</v>
      </c>
    </row>
    <row r="32" spans="1:27" ht="25.5" customHeight="1" x14ac:dyDescent="0.25">
      <c r="A32" s="456"/>
      <c r="B32" s="460"/>
      <c r="C32" s="461"/>
      <c r="D32" s="25" t="s">
        <v>200</v>
      </c>
      <c r="E32" s="25" t="s">
        <v>282</v>
      </c>
      <c r="F32" s="25" t="s">
        <v>300</v>
      </c>
      <c r="G32" s="25" t="s">
        <v>289</v>
      </c>
      <c r="H32" s="159"/>
      <c r="I32" s="159"/>
      <c r="J32" s="159"/>
      <c r="K32" s="159">
        <v>0</v>
      </c>
      <c r="L32" s="159"/>
      <c r="M32" s="159"/>
      <c r="N32" s="159">
        <v>32.9</v>
      </c>
      <c r="O32" s="159">
        <v>29.8</v>
      </c>
      <c r="P32" s="154">
        <v>0</v>
      </c>
      <c r="Q32" s="154">
        <v>0</v>
      </c>
      <c r="R32" s="154">
        <v>0</v>
      </c>
      <c r="S32" s="153">
        <v>0</v>
      </c>
      <c r="T32" s="153">
        <v>0</v>
      </c>
      <c r="U32" s="153">
        <v>0</v>
      </c>
      <c r="V32" s="153">
        <v>62.7</v>
      </c>
      <c r="W32" s="391"/>
    </row>
    <row r="33" spans="1:25" ht="25.5" customHeight="1" x14ac:dyDescent="0.25">
      <c r="A33" s="456"/>
      <c r="B33" s="460"/>
      <c r="C33" s="461"/>
      <c r="D33" s="25" t="s">
        <v>200</v>
      </c>
      <c r="E33" s="25" t="s">
        <v>282</v>
      </c>
      <c r="F33" s="25" t="s">
        <v>300</v>
      </c>
      <c r="G33" s="25" t="s">
        <v>286</v>
      </c>
      <c r="H33" s="159">
        <v>3478.6</v>
      </c>
      <c r="I33" s="159">
        <v>3595.8</v>
      </c>
      <c r="J33" s="159"/>
      <c r="K33" s="159">
        <v>0</v>
      </c>
      <c r="L33" s="159"/>
      <c r="M33" s="159"/>
      <c r="N33" s="159"/>
      <c r="O33" s="159"/>
      <c r="P33" s="154">
        <f>O33</f>
        <v>0</v>
      </c>
      <c r="Q33" s="154">
        <f>P33</f>
        <v>0</v>
      </c>
      <c r="R33" s="154">
        <f t="shared" si="1"/>
        <v>0</v>
      </c>
      <c r="S33" s="153">
        <f t="shared" si="1"/>
        <v>0</v>
      </c>
      <c r="T33" s="153">
        <f t="shared" si="1"/>
        <v>0</v>
      </c>
      <c r="U33" s="153">
        <f t="shared" si="1"/>
        <v>0</v>
      </c>
      <c r="V33" s="153">
        <f t="shared" si="2"/>
        <v>7074.4</v>
      </c>
      <c r="W33" s="391"/>
      <c r="Y33" s="156">
        <f>S35+S37</f>
        <v>71033</v>
      </c>
    </row>
    <row r="34" spans="1:25" ht="25.5" customHeight="1" x14ac:dyDescent="0.25">
      <c r="A34" s="456"/>
      <c r="B34" s="460"/>
      <c r="C34" s="461"/>
      <c r="D34" s="25" t="s">
        <v>200</v>
      </c>
      <c r="E34" s="25" t="s">
        <v>282</v>
      </c>
      <c r="F34" s="25" t="s">
        <v>300</v>
      </c>
      <c r="G34" s="25" t="s">
        <v>288</v>
      </c>
      <c r="H34" s="159">
        <v>486.3</v>
      </c>
      <c r="I34" s="159">
        <v>496.9</v>
      </c>
      <c r="J34" s="159"/>
      <c r="K34" s="159">
        <v>0</v>
      </c>
      <c r="L34" s="159"/>
      <c r="M34" s="159">
        <v>0</v>
      </c>
      <c r="N34" s="159">
        <v>0</v>
      </c>
      <c r="O34" s="159">
        <v>0</v>
      </c>
      <c r="P34" s="154">
        <v>0</v>
      </c>
      <c r="Q34" s="154">
        <f>P34</f>
        <v>0</v>
      </c>
      <c r="R34" s="154">
        <f t="shared" si="1"/>
        <v>0</v>
      </c>
      <c r="S34" s="153">
        <f t="shared" si="1"/>
        <v>0</v>
      </c>
      <c r="T34" s="153">
        <f t="shared" si="1"/>
        <v>0</v>
      </c>
      <c r="U34" s="153">
        <f t="shared" si="1"/>
        <v>0</v>
      </c>
      <c r="V34" s="153">
        <f t="shared" si="2"/>
        <v>983.2</v>
      </c>
      <c r="W34" s="391"/>
    </row>
    <row r="35" spans="1:25" ht="25.5" customHeight="1" x14ac:dyDescent="0.25">
      <c r="A35" s="456"/>
      <c r="B35" s="460"/>
      <c r="C35" s="461"/>
      <c r="D35" s="25" t="s">
        <v>200</v>
      </c>
      <c r="E35" s="25" t="s">
        <v>282</v>
      </c>
      <c r="F35" s="25" t="s">
        <v>301</v>
      </c>
      <c r="G35" s="25" t="s">
        <v>284</v>
      </c>
      <c r="H35" s="159"/>
      <c r="I35" s="159"/>
      <c r="J35" s="159">
        <v>32757.9</v>
      </c>
      <c r="K35" s="159">
        <v>35111</v>
      </c>
      <c r="L35" s="159">
        <v>38950.400000000001</v>
      </c>
      <c r="M35" s="159">
        <v>42346.400000000001</v>
      </c>
      <c r="N35" s="159">
        <v>44829</v>
      </c>
      <c r="O35" s="159">
        <v>46553.8</v>
      </c>
      <c r="P35" s="160">
        <v>53140.4</v>
      </c>
      <c r="Q35" s="154">
        <v>49938</v>
      </c>
      <c r="R35" s="154">
        <v>55310.6</v>
      </c>
      <c r="S35" s="153">
        <v>60431</v>
      </c>
      <c r="T35" s="153">
        <v>55001.3</v>
      </c>
      <c r="U35" s="153">
        <v>55001.3</v>
      </c>
      <c r="V35" s="153">
        <v>569371.1</v>
      </c>
      <c r="W35" s="391"/>
    </row>
    <row r="36" spans="1:25" ht="25.5" customHeight="1" x14ac:dyDescent="0.25">
      <c r="A36" s="456"/>
      <c r="B36" s="460"/>
      <c r="C36" s="461"/>
      <c r="D36" s="25" t="s">
        <v>200</v>
      </c>
      <c r="E36" s="25" t="s">
        <v>282</v>
      </c>
      <c r="F36" s="25" t="s">
        <v>301</v>
      </c>
      <c r="G36" s="25" t="s">
        <v>286</v>
      </c>
      <c r="H36" s="159"/>
      <c r="I36" s="159"/>
      <c r="J36" s="159">
        <v>762.6</v>
      </c>
      <c r="K36" s="159">
        <v>412</v>
      </c>
      <c r="L36" s="159">
        <v>357</v>
      </c>
      <c r="M36" s="159">
        <v>290</v>
      </c>
      <c r="N36" s="159">
        <v>0</v>
      </c>
      <c r="O36" s="159">
        <v>0</v>
      </c>
      <c r="P36" s="154">
        <v>0</v>
      </c>
      <c r="Q36" s="154">
        <f>P36</f>
        <v>0</v>
      </c>
      <c r="R36" s="154">
        <f t="shared" si="1"/>
        <v>0</v>
      </c>
      <c r="S36" s="153">
        <f t="shared" si="1"/>
        <v>0</v>
      </c>
      <c r="T36" s="153">
        <f t="shared" si="1"/>
        <v>0</v>
      </c>
      <c r="U36" s="153">
        <f t="shared" si="1"/>
        <v>0</v>
      </c>
      <c r="V36" s="153">
        <f t="shared" si="2"/>
        <v>1821.6</v>
      </c>
      <c r="W36" s="391"/>
    </row>
    <row r="37" spans="1:25" ht="25.5" customHeight="1" x14ac:dyDescent="0.25">
      <c r="A37" s="456"/>
      <c r="B37" s="460"/>
      <c r="C37" s="461"/>
      <c r="D37" s="25" t="s">
        <v>200</v>
      </c>
      <c r="E37" s="25" t="s">
        <v>282</v>
      </c>
      <c r="F37" s="25" t="s">
        <v>301</v>
      </c>
      <c r="G37" s="25" t="s">
        <v>287</v>
      </c>
      <c r="H37" s="159"/>
      <c r="I37" s="159"/>
      <c r="J37" s="159">
        <v>4635</v>
      </c>
      <c r="K37" s="159">
        <v>4958.6000000000004</v>
      </c>
      <c r="L37" s="159">
        <v>5314.3</v>
      </c>
      <c r="M37" s="159">
        <v>6772.5</v>
      </c>
      <c r="N37" s="159">
        <v>6990.4</v>
      </c>
      <c r="O37" s="159">
        <v>7601.9</v>
      </c>
      <c r="P37" s="160">
        <f>8632.4+252+214.4+8.8</f>
        <v>9107.5999999999985</v>
      </c>
      <c r="Q37" s="154">
        <v>8379.2999999999993</v>
      </c>
      <c r="R37" s="154">
        <v>9446.4</v>
      </c>
      <c r="S37" s="153">
        <v>10602</v>
      </c>
      <c r="T37" s="153">
        <v>9763.5</v>
      </c>
      <c r="U37" s="153">
        <v>9763.5</v>
      </c>
      <c r="V37" s="153">
        <v>93335</v>
      </c>
      <c r="W37" s="391"/>
    </row>
    <row r="38" spans="1:25" ht="25.5" customHeight="1" x14ac:dyDescent="0.25">
      <c r="A38" s="456"/>
      <c r="B38" s="460"/>
      <c r="C38" s="461"/>
      <c r="D38" s="25" t="s">
        <v>200</v>
      </c>
      <c r="E38" s="25" t="s">
        <v>282</v>
      </c>
      <c r="F38" s="25" t="s">
        <v>301</v>
      </c>
      <c r="G38" s="25" t="s">
        <v>289</v>
      </c>
      <c r="H38" s="159"/>
      <c r="I38" s="159"/>
      <c r="J38" s="159"/>
      <c r="K38" s="159"/>
      <c r="L38" s="159"/>
      <c r="M38" s="159"/>
      <c r="N38" s="159"/>
      <c r="O38" s="159"/>
      <c r="P38" s="160">
        <v>874.2</v>
      </c>
      <c r="Q38" s="154">
        <v>0</v>
      </c>
      <c r="R38" s="153">
        <v>0</v>
      </c>
      <c r="S38" s="153">
        <f t="shared" si="1"/>
        <v>0</v>
      </c>
      <c r="T38" s="153">
        <f t="shared" si="1"/>
        <v>0</v>
      </c>
      <c r="U38" s="153">
        <f t="shared" si="1"/>
        <v>0</v>
      </c>
      <c r="V38" s="153">
        <f t="shared" si="2"/>
        <v>874.2</v>
      </c>
      <c r="W38" s="391"/>
    </row>
    <row r="39" spans="1:25" ht="25.5" customHeight="1" x14ac:dyDescent="0.25">
      <c r="A39" s="456"/>
      <c r="B39" s="460"/>
      <c r="C39" s="461"/>
      <c r="D39" s="25" t="s">
        <v>200</v>
      </c>
      <c r="E39" s="25" t="s">
        <v>282</v>
      </c>
      <c r="F39" s="25" t="s">
        <v>301</v>
      </c>
      <c r="G39" s="25" t="s">
        <v>288</v>
      </c>
      <c r="H39" s="159"/>
      <c r="I39" s="159"/>
      <c r="J39" s="159">
        <v>89.5</v>
      </c>
      <c r="K39" s="159">
        <v>0</v>
      </c>
      <c r="L39" s="159"/>
      <c r="M39" s="159"/>
      <c r="N39" s="159"/>
      <c r="O39" s="159"/>
      <c r="P39" s="154">
        <f t="shared" ref="P39:Q41" si="3">O39</f>
        <v>0</v>
      </c>
      <c r="Q39" s="154">
        <f t="shared" si="3"/>
        <v>0</v>
      </c>
      <c r="R39" s="153">
        <f t="shared" si="1"/>
        <v>0</v>
      </c>
      <c r="S39" s="153">
        <f t="shared" si="1"/>
        <v>0</v>
      </c>
      <c r="T39" s="153">
        <f t="shared" si="1"/>
        <v>0</v>
      </c>
      <c r="U39" s="153">
        <f t="shared" si="1"/>
        <v>0</v>
      </c>
      <c r="V39" s="153">
        <f t="shared" si="2"/>
        <v>89.5</v>
      </c>
      <c r="W39" s="391"/>
    </row>
    <row r="40" spans="1:25" ht="25.5" customHeight="1" x14ac:dyDescent="0.25">
      <c r="A40" s="456"/>
      <c r="B40" s="460"/>
      <c r="C40" s="461"/>
      <c r="D40" s="25" t="s">
        <v>200</v>
      </c>
      <c r="E40" s="25" t="s">
        <v>282</v>
      </c>
      <c r="F40" s="25" t="s">
        <v>302</v>
      </c>
      <c r="G40" s="25" t="s">
        <v>287</v>
      </c>
      <c r="H40" s="159"/>
      <c r="I40" s="159"/>
      <c r="J40" s="159"/>
      <c r="K40" s="159"/>
      <c r="L40" s="159">
        <v>102.6</v>
      </c>
      <c r="M40" s="159">
        <v>46.4</v>
      </c>
      <c r="N40" s="159">
        <v>436.4</v>
      </c>
      <c r="O40" s="159">
        <v>0</v>
      </c>
      <c r="P40" s="154">
        <f t="shared" si="3"/>
        <v>0</v>
      </c>
      <c r="Q40" s="154">
        <f t="shared" si="3"/>
        <v>0</v>
      </c>
      <c r="R40" s="153">
        <f t="shared" si="1"/>
        <v>0</v>
      </c>
      <c r="S40" s="153">
        <f t="shared" si="1"/>
        <v>0</v>
      </c>
      <c r="T40" s="153">
        <f t="shared" si="1"/>
        <v>0</v>
      </c>
      <c r="U40" s="153">
        <f t="shared" si="1"/>
        <v>0</v>
      </c>
      <c r="V40" s="153">
        <f t="shared" si="2"/>
        <v>585.4</v>
      </c>
      <c r="W40" s="391"/>
    </row>
    <row r="41" spans="1:25" ht="25.5" customHeight="1" x14ac:dyDescent="0.25">
      <c r="A41" s="456"/>
      <c r="B41" s="460"/>
      <c r="C41" s="461"/>
      <c r="D41" s="25" t="s">
        <v>200</v>
      </c>
      <c r="E41" s="25" t="s">
        <v>282</v>
      </c>
      <c r="F41" s="25" t="s">
        <v>303</v>
      </c>
      <c r="G41" s="25" t="s">
        <v>284</v>
      </c>
      <c r="H41" s="159"/>
      <c r="I41" s="159"/>
      <c r="J41" s="159"/>
      <c r="K41" s="159"/>
      <c r="L41" s="159">
        <v>613.20000000000005</v>
      </c>
      <c r="M41" s="159">
        <v>283</v>
      </c>
      <c r="N41" s="159">
        <f>2616.6+1168.6</f>
        <v>3785.2</v>
      </c>
      <c r="O41" s="159">
        <v>0</v>
      </c>
      <c r="P41" s="154">
        <f t="shared" si="3"/>
        <v>0</v>
      </c>
      <c r="Q41" s="153">
        <f t="shared" si="3"/>
        <v>0</v>
      </c>
      <c r="R41" s="153">
        <f t="shared" si="1"/>
        <v>0</v>
      </c>
      <c r="S41" s="153">
        <f t="shared" si="1"/>
        <v>0</v>
      </c>
      <c r="T41" s="153">
        <f t="shared" si="1"/>
        <v>0</v>
      </c>
      <c r="U41" s="153">
        <f t="shared" si="1"/>
        <v>0</v>
      </c>
      <c r="V41" s="153">
        <f t="shared" si="2"/>
        <v>4681.3999999999996</v>
      </c>
      <c r="W41" s="391"/>
    </row>
    <row r="42" spans="1:25" ht="34.9" customHeight="1" x14ac:dyDescent="0.25">
      <c r="A42" s="456"/>
      <c r="B42" s="460"/>
      <c r="C42" s="461"/>
      <c r="D42" s="25" t="s">
        <v>200</v>
      </c>
      <c r="E42" s="25" t="s">
        <v>282</v>
      </c>
      <c r="F42" s="25" t="s">
        <v>304</v>
      </c>
      <c r="G42" s="25" t="s">
        <v>284</v>
      </c>
      <c r="H42" s="159"/>
      <c r="I42" s="159"/>
      <c r="J42" s="159"/>
      <c r="K42" s="159"/>
      <c r="L42" s="159"/>
      <c r="M42" s="159"/>
      <c r="N42" s="159">
        <v>145.4</v>
      </c>
      <c r="O42" s="159"/>
      <c r="P42" s="154">
        <f>3039+50.4</f>
        <v>3089.4</v>
      </c>
      <c r="Q42" s="153"/>
      <c r="R42" s="153">
        <f t="shared" si="1"/>
        <v>0</v>
      </c>
      <c r="S42" s="153">
        <f t="shared" si="1"/>
        <v>0</v>
      </c>
      <c r="T42" s="153">
        <f t="shared" si="1"/>
        <v>0</v>
      </c>
      <c r="U42" s="153">
        <f t="shared" si="1"/>
        <v>0</v>
      </c>
      <c r="V42" s="153">
        <f t="shared" si="2"/>
        <v>3234.8</v>
      </c>
      <c r="W42" s="391"/>
    </row>
    <row r="43" spans="1:25" ht="34.9" customHeight="1" x14ac:dyDescent="0.25">
      <c r="A43" s="456"/>
      <c r="B43" s="460"/>
      <c r="C43" s="461"/>
      <c r="D43" s="25" t="s">
        <v>200</v>
      </c>
      <c r="E43" s="25" t="s">
        <v>282</v>
      </c>
      <c r="F43" s="25" t="s">
        <v>304</v>
      </c>
      <c r="G43" s="25" t="s">
        <v>287</v>
      </c>
      <c r="H43" s="159"/>
      <c r="I43" s="159"/>
      <c r="J43" s="159"/>
      <c r="K43" s="159"/>
      <c r="L43" s="159"/>
      <c r="M43" s="159"/>
      <c r="N43" s="159">
        <v>22.2</v>
      </c>
      <c r="O43" s="159"/>
      <c r="P43" s="154">
        <f>506.5-50.4</f>
        <v>456.1</v>
      </c>
      <c r="Q43" s="153"/>
      <c r="R43" s="153">
        <f t="shared" si="1"/>
        <v>0</v>
      </c>
      <c r="S43" s="153">
        <f t="shared" si="1"/>
        <v>0</v>
      </c>
      <c r="T43" s="153">
        <f t="shared" si="1"/>
        <v>0</v>
      </c>
      <c r="U43" s="153">
        <f t="shared" si="1"/>
        <v>0</v>
      </c>
      <c r="V43" s="153">
        <f t="shared" si="2"/>
        <v>478.3</v>
      </c>
      <c r="W43" s="391"/>
    </row>
    <row r="44" spans="1:25" ht="25.5" customHeight="1" x14ac:dyDescent="0.25">
      <c r="A44" s="456"/>
      <c r="B44" s="460"/>
      <c r="C44" s="461"/>
      <c r="D44" s="25" t="s">
        <v>200</v>
      </c>
      <c r="E44" s="25" t="s">
        <v>282</v>
      </c>
      <c r="F44" s="25" t="s">
        <v>305</v>
      </c>
      <c r="G44" s="25" t="s">
        <v>286</v>
      </c>
      <c r="H44" s="159"/>
      <c r="I44" s="159"/>
      <c r="J44" s="159"/>
      <c r="K44" s="159"/>
      <c r="L44" s="159"/>
      <c r="M44" s="159"/>
      <c r="N44" s="159"/>
      <c r="O44" s="159"/>
      <c r="P44" s="154">
        <f>7500-1124.7</f>
        <v>6375.3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f t="shared" si="2"/>
        <v>6375.3</v>
      </c>
      <c r="W44" s="391"/>
    </row>
    <row r="45" spans="1:25" ht="25.5" customHeight="1" x14ac:dyDescent="0.25">
      <c r="A45" s="456"/>
      <c r="B45" s="460"/>
      <c r="C45" s="461"/>
      <c r="D45" s="25" t="s">
        <v>200</v>
      </c>
      <c r="E45" s="25" t="s">
        <v>282</v>
      </c>
      <c r="F45" s="25" t="s">
        <v>306</v>
      </c>
      <c r="G45" s="25" t="s">
        <v>286</v>
      </c>
      <c r="H45" s="159"/>
      <c r="I45" s="159"/>
      <c r="J45" s="159"/>
      <c r="K45" s="159">
        <v>99</v>
      </c>
      <c r="L45" s="159"/>
      <c r="M45" s="159"/>
      <c r="N45" s="159"/>
      <c r="O45" s="159">
        <v>1271.2</v>
      </c>
      <c r="P45" s="154">
        <v>0</v>
      </c>
      <c r="Q45" s="153">
        <v>0</v>
      </c>
      <c r="R45" s="153">
        <f t="shared" si="1"/>
        <v>0</v>
      </c>
      <c r="S45" s="153">
        <f t="shared" si="1"/>
        <v>0</v>
      </c>
      <c r="T45" s="153">
        <f t="shared" si="1"/>
        <v>0</v>
      </c>
      <c r="U45" s="153">
        <f t="shared" si="1"/>
        <v>0</v>
      </c>
      <c r="V45" s="153">
        <f t="shared" si="2"/>
        <v>1370.2</v>
      </c>
      <c r="W45" s="391"/>
    </row>
    <row r="46" spans="1:25" ht="25.5" customHeight="1" x14ac:dyDescent="0.25">
      <c r="A46" s="456"/>
      <c r="B46" s="460"/>
      <c r="C46" s="461"/>
      <c r="D46" s="25" t="s">
        <v>200</v>
      </c>
      <c r="E46" s="25" t="s">
        <v>282</v>
      </c>
      <c r="F46" s="25" t="s">
        <v>307</v>
      </c>
      <c r="G46" s="25" t="s">
        <v>284</v>
      </c>
      <c r="H46" s="159">
        <v>181.4</v>
      </c>
      <c r="I46" s="159"/>
      <c r="J46" s="159"/>
      <c r="K46" s="159"/>
      <c r="L46" s="159"/>
      <c r="M46" s="159"/>
      <c r="N46" s="159"/>
      <c r="O46" s="159"/>
      <c r="P46" s="154">
        <f>O46</f>
        <v>0</v>
      </c>
      <c r="Q46" s="153">
        <f>P46</f>
        <v>0</v>
      </c>
      <c r="R46" s="153">
        <f t="shared" si="1"/>
        <v>0</v>
      </c>
      <c r="S46" s="153">
        <f t="shared" si="1"/>
        <v>0</v>
      </c>
      <c r="T46" s="153">
        <f t="shared" si="1"/>
        <v>0</v>
      </c>
      <c r="U46" s="153">
        <f t="shared" si="1"/>
        <v>0</v>
      </c>
      <c r="V46" s="153">
        <f t="shared" si="2"/>
        <v>181.4</v>
      </c>
      <c r="W46" s="391"/>
    </row>
    <row r="47" spans="1:25" ht="25.5" customHeight="1" x14ac:dyDescent="0.25">
      <c r="A47" s="456"/>
      <c r="B47" s="455"/>
      <c r="C47" s="462"/>
      <c r="D47" s="25" t="s">
        <v>200</v>
      </c>
      <c r="E47" s="25" t="s">
        <v>282</v>
      </c>
      <c r="F47" s="25" t="s">
        <v>307</v>
      </c>
      <c r="G47" s="25" t="s">
        <v>287</v>
      </c>
      <c r="H47" s="159">
        <v>35.299999999999997</v>
      </c>
      <c r="I47" s="159"/>
      <c r="J47" s="159"/>
      <c r="K47" s="159"/>
      <c r="L47" s="159"/>
      <c r="M47" s="159"/>
      <c r="N47" s="159"/>
      <c r="O47" s="159"/>
      <c r="P47" s="154">
        <f>O47</f>
        <v>0</v>
      </c>
      <c r="Q47" s="153">
        <f>P47</f>
        <v>0</v>
      </c>
      <c r="R47" s="153">
        <f t="shared" si="1"/>
        <v>0</v>
      </c>
      <c r="S47" s="153">
        <f t="shared" si="1"/>
        <v>0</v>
      </c>
      <c r="T47" s="153">
        <f t="shared" si="1"/>
        <v>0</v>
      </c>
      <c r="U47" s="153">
        <f t="shared" si="1"/>
        <v>0</v>
      </c>
      <c r="V47" s="153">
        <f t="shared" si="2"/>
        <v>35.299999999999997</v>
      </c>
      <c r="W47" s="391"/>
    </row>
    <row r="48" spans="1:25" ht="52.5" customHeight="1" x14ac:dyDescent="0.25">
      <c r="A48" s="448"/>
      <c r="B48" s="161" t="s">
        <v>308</v>
      </c>
      <c r="C48" s="10" t="s">
        <v>281</v>
      </c>
      <c r="D48" s="25" t="s">
        <v>200</v>
      </c>
      <c r="E48" s="25" t="s">
        <v>282</v>
      </c>
      <c r="F48" s="25" t="s">
        <v>197</v>
      </c>
      <c r="G48" s="25" t="s">
        <v>197</v>
      </c>
      <c r="H48" s="159">
        <v>13162.3</v>
      </c>
      <c r="I48" s="159">
        <v>12443.8</v>
      </c>
      <c r="J48" s="159">
        <v>16587.599999999999</v>
      </c>
      <c r="K48" s="159">
        <v>19415.5</v>
      </c>
      <c r="L48" s="159">
        <v>21251.4</v>
      </c>
      <c r="M48" s="159">
        <v>20373.5</v>
      </c>
      <c r="N48" s="159">
        <v>15029.6</v>
      </c>
      <c r="O48" s="159">
        <v>20174.3</v>
      </c>
      <c r="P48" s="160">
        <v>19445.599999999999</v>
      </c>
      <c r="Q48" s="154">
        <v>20408.8</v>
      </c>
      <c r="R48" s="153">
        <v>22151.7</v>
      </c>
      <c r="S48" s="153">
        <v>20712.3</v>
      </c>
      <c r="T48" s="153">
        <v>21217.5</v>
      </c>
      <c r="U48" s="153">
        <v>21217.5</v>
      </c>
      <c r="V48" s="153">
        <v>263591.40000000002</v>
      </c>
      <c r="W48" s="406"/>
    </row>
    <row r="49" spans="1:27" ht="25.5" customHeight="1" x14ac:dyDescent="0.25">
      <c r="A49" s="449" t="s">
        <v>40</v>
      </c>
      <c r="B49" s="454" t="s">
        <v>309</v>
      </c>
      <c r="C49" s="390" t="s">
        <v>281</v>
      </c>
      <c r="D49" s="25" t="s">
        <v>200</v>
      </c>
      <c r="E49" s="25" t="s">
        <v>282</v>
      </c>
      <c r="F49" s="25" t="s">
        <v>310</v>
      </c>
      <c r="G49" s="25" t="s">
        <v>286</v>
      </c>
      <c r="H49" s="159">
        <v>2036.1</v>
      </c>
      <c r="I49" s="159"/>
      <c r="J49" s="159"/>
      <c r="K49" s="159"/>
      <c r="L49" s="159"/>
      <c r="M49" s="159"/>
      <c r="N49" s="159"/>
      <c r="O49" s="159"/>
      <c r="P49" s="154">
        <f>O49</f>
        <v>0</v>
      </c>
      <c r="Q49" s="153">
        <f>P49</f>
        <v>0</v>
      </c>
      <c r="R49" s="153">
        <f t="shared" si="1"/>
        <v>0</v>
      </c>
      <c r="S49" s="153">
        <f t="shared" si="1"/>
        <v>0</v>
      </c>
      <c r="T49" s="153">
        <f t="shared" si="1"/>
        <v>0</v>
      </c>
      <c r="U49" s="153">
        <f t="shared" si="1"/>
        <v>0</v>
      </c>
      <c r="V49" s="153">
        <f t="shared" si="2"/>
        <v>2036.1</v>
      </c>
      <c r="W49" s="392"/>
    </row>
    <row r="50" spans="1:27" ht="25.5" customHeight="1" x14ac:dyDescent="0.25">
      <c r="A50" s="453"/>
      <c r="B50" s="455"/>
      <c r="C50" s="406"/>
      <c r="D50" s="25" t="s">
        <v>200</v>
      </c>
      <c r="E50" s="25" t="s">
        <v>282</v>
      </c>
      <c r="F50" s="25" t="s">
        <v>311</v>
      </c>
      <c r="G50" s="25" t="s">
        <v>286</v>
      </c>
      <c r="H50" s="159">
        <v>511.1</v>
      </c>
      <c r="I50" s="159"/>
      <c r="J50" s="159"/>
      <c r="K50" s="159"/>
      <c r="L50" s="159"/>
      <c r="M50" s="159"/>
      <c r="N50" s="159"/>
      <c r="O50" s="159"/>
      <c r="P50" s="154">
        <f>O50</f>
        <v>0</v>
      </c>
      <c r="Q50" s="153">
        <f>P50</f>
        <v>0</v>
      </c>
      <c r="R50" s="153">
        <f t="shared" si="1"/>
        <v>0</v>
      </c>
      <c r="S50" s="153">
        <f t="shared" si="1"/>
        <v>0</v>
      </c>
      <c r="T50" s="153">
        <f t="shared" si="1"/>
        <v>0</v>
      </c>
      <c r="U50" s="153">
        <f t="shared" si="1"/>
        <v>0</v>
      </c>
      <c r="V50" s="153">
        <f t="shared" si="2"/>
        <v>511.1</v>
      </c>
      <c r="W50" s="393"/>
    </row>
    <row r="51" spans="1:27" ht="25.5" customHeight="1" x14ac:dyDescent="0.25">
      <c r="A51" s="453"/>
      <c r="B51" s="454" t="s">
        <v>312</v>
      </c>
      <c r="C51" s="390" t="s">
        <v>281</v>
      </c>
      <c r="D51" s="25" t="s">
        <v>200</v>
      </c>
      <c r="E51" s="25" t="s">
        <v>282</v>
      </c>
      <c r="F51" s="25" t="s">
        <v>313</v>
      </c>
      <c r="G51" s="25" t="s">
        <v>284</v>
      </c>
      <c r="H51" s="159"/>
      <c r="I51" s="159"/>
      <c r="J51" s="159"/>
      <c r="K51" s="159"/>
      <c r="L51" s="159"/>
      <c r="M51" s="159"/>
      <c r="N51" s="159">
        <v>257.3</v>
      </c>
      <c r="O51" s="159"/>
      <c r="P51" s="154"/>
      <c r="Q51" s="153"/>
      <c r="R51" s="153">
        <f t="shared" si="1"/>
        <v>0</v>
      </c>
      <c r="S51" s="153">
        <f t="shared" si="1"/>
        <v>0</v>
      </c>
      <c r="T51" s="153">
        <f t="shared" si="1"/>
        <v>0</v>
      </c>
      <c r="U51" s="153">
        <f t="shared" si="1"/>
        <v>0</v>
      </c>
      <c r="V51" s="153">
        <f t="shared" si="2"/>
        <v>257.3</v>
      </c>
      <c r="W51" s="393"/>
    </row>
    <row r="52" spans="1:27" ht="25.5" customHeight="1" x14ac:dyDescent="0.25">
      <c r="A52" s="453"/>
      <c r="B52" s="455"/>
      <c r="C52" s="391"/>
      <c r="D52" s="25" t="s">
        <v>200</v>
      </c>
      <c r="E52" s="25" t="s">
        <v>282</v>
      </c>
      <c r="F52" s="25" t="s">
        <v>313</v>
      </c>
      <c r="G52" s="25" t="s">
        <v>286</v>
      </c>
      <c r="H52" s="159"/>
      <c r="I52" s="159"/>
      <c r="J52" s="159"/>
      <c r="K52" s="159"/>
      <c r="L52" s="159"/>
      <c r="M52" s="159"/>
      <c r="N52" s="159">
        <v>2133.4</v>
      </c>
      <c r="O52" s="159"/>
      <c r="P52" s="154"/>
      <c r="Q52" s="153">
        <f>P52</f>
        <v>0</v>
      </c>
      <c r="R52" s="153">
        <f t="shared" si="1"/>
        <v>0</v>
      </c>
      <c r="S52" s="153">
        <f t="shared" si="1"/>
        <v>0</v>
      </c>
      <c r="T52" s="153">
        <f t="shared" si="1"/>
        <v>0</v>
      </c>
      <c r="U52" s="153">
        <f t="shared" si="1"/>
        <v>0</v>
      </c>
      <c r="V52" s="153">
        <f t="shared" si="2"/>
        <v>2133.4</v>
      </c>
      <c r="W52" s="393"/>
    </row>
    <row r="53" spans="1:27" ht="68.25" customHeight="1" x14ac:dyDescent="0.25">
      <c r="A53" s="450"/>
      <c r="B53" s="162" t="s">
        <v>314</v>
      </c>
      <c r="C53" s="406"/>
      <c r="D53" s="25" t="s">
        <v>200</v>
      </c>
      <c r="E53" s="25" t="s">
        <v>282</v>
      </c>
      <c r="F53" s="25" t="s">
        <v>315</v>
      </c>
      <c r="G53" s="25" t="s">
        <v>286</v>
      </c>
      <c r="H53" s="159">
        <v>20.5</v>
      </c>
      <c r="I53" s="159">
        <v>0</v>
      </c>
      <c r="J53" s="159">
        <v>0</v>
      </c>
      <c r="K53" s="159"/>
      <c r="L53" s="159"/>
      <c r="M53" s="159"/>
      <c r="N53" s="159"/>
      <c r="O53" s="159"/>
      <c r="P53" s="154">
        <f>O53</f>
        <v>0</v>
      </c>
      <c r="Q53" s="153">
        <f>P53</f>
        <v>0</v>
      </c>
      <c r="R53" s="153">
        <f t="shared" si="1"/>
        <v>0</v>
      </c>
      <c r="S53" s="153">
        <f t="shared" si="1"/>
        <v>0</v>
      </c>
      <c r="T53" s="153">
        <f t="shared" si="1"/>
        <v>0</v>
      </c>
      <c r="U53" s="153">
        <f t="shared" si="1"/>
        <v>0</v>
      </c>
      <c r="V53" s="153">
        <f t="shared" si="2"/>
        <v>20.5</v>
      </c>
      <c r="W53" s="394"/>
    </row>
    <row r="54" spans="1:27" ht="33.75" customHeight="1" x14ac:dyDescent="0.25">
      <c r="A54" s="449" t="s">
        <v>42</v>
      </c>
      <c r="B54" s="451" t="s">
        <v>316</v>
      </c>
      <c r="C54" s="390" t="s">
        <v>281</v>
      </c>
      <c r="D54" s="25" t="s">
        <v>200</v>
      </c>
      <c r="E54" s="25" t="s">
        <v>282</v>
      </c>
      <c r="F54" s="25" t="s">
        <v>317</v>
      </c>
      <c r="G54" s="25" t="s">
        <v>286</v>
      </c>
      <c r="H54" s="159">
        <v>3.4</v>
      </c>
      <c r="I54" s="159">
        <v>3.4</v>
      </c>
      <c r="J54" s="159"/>
      <c r="K54" s="159"/>
      <c r="L54" s="159"/>
      <c r="M54" s="159"/>
      <c r="N54" s="159"/>
      <c r="O54" s="159"/>
      <c r="P54" s="154">
        <f>O54</f>
        <v>0</v>
      </c>
      <c r="Q54" s="153">
        <f>P54</f>
        <v>0</v>
      </c>
      <c r="R54" s="153">
        <f t="shared" si="1"/>
        <v>0</v>
      </c>
      <c r="S54" s="153">
        <f t="shared" si="1"/>
        <v>0</v>
      </c>
      <c r="T54" s="153">
        <f t="shared" si="1"/>
        <v>0</v>
      </c>
      <c r="U54" s="153">
        <f t="shared" si="1"/>
        <v>0</v>
      </c>
      <c r="V54" s="153">
        <f t="shared" si="2"/>
        <v>6.8</v>
      </c>
      <c r="W54" s="392"/>
    </row>
    <row r="55" spans="1:27" ht="45" customHeight="1" x14ac:dyDescent="0.25">
      <c r="A55" s="450"/>
      <c r="B55" s="452"/>
      <c r="C55" s="406"/>
      <c r="D55" s="163" t="s">
        <v>200</v>
      </c>
      <c r="E55" s="163" t="s">
        <v>282</v>
      </c>
      <c r="F55" s="25" t="s">
        <v>317</v>
      </c>
      <c r="G55" s="25" t="s">
        <v>288</v>
      </c>
      <c r="H55" s="159">
        <v>0.6</v>
      </c>
      <c r="I55" s="159">
        <v>0.6</v>
      </c>
      <c r="J55" s="159"/>
      <c r="K55" s="159"/>
      <c r="L55" s="159"/>
      <c r="M55" s="159"/>
      <c r="N55" s="159"/>
      <c r="O55" s="159"/>
      <c r="P55" s="154">
        <f>O55</f>
        <v>0</v>
      </c>
      <c r="Q55" s="153">
        <f>P55</f>
        <v>0</v>
      </c>
      <c r="R55" s="153">
        <f t="shared" si="1"/>
        <v>0</v>
      </c>
      <c r="S55" s="153">
        <f t="shared" si="1"/>
        <v>0</v>
      </c>
      <c r="T55" s="153">
        <f t="shared" si="1"/>
        <v>0</v>
      </c>
      <c r="U55" s="153">
        <f t="shared" si="1"/>
        <v>0</v>
      </c>
      <c r="V55" s="153">
        <f t="shared" si="2"/>
        <v>1.2</v>
      </c>
      <c r="W55" s="394"/>
    </row>
    <row r="56" spans="1:27" ht="38.25" customHeight="1" x14ac:dyDescent="0.25">
      <c r="A56" s="440" t="s">
        <v>45</v>
      </c>
      <c r="B56" s="390" t="s">
        <v>318</v>
      </c>
      <c r="C56" s="390" t="s">
        <v>281</v>
      </c>
      <c r="D56" s="163" t="s">
        <v>200</v>
      </c>
      <c r="E56" s="163" t="s">
        <v>319</v>
      </c>
      <c r="F56" s="25" t="s">
        <v>320</v>
      </c>
      <c r="G56" s="25" t="s">
        <v>321</v>
      </c>
      <c r="H56" s="159">
        <v>2490.8000000000002</v>
      </c>
      <c r="I56" s="159">
        <v>2975.5</v>
      </c>
      <c r="J56" s="159">
        <v>5157.1000000000004</v>
      </c>
      <c r="K56" s="159">
        <v>3953.2</v>
      </c>
      <c r="L56" s="159">
        <f>3232.2-682.5</f>
        <v>2549.6999999999998</v>
      </c>
      <c r="M56" s="159">
        <v>3541.5</v>
      </c>
      <c r="N56" s="159">
        <v>1724.1</v>
      </c>
      <c r="O56" s="159">
        <v>1824</v>
      </c>
      <c r="P56" s="160">
        <v>1920.7</v>
      </c>
      <c r="Q56" s="153">
        <v>1699.5</v>
      </c>
      <c r="R56" s="153">
        <v>1694.1</v>
      </c>
      <c r="S56" s="153">
        <v>2026.9</v>
      </c>
      <c r="T56" s="153">
        <v>2026.9</v>
      </c>
      <c r="U56" s="153">
        <v>2026.9</v>
      </c>
      <c r="V56" s="153">
        <v>35610.9</v>
      </c>
      <c r="W56" s="392"/>
    </row>
    <row r="57" spans="1:27" ht="42" customHeight="1" x14ac:dyDescent="0.25">
      <c r="A57" s="444"/>
      <c r="B57" s="391"/>
      <c r="C57" s="391"/>
      <c r="D57" s="163" t="s">
        <v>200</v>
      </c>
      <c r="E57" s="163" t="s">
        <v>319</v>
      </c>
      <c r="F57" s="25" t="s">
        <v>320</v>
      </c>
      <c r="G57" s="25" t="s">
        <v>322</v>
      </c>
      <c r="H57" s="159">
        <v>27</v>
      </c>
      <c r="I57" s="159"/>
      <c r="J57" s="159"/>
      <c r="K57" s="159"/>
      <c r="L57" s="159"/>
      <c r="M57" s="159"/>
      <c r="N57" s="159"/>
      <c r="O57" s="159"/>
      <c r="P57" s="154">
        <f>O57</f>
        <v>0</v>
      </c>
      <c r="Q57" s="153">
        <f>P57</f>
        <v>0</v>
      </c>
      <c r="R57" s="153">
        <f t="shared" si="1"/>
        <v>0</v>
      </c>
      <c r="S57" s="153">
        <f t="shared" si="1"/>
        <v>0</v>
      </c>
      <c r="T57" s="153">
        <f t="shared" si="1"/>
        <v>0</v>
      </c>
      <c r="U57" s="153">
        <f t="shared" si="1"/>
        <v>0</v>
      </c>
      <c r="V57" s="153">
        <f t="shared" si="2"/>
        <v>27</v>
      </c>
      <c r="W57" s="394"/>
    </row>
    <row r="58" spans="1:27" ht="42" customHeight="1" x14ac:dyDescent="0.25">
      <c r="A58" s="441"/>
      <c r="B58" s="406"/>
      <c r="C58" s="406"/>
      <c r="D58" s="163" t="s">
        <v>200</v>
      </c>
      <c r="E58" s="163" t="s">
        <v>319</v>
      </c>
      <c r="F58" s="25" t="s">
        <v>323</v>
      </c>
      <c r="G58" s="25" t="s">
        <v>321</v>
      </c>
      <c r="H58" s="159">
        <v>0</v>
      </c>
      <c r="I58" s="159"/>
      <c r="J58" s="159"/>
      <c r="K58" s="159"/>
      <c r="L58" s="159"/>
      <c r="M58" s="159"/>
      <c r="N58" s="159"/>
      <c r="O58" s="159"/>
      <c r="P58" s="154">
        <v>0</v>
      </c>
      <c r="Q58" s="153">
        <v>0</v>
      </c>
      <c r="R58" s="153">
        <v>0</v>
      </c>
      <c r="S58" s="153">
        <f>R58</f>
        <v>0</v>
      </c>
      <c r="T58" s="153">
        <f>S58</f>
        <v>0</v>
      </c>
      <c r="U58" s="153">
        <f>T58</f>
        <v>0</v>
      </c>
      <c r="V58" s="153">
        <f t="shared" si="2"/>
        <v>0</v>
      </c>
      <c r="W58" s="330"/>
    </row>
    <row r="59" spans="1:27" ht="25.5" customHeight="1" x14ac:dyDescent="0.25">
      <c r="A59" s="440" t="s">
        <v>324</v>
      </c>
      <c r="B59" s="390" t="s">
        <v>325</v>
      </c>
      <c r="C59" s="390" t="s">
        <v>281</v>
      </c>
      <c r="D59" s="25" t="s">
        <v>200</v>
      </c>
      <c r="E59" s="163" t="s">
        <v>282</v>
      </c>
      <c r="F59" s="163" t="s">
        <v>326</v>
      </c>
      <c r="G59" s="25" t="s">
        <v>286</v>
      </c>
      <c r="H59" s="159">
        <v>274.89999999999998</v>
      </c>
      <c r="I59" s="159">
        <v>279.10000000000002</v>
      </c>
      <c r="J59" s="159">
        <v>474.8</v>
      </c>
      <c r="K59" s="159">
        <v>380</v>
      </c>
      <c r="L59" s="159">
        <v>522.29999999999995</v>
      </c>
      <c r="M59" s="159">
        <v>301.3</v>
      </c>
      <c r="N59" s="159">
        <v>218.9</v>
      </c>
      <c r="O59" s="159">
        <v>376.1</v>
      </c>
      <c r="P59" s="160">
        <v>371.5</v>
      </c>
      <c r="Q59" s="153">
        <v>666</v>
      </c>
      <c r="R59" s="153">
        <v>603.29999999999995</v>
      </c>
      <c r="S59" s="153">
        <v>809.1</v>
      </c>
      <c r="T59" s="153">
        <v>809.1</v>
      </c>
      <c r="U59" s="153">
        <v>809.1</v>
      </c>
      <c r="V59" s="153">
        <v>6895.5</v>
      </c>
      <c r="W59" s="390"/>
      <c r="Y59" s="156">
        <f>S59+S60+S61</f>
        <v>976.5</v>
      </c>
    </row>
    <row r="60" spans="1:27" ht="25.5" customHeight="1" x14ac:dyDescent="0.25">
      <c r="A60" s="444"/>
      <c r="B60" s="391"/>
      <c r="C60" s="391"/>
      <c r="D60" s="25" t="s">
        <v>200</v>
      </c>
      <c r="E60" s="163" t="s">
        <v>282</v>
      </c>
      <c r="F60" s="163" t="s">
        <v>326</v>
      </c>
      <c r="G60" s="25" t="s">
        <v>288</v>
      </c>
      <c r="H60" s="159">
        <v>19</v>
      </c>
      <c r="I60" s="159">
        <v>25.1</v>
      </c>
      <c r="J60" s="159">
        <v>36.799999999999997</v>
      </c>
      <c r="K60" s="159">
        <v>52.6</v>
      </c>
      <c r="L60" s="159">
        <v>76.7</v>
      </c>
      <c r="M60" s="159">
        <v>19.2</v>
      </c>
      <c r="N60" s="159">
        <v>87</v>
      </c>
      <c r="O60" s="159">
        <v>55.4</v>
      </c>
      <c r="P60" s="160">
        <v>42.4</v>
      </c>
      <c r="Q60" s="153">
        <v>45.1</v>
      </c>
      <c r="R60" s="153">
        <v>51.8</v>
      </c>
      <c r="S60" s="153">
        <v>27.9</v>
      </c>
      <c r="T60" s="153">
        <v>27.9</v>
      </c>
      <c r="U60" s="153">
        <v>27.9</v>
      </c>
      <c r="V60" s="153">
        <v>594.79999999999995</v>
      </c>
      <c r="W60" s="391"/>
    </row>
    <row r="61" spans="1:27" ht="25.5" customHeight="1" x14ac:dyDescent="0.25">
      <c r="A61" s="444"/>
      <c r="B61" s="391"/>
      <c r="C61" s="391"/>
      <c r="D61" s="25" t="s">
        <v>200</v>
      </c>
      <c r="E61" s="163" t="s">
        <v>282</v>
      </c>
      <c r="F61" s="163" t="s">
        <v>326</v>
      </c>
      <c r="G61" s="25" t="s">
        <v>289</v>
      </c>
      <c r="H61" s="159"/>
      <c r="I61" s="159"/>
      <c r="J61" s="159"/>
      <c r="K61" s="159"/>
      <c r="L61" s="159"/>
      <c r="M61" s="159"/>
      <c r="N61" s="159"/>
      <c r="O61" s="159"/>
      <c r="P61" s="160">
        <v>0.3</v>
      </c>
      <c r="Q61" s="153">
        <v>0</v>
      </c>
      <c r="R61" s="153">
        <v>0</v>
      </c>
      <c r="S61" s="153">
        <v>139.5</v>
      </c>
      <c r="T61" s="153">
        <v>139.5</v>
      </c>
      <c r="U61" s="153">
        <v>139.5</v>
      </c>
      <c r="V61" s="153">
        <v>418.8</v>
      </c>
      <c r="W61" s="391"/>
    </row>
    <row r="62" spans="1:27" s="60" customFormat="1" ht="30" customHeight="1" x14ac:dyDescent="0.25">
      <c r="A62" s="444"/>
      <c r="B62" s="391"/>
      <c r="C62" s="391"/>
      <c r="D62" s="157" t="s">
        <v>200</v>
      </c>
      <c r="E62" s="164" t="s">
        <v>282</v>
      </c>
      <c r="F62" s="164" t="s">
        <v>327</v>
      </c>
      <c r="G62" s="157" t="s">
        <v>286</v>
      </c>
      <c r="H62" s="160"/>
      <c r="I62" s="160"/>
      <c r="J62" s="160"/>
      <c r="K62" s="160"/>
      <c r="L62" s="160"/>
      <c r="M62" s="160"/>
      <c r="N62" s="160"/>
      <c r="O62" s="160"/>
      <c r="P62" s="160">
        <v>129</v>
      </c>
      <c r="Q62" s="153">
        <v>319.60000000000002</v>
      </c>
      <c r="R62" s="154">
        <v>179.8</v>
      </c>
      <c r="S62" s="154">
        <v>319.8</v>
      </c>
      <c r="T62" s="154">
        <v>319.8</v>
      </c>
      <c r="U62" s="154">
        <v>319.8</v>
      </c>
      <c r="V62" s="153">
        <v>1587.8</v>
      </c>
      <c r="W62" s="391"/>
      <c r="AA62" s="60" t="s">
        <v>328</v>
      </c>
    </row>
    <row r="63" spans="1:27" s="60" customFormat="1" ht="30" customHeight="1" x14ac:dyDescent="0.25">
      <c r="A63" s="444"/>
      <c r="B63" s="391"/>
      <c r="C63" s="391"/>
      <c r="D63" s="157" t="s">
        <v>200</v>
      </c>
      <c r="E63" s="164" t="s">
        <v>282</v>
      </c>
      <c r="F63" s="164" t="s">
        <v>327</v>
      </c>
      <c r="G63" s="157" t="s">
        <v>288</v>
      </c>
      <c r="H63" s="160"/>
      <c r="I63" s="160"/>
      <c r="J63" s="160"/>
      <c r="K63" s="160"/>
      <c r="L63" s="160"/>
      <c r="M63" s="160"/>
      <c r="N63" s="160"/>
      <c r="O63" s="160"/>
      <c r="P63" s="160">
        <v>11</v>
      </c>
      <c r="Q63" s="153">
        <v>48.5</v>
      </c>
      <c r="R63" s="154">
        <v>30.4</v>
      </c>
      <c r="S63" s="154">
        <v>72</v>
      </c>
      <c r="T63" s="154">
        <v>72</v>
      </c>
      <c r="U63" s="154">
        <v>72</v>
      </c>
      <c r="V63" s="153">
        <v>305.89999999999998</v>
      </c>
      <c r="W63" s="391"/>
      <c r="AA63" s="60" t="s">
        <v>328</v>
      </c>
    </row>
    <row r="64" spans="1:27" s="60" customFormat="1" ht="30" customHeight="1" x14ac:dyDescent="0.25">
      <c r="A64" s="444"/>
      <c r="B64" s="391"/>
      <c r="C64" s="391"/>
      <c r="D64" s="157" t="s">
        <v>200</v>
      </c>
      <c r="E64" s="164" t="s">
        <v>282</v>
      </c>
      <c r="F64" s="164" t="s">
        <v>323</v>
      </c>
      <c r="G64" s="157" t="s">
        <v>286</v>
      </c>
      <c r="H64" s="160"/>
      <c r="I64" s="160"/>
      <c r="J64" s="160"/>
      <c r="K64" s="160"/>
      <c r="L64" s="160"/>
      <c r="M64" s="160"/>
      <c r="N64" s="160"/>
      <c r="O64" s="160"/>
      <c r="P64" s="160">
        <v>8</v>
      </c>
      <c r="Q64" s="154">
        <v>0</v>
      </c>
      <c r="R64" s="154">
        <v>0</v>
      </c>
      <c r="S64" s="154">
        <v>0</v>
      </c>
      <c r="T64" s="154">
        <v>0</v>
      </c>
      <c r="U64" s="154">
        <v>0</v>
      </c>
      <c r="V64" s="153">
        <f t="shared" si="2"/>
        <v>8</v>
      </c>
      <c r="W64" s="391"/>
      <c r="AA64" s="60" t="s">
        <v>329</v>
      </c>
    </row>
    <row r="65" spans="1:27" s="60" customFormat="1" ht="30" customHeight="1" x14ac:dyDescent="0.25">
      <c r="A65" s="441"/>
      <c r="B65" s="406"/>
      <c r="C65" s="406"/>
      <c r="D65" s="157" t="s">
        <v>200</v>
      </c>
      <c r="E65" s="164" t="s">
        <v>282</v>
      </c>
      <c r="F65" s="164" t="s">
        <v>323</v>
      </c>
      <c r="G65" s="157" t="s">
        <v>288</v>
      </c>
      <c r="H65" s="160"/>
      <c r="I65" s="160"/>
      <c r="J65" s="160"/>
      <c r="K65" s="160"/>
      <c r="L65" s="160"/>
      <c r="M65" s="160"/>
      <c r="N65" s="160"/>
      <c r="O65" s="160"/>
      <c r="P65" s="160">
        <v>0.6</v>
      </c>
      <c r="Q65" s="154">
        <v>0</v>
      </c>
      <c r="R65" s="154">
        <v>0</v>
      </c>
      <c r="S65" s="154">
        <v>0</v>
      </c>
      <c r="T65" s="154">
        <v>0</v>
      </c>
      <c r="U65" s="154">
        <v>0</v>
      </c>
      <c r="V65" s="153">
        <f t="shared" si="2"/>
        <v>0.6</v>
      </c>
      <c r="W65" s="406"/>
      <c r="AA65" s="60" t="s">
        <v>329</v>
      </c>
    </row>
    <row r="66" spans="1:27" s="60" customFormat="1" ht="30" customHeight="1" x14ac:dyDescent="0.25">
      <c r="A66" s="165"/>
      <c r="B66" s="445" t="s">
        <v>330</v>
      </c>
      <c r="C66" s="390" t="s">
        <v>281</v>
      </c>
      <c r="D66" s="25" t="s">
        <v>200</v>
      </c>
      <c r="E66" s="163" t="s">
        <v>282</v>
      </c>
      <c r="F66" s="163" t="s">
        <v>331</v>
      </c>
      <c r="G66" s="25" t="s">
        <v>286</v>
      </c>
      <c r="H66" s="160"/>
      <c r="I66" s="160"/>
      <c r="J66" s="160"/>
      <c r="K66" s="160"/>
      <c r="L66" s="160"/>
      <c r="M66" s="160"/>
      <c r="N66" s="160"/>
      <c r="O66" s="160"/>
      <c r="P66" s="160"/>
      <c r="Q66" s="154"/>
      <c r="R66" s="154">
        <v>1630</v>
      </c>
      <c r="S66" s="154">
        <v>0</v>
      </c>
      <c r="T66" s="154">
        <v>0</v>
      </c>
      <c r="U66" s="154">
        <v>0</v>
      </c>
      <c r="V66" s="153">
        <v>1630</v>
      </c>
      <c r="W66" s="328"/>
    </row>
    <row r="67" spans="1:27" s="60" customFormat="1" ht="34.5" customHeight="1" x14ac:dyDescent="0.25">
      <c r="A67" s="165"/>
      <c r="B67" s="446"/>
      <c r="C67" s="406"/>
      <c r="D67" s="25" t="s">
        <v>200</v>
      </c>
      <c r="E67" s="25" t="s">
        <v>282</v>
      </c>
      <c r="F67" s="25" t="s">
        <v>332</v>
      </c>
      <c r="G67" s="25" t="s">
        <v>286</v>
      </c>
      <c r="H67" s="160"/>
      <c r="I67" s="160"/>
      <c r="J67" s="160"/>
      <c r="K67" s="160"/>
      <c r="L67" s="160"/>
      <c r="M67" s="160"/>
      <c r="N67" s="160"/>
      <c r="O67" s="160"/>
      <c r="P67" s="160"/>
      <c r="Q67" s="154"/>
      <c r="R67" s="154">
        <v>85.8</v>
      </c>
      <c r="S67" s="154">
        <v>1733.6</v>
      </c>
      <c r="T67" s="154">
        <v>1733.6</v>
      </c>
      <c r="U67" s="154">
        <v>1733.6</v>
      </c>
      <c r="V67" s="153">
        <v>5286.6</v>
      </c>
      <c r="W67" s="328"/>
    </row>
    <row r="68" spans="1:27" ht="33" customHeight="1" x14ac:dyDescent="0.25">
      <c r="A68" s="440" t="s">
        <v>333</v>
      </c>
      <c r="B68" s="442" t="s">
        <v>334</v>
      </c>
      <c r="C68" s="390" t="s">
        <v>281</v>
      </c>
      <c r="D68" s="447" t="s">
        <v>200</v>
      </c>
      <c r="E68" s="25" t="s">
        <v>282</v>
      </c>
      <c r="F68" s="25" t="s">
        <v>335</v>
      </c>
      <c r="G68" s="25" t="s">
        <v>286</v>
      </c>
      <c r="H68" s="159">
        <v>4242.3</v>
      </c>
      <c r="I68" s="159">
        <v>0</v>
      </c>
      <c r="J68" s="159"/>
      <c r="K68" s="159"/>
      <c r="L68" s="159"/>
      <c r="M68" s="159"/>
      <c r="N68" s="159"/>
      <c r="O68" s="159"/>
      <c r="P68" s="154">
        <f t="shared" ref="P68:Q74" si="4">O68</f>
        <v>0</v>
      </c>
      <c r="Q68" s="153">
        <f t="shared" si="4"/>
        <v>0</v>
      </c>
      <c r="R68" s="153">
        <f t="shared" si="1"/>
        <v>0</v>
      </c>
      <c r="S68" s="153">
        <f t="shared" si="1"/>
        <v>0</v>
      </c>
      <c r="T68" s="153">
        <f t="shared" si="1"/>
        <v>0</v>
      </c>
      <c r="U68" s="153">
        <f t="shared" si="1"/>
        <v>0</v>
      </c>
      <c r="V68" s="153">
        <f t="shared" si="2"/>
        <v>4242.3</v>
      </c>
      <c r="W68" s="392"/>
    </row>
    <row r="69" spans="1:27" ht="33.75" customHeight="1" x14ac:dyDescent="0.25">
      <c r="A69" s="441"/>
      <c r="B69" s="443"/>
      <c r="C69" s="391"/>
      <c r="D69" s="448"/>
      <c r="E69" s="25" t="s">
        <v>282</v>
      </c>
      <c r="F69" s="25" t="s">
        <v>336</v>
      </c>
      <c r="G69" s="25" t="s">
        <v>286</v>
      </c>
      <c r="H69" s="159">
        <v>15008.8</v>
      </c>
      <c r="I69" s="159"/>
      <c r="J69" s="159"/>
      <c r="K69" s="159"/>
      <c r="L69" s="159"/>
      <c r="M69" s="159"/>
      <c r="N69" s="159"/>
      <c r="O69" s="159"/>
      <c r="P69" s="154">
        <f t="shared" si="4"/>
        <v>0</v>
      </c>
      <c r="Q69" s="153">
        <f t="shared" si="4"/>
        <v>0</v>
      </c>
      <c r="R69" s="153">
        <f t="shared" si="1"/>
        <v>0</v>
      </c>
      <c r="S69" s="153">
        <f t="shared" si="1"/>
        <v>0</v>
      </c>
      <c r="T69" s="153">
        <f t="shared" si="1"/>
        <v>0</v>
      </c>
      <c r="U69" s="153">
        <f t="shared" si="1"/>
        <v>0</v>
      </c>
      <c r="V69" s="153">
        <f t="shared" si="2"/>
        <v>15008.8</v>
      </c>
      <c r="W69" s="394"/>
    </row>
    <row r="70" spans="1:27" ht="39.6" customHeight="1" x14ac:dyDescent="0.25">
      <c r="A70" s="166" t="s">
        <v>337</v>
      </c>
      <c r="B70" s="167" t="s">
        <v>338</v>
      </c>
      <c r="C70" s="406"/>
      <c r="D70" s="25" t="s">
        <v>200</v>
      </c>
      <c r="E70" s="25" t="s">
        <v>282</v>
      </c>
      <c r="F70" s="25" t="s">
        <v>339</v>
      </c>
      <c r="G70" s="25" t="s">
        <v>286</v>
      </c>
      <c r="H70" s="159">
        <v>1500.9</v>
      </c>
      <c r="I70" s="159"/>
      <c r="J70" s="159"/>
      <c r="K70" s="159"/>
      <c r="L70" s="159"/>
      <c r="M70" s="159"/>
      <c r="N70" s="159"/>
      <c r="O70" s="159"/>
      <c r="P70" s="154">
        <f t="shared" si="4"/>
        <v>0</v>
      </c>
      <c r="Q70" s="153">
        <f t="shared" si="4"/>
        <v>0</v>
      </c>
      <c r="R70" s="153">
        <f t="shared" si="1"/>
        <v>0</v>
      </c>
      <c r="S70" s="153">
        <f t="shared" si="1"/>
        <v>0</v>
      </c>
      <c r="T70" s="153">
        <f t="shared" si="1"/>
        <v>0</v>
      </c>
      <c r="U70" s="153">
        <f t="shared" si="1"/>
        <v>0</v>
      </c>
      <c r="V70" s="153">
        <f t="shared" si="2"/>
        <v>1500.9</v>
      </c>
      <c r="W70" s="336"/>
    </row>
    <row r="71" spans="1:27" ht="90.75" customHeight="1" x14ac:dyDescent="0.25">
      <c r="A71" s="440" t="s">
        <v>340</v>
      </c>
      <c r="B71" s="442" t="s">
        <v>341</v>
      </c>
      <c r="C71" s="390" t="s">
        <v>281</v>
      </c>
      <c r="D71" s="25" t="s">
        <v>200</v>
      </c>
      <c r="E71" s="25" t="s">
        <v>282</v>
      </c>
      <c r="F71" s="25" t="s">
        <v>342</v>
      </c>
      <c r="G71" s="25" t="s">
        <v>288</v>
      </c>
      <c r="H71" s="159">
        <v>2</v>
      </c>
      <c r="I71" s="159"/>
      <c r="J71" s="159"/>
      <c r="K71" s="159"/>
      <c r="L71" s="159"/>
      <c r="M71" s="159"/>
      <c r="N71" s="159"/>
      <c r="O71" s="159"/>
      <c r="P71" s="154">
        <f t="shared" si="4"/>
        <v>0</v>
      </c>
      <c r="Q71" s="153">
        <f t="shared" si="4"/>
        <v>0</v>
      </c>
      <c r="R71" s="153">
        <f t="shared" si="1"/>
        <v>0</v>
      </c>
      <c r="S71" s="153">
        <f t="shared" si="1"/>
        <v>0</v>
      </c>
      <c r="T71" s="153">
        <f t="shared" si="1"/>
        <v>0</v>
      </c>
      <c r="U71" s="153">
        <f t="shared" si="1"/>
        <v>0</v>
      </c>
      <c r="V71" s="153">
        <f t="shared" si="2"/>
        <v>2</v>
      </c>
      <c r="W71" s="392" t="s">
        <v>343</v>
      </c>
    </row>
    <row r="72" spans="1:27" ht="135" customHeight="1" x14ac:dyDescent="0.25">
      <c r="A72" s="441"/>
      <c r="B72" s="443"/>
      <c r="C72" s="406"/>
      <c r="D72" s="25" t="s">
        <v>200</v>
      </c>
      <c r="E72" s="25" t="s">
        <v>282</v>
      </c>
      <c r="F72" s="25" t="s">
        <v>342</v>
      </c>
      <c r="G72" s="25" t="s">
        <v>286</v>
      </c>
      <c r="H72" s="159">
        <v>3</v>
      </c>
      <c r="I72" s="159"/>
      <c r="J72" s="159"/>
      <c r="K72" s="159"/>
      <c r="L72" s="159"/>
      <c r="M72" s="159"/>
      <c r="N72" s="159"/>
      <c r="O72" s="159"/>
      <c r="P72" s="154">
        <f t="shared" si="4"/>
        <v>0</v>
      </c>
      <c r="Q72" s="153">
        <f t="shared" si="4"/>
        <v>0</v>
      </c>
      <c r="R72" s="153">
        <f t="shared" si="1"/>
        <v>0</v>
      </c>
      <c r="S72" s="153">
        <f t="shared" si="1"/>
        <v>0</v>
      </c>
      <c r="T72" s="153">
        <f t="shared" si="1"/>
        <v>0</v>
      </c>
      <c r="U72" s="153">
        <v>0</v>
      </c>
      <c r="V72" s="153">
        <f t="shared" si="2"/>
        <v>3</v>
      </c>
      <c r="W72" s="394"/>
    </row>
    <row r="73" spans="1:27" ht="32.25" customHeight="1" x14ac:dyDescent="0.25">
      <c r="A73" s="432" t="s">
        <v>344</v>
      </c>
      <c r="B73" s="392" t="s">
        <v>345</v>
      </c>
      <c r="C73" s="390" t="s">
        <v>281</v>
      </c>
      <c r="D73" s="25" t="s">
        <v>200</v>
      </c>
      <c r="E73" s="25" t="s">
        <v>346</v>
      </c>
      <c r="F73" s="25" t="s">
        <v>347</v>
      </c>
      <c r="G73" s="10">
        <v>622</v>
      </c>
      <c r="H73" s="159">
        <v>13</v>
      </c>
      <c r="I73" s="159">
        <v>13</v>
      </c>
      <c r="J73" s="168"/>
      <c r="K73" s="168"/>
      <c r="L73" s="168"/>
      <c r="M73" s="168"/>
      <c r="N73" s="168"/>
      <c r="O73" s="168"/>
      <c r="P73" s="154">
        <f t="shared" si="4"/>
        <v>0</v>
      </c>
      <c r="Q73" s="153">
        <f t="shared" si="4"/>
        <v>0</v>
      </c>
      <c r="R73" s="153">
        <f t="shared" si="1"/>
        <v>0</v>
      </c>
      <c r="S73" s="153">
        <f t="shared" si="1"/>
        <v>0</v>
      </c>
      <c r="T73" s="153">
        <f t="shared" si="1"/>
        <v>0</v>
      </c>
      <c r="U73" s="153">
        <v>0</v>
      </c>
      <c r="V73" s="153">
        <f t="shared" ref="V73:V82" si="5">SUM(H73:U73)</f>
        <v>26</v>
      </c>
      <c r="W73" s="392" t="s">
        <v>348</v>
      </c>
    </row>
    <row r="74" spans="1:27" ht="51.75" customHeight="1" x14ac:dyDescent="0.25">
      <c r="A74" s="432"/>
      <c r="B74" s="394"/>
      <c r="C74" s="406"/>
      <c r="D74" s="25" t="s">
        <v>200</v>
      </c>
      <c r="E74" s="25" t="s">
        <v>346</v>
      </c>
      <c r="F74" s="25" t="s">
        <v>347</v>
      </c>
      <c r="G74" s="10">
        <v>244</v>
      </c>
      <c r="H74" s="159"/>
      <c r="I74" s="159"/>
      <c r="J74" s="159"/>
      <c r="K74" s="159"/>
      <c r="L74" s="159"/>
      <c r="M74" s="159"/>
      <c r="N74" s="159"/>
      <c r="O74" s="159"/>
      <c r="P74" s="154">
        <f t="shared" si="4"/>
        <v>0</v>
      </c>
      <c r="Q74" s="153">
        <f t="shared" si="4"/>
        <v>0</v>
      </c>
      <c r="R74" s="153">
        <f t="shared" si="1"/>
        <v>0</v>
      </c>
      <c r="S74" s="153">
        <f t="shared" si="1"/>
        <v>0</v>
      </c>
      <c r="T74" s="153">
        <f t="shared" si="1"/>
        <v>0</v>
      </c>
      <c r="U74" s="153">
        <v>0</v>
      </c>
      <c r="V74" s="153">
        <f t="shared" si="5"/>
        <v>0</v>
      </c>
      <c r="W74" s="394"/>
    </row>
    <row r="75" spans="1:27" ht="51.75" customHeight="1" x14ac:dyDescent="0.25">
      <c r="A75" s="437" t="s">
        <v>684</v>
      </c>
      <c r="B75" s="438" t="s">
        <v>685</v>
      </c>
      <c r="C75" s="438" t="s">
        <v>281</v>
      </c>
      <c r="D75" s="339" t="s">
        <v>200</v>
      </c>
      <c r="E75" s="339" t="s">
        <v>282</v>
      </c>
      <c r="F75" s="339" t="s">
        <v>686</v>
      </c>
      <c r="G75" s="340">
        <v>612</v>
      </c>
      <c r="H75" s="341"/>
      <c r="I75" s="341"/>
      <c r="J75" s="341"/>
      <c r="K75" s="341"/>
      <c r="L75" s="341"/>
      <c r="M75" s="341"/>
      <c r="N75" s="341"/>
      <c r="O75" s="341"/>
      <c r="P75" s="337"/>
      <c r="Q75" s="338"/>
      <c r="R75" s="338"/>
      <c r="S75" s="338"/>
      <c r="T75" s="338"/>
      <c r="U75" s="338">
        <f>7524.3+76</f>
        <v>7600.3</v>
      </c>
      <c r="V75" s="338">
        <f t="shared" ref="V75:V76" si="6">SUM(H75:U75)</f>
        <v>7600.3</v>
      </c>
      <c r="W75" s="332"/>
    </row>
    <row r="76" spans="1:27" ht="25.5" customHeight="1" x14ac:dyDescent="0.25">
      <c r="A76" s="437"/>
      <c r="B76" s="439"/>
      <c r="C76" s="439"/>
      <c r="D76" s="339" t="s">
        <v>200</v>
      </c>
      <c r="E76" s="339" t="s">
        <v>282</v>
      </c>
      <c r="F76" s="339" t="s">
        <v>687</v>
      </c>
      <c r="G76" s="340">
        <v>612</v>
      </c>
      <c r="H76" s="341"/>
      <c r="I76" s="341"/>
      <c r="J76" s="341"/>
      <c r="K76" s="341"/>
      <c r="L76" s="341"/>
      <c r="M76" s="341"/>
      <c r="N76" s="341"/>
      <c r="O76" s="341"/>
      <c r="P76" s="337"/>
      <c r="Q76" s="338"/>
      <c r="R76" s="338"/>
      <c r="S76" s="338"/>
      <c r="T76" s="338"/>
      <c r="U76" s="338">
        <v>65023.5</v>
      </c>
      <c r="V76" s="338">
        <f t="shared" si="6"/>
        <v>65023.5</v>
      </c>
      <c r="W76" s="83"/>
    </row>
    <row r="77" spans="1:27" ht="25.5" customHeight="1" x14ac:dyDescent="0.25">
      <c r="A77" s="343"/>
      <c r="B77" s="344" t="s">
        <v>349</v>
      </c>
      <c r="C77" s="342"/>
      <c r="D77" s="339"/>
      <c r="E77" s="339"/>
      <c r="F77" s="339"/>
      <c r="G77" s="340"/>
      <c r="H77" s="341"/>
      <c r="I77" s="341"/>
      <c r="J77" s="341"/>
      <c r="K77" s="341"/>
      <c r="L77" s="341"/>
      <c r="M77" s="341"/>
      <c r="N77" s="341"/>
      <c r="O77" s="341"/>
      <c r="P77" s="337">
        <v>356848.4</v>
      </c>
      <c r="Q77" s="338">
        <v>350814.5</v>
      </c>
      <c r="R77" s="338">
        <v>397147.3</v>
      </c>
      <c r="S77" s="338">
        <v>404294.8</v>
      </c>
      <c r="T77" s="338">
        <v>382228.4</v>
      </c>
      <c r="U77" s="338">
        <v>455555</v>
      </c>
      <c r="V77" s="338">
        <v>4270707.7</v>
      </c>
      <c r="W77" s="83"/>
    </row>
    <row r="78" spans="1:27" ht="25.5" customHeight="1" x14ac:dyDescent="0.25">
      <c r="A78" s="433" t="s">
        <v>350</v>
      </c>
      <c r="B78" s="434"/>
      <c r="C78" s="30"/>
      <c r="D78" s="30"/>
      <c r="E78" s="30"/>
      <c r="F78" s="30"/>
      <c r="G78" s="30"/>
      <c r="H78" s="159">
        <f t="shared" ref="H78:O78" si="7">H76</f>
        <v>0</v>
      </c>
      <c r="I78" s="159">
        <f t="shared" si="7"/>
        <v>0</v>
      </c>
      <c r="J78" s="159">
        <f t="shared" si="7"/>
        <v>0</v>
      </c>
      <c r="K78" s="159">
        <f t="shared" si="7"/>
        <v>0</v>
      </c>
      <c r="L78" s="159">
        <f t="shared" si="7"/>
        <v>0</v>
      </c>
      <c r="M78" s="159">
        <f t="shared" si="7"/>
        <v>0</v>
      </c>
      <c r="N78" s="159">
        <f t="shared" si="7"/>
        <v>0</v>
      </c>
      <c r="O78" s="159">
        <f t="shared" si="7"/>
        <v>0</v>
      </c>
      <c r="P78" s="160">
        <v>356848.4</v>
      </c>
      <c r="Q78" s="153">
        <v>350814.5</v>
      </c>
      <c r="R78" s="153">
        <v>397147.3</v>
      </c>
      <c r="S78" s="153">
        <v>404294.8</v>
      </c>
      <c r="T78" s="153">
        <v>382228.4</v>
      </c>
      <c r="U78" s="153">
        <v>455555</v>
      </c>
      <c r="V78" s="153">
        <v>4270707.7</v>
      </c>
      <c r="W78" s="83"/>
    </row>
    <row r="79" spans="1:27" ht="25.5" customHeight="1" x14ac:dyDescent="0.25">
      <c r="A79" s="433" t="s">
        <v>328</v>
      </c>
      <c r="B79" s="434"/>
      <c r="C79" s="30" t="s">
        <v>328</v>
      </c>
      <c r="D79" s="30"/>
      <c r="E79" s="30"/>
      <c r="F79" s="30"/>
      <c r="G79" s="30"/>
      <c r="H79" s="159">
        <f>H27+H28+H29+H30+H31+H32+H33+H34+H35+H36+H37+H39+H46+H47+H49+H50+H56+H57+H59+H60+H68+H69</f>
        <v>92552.900000000023</v>
      </c>
      <c r="I79" s="159">
        <f>I27+I28+I29+I30+I31+I32+I33+I34+I35+I36+I37+I39+I46+I47+I49+I50+I56+I57+I59+I60+I68+I69</f>
        <v>81485.8</v>
      </c>
      <c r="J79" s="159">
        <f>J27+J28+J29+J30+J31+J32+J33+J34+J35+J36+J37+J39+J46+J47+J49+J50+J56+J57+J59+J60+J68+J69</f>
        <v>116158.70000000001</v>
      </c>
      <c r="K79" s="159">
        <f>K27+K28+K29+K30+K31+K32+K33+K34+K35+K36+K37+K39+K46+K47+K49+K50+K56+K57+K59+K60+K68+K69+K45</f>
        <v>122752.3</v>
      </c>
      <c r="L79" s="159">
        <f>L27+L28+L29+L30+L31+L32+L33+L34+L35+L36+L37+L39+L46+L47+L49+L50+L56+L57+L59+L60+L68+L69+L40+L41</f>
        <v>129296.8</v>
      </c>
      <c r="M79" s="159">
        <f>M27+M28+M29+M30+M31+M32+M33+M34+M35+M36+M37+M39+M46+M47+M49+M50+M56+M57+M59+M60+M68+M69+M40+M41+M23</f>
        <v>147632</v>
      </c>
      <c r="N79" s="159">
        <f>N27+N28+N29+N30+N31+N32+N33+N34+N35+N36+N37+N39+N46+N47+N49+N50+N56+N57+N59+N60+N68+N69+N40+N41+N52+N51+N42+N43</f>
        <v>168234.09999999998</v>
      </c>
      <c r="O79" s="159">
        <f>O27+O28+O29+O30+O31+O32+O33+O34+O35+O36+O37+O39+O46+O47+O49+O50+O56+O57+O59+O60+O68+O69+O45</f>
        <v>174939.2</v>
      </c>
      <c r="P79" s="160">
        <v>213384.2</v>
      </c>
      <c r="Q79" s="159">
        <v>205376.6</v>
      </c>
      <c r="R79" s="159">
        <v>229639.6</v>
      </c>
      <c r="S79" s="159">
        <v>236345.7</v>
      </c>
      <c r="T79" s="159">
        <v>219808.5</v>
      </c>
      <c r="U79" s="159">
        <v>227332.8</v>
      </c>
      <c r="V79" s="153">
        <v>2364939.2000000002</v>
      </c>
      <c r="W79" s="83"/>
    </row>
    <row r="80" spans="1:27" ht="25.5" customHeight="1" x14ac:dyDescent="0.25">
      <c r="A80" s="333"/>
      <c r="B80" s="334" t="s">
        <v>559</v>
      </c>
      <c r="C80" s="30" t="s">
        <v>559</v>
      </c>
      <c r="D80" s="30"/>
      <c r="E80" s="30"/>
      <c r="F80" s="30"/>
      <c r="G80" s="30"/>
      <c r="H80" s="159"/>
      <c r="I80" s="159"/>
      <c r="J80" s="159"/>
      <c r="K80" s="159"/>
      <c r="L80" s="159"/>
      <c r="M80" s="159"/>
      <c r="N80" s="159"/>
      <c r="O80" s="159"/>
      <c r="P80" s="160"/>
      <c r="Q80" s="159"/>
      <c r="R80" s="159">
        <v>0</v>
      </c>
      <c r="S80" s="159">
        <v>0</v>
      </c>
      <c r="T80" s="159">
        <v>0</v>
      </c>
      <c r="U80" s="159">
        <v>64462.3</v>
      </c>
      <c r="V80" s="153">
        <v>64462.3</v>
      </c>
      <c r="W80" s="83"/>
    </row>
    <row r="81" spans="1:23" ht="25.5" customHeight="1" x14ac:dyDescent="0.25">
      <c r="A81" s="433" t="s">
        <v>351</v>
      </c>
      <c r="B81" s="434"/>
      <c r="C81" s="30" t="s">
        <v>351</v>
      </c>
      <c r="D81" s="30"/>
      <c r="E81" s="30"/>
      <c r="F81" s="30"/>
      <c r="G81" s="30"/>
      <c r="H81" s="159">
        <f>H7+H8+H9+H10+H20+H21+H23+H26+H53+H54+H55+H70+H71+H72+H73+H74</f>
        <v>92376.4</v>
      </c>
      <c r="I81" s="159">
        <f>I7+I8+I9+I10+I20+I21+I23+I26+I53+I54+I55+I70+I71+I72+I73+I74</f>
        <v>110895</v>
      </c>
      <c r="J81" s="159">
        <f>J7+J8+J9+J10+J20+J21+J23+J26+J53+J54+J55+J70+J71+J72+J73+J74</f>
        <v>86284.2</v>
      </c>
      <c r="K81" s="159">
        <f>K7+K8+K9+K10+K20+K21+K23+K26+K53+K54+K55+K70+K71+K72+K73+K74</f>
        <v>76465.3</v>
      </c>
      <c r="L81" s="159">
        <f>L7+L8+L9+L10+L20+L21+L23+L26+L53+L54+L55+L70+L71+L72+L73+L74</f>
        <v>78788.700000000012</v>
      </c>
      <c r="M81" s="159">
        <f>M7+M8+M9+M10+M20+M21+M26+M53+M54+M55+M70+M71+M72+M73+M74+M22</f>
        <v>99489.9</v>
      </c>
      <c r="N81" s="159">
        <f>N7+N8+N9+N10+N20+N21+N23+N26+N53+N54+N55+N70+N71+N72+N73+N74+N22</f>
        <v>92286.7</v>
      </c>
      <c r="O81" s="159">
        <f>O7+O8+O9+O10+O20+O21+O23+O26+O53+O54+O55+O70+O71+O72+O73+O74+O22+O12+O13+O14+O16+O17+O18+O19</f>
        <v>115743.3</v>
      </c>
      <c r="P81" s="160">
        <v>124018.6</v>
      </c>
      <c r="Q81" s="159">
        <v>125029.1</v>
      </c>
      <c r="R81" s="159">
        <v>145356</v>
      </c>
      <c r="S81" s="159">
        <v>147236.79999999999</v>
      </c>
      <c r="T81" s="159">
        <v>141202.4</v>
      </c>
      <c r="U81" s="159">
        <v>142542.39999999999</v>
      </c>
      <c r="V81" s="153">
        <v>1577714.8</v>
      </c>
      <c r="W81" s="83"/>
    </row>
    <row r="82" spans="1:23" ht="25.5" customHeight="1" x14ac:dyDescent="0.25">
      <c r="A82" s="433" t="s">
        <v>352</v>
      </c>
      <c r="B82" s="434"/>
      <c r="C82" s="30" t="s">
        <v>352</v>
      </c>
      <c r="D82" s="30"/>
      <c r="E82" s="30"/>
      <c r="F82" s="30"/>
      <c r="G82" s="30"/>
      <c r="H82" s="159">
        <f t="shared" ref="H82:U82" si="8">H48</f>
        <v>13162.3</v>
      </c>
      <c r="I82" s="159">
        <f t="shared" si="8"/>
        <v>12443.8</v>
      </c>
      <c r="J82" s="159">
        <f t="shared" si="8"/>
        <v>16587.599999999999</v>
      </c>
      <c r="K82" s="159">
        <f t="shared" si="8"/>
        <v>19415.5</v>
      </c>
      <c r="L82" s="159">
        <f t="shared" si="8"/>
        <v>21251.4</v>
      </c>
      <c r="M82" s="159">
        <f t="shared" si="8"/>
        <v>20373.5</v>
      </c>
      <c r="N82" s="159">
        <f t="shared" si="8"/>
        <v>15029.6</v>
      </c>
      <c r="O82" s="159">
        <f t="shared" si="8"/>
        <v>20174.3</v>
      </c>
      <c r="P82" s="160">
        <f t="shared" si="8"/>
        <v>19445.599999999999</v>
      </c>
      <c r="Q82" s="159">
        <f t="shared" si="8"/>
        <v>20408.8</v>
      </c>
      <c r="R82" s="159">
        <f t="shared" si="8"/>
        <v>22151.7</v>
      </c>
      <c r="S82" s="159">
        <f t="shared" si="8"/>
        <v>20712.3</v>
      </c>
      <c r="T82" s="159">
        <f t="shared" si="8"/>
        <v>21217.5</v>
      </c>
      <c r="U82" s="159">
        <f t="shared" si="8"/>
        <v>21217.5</v>
      </c>
      <c r="V82" s="153">
        <f t="shared" si="5"/>
        <v>263591.40000000002</v>
      </c>
      <c r="W82" s="83"/>
    </row>
    <row r="83" spans="1:23" s="171" customFormat="1" ht="25.5" customHeight="1" x14ac:dyDescent="0.25">
      <c r="A83" s="435"/>
      <c r="B83" s="435"/>
      <c r="C83" s="169"/>
      <c r="D83" s="169"/>
      <c r="E83" s="169"/>
      <c r="F83" s="169"/>
      <c r="G83" s="169"/>
      <c r="H83" s="169"/>
      <c r="I83" s="170"/>
      <c r="J83" s="170"/>
      <c r="K83" s="37"/>
      <c r="L83" s="37"/>
      <c r="M83" s="37"/>
      <c r="N83" s="37"/>
      <c r="O83" s="37"/>
      <c r="P83" s="152"/>
      <c r="Q83" s="37"/>
      <c r="R83" s="37"/>
      <c r="S83" s="37"/>
      <c r="T83" s="37"/>
      <c r="U83" s="37"/>
      <c r="V83" s="37"/>
      <c r="W83" s="37"/>
    </row>
    <row r="84" spans="1:23" s="37" customFormat="1" ht="25.5" customHeight="1" x14ac:dyDescent="0.25">
      <c r="A84" s="436"/>
      <c r="B84" s="436"/>
      <c r="C84" s="172"/>
      <c r="D84" s="172"/>
      <c r="E84" s="172"/>
      <c r="F84" s="172"/>
      <c r="G84" s="172"/>
      <c r="H84" s="172"/>
      <c r="I84" s="172"/>
      <c r="J84" s="172"/>
      <c r="K84" s="172"/>
      <c r="P84" s="152"/>
      <c r="R84" s="173"/>
      <c r="V84" s="174"/>
    </row>
    <row r="85" spans="1:23" ht="25.5" customHeight="1" x14ac:dyDescent="0.25">
      <c r="A85" s="431" t="s">
        <v>163</v>
      </c>
      <c r="B85" s="431"/>
      <c r="C85" s="431"/>
      <c r="D85" s="175"/>
      <c r="E85" s="175"/>
      <c r="F85" s="175"/>
      <c r="G85" s="175"/>
      <c r="H85" s="175"/>
      <c r="I85" s="176"/>
      <c r="W85" s="176" t="s">
        <v>214</v>
      </c>
    </row>
    <row r="86" spans="1:23" ht="25.5" customHeight="1" x14ac:dyDescent="0.25">
      <c r="A86" s="177"/>
      <c r="B86" s="178"/>
      <c r="C86" s="179"/>
      <c r="D86" s="179"/>
      <c r="E86" s="179"/>
      <c r="F86" s="179"/>
      <c r="G86" s="179"/>
      <c r="H86" s="179"/>
    </row>
    <row r="87" spans="1:23" ht="25.5" customHeight="1" x14ac:dyDescent="0.25">
      <c r="A87" s="177"/>
      <c r="B87" s="178"/>
      <c r="C87" s="179"/>
      <c r="D87" s="179"/>
      <c r="E87" s="179"/>
      <c r="F87" s="179"/>
      <c r="G87" s="179"/>
      <c r="H87" s="179"/>
    </row>
    <row r="88" spans="1:23" ht="25.5" customHeight="1" x14ac:dyDescent="0.25">
      <c r="A88" s="177"/>
      <c r="B88" s="178"/>
      <c r="C88" s="179"/>
      <c r="D88" s="179"/>
      <c r="E88" s="179"/>
      <c r="F88" s="179"/>
      <c r="G88" s="179"/>
      <c r="H88" s="179"/>
      <c r="S88" s="156">
        <f>R78-R82</f>
        <v>374995.6</v>
      </c>
      <c r="T88" s="156">
        <f>S78-S82</f>
        <v>383582.5</v>
      </c>
      <c r="U88" s="156"/>
      <c r="V88" s="156">
        <f>T78-T82</f>
        <v>361010.9</v>
      </c>
    </row>
    <row r="89" spans="1:23" ht="25.5" customHeight="1" x14ac:dyDescent="0.25">
      <c r="A89" s="177"/>
      <c r="B89" s="178"/>
      <c r="C89" s="179"/>
      <c r="D89" s="179"/>
      <c r="E89" s="179"/>
      <c r="F89" s="179"/>
      <c r="G89" s="179"/>
      <c r="H89" s="179"/>
    </row>
    <row r="90" spans="1:23" ht="25.5" customHeight="1" x14ac:dyDescent="0.25">
      <c r="A90" s="177"/>
      <c r="B90" s="178"/>
      <c r="C90" s="179"/>
      <c r="D90" s="179"/>
      <c r="E90" s="179"/>
      <c r="F90" s="179"/>
      <c r="G90" s="179"/>
      <c r="H90" s="179"/>
    </row>
    <row r="91" spans="1:23" ht="25.5" customHeight="1" x14ac:dyDescent="0.25">
      <c r="A91" s="177"/>
      <c r="B91" s="178"/>
      <c r="C91" s="179"/>
      <c r="D91" s="179"/>
      <c r="E91" s="179"/>
      <c r="F91" s="179"/>
      <c r="G91" s="179"/>
      <c r="H91" s="179"/>
    </row>
    <row r="92" spans="1:23" ht="25.5" customHeight="1" x14ac:dyDescent="0.25">
      <c r="A92" s="177"/>
      <c r="B92" s="178"/>
      <c r="C92" s="179"/>
      <c r="D92" s="179"/>
      <c r="E92" s="179"/>
      <c r="F92" s="179"/>
      <c r="G92" s="179"/>
      <c r="H92" s="179"/>
    </row>
    <row r="93" spans="1:23" ht="25.5" customHeight="1" x14ac:dyDescent="0.25">
      <c r="A93" s="177"/>
      <c r="B93" s="178"/>
      <c r="C93" s="179"/>
      <c r="D93" s="179"/>
      <c r="E93" s="179"/>
      <c r="F93" s="179"/>
      <c r="G93" s="179"/>
      <c r="H93" s="179"/>
    </row>
    <row r="94" spans="1:23" ht="25.5" customHeight="1" x14ac:dyDescent="0.25">
      <c r="A94" s="177"/>
      <c r="B94" s="178"/>
      <c r="C94" s="179"/>
      <c r="D94" s="179"/>
      <c r="E94" s="179"/>
      <c r="F94" s="179"/>
      <c r="G94" s="179"/>
      <c r="H94" s="179"/>
    </row>
    <row r="95" spans="1:23" ht="25.5" customHeight="1" x14ac:dyDescent="0.25">
      <c r="A95" s="177"/>
      <c r="B95" s="178"/>
      <c r="C95" s="179"/>
      <c r="D95" s="179"/>
      <c r="E95" s="179"/>
      <c r="F95" s="179"/>
      <c r="G95" s="179"/>
      <c r="H95" s="179"/>
    </row>
    <row r="96" spans="1:23" ht="25.5" customHeight="1" x14ac:dyDescent="0.25">
      <c r="A96" s="177"/>
      <c r="B96" s="178"/>
      <c r="C96" s="179"/>
      <c r="D96" s="179"/>
      <c r="E96" s="179"/>
      <c r="F96" s="179"/>
      <c r="G96" s="179"/>
      <c r="H96" s="179"/>
    </row>
    <row r="97" spans="1:8" ht="25.5" customHeight="1" x14ac:dyDescent="0.25">
      <c r="A97" s="177"/>
      <c r="B97" s="178"/>
      <c r="C97" s="179"/>
      <c r="D97" s="179"/>
      <c r="E97" s="179"/>
      <c r="F97" s="179"/>
      <c r="G97" s="179"/>
      <c r="H97" s="179"/>
    </row>
  </sheetData>
  <autoFilter ref="A4:Z78"/>
  <mergeCells count="60">
    <mergeCell ref="I1:J1"/>
    <mergeCell ref="U1:W1"/>
    <mergeCell ref="A2:W2"/>
    <mergeCell ref="A3:A4"/>
    <mergeCell ref="B3:B4"/>
    <mergeCell ref="C3:C4"/>
    <mergeCell ref="D3:G3"/>
    <mergeCell ref="I3:V3"/>
    <mergeCell ref="W3:W4"/>
    <mergeCell ref="A5:W5"/>
    <mergeCell ref="A6:W6"/>
    <mergeCell ref="A7:A48"/>
    <mergeCell ref="B7:B26"/>
    <mergeCell ref="C7:C26"/>
    <mergeCell ref="W7:W48"/>
    <mergeCell ref="B27:B47"/>
    <mergeCell ref="C27:C47"/>
    <mergeCell ref="A49:A53"/>
    <mergeCell ref="B49:B50"/>
    <mergeCell ref="C49:C50"/>
    <mergeCell ref="W49:W53"/>
    <mergeCell ref="B51:B52"/>
    <mergeCell ref="C51:C53"/>
    <mergeCell ref="A54:A55"/>
    <mergeCell ref="B54:B55"/>
    <mergeCell ref="C54:C55"/>
    <mergeCell ref="W54:W55"/>
    <mergeCell ref="A56:A58"/>
    <mergeCell ref="B56:B58"/>
    <mergeCell ref="C56:C58"/>
    <mergeCell ref="W56:W57"/>
    <mergeCell ref="A71:A72"/>
    <mergeCell ref="B71:B72"/>
    <mergeCell ref="C71:C72"/>
    <mergeCell ref="W71:W72"/>
    <mergeCell ref="A59:A65"/>
    <mergeCell ref="B59:B65"/>
    <mergeCell ref="C59:C65"/>
    <mergeCell ref="W59:W65"/>
    <mergeCell ref="B66:B67"/>
    <mergeCell ref="C66:C67"/>
    <mergeCell ref="A68:A69"/>
    <mergeCell ref="B68:B69"/>
    <mergeCell ref="C68:C70"/>
    <mergeCell ref="D68:D69"/>
    <mergeCell ref="W68:W69"/>
    <mergeCell ref="A85:C85"/>
    <mergeCell ref="A73:A74"/>
    <mergeCell ref="B73:B74"/>
    <mergeCell ref="C73:C74"/>
    <mergeCell ref="W73:W74"/>
    <mergeCell ref="A78:B78"/>
    <mergeCell ref="A79:B79"/>
    <mergeCell ref="A81:B81"/>
    <mergeCell ref="A82:B82"/>
    <mergeCell ref="A83:B83"/>
    <mergeCell ref="A84:B84"/>
    <mergeCell ref="A75:A76"/>
    <mergeCell ref="B75:B76"/>
    <mergeCell ref="C75:C76"/>
  </mergeCells>
  <pageMargins left="0" right="0" top="0.47244094488188981" bottom="0.74803149606299213" header="0.31496062992125984" footer="0.35433070866141736"/>
  <pageSetup paperSize="9" scale="38" fitToHeight="8" orientation="landscape" r:id="rId1"/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36"/>
  <sheetViews>
    <sheetView view="pageBreakPreview" zoomScale="79" zoomScaleNormal="79" zoomScaleSheetLayoutView="79" workbookViewId="0">
      <pane ySplit="5" topLeftCell="A24" activePane="bottomLeft" state="frozen"/>
      <selection activeCell="Q12" sqref="Q12"/>
      <selection pane="bottomLeft" activeCell="L11" sqref="L11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4" width="11.42578125" style="4" hidden="1" customWidth="1"/>
    <col min="5" max="7" width="11.42578125" style="4" customWidth="1"/>
    <col min="8" max="10" width="11.42578125" style="60" customWidth="1"/>
    <col min="11" max="11" width="9.140625" style="60"/>
    <col min="12" max="12" width="8.140625" style="4" customWidth="1"/>
    <col min="13" max="13" width="9.140625" style="4" customWidth="1"/>
    <col min="14" max="16384" width="9.140625" style="4"/>
  </cols>
  <sheetData>
    <row r="1" spans="1:28" ht="36.75" customHeight="1" x14ac:dyDescent="0.25">
      <c r="B1" s="2"/>
      <c r="C1" s="3"/>
      <c r="E1" s="5"/>
      <c r="F1" s="5"/>
      <c r="G1" s="5"/>
      <c r="H1" s="5"/>
      <c r="I1" s="375" t="s">
        <v>353</v>
      </c>
      <c r="J1" s="375"/>
      <c r="K1" s="375"/>
      <c r="L1" s="375"/>
      <c r="M1" s="375"/>
      <c r="N1" s="375"/>
      <c r="O1" s="375"/>
      <c r="P1" s="375"/>
      <c r="Q1" s="375"/>
      <c r="R1" s="37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37.5" customHeight="1" x14ac:dyDescent="0.25">
      <c r="A2" s="410" t="s">
        <v>264</v>
      </c>
      <c r="B2" s="410"/>
      <c r="C2" s="410"/>
      <c r="D2" s="410"/>
      <c r="E2" s="410"/>
      <c r="F2" s="410"/>
      <c r="G2" s="410"/>
      <c r="H2" s="410"/>
      <c r="I2" s="410"/>
      <c r="J2" s="410"/>
    </row>
    <row r="3" spans="1:28" ht="25.5" customHeight="1" x14ac:dyDescent="0.25">
      <c r="A3" s="377" t="s">
        <v>2</v>
      </c>
      <c r="B3" s="362" t="s">
        <v>265</v>
      </c>
      <c r="C3" s="362" t="s">
        <v>4</v>
      </c>
      <c r="D3" s="362" t="s">
        <v>7</v>
      </c>
      <c r="E3" s="362" t="s">
        <v>8</v>
      </c>
      <c r="F3" s="362" t="s">
        <v>9</v>
      </c>
      <c r="G3" s="362" t="s">
        <v>10</v>
      </c>
      <c r="H3" s="413" t="s">
        <v>11</v>
      </c>
      <c r="I3" s="413" t="s">
        <v>12</v>
      </c>
      <c r="J3" s="413" t="s">
        <v>13</v>
      </c>
      <c r="K3" s="413" t="s">
        <v>14</v>
      </c>
      <c r="L3" s="413" t="s">
        <v>15</v>
      </c>
      <c r="M3" s="413" t="s">
        <v>16</v>
      </c>
      <c r="N3" s="413" t="s">
        <v>17</v>
      </c>
      <c r="O3" s="413" t="s">
        <v>18</v>
      </c>
      <c r="P3" s="413" t="s">
        <v>19</v>
      </c>
      <c r="Q3" s="413" t="s">
        <v>20</v>
      </c>
      <c r="R3" s="413" t="s">
        <v>21</v>
      </c>
    </row>
    <row r="4" spans="1:28" ht="12.75" customHeight="1" x14ac:dyDescent="0.25">
      <c r="A4" s="377"/>
      <c r="B4" s="362"/>
      <c r="C4" s="362"/>
      <c r="D4" s="362"/>
      <c r="E4" s="362"/>
      <c r="F4" s="362"/>
      <c r="G4" s="362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</row>
    <row r="5" spans="1:28" ht="25.5" customHeight="1" x14ac:dyDescent="0.25">
      <c r="A5" s="377"/>
      <c r="B5" s="362"/>
      <c r="C5" s="362"/>
      <c r="D5" s="362"/>
      <c r="E5" s="362"/>
      <c r="F5" s="362"/>
      <c r="G5" s="362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</row>
    <row r="6" spans="1:28" ht="35.1" customHeight="1" x14ac:dyDescent="0.25">
      <c r="A6" s="374" t="s">
        <v>354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</row>
    <row r="7" spans="1:28" ht="35.1" customHeight="1" x14ac:dyDescent="0.25">
      <c r="A7" s="374" t="s">
        <v>355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</row>
    <row r="8" spans="1:28" ht="35.1" customHeight="1" x14ac:dyDescent="0.25">
      <c r="A8" s="7" t="s">
        <v>268</v>
      </c>
      <c r="B8" s="182" t="s">
        <v>356</v>
      </c>
      <c r="C8" s="9" t="s">
        <v>24</v>
      </c>
      <c r="D8" s="183">
        <v>546.29999999999995</v>
      </c>
      <c r="E8" s="13">
        <v>57.12</v>
      </c>
      <c r="F8" s="13">
        <v>71.400000000000006</v>
      </c>
      <c r="G8" s="13">
        <v>85.7</v>
      </c>
      <c r="H8" s="54">
        <v>85.7</v>
      </c>
      <c r="I8" s="58">
        <v>85.7</v>
      </c>
      <c r="J8" s="58">
        <v>85.7</v>
      </c>
      <c r="K8" s="58">
        <v>85.7</v>
      </c>
      <c r="L8" s="58">
        <v>85.7</v>
      </c>
      <c r="M8" s="58">
        <v>85.7</v>
      </c>
      <c r="N8" s="17">
        <f>M8</f>
        <v>85.7</v>
      </c>
      <c r="O8" s="17">
        <f>N8</f>
        <v>85.7</v>
      </c>
      <c r="P8" s="17">
        <f>N8</f>
        <v>85.7</v>
      </c>
      <c r="Q8" s="17">
        <f t="shared" ref="Q8:R12" si="0">N8</f>
        <v>85.7</v>
      </c>
      <c r="R8" s="17">
        <f t="shared" si="0"/>
        <v>85.7</v>
      </c>
    </row>
    <row r="9" spans="1:28" s="60" customFormat="1" ht="35.1" customHeight="1" x14ac:dyDescent="0.25">
      <c r="A9" s="137" t="s">
        <v>269</v>
      </c>
      <c r="B9" s="184" t="s">
        <v>56</v>
      </c>
      <c r="C9" s="55" t="s">
        <v>24</v>
      </c>
      <c r="D9" s="135">
        <v>80</v>
      </c>
      <c r="E9" s="54">
        <v>75</v>
      </c>
      <c r="F9" s="54">
        <v>75</v>
      </c>
      <c r="G9" s="54">
        <v>75</v>
      </c>
      <c r="H9" s="54">
        <v>85</v>
      </c>
      <c r="I9" s="54">
        <v>85</v>
      </c>
      <c r="J9" s="54">
        <v>85</v>
      </c>
      <c r="K9" s="54">
        <v>85</v>
      </c>
      <c r="L9" s="54">
        <v>85</v>
      </c>
      <c r="M9" s="54">
        <v>85</v>
      </c>
      <c r="N9" s="17">
        <f t="shared" ref="N9:O28" si="1">M9</f>
        <v>85</v>
      </c>
      <c r="O9" s="17">
        <f>N9</f>
        <v>85</v>
      </c>
      <c r="P9" s="17">
        <f>N9</f>
        <v>85</v>
      </c>
      <c r="Q9" s="17">
        <f t="shared" si="0"/>
        <v>85</v>
      </c>
      <c r="R9" s="17">
        <f t="shared" si="0"/>
        <v>85</v>
      </c>
      <c r="S9" s="185"/>
    </row>
    <row r="10" spans="1:28" ht="35.1" customHeight="1" x14ac:dyDescent="0.25">
      <c r="A10" s="7" t="s">
        <v>270</v>
      </c>
      <c r="B10" s="186" t="s">
        <v>58</v>
      </c>
      <c r="C10" s="9" t="s">
        <v>59</v>
      </c>
      <c r="D10" s="9" t="s">
        <v>54</v>
      </c>
      <c r="E10" s="13">
        <v>9</v>
      </c>
      <c r="F10" s="187">
        <v>8</v>
      </c>
      <c r="G10" s="187">
        <v>8</v>
      </c>
      <c r="H10" s="54">
        <v>8</v>
      </c>
      <c r="I10" s="58">
        <v>8</v>
      </c>
      <c r="J10" s="58">
        <v>8</v>
      </c>
      <c r="K10" s="58">
        <v>8</v>
      </c>
      <c r="L10" s="58">
        <v>8</v>
      </c>
      <c r="M10" s="58">
        <v>8</v>
      </c>
      <c r="N10" s="17">
        <f t="shared" si="1"/>
        <v>8</v>
      </c>
      <c r="O10" s="17">
        <f>N10</f>
        <v>8</v>
      </c>
      <c r="P10" s="17">
        <f>N10</f>
        <v>8</v>
      </c>
      <c r="Q10" s="17">
        <f t="shared" si="0"/>
        <v>8</v>
      </c>
      <c r="R10" s="17">
        <f t="shared" si="0"/>
        <v>8</v>
      </c>
    </row>
    <row r="11" spans="1:28" ht="35.1" customHeight="1" x14ac:dyDescent="0.25">
      <c r="A11" s="7" t="s">
        <v>272</v>
      </c>
      <c r="B11" s="186" t="s">
        <v>61</v>
      </c>
      <c r="C11" s="9" t="s">
        <v>24</v>
      </c>
      <c r="D11" s="9"/>
      <c r="E11" s="13">
        <v>100</v>
      </c>
      <c r="F11" s="187">
        <v>100</v>
      </c>
      <c r="G11" s="187">
        <v>100</v>
      </c>
      <c r="H11" s="54">
        <v>100</v>
      </c>
      <c r="I11" s="58">
        <v>100</v>
      </c>
      <c r="J11" s="58">
        <v>100</v>
      </c>
      <c r="K11" s="58">
        <v>100</v>
      </c>
      <c r="L11" s="58">
        <v>100</v>
      </c>
      <c r="M11" s="58">
        <v>100</v>
      </c>
      <c r="N11" s="17">
        <f t="shared" si="1"/>
        <v>100</v>
      </c>
      <c r="O11" s="17">
        <f>N11</f>
        <v>100</v>
      </c>
      <c r="P11" s="17">
        <f>N11</f>
        <v>100</v>
      </c>
      <c r="Q11" s="17">
        <f t="shared" si="0"/>
        <v>100</v>
      </c>
      <c r="R11" s="17">
        <f t="shared" si="0"/>
        <v>100</v>
      </c>
    </row>
    <row r="12" spans="1:28" ht="35.1" customHeight="1" x14ac:dyDescent="0.25">
      <c r="A12" s="7" t="s">
        <v>357</v>
      </c>
      <c r="B12" s="186" t="s">
        <v>63</v>
      </c>
      <c r="C12" s="9" t="s">
        <v>59</v>
      </c>
      <c r="D12" s="9" t="s">
        <v>54</v>
      </c>
      <c r="E12" s="13">
        <v>6</v>
      </c>
      <c r="F12" s="187">
        <v>7</v>
      </c>
      <c r="G12" s="187">
        <v>7</v>
      </c>
      <c r="H12" s="54">
        <v>7</v>
      </c>
      <c r="I12" s="54">
        <v>7</v>
      </c>
      <c r="J12" s="54">
        <v>7</v>
      </c>
      <c r="K12" s="54">
        <v>7</v>
      </c>
      <c r="L12" s="54">
        <v>7</v>
      </c>
      <c r="M12" s="54">
        <v>7</v>
      </c>
      <c r="N12" s="17">
        <f t="shared" si="1"/>
        <v>7</v>
      </c>
      <c r="O12" s="17">
        <f>N12</f>
        <v>7</v>
      </c>
      <c r="P12" s="17">
        <f>N12</f>
        <v>7</v>
      </c>
      <c r="Q12" s="17">
        <f t="shared" si="0"/>
        <v>7</v>
      </c>
      <c r="R12" s="17">
        <f t="shared" si="0"/>
        <v>7</v>
      </c>
    </row>
    <row r="13" spans="1:28" ht="35.1" customHeight="1" x14ac:dyDescent="0.25">
      <c r="A13" s="466" t="s">
        <v>358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8"/>
    </row>
    <row r="14" spans="1:28" ht="31.5" x14ac:dyDescent="0.25">
      <c r="A14" s="7" t="s">
        <v>359</v>
      </c>
      <c r="B14" s="186" t="s">
        <v>66</v>
      </c>
      <c r="C14" s="10" t="s">
        <v>24</v>
      </c>
      <c r="D14" s="10">
        <v>1.96</v>
      </c>
      <c r="E14" s="13">
        <v>87.5</v>
      </c>
      <c r="F14" s="187">
        <v>100</v>
      </c>
      <c r="G14" s="187">
        <v>100</v>
      </c>
      <c r="H14" s="54">
        <v>100</v>
      </c>
      <c r="I14" s="58">
        <v>100</v>
      </c>
      <c r="J14" s="58">
        <v>100</v>
      </c>
      <c r="K14" s="58">
        <v>100</v>
      </c>
      <c r="L14" s="58">
        <v>100</v>
      </c>
      <c r="M14" s="58">
        <v>100</v>
      </c>
      <c r="N14" s="15">
        <f t="shared" si="1"/>
        <v>100</v>
      </c>
      <c r="O14" s="17">
        <f>N14</f>
        <v>100</v>
      </c>
      <c r="P14" s="17">
        <f t="shared" ref="P14:P23" si="2">N14</f>
        <v>100</v>
      </c>
      <c r="Q14" s="17">
        <f t="shared" ref="Q14:R23" si="3">N14</f>
        <v>100</v>
      </c>
      <c r="R14" s="17">
        <f t="shared" si="3"/>
        <v>100</v>
      </c>
    </row>
    <row r="15" spans="1:28" ht="31.5" x14ac:dyDescent="0.25">
      <c r="A15" s="7" t="s">
        <v>360</v>
      </c>
      <c r="B15" s="186" t="s">
        <v>68</v>
      </c>
      <c r="C15" s="9" t="s">
        <v>24</v>
      </c>
      <c r="D15" s="17">
        <v>2.34</v>
      </c>
      <c r="E15" s="13">
        <v>85</v>
      </c>
      <c r="F15" s="187">
        <v>89</v>
      </c>
      <c r="G15" s="187">
        <v>90</v>
      </c>
      <c r="H15" s="54">
        <v>90</v>
      </c>
      <c r="I15" s="58">
        <v>95</v>
      </c>
      <c r="J15" s="58">
        <v>95</v>
      </c>
      <c r="K15" s="58">
        <v>95</v>
      </c>
      <c r="L15" s="58">
        <v>95</v>
      </c>
      <c r="M15" s="58">
        <v>95</v>
      </c>
      <c r="N15" s="15">
        <f t="shared" si="1"/>
        <v>95</v>
      </c>
      <c r="O15" s="17">
        <f t="shared" si="1"/>
        <v>95</v>
      </c>
      <c r="P15" s="17">
        <f t="shared" si="2"/>
        <v>95</v>
      </c>
      <c r="Q15" s="17">
        <f t="shared" si="3"/>
        <v>95</v>
      </c>
      <c r="R15" s="17">
        <f t="shared" si="3"/>
        <v>95</v>
      </c>
    </row>
    <row r="16" spans="1:28" ht="63" x14ac:dyDescent="0.25">
      <c r="A16" s="7" t="s">
        <v>361</v>
      </c>
      <c r="B16" s="186" t="s">
        <v>70</v>
      </c>
      <c r="C16" s="9" t="s">
        <v>24</v>
      </c>
      <c r="D16" s="17"/>
      <c r="E16" s="13">
        <v>10.199999999999999</v>
      </c>
      <c r="F16" s="187">
        <v>10.1</v>
      </c>
      <c r="G16" s="187">
        <v>10.1</v>
      </c>
      <c r="H16" s="54">
        <v>9.1</v>
      </c>
      <c r="I16" s="58">
        <v>9.5</v>
      </c>
      <c r="J16" s="58">
        <v>10.1</v>
      </c>
      <c r="K16" s="58">
        <v>10.1</v>
      </c>
      <c r="L16" s="58">
        <v>10.1</v>
      </c>
      <c r="M16" s="58">
        <v>10.1</v>
      </c>
      <c r="N16" s="15">
        <f t="shared" si="1"/>
        <v>10.1</v>
      </c>
      <c r="O16" s="17">
        <f t="shared" si="1"/>
        <v>10.1</v>
      </c>
      <c r="P16" s="17">
        <f t="shared" si="2"/>
        <v>10.1</v>
      </c>
      <c r="Q16" s="17">
        <f t="shared" si="3"/>
        <v>10.1</v>
      </c>
      <c r="R16" s="17">
        <f t="shared" si="3"/>
        <v>10.1</v>
      </c>
    </row>
    <row r="17" spans="1:23" ht="63" x14ac:dyDescent="0.25">
      <c r="A17" s="7" t="s">
        <v>362</v>
      </c>
      <c r="B17" s="186" t="s">
        <v>72</v>
      </c>
      <c r="C17" s="9" t="s">
        <v>24</v>
      </c>
      <c r="D17" s="17"/>
      <c r="E17" s="13">
        <v>1.1299999999999999</v>
      </c>
      <c r="F17" s="187">
        <v>1.57</v>
      </c>
      <c r="G17" s="187">
        <v>1.72</v>
      </c>
      <c r="H17" s="54">
        <v>1.86</v>
      </c>
      <c r="I17" s="54">
        <v>1.87</v>
      </c>
      <c r="J17" s="54">
        <v>1.9</v>
      </c>
      <c r="K17" s="54">
        <v>1.9</v>
      </c>
      <c r="L17" s="54">
        <v>1.9</v>
      </c>
      <c r="M17" s="54">
        <v>1.9</v>
      </c>
      <c r="N17" s="15">
        <f t="shared" si="1"/>
        <v>1.9</v>
      </c>
      <c r="O17" s="17">
        <f t="shared" si="1"/>
        <v>1.9</v>
      </c>
      <c r="P17" s="17">
        <f t="shared" si="2"/>
        <v>1.9</v>
      </c>
      <c r="Q17" s="17">
        <f t="shared" si="3"/>
        <v>1.9</v>
      </c>
      <c r="R17" s="17">
        <f t="shared" si="3"/>
        <v>1.9</v>
      </c>
    </row>
    <row r="18" spans="1:23" ht="47.25" x14ac:dyDescent="0.25">
      <c r="A18" s="7" t="s">
        <v>363</v>
      </c>
      <c r="B18" s="186" t="s">
        <v>74</v>
      </c>
      <c r="C18" s="9" t="s">
        <v>24</v>
      </c>
      <c r="D18" s="17"/>
      <c r="E18" s="13">
        <v>39</v>
      </c>
      <c r="F18" s="13">
        <v>41</v>
      </c>
      <c r="G18" s="13">
        <v>41</v>
      </c>
      <c r="H18" s="54">
        <v>42.5</v>
      </c>
      <c r="I18" s="58">
        <v>48.8</v>
      </c>
      <c r="J18" s="58">
        <v>50.2</v>
      </c>
      <c r="K18" s="58">
        <v>50.2</v>
      </c>
      <c r="L18" s="58">
        <v>50.2</v>
      </c>
      <c r="M18" s="58">
        <v>50.2</v>
      </c>
      <c r="N18" s="15">
        <f t="shared" si="1"/>
        <v>50.2</v>
      </c>
      <c r="O18" s="17">
        <f t="shared" si="1"/>
        <v>50.2</v>
      </c>
      <c r="P18" s="17">
        <f t="shared" si="2"/>
        <v>50.2</v>
      </c>
      <c r="Q18" s="17">
        <f t="shared" si="3"/>
        <v>50.2</v>
      </c>
      <c r="R18" s="17">
        <f t="shared" si="3"/>
        <v>50.2</v>
      </c>
    </row>
    <row r="19" spans="1:23" ht="63" x14ac:dyDescent="0.25">
      <c r="A19" s="7" t="s">
        <v>364</v>
      </c>
      <c r="B19" s="182" t="s">
        <v>76</v>
      </c>
      <c r="C19" s="10" t="s">
        <v>24</v>
      </c>
      <c r="D19" s="17"/>
      <c r="E19" s="13">
        <v>1.96</v>
      </c>
      <c r="F19" s="13">
        <v>0</v>
      </c>
      <c r="G19" s="13">
        <v>0</v>
      </c>
      <c r="H19" s="54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15">
        <f t="shared" si="1"/>
        <v>0</v>
      </c>
      <c r="O19" s="17">
        <f t="shared" si="1"/>
        <v>0</v>
      </c>
      <c r="P19" s="17">
        <f t="shared" si="2"/>
        <v>0</v>
      </c>
      <c r="Q19" s="17">
        <f t="shared" si="3"/>
        <v>0</v>
      </c>
      <c r="R19" s="17">
        <f t="shared" si="3"/>
        <v>0</v>
      </c>
    </row>
    <row r="20" spans="1:23" ht="47.25" x14ac:dyDescent="0.25">
      <c r="A20" s="7" t="s">
        <v>365</v>
      </c>
      <c r="B20" s="182" t="s">
        <v>78</v>
      </c>
      <c r="C20" s="10" t="s">
        <v>24</v>
      </c>
      <c r="D20" s="17"/>
      <c r="E20" s="13">
        <v>93.4</v>
      </c>
      <c r="F20" s="54">
        <v>93.5</v>
      </c>
      <c r="G20" s="54">
        <v>93.5</v>
      </c>
      <c r="H20" s="54">
        <v>93.5</v>
      </c>
      <c r="I20" s="58">
        <v>95</v>
      </c>
      <c r="J20" s="58">
        <v>95</v>
      </c>
      <c r="K20" s="58">
        <v>95</v>
      </c>
      <c r="L20" s="58">
        <v>95</v>
      </c>
      <c r="M20" s="58">
        <v>95</v>
      </c>
      <c r="N20" s="15">
        <f t="shared" si="1"/>
        <v>95</v>
      </c>
      <c r="O20" s="17">
        <f t="shared" si="1"/>
        <v>95</v>
      </c>
      <c r="P20" s="17">
        <f t="shared" si="2"/>
        <v>95</v>
      </c>
      <c r="Q20" s="17">
        <f t="shared" si="3"/>
        <v>95</v>
      </c>
      <c r="R20" s="17">
        <f t="shared" si="3"/>
        <v>95</v>
      </c>
    </row>
    <row r="21" spans="1:23" ht="47.25" x14ac:dyDescent="0.25">
      <c r="A21" s="7" t="s">
        <v>366</v>
      </c>
      <c r="B21" s="182" t="s">
        <v>80</v>
      </c>
      <c r="C21" s="10" t="s">
        <v>24</v>
      </c>
      <c r="D21" s="17"/>
      <c r="E21" s="13">
        <v>92</v>
      </c>
      <c r="F21" s="54">
        <v>92</v>
      </c>
      <c r="G21" s="58">
        <v>92</v>
      </c>
      <c r="H21" s="58">
        <v>92</v>
      </c>
      <c r="I21" s="58">
        <v>92</v>
      </c>
      <c r="J21" s="58">
        <v>92</v>
      </c>
      <c r="K21" s="58">
        <v>92</v>
      </c>
      <c r="L21" s="58">
        <v>92</v>
      </c>
      <c r="M21" s="58">
        <v>92</v>
      </c>
      <c r="N21" s="15">
        <f t="shared" si="1"/>
        <v>92</v>
      </c>
      <c r="O21" s="17">
        <f t="shared" si="1"/>
        <v>92</v>
      </c>
      <c r="P21" s="17">
        <f t="shared" si="2"/>
        <v>92</v>
      </c>
      <c r="Q21" s="17">
        <f t="shared" si="3"/>
        <v>92</v>
      </c>
      <c r="R21" s="17">
        <f t="shared" si="3"/>
        <v>92</v>
      </c>
    </row>
    <row r="22" spans="1:23" ht="31.5" x14ac:dyDescent="0.25">
      <c r="A22" s="7" t="s">
        <v>367</v>
      </c>
      <c r="B22" s="186" t="s">
        <v>82</v>
      </c>
      <c r="C22" s="51" t="s">
        <v>24</v>
      </c>
      <c r="D22" s="17"/>
      <c r="E22" s="13">
        <v>96</v>
      </c>
      <c r="F22" s="187">
        <v>96.5</v>
      </c>
      <c r="G22" s="17">
        <v>97</v>
      </c>
      <c r="H22" s="58">
        <v>97</v>
      </c>
      <c r="I22" s="58">
        <v>98</v>
      </c>
      <c r="J22" s="58">
        <v>98</v>
      </c>
      <c r="K22" s="58">
        <v>98</v>
      </c>
      <c r="L22" s="58">
        <v>98</v>
      </c>
      <c r="M22" s="58">
        <v>98</v>
      </c>
      <c r="N22" s="15">
        <f t="shared" si="1"/>
        <v>98</v>
      </c>
      <c r="O22" s="17">
        <f t="shared" si="1"/>
        <v>98</v>
      </c>
      <c r="P22" s="17">
        <f t="shared" si="2"/>
        <v>98</v>
      </c>
      <c r="Q22" s="17">
        <f t="shared" si="3"/>
        <v>98</v>
      </c>
      <c r="R22" s="17">
        <f t="shared" si="3"/>
        <v>98</v>
      </c>
    </row>
    <row r="23" spans="1:23" ht="94.5" x14ac:dyDescent="0.25">
      <c r="A23" s="7" t="s">
        <v>368</v>
      </c>
      <c r="B23" s="182" t="s">
        <v>84</v>
      </c>
      <c r="C23" s="51" t="s">
        <v>24</v>
      </c>
      <c r="D23" s="17"/>
      <c r="E23" s="13">
        <v>2.5</v>
      </c>
      <c r="F23" s="187">
        <v>3</v>
      </c>
      <c r="G23" s="17">
        <v>3.4</v>
      </c>
      <c r="H23" s="58">
        <v>2.4</v>
      </c>
      <c r="I23" s="58">
        <v>2.8</v>
      </c>
      <c r="J23" s="58">
        <v>2.8</v>
      </c>
      <c r="K23" s="58">
        <v>2.8</v>
      </c>
      <c r="L23" s="58">
        <v>2.8</v>
      </c>
      <c r="M23" s="58">
        <v>2.8</v>
      </c>
      <c r="N23" s="15">
        <f t="shared" si="1"/>
        <v>2.8</v>
      </c>
      <c r="O23" s="17">
        <f t="shared" si="1"/>
        <v>2.8</v>
      </c>
      <c r="P23" s="17">
        <f t="shared" si="2"/>
        <v>2.8</v>
      </c>
      <c r="Q23" s="17">
        <f t="shared" si="3"/>
        <v>2.8</v>
      </c>
      <c r="R23" s="17">
        <f t="shared" si="3"/>
        <v>2.8</v>
      </c>
    </row>
    <row r="24" spans="1:23" ht="39" customHeight="1" x14ac:dyDescent="0.25">
      <c r="A24" s="374" t="s">
        <v>369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</row>
    <row r="25" spans="1:23" ht="31.5" x14ac:dyDescent="0.25">
      <c r="A25" s="25" t="s">
        <v>370</v>
      </c>
      <c r="B25" s="186" t="s">
        <v>87</v>
      </c>
      <c r="C25" s="9" t="s">
        <v>24</v>
      </c>
      <c r="D25" s="10"/>
      <c r="E25" s="13">
        <v>75</v>
      </c>
      <c r="F25" s="187">
        <v>75</v>
      </c>
      <c r="G25" s="13">
        <v>75</v>
      </c>
      <c r="H25" s="54">
        <v>93</v>
      </c>
      <c r="I25" s="54">
        <v>93.2</v>
      </c>
      <c r="J25" s="54">
        <v>75</v>
      </c>
      <c r="K25" s="54">
        <v>75</v>
      </c>
      <c r="L25" s="54">
        <v>75</v>
      </c>
      <c r="M25" s="54">
        <v>72</v>
      </c>
      <c r="N25" s="15">
        <v>74</v>
      </c>
      <c r="O25" s="13">
        <v>74</v>
      </c>
      <c r="P25" s="13">
        <f>N25</f>
        <v>74</v>
      </c>
      <c r="Q25" s="13">
        <f t="shared" ref="Q25:R28" si="4">N25</f>
        <v>74</v>
      </c>
      <c r="R25" s="13">
        <f t="shared" si="4"/>
        <v>74</v>
      </c>
      <c r="S25" s="188"/>
      <c r="T25" s="188"/>
      <c r="U25" s="188"/>
      <c r="V25" s="188"/>
      <c r="W25" s="188"/>
    </row>
    <row r="26" spans="1:23" ht="31.5" x14ac:dyDescent="0.25">
      <c r="A26" s="25" t="s">
        <v>371</v>
      </c>
      <c r="B26" s="184" t="s">
        <v>372</v>
      </c>
      <c r="C26" s="9" t="s">
        <v>24</v>
      </c>
      <c r="D26" s="10"/>
      <c r="E26" s="13">
        <v>67</v>
      </c>
      <c r="F26" s="187">
        <v>70</v>
      </c>
      <c r="G26" s="13">
        <v>72</v>
      </c>
      <c r="H26" s="54">
        <v>95</v>
      </c>
      <c r="I26" s="54">
        <v>95</v>
      </c>
      <c r="J26" s="54">
        <v>96</v>
      </c>
      <c r="K26" s="54">
        <v>97</v>
      </c>
      <c r="L26" s="54">
        <v>97</v>
      </c>
      <c r="M26" s="54">
        <v>97</v>
      </c>
      <c r="N26" s="15">
        <f t="shared" si="1"/>
        <v>97</v>
      </c>
      <c r="O26" s="13">
        <f>N26</f>
        <v>97</v>
      </c>
      <c r="P26" s="13">
        <f>N26</f>
        <v>97</v>
      </c>
      <c r="Q26" s="13">
        <f t="shared" si="4"/>
        <v>97</v>
      </c>
      <c r="R26" s="13">
        <f t="shared" si="4"/>
        <v>97</v>
      </c>
      <c r="S26" s="188"/>
      <c r="T26" s="188"/>
      <c r="U26" s="188"/>
      <c r="V26" s="188"/>
      <c r="W26" s="188"/>
    </row>
    <row r="27" spans="1:23" ht="47.25" x14ac:dyDescent="0.25">
      <c r="A27" s="25" t="s">
        <v>373</v>
      </c>
      <c r="B27" s="182" t="s">
        <v>374</v>
      </c>
      <c r="C27" s="9" t="s">
        <v>24</v>
      </c>
      <c r="D27" s="10">
        <v>78.400000000000006</v>
      </c>
      <c r="E27" s="13">
        <v>81</v>
      </c>
      <c r="F27" s="13">
        <v>83</v>
      </c>
      <c r="G27" s="13">
        <v>85</v>
      </c>
      <c r="H27" s="54">
        <v>85</v>
      </c>
      <c r="I27" s="54">
        <v>85</v>
      </c>
      <c r="J27" s="54">
        <v>85</v>
      </c>
      <c r="K27" s="54">
        <v>85</v>
      </c>
      <c r="L27" s="54">
        <v>85</v>
      </c>
      <c r="M27" s="54">
        <v>85</v>
      </c>
      <c r="N27" s="15">
        <f t="shared" si="1"/>
        <v>85</v>
      </c>
      <c r="O27" s="13">
        <f>N27</f>
        <v>85</v>
      </c>
      <c r="P27" s="13">
        <f>N27</f>
        <v>85</v>
      </c>
      <c r="Q27" s="13">
        <f t="shared" si="4"/>
        <v>85</v>
      </c>
      <c r="R27" s="13">
        <f t="shared" si="4"/>
        <v>85</v>
      </c>
    </row>
    <row r="28" spans="1:23" ht="31.5" x14ac:dyDescent="0.25">
      <c r="A28" s="25" t="s">
        <v>375</v>
      </c>
      <c r="B28" s="182" t="s">
        <v>91</v>
      </c>
      <c r="C28" s="9" t="s">
        <v>24</v>
      </c>
      <c r="D28" s="10"/>
      <c r="E28" s="13">
        <v>15</v>
      </c>
      <c r="F28" s="187">
        <v>15</v>
      </c>
      <c r="G28" s="13">
        <v>16.5</v>
      </c>
      <c r="H28" s="54">
        <v>18.3</v>
      </c>
      <c r="I28" s="54">
        <v>19.100000000000001</v>
      </c>
      <c r="J28" s="54">
        <v>19.5</v>
      </c>
      <c r="K28" s="54">
        <v>19.5</v>
      </c>
      <c r="L28" s="54">
        <v>19.5</v>
      </c>
      <c r="M28" s="54">
        <v>19.5</v>
      </c>
      <c r="N28" s="15">
        <f t="shared" si="1"/>
        <v>19.5</v>
      </c>
      <c r="O28" s="13">
        <f>N28</f>
        <v>19.5</v>
      </c>
      <c r="P28" s="13">
        <f>N28</f>
        <v>19.5</v>
      </c>
      <c r="Q28" s="13">
        <f t="shared" si="4"/>
        <v>19.5</v>
      </c>
      <c r="R28" s="13">
        <f t="shared" si="4"/>
        <v>19.5</v>
      </c>
    </row>
    <row r="29" spans="1:23" ht="47.25" x14ac:dyDescent="0.25">
      <c r="A29" s="25" t="s">
        <v>376</v>
      </c>
      <c r="B29" s="182" t="s">
        <v>377</v>
      </c>
      <c r="C29" s="9" t="s">
        <v>24</v>
      </c>
      <c r="D29" s="10"/>
      <c r="E29" s="13"/>
      <c r="F29" s="13"/>
      <c r="G29" s="13"/>
      <c r="H29" s="13"/>
      <c r="I29" s="13"/>
      <c r="J29" s="13"/>
      <c r="K29" s="13">
        <v>25</v>
      </c>
      <c r="L29" s="13">
        <v>14.92</v>
      </c>
      <c r="M29" s="13">
        <v>16.440000000000001</v>
      </c>
      <c r="N29" s="15">
        <v>17.41</v>
      </c>
      <c r="O29" s="13">
        <v>18.38</v>
      </c>
      <c r="P29" s="13">
        <v>20.399999999999999</v>
      </c>
      <c r="Q29" s="13">
        <v>20.399999999999999</v>
      </c>
      <c r="R29" s="13">
        <v>20.399999999999999</v>
      </c>
    </row>
    <row r="30" spans="1:23" ht="34.5" customHeight="1" x14ac:dyDescent="0.25">
      <c r="A30" s="374" t="s">
        <v>378</v>
      </c>
      <c r="B30" s="374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</row>
    <row r="31" spans="1:23" ht="31.5" x14ac:dyDescent="0.25">
      <c r="A31" s="25" t="s">
        <v>379</v>
      </c>
      <c r="B31" s="182" t="s">
        <v>380</v>
      </c>
      <c r="C31" s="9" t="s">
        <v>24</v>
      </c>
      <c r="D31" s="10"/>
      <c r="E31" s="13"/>
      <c r="F31" s="13"/>
      <c r="G31" s="13"/>
      <c r="H31" s="13"/>
      <c r="I31" s="13"/>
      <c r="J31" s="13"/>
      <c r="K31" s="13"/>
      <c r="L31" s="13">
        <v>100</v>
      </c>
      <c r="M31" s="13">
        <v>100</v>
      </c>
      <c r="N31" s="15">
        <v>100</v>
      </c>
      <c r="O31" s="13">
        <v>100</v>
      </c>
      <c r="P31" s="13">
        <v>100</v>
      </c>
      <c r="Q31" s="13">
        <v>100</v>
      </c>
      <c r="R31" s="13">
        <v>100</v>
      </c>
    </row>
    <row r="32" spans="1:23" ht="47.25" x14ac:dyDescent="0.25">
      <c r="A32" s="25" t="s">
        <v>381</v>
      </c>
      <c r="B32" s="182" t="s">
        <v>382</v>
      </c>
      <c r="C32" s="9" t="s">
        <v>118</v>
      </c>
      <c r="D32" s="10"/>
      <c r="E32" s="13"/>
      <c r="F32" s="13"/>
      <c r="G32" s="13"/>
      <c r="H32" s="13"/>
      <c r="I32" s="13"/>
      <c r="J32" s="13"/>
      <c r="K32" s="13"/>
      <c r="L32" s="13">
        <v>568</v>
      </c>
      <c r="M32" s="13">
        <v>419</v>
      </c>
      <c r="N32" s="15">
        <v>299</v>
      </c>
      <c r="O32" s="13">
        <v>371</v>
      </c>
      <c r="P32" s="13">
        <v>371</v>
      </c>
      <c r="Q32" s="13">
        <v>371</v>
      </c>
      <c r="R32" s="13">
        <v>371</v>
      </c>
    </row>
    <row r="33" spans="1:18" ht="63" x14ac:dyDescent="0.25">
      <c r="A33" s="25" t="s">
        <v>383</v>
      </c>
      <c r="B33" s="182" t="s">
        <v>384</v>
      </c>
      <c r="C33" s="9" t="s">
        <v>118</v>
      </c>
      <c r="D33" s="10"/>
      <c r="E33" s="13"/>
      <c r="F33" s="13"/>
      <c r="G33" s="13"/>
      <c r="H33" s="13"/>
      <c r="I33" s="13"/>
      <c r="J33" s="13"/>
      <c r="K33" s="13"/>
      <c r="L33" s="13">
        <v>65</v>
      </c>
      <c r="M33" s="13">
        <v>6</v>
      </c>
      <c r="N33" s="15">
        <v>6</v>
      </c>
      <c r="O33" s="13">
        <v>6</v>
      </c>
      <c r="P33" s="13">
        <v>6</v>
      </c>
      <c r="Q33" s="13">
        <v>6</v>
      </c>
      <c r="R33" s="13">
        <v>6</v>
      </c>
    </row>
    <row r="34" spans="1:18" x14ac:dyDescent="0.25">
      <c r="A34" s="141"/>
      <c r="B34" s="142"/>
      <c r="C34" s="143"/>
      <c r="D34" s="144"/>
      <c r="E34" s="144"/>
      <c r="F34" s="144"/>
      <c r="G34" s="144"/>
      <c r="H34" s="145"/>
      <c r="I34" s="145"/>
      <c r="J34" s="145"/>
    </row>
    <row r="35" spans="1:18" x14ac:dyDescent="0.25">
      <c r="A35" s="141"/>
      <c r="B35" s="142"/>
      <c r="C35" s="143"/>
      <c r="D35" s="144"/>
      <c r="E35" s="144"/>
      <c r="F35" s="144"/>
      <c r="G35" s="144"/>
      <c r="H35" s="145"/>
      <c r="I35" s="145"/>
      <c r="J35" s="145"/>
    </row>
    <row r="36" spans="1:18" ht="18.75" x14ac:dyDescent="0.3">
      <c r="A36" s="189" t="s">
        <v>163</v>
      </c>
      <c r="B36" s="189"/>
      <c r="C36" s="189"/>
      <c r="D36" s="190"/>
      <c r="E36" s="190"/>
      <c r="F36" s="190"/>
      <c r="G36" s="191"/>
      <c r="H36" s="192"/>
      <c r="I36" s="192"/>
      <c r="J36" s="193"/>
      <c r="L36" s="190"/>
      <c r="P36" s="190" t="s">
        <v>164</v>
      </c>
      <c r="Q36" s="190"/>
    </row>
  </sheetData>
  <mergeCells count="25">
    <mergeCell ref="I1:R1"/>
    <mergeCell ref="A2:J2"/>
    <mergeCell ref="A3:A5"/>
    <mergeCell ref="B3:B5"/>
    <mergeCell ref="C3:C5"/>
    <mergeCell ref="D3:D5"/>
    <mergeCell ref="E3:E5"/>
    <mergeCell ref="F3:F5"/>
    <mergeCell ref="G3:G5"/>
    <mergeCell ref="H3:H5"/>
    <mergeCell ref="A13:R13"/>
    <mergeCell ref="A24:R24"/>
    <mergeCell ref="A30:R30"/>
    <mergeCell ref="O3:O5"/>
    <mergeCell ref="P3:P5"/>
    <mergeCell ref="Q3:Q5"/>
    <mergeCell ref="R3:R5"/>
    <mergeCell ref="A6:R6"/>
    <mergeCell ref="A7:R7"/>
    <mergeCell ref="I3:I5"/>
    <mergeCell ref="J3:J5"/>
    <mergeCell ref="K3:K5"/>
    <mergeCell ref="L3:L5"/>
    <mergeCell ref="M3:M5"/>
    <mergeCell ref="N3:N5"/>
  </mergeCells>
  <pageMargins left="0.31496062992125984" right="0.31496062992125984" top="0.55118110236220474" bottom="0.35433070866141736" header="0.31496062992125984" footer="0.31496062992125984"/>
  <pageSetup paperSize="9" scale="59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225"/>
  <sheetViews>
    <sheetView view="pageBreakPreview" topLeftCell="G180" zoomScale="86" zoomScaleNormal="98" zoomScaleSheetLayoutView="86" workbookViewId="0">
      <selection activeCell="P195" sqref="P195"/>
    </sheetView>
  </sheetViews>
  <sheetFormatPr defaultColWidth="9.28515625" defaultRowHeight="18.75" x14ac:dyDescent="0.3"/>
  <cols>
    <col min="1" max="1" width="6.5703125" style="257" customWidth="1"/>
    <col min="2" max="2" width="54.5703125" style="260" customWidth="1"/>
    <col min="3" max="3" width="21.7109375" style="258" customWidth="1"/>
    <col min="4" max="4" width="9.42578125" style="258" bestFit="1" customWidth="1"/>
    <col min="5" max="5" width="9.28515625" style="258"/>
    <col min="6" max="6" width="14.85546875" style="258" customWidth="1"/>
    <col min="7" max="7" width="12.42578125" style="258" customWidth="1"/>
    <col min="8" max="8" width="14.28515625" style="258" customWidth="1"/>
    <col min="9" max="9" width="15" style="60" customWidth="1"/>
    <col min="10" max="10" width="14" style="60" customWidth="1"/>
    <col min="11" max="11" width="13.28515625" style="60" customWidth="1"/>
    <col min="12" max="12" width="13.7109375" style="60" customWidth="1"/>
    <col min="13" max="13" width="15.28515625" style="60" customWidth="1"/>
    <col min="14" max="14" width="13.42578125" style="60" customWidth="1"/>
    <col min="15" max="15" width="14.7109375" style="60" customWidth="1"/>
    <col min="16" max="21" width="16.28515625" style="60" customWidth="1"/>
    <col min="22" max="22" width="17.140625" style="259" customWidth="1"/>
    <col min="23" max="23" width="55.5703125" style="4" customWidth="1"/>
    <col min="24" max="24" width="12" style="4" customWidth="1"/>
    <col min="25" max="25" width="15.42578125" style="4" customWidth="1"/>
    <col min="26" max="26" width="21.28515625" style="4" customWidth="1"/>
    <col min="27" max="16384" width="9.28515625" style="4"/>
  </cols>
  <sheetData>
    <row r="1" spans="1:26" s="37" customFormat="1" ht="39" customHeight="1" x14ac:dyDescent="0.25">
      <c r="A1" s="194"/>
      <c r="B1" s="195"/>
      <c r="C1" s="196"/>
      <c r="D1" s="196"/>
      <c r="E1" s="196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502" t="s">
        <v>385</v>
      </c>
      <c r="S1" s="503"/>
      <c r="T1" s="503"/>
      <c r="U1" s="503"/>
      <c r="V1" s="503"/>
      <c r="W1" s="503"/>
      <c r="X1" s="5"/>
      <c r="Y1" s="5"/>
      <c r="Z1" s="5"/>
    </row>
    <row r="2" spans="1:26" s="37" customFormat="1" ht="23.25" customHeight="1" x14ac:dyDescent="0.25">
      <c r="A2" s="504" t="s">
        <v>275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197"/>
    </row>
    <row r="3" spans="1:26" s="37" customFormat="1" ht="24.75" customHeight="1" x14ac:dyDescent="0.25">
      <c r="A3" s="413" t="s">
        <v>2</v>
      </c>
      <c r="B3" s="479" t="s">
        <v>276</v>
      </c>
      <c r="C3" s="413" t="s">
        <v>189</v>
      </c>
      <c r="D3" s="413" t="s">
        <v>187</v>
      </c>
      <c r="E3" s="413"/>
      <c r="F3" s="413"/>
      <c r="G3" s="413"/>
      <c r="H3" s="413" t="s">
        <v>188</v>
      </c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362" t="s">
        <v>277</v>
      </c>
    </row>
    <row r="4" spans="1:26" s="37" customFormat="1" ht="42" customHeight="1" x14ac:dyDescent="0.25">
      <c r="A4" s="413"/>
      <c r="B4" s="479"/>
      <c r="C4" s="413"/>
      <c r="D4" s="57" t="s">
        <v>189</v>
      </c>
      <c r="E4" s="57" t="s">
        <v>190</v>
      </c>
      <c r="F4" s="57" t="s">
        <v>191</v>
      </c>
      <c r="G4" s="57" t="s">
        <v>192</v>
      </c>
      <c r="H4" s="57">
        <v>2014</v>
      </c>
      <c r="I4" s="57">
        <v>2015</v>
      </c>
      <c r="J4" s="57">
        <v>2016</v>
      </c>
      <c r="K4" s="57">
        <v>2017</v>
      </c>
      <c r="L4" s="57">
        <v>2018</v>
      </c>
      <c r="M4" s="57">
        <v>2019</v>
      </c>
      <c r="N4" s="57">
        <v>2020</v>
      </c>
      <c r="O4" s="57">
        <v>2021</v>
      </c>
      <c r="P4" s="57">
        <v>2022</v>
      </c>
      <c r="Q4" s="57">
        <v>2023</v>
      </c>
      <c r="R4" s="57">
        <v>2024</v>
      </c>
      <c r="S4" s="57">
        <v>2025</v>
      </c>
      <c r="T4" s="57">
        <v>2026</v>
      </c>
      <c r="U4" s="57">
        <v>2027</v>
      </c>
      <c r="V4" s="198" t="s">
        <v>193</v>
      </c>
      <c r="W4" s="362"/>
    </row>
    <row r="5" spans="1:26" ht="26.25" customHeight="1" x14ac:dyDescent="0.25">
      <c r="A5" s="374" t="s">
        <v>386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</row>
    <row r="6" spans="1:26" ht="24" customHeight="1" x14ac:dyDescent="0.25">
      <c r="A6" s="428" t="s">
        <v>387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</row>
    <row r="7" spans="1:26" s="147" customFormat="1" ht="79.5" customHeight="1" x14ac:dyDescent="0.25">
      <c r="A7" s="199" t="s">
        <v>52</v>
      </c>
      <c r="B7" s="200" t="s">
        <v>388</v>
      </c>
      <c r="C7" s="411" t="s">
        <v>199</v>
      </c>
      <c r="D7" s="201">
        <v>975</v>
      </c>
      <c r="E7" s="201" t="s">
        <v>389</v>
      </c>
      <c r="F7" s="201" t="s">
        <v>390</v>
      </c>
      <c r="G7" s="201" t="s">
        <v>391</v>
      </c>
      <c r="H7" s="202">
        <v>1103.3</v>
      </c>
      <c r="I7" s="202">
        <v>0</v>
      </c>
      <c r="J7" s="202">
        <v>0</v>
      </c>
      <c r="K7" s="202">
        <f>479.9+800+106.1</f>
        <v>1386</v>
      </c>
      <c r="L7" s="202"/>
      <c r="M7" s="202"/>
      <c r="N7" s="202"/>
      <c r="O7" s="202"/>
      <c r="P7" s="202">
        <f>O7</f>
        <v>0</v>
      </c>
      <c r="Q7" s="202">
        <f>P7</f>
        <v>0</v>
      </c>
      <c r="R7" s="202">
        <v>2389.4</v>
      </c>
      <c r="S7" s="202">
        <v>0</v>
      </c>
      <c r="T7" s="202">
        <f>S7</f>
        <v>0</v>
      </c>
      <c r="U7" s="202">
        <f>T7</f>
        <v>0</v>
      </c>
      <c r="V7" s="203">
        <f>SUM(H7:U7)</f>
        <v>4878.7000000000007</v>
      </c>
      <c r="W7" s="204" t="s">
        <v>392</v>
      </c>
      <c r="X7" s="205"/>
    </row>
    <row r="8" spans="1:26" s="147" customFormat="1" ht="79.5" customHeight="1" x14ac:dyDescent="0.25">
      <c r="A8" s="498" t="s">
        <v>55</v>
      </c>
      <c r="B8" s="200" t="s">
        <v>393</v>
      </c>
      <c r="C8" s="412"/>
      <c r="D8" s="201" t="s">
        <v>200</v>
      </c>
      <c r="E8" s="201" t="s">
        <v>389</v>
      </c>
      <c r="F8" s="206" t="s">
        <v>394</v>
      </c>
      <c r="G8" s="201" t="s">
        <v>286</v>
      </c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>
        <v>1168.5</v>
      </c>
      <c r="S8" s="202"/>
      <c r="T8" s="202"/>
      <c r="U8" s="202"/>
      <c r="V8" s="203">
        <f t="shared" ref="V8:V72" si="0">SUM(H8:U8)</f>
        <v>1168.5</v>
      </c>
      <c r="W8" s="204"/>
      <c r="X8" s="205"/>
    </row>
    <row r="9" spans="1:26" s="147" customFormat="1" ht="79.5" customHeight="1" x14ac:dyDescent="0.25">
      <c r="A9" s="497"/>
      <c r="B9" s="200" t="s">
        <v>395</v>
      </c>
      <c r="C9" s="476"/>
      <c r="D9" s="201" t="s">
        <v>200</v>
      </c>
      <c r="E9" s="201" t="s">
        <v>389</v>
      </c>
      <c r="F9" s="206" t="s">
        <v>396</v>
      </c>
      <c r="G9" s="201" t="s">
        <v>286</v>
      </c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>
        <v>61.5</v>
      </c>
      <c r="S9" s="202"/>
      <c r="T9" s="202"/>
      <c r="U9" s="202"/>
      <c r="V9" s="203">
        <f t="shared" si="0"/>
        <v>61.5</v>
      </c>
      <c r="W9" s="204"/>
      <c r="X9" s="205"/>
    </row>
    <row r="10" spans="1:26" ht="35.1" customHeight="1" x14ac:dyDescent="0.25">
      <c r="A10" s="500" t="s">
        <v>57</v>
      </c>
      <c r="B10" s="487" t="s">
        <v>397</v>
      </c>
      <c r="C10" s="411" t="s">
        <v>199</v>
      </c>
      <c r="D10" s="206" t="s">
        <v>200</v>
      </c>
      <c r="E10" s="206" t="s">
        <v>389</v>
      </c>
      <c r="F10" s="206" t="s">
        <v>398</v>
      </c>
      <c r="G10" s="206" t="s">
        <v>286</v>
      </c>
      <c r="H10" s="202">
        <v>2319.5</v>
      </c>
      <c r="I10" s="202">
        <v>6037.2</v>
      </c>
      <c r="J10" s="202">
        <v>3775.2</v>
      </c>
      <c r="K10" s="202">
        <v>6081.4</v>
      </c>
      <c r="L10" s="202">
        <v>2601.9</v>
      </c>
      <c r="M10" s="202">
        <v>2151.5</v>
      </c>
      <c r="N10" s="202">
        <v>296</v>
      </c>
      <c r="O10" s="202">
        <v>7297.3</v>
      </c>
      <c r="P10" s="202">
        <f>2659.3+197.3+284+1248.5+585</f>
        <v>4974.1000000000004</v>
      </c>
      <c r="Q10" s="207">
        <v>3106.8</v>
      </c>
      <c r="R10" s="208">
        <v>3940</v>
      </c>
      <c r="S10" s="202">
        <v>0</v>
      </c>
      <c r="T10" s="202">
        <v>0</v>
      </c>
      <c r="U10" s="202">
        <v>0</v>
      </c>
      <c r="V10" s="203">
        <v>42580.9</v>
      </c>
      <c r="W10" s="501" t="s">
        <v>688</v>
      </c>
    </row>
    <row r="11" spans="1:26" ht="35.1" customHeight="1" x14ac:dyDescent="0.25">
      <c r="A11" s="500"/>
      <c r="B11" s="488"/>
      <c r="C11" s="412"/>
      <c r="D11" s="206" t="s">
        <v>200</v>
      </c>
      <c r="E11" s="206" t="s">
        <v>389</v>
      </c>
      <c r="F11" s="206" t="s">
        <v>398</v>
      </c>
      <c r="G11" s="206" t="s">
        <v>288</v>
      </c>
      <c r="H11" s="202">
        <v>389.7</v>
      </c>
      <c r="I11" s="202">
        <v>590.1</v>
      </c>
      <c r="J11" s="202">
        <v>889.8</v>
      </c>
      <c r="K11" s="202">
        <f>407.7+80.2+100+235.4</f>
        <v>823.3</v>
      </c>
      <c r="L11" s="202">
        <v>1366.1</v>
      </c>
      <c r="M11" s="202">
        <v>687.2</v>
      </c>
      <c r="N11" s="202"/>
      <c r="O11" s="202">
        <v>2593.6</v>
      </c>
      <c r="P11" s="202">
        <v>5699</v>
      </c>
      <c r="Q11" s="207">
        <v>670.9</v>
      </c>
      <c r="R11" s="208">
        <v>1007.9</v>
      </c>
      <c r="S11" s="202">
        <v>0</v>
      </c>
      <c r="T11" s="202">
        <v>0</v>
      </c>
      <c r="U11" s="202">
        <v>0</v>
      </c>
      <c r="V11" s="203">
        <v>14717.6</v>
      </c>
      <c r="W11" s="501"/>
    </row>
    <row r="12" spans="1:26" ht="35.1" customHeight="1" x14ac:dyDescent="0.25">
      <c r="A12" s="500"/>
      <c r="B12" s="488"/>
      <c r="C12" s="412"/>
      <c r="D12" s="206" t="s">
        <v>200</v>
      </c>
      <c r="E12" s="206" t="s">
        <v>389</v>
      </c>
      <c r="F12" s="206" t="s">
        <v>398</v>
      </c>
      <c r="G12" s="206" t="s">
        <v>322</v>
      </c>
      <c r="H12" s="202"/>
      <c r="I12" s="202"/>
      <c r="J12" s="202"/>
      <c r="K12" s="202"/>
      <c r="L12" s="202">
        <v>612.20000000000005</v>
      </c>
      <c r="M12" s="202"/>
      <c r="N12" s="202"/>
      <c r="O12" s="202"/>
      <c r="P12" s="202">
        <f t="shared" ref="P12:U12" si="1">O12</f>
        <v>0</v>
      </c>
      <c r="Q12" s="202">
        <f t="shared" si="1"/>
        <v>0</v>
      </c>
      <c r="R12" s="202">
        <f t="shared" si="1"/>
        <v>0</v>
      </c>
      <c r="S12" s="202">
        <f t="shared" si="1"/>
        <v>0</v>
      </c>
      <c r="T12" s="202">
        <f t="shared" si="1"/>
        <v>0</v>
      </c>
      <c r="U12" s="202">
        <f t="shared" si="1"/>
        <v>0</v>
      </c>
      <c r="V12" s="203">
        <f t="shared" si="0"/>
        <v>612.20000000000005</v>
      </c>
      <c r="W12" s="501"/>
    </row>
    <row r="13" spans="1:26" ht="35.1" customHeight="1" x14ac:dyDescent="0.25">
      <c r="A13" s="500"/>
      <c r="B13" s="488"/>
      <c r="C13" s="412"/>
      <c r="D13" s="206" t="s">
        <v>200</v>
      </c>
      <c r="E13" s="206" t="s">
        <v>389</v>
      </c>
      <c r="F13" s="206" t="s">
        <v>399</v>
      </c>
      <c r="G13" s="206" t="s">
        <v>286</v>
      </c>
      <c r="H13" s="202">
        <v>0</v>
      </c>
      <c r="I13" s="202">
        <v>0</v>
      </c>
      <c r="J13" s="202">
        <v>531.20000000000005</v>
      </c>
      <c r="K13" s="202">
        <v>959.7</v>
      </c>
      <c r="L13" s="202">
        <v>486.3</v>
      </c>
      <c r="M13" s="202">
        <v>828.9</v>
      </c>
      <c r="N13" s="202">
        <v>598.5</v>
      </c>
      <c r="O13" s="202">
        <v>1102.5</v>
      </c>
      <c r="P13" s="202">
        <v>1484.5</v>
      </c>
      <c r="Q13" s="202">
        <v>1119.4000000000001</v>
      </c>
      <c r="R13" s="202">
        <v>1757.5</v>
      </c>
      <c r="S13" s="202">
        <v>0</v>
      </c>
      <c r="T13" s="202">
        <v>0</v>
      </c>
      <c r="U13" s="202">
        <v>0</v>
      </c>
      <c r="V13" s="203">
        <f t="shared" si="0"/>
        <v>8868.5</v>
      </c>
      <c r="W13" s="501"/>
    </row>
    <row r="14" spans="1:26" ht="35.1" customHeight="1" x14ac:dyDescent="0.25">
      <c r="A14" s="500"/>
      <c r="B14" s="488"/>
      <c r="C14" s="412"/>
      <c r="D14" s="206" t="s">
        <v>200</v>
      </c>
      <c r="E14" s="206" t="s">
        <v>389</v>
      </c>
      <c r="F14" s="206" t="s">
        <v>399</v>
      </c>
      <c r="G14" s="206" t="s">
        <v>288</v>
      </c>
      <c r="H14" s="202">
        <v>0</v>
      </c>
      <c r="I14" s="202">
        <v>0</v>
      </c>
      <c r="J14" s="202">
        <v>278.7</v>
      </c>
      <c r="K14" s="202">
        <v>0</v>
      </c>
      <c r="L14" s="202">
        <v>423</v>
      </c>
      <c r="M14" s="202">
        <v>94</v>
      </c>
      <c r="N14" s="202">
        <v>511.5</v>
      </c>
      <c r="O14" s="202">
        <v>157.5</v>
      </c>
      <c r="P14" s="202">
        <v>140.5</v>
      </c>
      <c r="Q14" s="202">
        <v>478.1</v>
      </c>
      <c r="R14" s="202">
        <v>0</v>
      </c>
      <c r="S14" s="202">
        <v>0</v>
      </c>
      <c r="T14" s="202">
        <v>0</v>
      </c>
      <c r="U14" s="202">
        <v>0</v>
      </c>
      <c r="V14" s="203">
        <f t="shared" si="0"/>
        <v>2083.3000000000002</v>
      </c>
      <c r="W14" s="501"/>
    </row>
    <row r="15" spans="1:26" ht="35.1" customHeight="1" x14ac:dyDescent="0.25">
      <c r="A15" s="500"/>
      <c r="B15" s="488"/>
      <c r="C15" s="412"/>
      <c r="D15" s="206" t="s">
        <v>200</v>
      </c>
      <c r="E15" s="206" t="s">
        <v>389</v>
      </c>
      <c r="F15" s="206" t="s">
        <v>400</v>
      </c>
      <c r="G15" s="206" t="s">
        <v>286</v>
      </c>
      <c r="H15" s="202"/>
      <c r="I15" s="202"/>
      <c r="J15" s="202"/>
      <c r="K15" s="202"/>
      <c r="L15" s="202"/>
      <c r="M15" s="202"/>
      <c r="N15" s="202"/>
      <c r="O15" s="202"/>
      <c r="P15" s="202">
        <v>4000</v>
      </c>
      <c r="Q15" s="202">
        <v>0</v>
      </c>
      <c r="R15" s="202">
        <v>0</v>
      </c>
      <c r="S15" s="202">
        <v>0</v>
      </c>
      <c r="T15" s="202">
        <v>0</v>
      </c>
      <c r="U15" s="202">
        <v>0</v>
      </c>
      <c r="V15" s="203">
        <f t="shared" si="0"/>
        <v>4000</v>
      </c>
      <c r="W15" s="501"/>
    </row>
    <row r="16" spans="1:26" ht="35.1" customHeight="1" x14ac:dyDescent="0.25">
      <c r="A16" s="500"/>
      <c r="B16" s="488"/>
      <c r="C16" s="412"/>
      <c r="D16" s="206" t="s">
        <v>200</v>
      </c>
      <c r="E16" s="206" t="s">
        <v>389</v>
      </c>
      <c r="F16" s="206" t="s">
        <v>401</v>
      </c>
      <c r="G16" s="206" t="s">
        <v>286</v>
      </c>
      <c r="H16" s="202"/>
      <c r="I16" s="202"/>
      <c r="J16" s="202"/>
      <c r="K16" s="202"/>
      <c r="L16" s="202"/>
      <c r="M16" s="202"/>
      <c r="N16" s="202"/>
      <c r="O16" s="202"/>
      <c r="P16" s="202">
        <v>170</v>
      </c>
      <c r="Q16" s="202">
        <v>0</v>
      </c>
      <c r="R16" s="202">
        <v>0</v>
      </c>
      <c r="S16" s="202">
        <v>0</v>
      </c>
      <c r="T16" s="202">
        <v>0</v>
      </c>
      <c r="U16" s="202">
        <v>0</v>
      </c>
      <c r="V16" s="203">
        <f t="shared" si="0"/>
        <v>170</v>
      </c>
      <c r="W16" s="501"/>
    </row>
    <row r="17" spans="1:23" ht="35.1" customHeight="1" x14ac:dyDescent="0.25">
      <c r="A17" s="500"/>
      <c r="B17" s="488"/>
      <c r="C17" s="412"/>
      <c r="D17" s="206" t="s">
        <v>200</v>
      </c>
      <c r="E17" s="206" t="s">
        <v>389</v>
      </c>
      <c r="F17" s="206" t="s">
        <v>402</v>
      </c>
      <c r="G17" s="206" t="s">
        <v>286</v>
      </c>
      <c r="H17" s="202">
        <v>0</v>
      </c>
      <c r="I17" s="202">
        <v>0</v>
      </c>
      <c r="J17" s="202">
        <v>106.2</v>
      </c>
      <c r="K17" s="202">
        <v>48</v>
      </c>
      <c r="L17" s="202"/>
      <c r="M17" s="202"/>
      <c r="N17" s="202">
        <v>55.5</v>
      </c>
      <c r="O17" s="202">
        <v>60</v>
      </c>
      <c r="P17" s="202">
        <v>65</v>
      </c>
      <c r="Q17" s="202">
        <v>87.5</v>
      </c>
      <c r="R17" s="202">
        <v>92.5</v>
      </c>
      <c r="S17" s="202">
        <v>0</v>
      </c>
      <c r="T17" s="202">
        <v>0</v>
      </c>
      <c r="U17" s="202">
        <v>0</v>
      </c>
      <c r="V17" s="203">
        <f t="shared" si="0"/>
        <v>514.70000000000005</v>
      </c>
      <c r="W17" s="501"/>
    </row>
    <row r="18" spans="1:23" ht="35.1" customHeight="1" x14ac:dyDescent="0.25">
      <c r="A18" s="500"/>
      <c r="B18" s="488"/>
      <c r="C18" s="412"/>
      <c r="D18" s="206" t="s">
        <v>200</v>
      </c>
      <c r="E18" s="206" t="s">
        <v>389</v>
      </c>
      <c r="F18" s="206" t="s">
        <v>402</v>
      </c>
      <c r="G18" s="206" t="s">
        <v>288</v>
      </c>
      <c r="H18" s="202">
        <v>0</v>
      </c>
      <c r="I18" s="202">
        <v>0</v>
      </c>
      <c r="J18" s="202">
        <v>55.8</v>
      </c>
      <c r="K18" s="202">
        <v>0</v>
      </c>
      <c r="L18" s="202">
        <v>46</v>
      </c>
      <c r="M18" s="202">
        <v>47.3</v>
      </c>
      <c r="N18" s="202">
        <v>3</v>
      </c>
      <c r="O18" s="202">
        <v>22.9</v>
      </c>
      <c r="P18" s="202">
        <v>0</v>
      </c>
      <c r="Q18" s="202">
        <v>0</v>
      </c>
      <c r="R18" s="202">
        <v>0</v>
      </c>
      <c r="S18" s="202">
        <v>2349.8000000000002</v>
      </c>
      <c r="T18" s="202">
        <v>2349.8000000000002</v>
      </c>
      <c r="U18" s="202">
        <v>2349.8000000000002</v>
      </c>
      <c r="V18" s="203">
        <f t="shared" si="0"/>
        <v>7224.4000000000005</v>
      </c>
      <c r="W18" s="501"/>
    </row>
    <row r="19" spans="1:23" ht="35.1" customHeight="1" x14ac:dyDescent="0.25">
      <c r="A19" s="500"/>
      <c r="B19" s="488"/>
      <c r="C19" s="412"/>
      <c r="D19" s="206" t="s">
        <v>200</v>
      </c>
      <c r="E19" s="206" t="s">
        <v>389</v>
      </c>
      <c r="F19" s="206" t="s">
        <v>403</v>
      </c>
      <c r="G19" s="206" t="s">
        <v>286</v>
      </c>
      <c r="H19" s="202"/>
      <c r="I19" s="202"/>
      <c r="J19" s="202"/>
      <c r="K19" s="202"/>
      <c r="L19" s="202"/>
      <c r="M19" s="202"/>
      <c r="N19" s="202"/>
      <c r="O19" s="202"/>
      <c r="P19" s="202">
        <v>3763.9</v>
      </c>
      <c r="Q19" s="202">
        <v>0</v>
      </c>
      <c r="R19" s="202">
        <v>18129</v>
      </c>
      <c r="S19" s="202">
        <v>0</v>
      </c>
      <c r="T19" s="202">
        <v>0</v>
      </c>
      <c r="U19" s="202">
        <v>0</v>
      </c>
      <c r="V19" s="203">
        <f t="shared" si="0"/>
        <v>21892.9</v>
      </c>
      <c r="W19" s="501"/>
    </row>
    <row r="20" spans="1:23" ht="35.1" customHeight="1" x14ac:dyDescent="0.25">
      <c r="A20" s="500"/>
      <c r="B20" s="488"/>
      <c r="C20" s="412"/>
      <c r="D20" s="206" t="s">
        <v>200</v>
      </c>
      <c r="E20" s="206" t="s">
        <v>389</v>
      </c>
      <c r="F20" s="206" t="s">
        <v>404</v>
      </c>
      <c r="G20" s="206" t="s">
        <v>286</v>
      </c>
      <c r="H20" s="202"/>
      <c r="I20" s="202"/>
      <c r="J20" s="202"/>
      <c r="K20" s="202"/>
      <c r="L20" s="202"/>
      <c r="M20" s="202"/>
      <c r="N20" s="202"/>
      <c r="O20" s="202"/>
      <c r="P20" s="202">
        <f>2100-197.3-284-446.7</f>
        <v>1172</v>
      </c>
      <c r="Q20" s="202">
        <v>0</v>
      </c>
      <c r="R20" s="202">
        <v>183.1</v>
      </c>
      <c r="S20" s="202">
        <v>0</v>
      </c>
      <c r="T20" s="202">
        <v>0</v>
      </c>
      <c r="U20" s="202">
        <v>0</v>
      </c>
      <c r="V20" s="203">
        <f t="shared" si="0"/>
        <v>1355.1</v>
      </c>
      <c r="W20" s="501"/>
    </row>
    <row r="21" spans="1:23" ht="35.1" customHeight="1" x14ac:dyDescent="0.25">
      <c r="A21" s="500"/>
      <c r="B21" s="488"/>
      <c r="C21" s="412"/>
      <c r="D21" s="206" t="s">
        <v>200</v>
      </c>
      <c r="E21" s="206" t="s">
        <v>389</v>
      </c>
      <c r="F21" s="206" t="s">
        <v>405</v>
      </c>
      <c r="G21" s="206" t="s">
        <v>286</v>
      </c>
      <c r="H21" s="202"/>
      <c r="I21" s="202"/>
      <c r="J21" s="202"/>
      <c r="K21" s="202"/>
      <c r="L21" s="202"/>
      <c r="M21" s="202">
        <f>2957.5-160</f>
        <v>2797.5</v>
      </c>
      <c r="N21" s="202"/>
      <c r="O21" s="202"/>
      <c r="P21" s="202">
        <f t="shared" ref="P21:U27" si="2">O21</f>
        <v>0</v>
      </c>
      <c r="Q21" s="202">
        <f t="shared" si="2"/>
        <v>0</v>
      </c>
      <c r="R21" s="202">
        <f t="shared" si="2"/>
        <v>0</v>
      </c>
      <c r="S21" s="202">
        <f t="shared" si="2"/>
        <v>0</v>
      </c>
      <c r="T21" s="202">
        <f t="shared" si="2"/>
        <v>0</v>
      </c>
      <c r="U21" s="202">
        <f t="shared" si="2"/>
        <v>0</v>
      </c>
      <c r="V21" s="203">
        <f t="shared" si="0"/>
        <v>2797.5</v>
      </c>
      <c r="W21" s="501"/>
    </row>
    <row r="22" spans="1:23" ht="35.1" customHeight="1" x14ac:dyDescent="0.25">
      <c r="A22" s="500"/>
      <c r="B22" s="488"/>
      <c r="C22" s="412"/>
      <c r="D22" s="206" t="s">
        <v>200</v>
      </c>
      <c r="E22" s="206" t="s">
        <v>389</v>
      </c>
      <c r="F22" s="206" t="s">
        <v>405</v>
      </c>
      <c r="G22" s="206" t="s">
        <v>286</v>
      </c>
      <c r="H22" s="202"/>
      <c r="I22" s="202"/>
      <c r="J22" s="202"/>
      <c r="K22" s="202"/>
      <c r="L22" s="202"/>
      <c r="M22" s="202">
        <v>160</v>
      </c>
      <c r="N22" s="202"/>
      <c r="O22" s="202"/>
      <c r="P22" s="202">
        <f t="shared" si="2"/>
        <v>0</v>
      </c>
      <c r="Q22" s="202">
        <f t="shared" si="2"/>
        <v>0</v>
      </c>
      <c r="R22" s="202">
        <f t="shared" si="2"/>
        <v>0</v>
      </c>
      <c r="S22" s="202">
        <f t="shared" si="2"/>
        <v>0</v>
      </c>
      <c r="T22" s="202">
        <f t="shared" si="2"/>
        <v>0</v>
      </c>
      <c r="U22" s="202">
        <f t="shared" si="2"/>
        <v>0</v>
      </c>
      <c r="V22" s="203">
        <f t="shared" si="0"/>
        <v>160</v>
      </c>
      <c r="W22" s="501"/>
    </row>
    <row r="23" spans="1:23" ht="35.1" customHeight="1" x14ac:dyDescent="0.25">
      <c r="A23" s="500"/>
      <c r="B23" s="488"/>
      <c r="C23" s="412"/>
      <c r="D23" s="206" t="s">
        <v>200</v>
      </c>
      <c r="E23" s="206" t="s">
        <v>389</v>
      </c>
      <c r="F23" s="206" t="s">
        <v>406</v>
      </c>
      <c r="G23" s="206" t="s">
        <v>407</v>
      </c>
      <c r="H23" s="202"/>
      <c r="I23" s="202"/>
      <c r="J23" s="202"/>
      <c r="K23" s="202"/>
      <c r="L23" s="202">
        <v>4549.5</v>
      </c>
      <c r="M23" s="202">
        <v>3564.6</v>
      </c>
      <c r="N23" s="202"/>
      <c r="O23" s="202"/>
      <c r="P23" s="202">
        <f t="shared" si="2"/>
        <v>0</v>
      </c>
      <c r="Q23" s="202">
        <f t="shared" si="2"/>
        <v>0</v>
      </c>
      <c r="R23" s="202">
        <f t="shared" si="2"/>
        <v>0</v>
      </c>
      <c r="S23" s="202">
        <f t="shared" si="2"/>
        <v>0</v>
      </c>
      <c r="T23" s="202">
        <f t="shared" si="2"/>
        <v>0</v>
      </c>
      <c r="U23" s="202">
        <f t="shared" si="2"/>
        <v>0</v>
      </c>
      <c r="V23" s="203">
        <f t="shared" si="0"/>
        <v>8114.1</v>
      </c>
      <c r="W23" s="501"/>
    </row>
    <row r="24" spans="1:23" ht="35.1" customHeight="1" x14ac:dyDescent="0.25">
      <c r="A24" s="500"/>
      <c r="B24" s="488"/>
      <c r="C24" s="412"/>
      <c r="D24" s="206" t="s">
        <v>200</v>
      </c>
      <c r="E24" s="206" t="s">
        <v>389</v>
      </c>
      <c r="F24" s="206" t="s">
        <v>408</v>
      </c>
      <c r="G24" s="206" t="s">
        <v>407</v>
      </c>
      <c r="H24" s="202"/>
      <c r="I24" s="202"/>
      <c r="J24" s="202"/>
      <c r="K24" s="202"/>
      <c r="L24" s="202">
        <v>505.5</v>
      </c>
      <c r="M24" s="202">
        <v>39.799999999999997</v>
      </c>
      <c r="N24" s="202"/>
      <c r="O24" s="202"/>
      <c r="P24" s="202">
        <f t="shared" si="2"/>
        <v>0</v>
      </c>
      <c r="Q24" s="202">
        <f t="shared" si="2"/>
        <v>0</v>
      </c>
      <c r="R24" s="202">
        <f t="shared" si="2"/>
        <v>0</v>
      </c>
      <c r="S24" s="202">
        <f t="shared" si="2"/>
        <v>0</v>
      </c>
      <c r="T24" s="202">
        <f t="shared" si="2"/>
        <v>0</v>
      </c>
      <c r="U24" s="202">
        <f t="shared" si="2"/>
        <v>0</v>
      </c>
      <c r="V24" s="203">
        <f t="shared" si="0"/>
        <v>545.29999999999995</v>
      </c>
      <c r="W24" s="501"/>
    </row>
    <row r="25" spans="1:23" ht="35.1" customHeight="1" x14ac:dyDescent="0.25">
      <c r="A25" s="500"/>
      <c r="B25" s="488"/>
      <c r="C25" s="412"/>
      <c r="D25" s="206" t="s">
        <v>200</v>
      </c>
      <c r="E25" s="206" t="s">
        <v>389</v>
      </c>
      <c r="F25" s="206" t="s">
        <v>409</v>
      </c>
      <c r="G25" s="206" t="s">
        <v>410</v>
      </c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>
        <v>7816.9</v>
      </c>
      <c r="S25" s="202"/>
      <c r="T25" s="202"/>
      <c r="U25" s="202"/>
      <c r="V25" s="203">
        <f t="shared" si="0"/>
        <v>7816.9</v>
      </c>
      <c r="W25" s="501"/>
    </row>
    <row r="26" spans="1:23" ht="35.1" customHeight="1" x14ac:dyDescent="0.25">
      <c r="A26" s="500"/>
      <c r="B26" s="488"/>
      <c r="C26" s="412"/>
      <c r="D26" s="206" t="s">
        <v>200</v>
      </c>
      <c r="E26" s="206" t="s">
        <v>389</v>
      </c>
      <c r="F26" s="206" t="s">
        <v>411</v>
      </c>
      <c r="G26" s="206" t="s">
        <v>410</v>
      </c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>
        <v>6586.6</v>
      </c>
      <c r="S26" s="202"/>
      <c r="T26" s="202"/>
      <c r="U26" s="202"/>
      <c r="V26" s="203">
        <f t="shared" si="0"/>
        <v>6586.6</v>
      </c>
      <c r="W26" s="501"/>
    </row>
    <row r="27" spans="1:23" ht="35.1" customHeight="1" x14ac:dyDescent="0.25">
      <c r="A27" s="500"/>
      <c r="B27" s="489"/>
      <c r="C27" s="476"/>
      <c r="D27" s="206" t="s">
        <v>200</v>
      </c>
      <c r="E27" s="206" t="s">
        <v>389</v>
      </c>
      <c r="F27" s="206" t="s">
        <v>412</v>
      </c>
      <c r="G27" s="209">
        <v>240</v>
      </c>
      <c r="H27" s="202"/>
      <c r="I27" s="202"/>
      <c r="J27" s="202"/>
      <c r="K27" s="202"/>
      <c r="L27" s="202"/>
      <c r="M27" s="202">
        <v>7000</v>
      </c>
      <c r="N27" s="202"/>
      <c r="O27" s="202"/>
      <c r="P27" s="202">
        <f t="shared" si="2"/>
        <v>0</v>
      </c>
      <c r="Q27" s="202">
        <f t="shared" si="2"/>
        <v>0</v>
      </c>
      <c r="R27" s="202">
        <f t="shared" si="2"/>
        <v>0</v>
      </c>
      <c r="S27" s="202">
        <f t="shared" si="2"/>
        <v>0</v>
      </c>
      <c r="T27" s="202">
        <f t="shared" si="2"/>
        <v>0</v>
      </c>
      <c r="U27" s="202">
        <f t="shared" si="2"/>
        <v>0</v>
      </c>
      <c r="V27" s="203">
        <f t="shared" si="0"/>
        <v>7000</v>
      </c>
      <c r="W27" s="501"/>
    </row>
    <row r="28" spans="1:23" ht="35.1" customHeight="1" x14ac:dyDescent="0.25">
      <c r="A28" s="496" t="s">
        <v>60</v>
      </c>
      <c r="B28" s="487" t="s">
        <v>413</v>
      </c>
      <c r="C28" s="411" t="s">
        <v>199</v>
      </c>
      <c r="D28" s="206" t="s">
        <v>200</v>
      </c>
      <c r="E28" s="206" t="s">
        <v>389</v>
      </c>
      <c r="F28" s="206" t="s">
        <v>414</v>
      </c>
      <c r="G28" s="209">
        <v>612</v>
      </c>
      <c r="H28" s="202"/>
      <c r="I28" s="202"/>
      <c r="J28" s="202"/>
      <c r="K28" s="202"/>
      <c r="L28" s="202"/>
      <c r="M28" s="202"/>
      <c r="N28" s="202"/>
      <c r="O28" s="202"/>
      <c r="P28" s="202"/>
      <c r="Q28" s="202">
        <v>1765.4</v>
      </c>
      <c r="R28" s="202">
        <v>4500</v>
      </c>
      <c r="S28" s="202"/>
      <c r="T28" s="202"/>
      <c r="U28" s="202"/>
      <c r="V28" s="203">
        <f t="shared" si="0"/>
        <v>6265.4</v>
      </c>
      <c r="W28" s="210"/>
    </row>
    <row r="29" spans="1:23" ht="35.1" customHeight="1" x14ac:dyDescent="0.25">
      <c r="A29" s="498"/>
      <c r="B29" s="488"/>
      <c r="C29" s="412"/>
      <c r="D29" s="206" t="s">
        <v>200</v>
      </c>
      <c r="E29" s="206" t="s">
        <v>389</v>
      </c>
      <c r="F29" s="206" t="s">
        <v>414</v>
      </c>
      <c r="G29" s="209">
        <v>622</v>
      </c>
      <c r="H29" s="202"/>
      <c r="I29" s="202"/>
      <c r="J29" s="202"/>
      <c r="K29" s="202"/>
      <c r="L29" s="202"/>
      <c r="M29" s="202"/>
      <c r="N29" s="202"/>
      <c r="O29" s="202"/>
      <c r="P29" s="202"/>
      <c r="Q29" s="202">
        <v>2240.4</v>
      </c>
      <c r="R29" s="202"/>
      <c r="S29" s="202"/>
      <c r="T29" s="202"/>
      <c r="U29" s="202"/>
      <c r="V29" s="203">
        <f t="shared" si="0"/>
        <v>2240.4</v>
      </c>
      <c r="W29" s="210"/>
    </row>
    <row r="30" spans="1:23" ht="63" customHeight="1" x14ac:dyDescent="0.25">
      <c r="A30" s="497"/>
      <c r="B30" s="489"/>
      <c r="C30" s="476"/>
      <c r="D30" s="206" t="s">
        <v>200</v>
      </c>
      <c r="E30" s="206" t="s">
        <v>389</v>
      </c>
      <c r="F30" s="206" t="s">
        <v>415</v>
      </c>
      <c r="G30" s="209">
        <v>612</v>
      </c>
      <c r="H30" s="202"/>
      <c r="I30" s="202"/>
      <c r="J30" s="202"/>
      <c r="K30" s="202"/>
      <c r="L30" s="202"/>
      <c r="M30" s="202"/>
      <c r="N30" s="202"/>
      <c r="O30" s="202"/>
      <c r="P30" s="202"/>
      <c r="Q30" s="202">
        <v>290.3</v>
      </c>
      <c r="R30" s="202">
        <v>236.8</v>
      </c>
      <c r="S30" s="202"/>
      <c r="T30" s="202"/>
      <c r="U30" s="202"/>
      <c r="V30" s="203">
        <f t="shared" si="0"/>
        <v>527.1</v>
      </c>
      <c r="W30" s="210"/>
    </row>
    <row r="31" spans="1:23" ht="35.1" customHeight="1" x14ac:dyDescent="0.25">
      <c r="A31" s="496" t="s">
        <v>62</v>
      </c>
      <c r="B31" s="487" t="s">
        <v>416</v>
      </c>
      <c r="C31" s="413" t="s">
        <v>199</v>
      </c>
      <c r="D31" s="206" t="s">
        <v>200</v>
      </c>
      <c r="E31" s="206" t="s">
        <v>417</v>
      </c>
      <c r="F31" s="206" t="s">
        <v>418</v>
      </c>
      <c r="G31" s="206" t="s">
        <v>286</v>
      </c>
      <c r="H31" s="202">
        <v>5267.9</v>
      </c>
      <c r="I31" s="202">
        <v>4744.6000000000004</v>
      </c>
      <c r="J31" s="202">
        <v>5833</v>
      </c>
      <c r="K31" s="202">
        <v>6378.5</v>
      </c>
      <c r="L31" s="202">
        <v>8215.2000000000007</v>
      </c>
      <c r="M31" s="202">
        <v>7991.1</v>
      </c>
      <c r="N31" s="202">
        <v>7717.2</v>
      </c>
      <c r="O31" s="202">
        <v>8112.8</v>
      </c>
      <c r="P31" s="202">
        <v>10099.1</v>
      </c>
      <c r="Q31" s="207">
        <v>9260.7000000000007</v>
      </c>
      <c r="R31" s="202">
        <v>2565.6</v>
      </c>
      <c r="S31" s="202">
        <v>3585.7</v>
      </c>
      <c r="T31" s="202">
        <v>3585.7</v>
      </c>
      <c r="U31" s="202">
        <v>3585.7</v>
      </c>
      <c r="V31" s="203">
        <f t="shared" si="0"/>
        <v>86942.8</v>
      </c>
      <c r="W31" s="374" t="s">
        <v>419</v>
      </c>
    </row>
    <row r="32" spans="1:23" ht="35.1" customHeight="1" x14ac:dyDescent="0.25">
      <c r="A32" s="498"/>
      <c r="B32" s="488"/>
      <c r="C32" s="413"/>
      <c r="D32" s="206" t="s">
        <v>200</v>
      </c>
      <c r="E32" s="206" t="s">
        <v>417</v>
      </c>
      <c r="F32" s="206" t="s">
        <v>418</v>
      </c>
      <c r="G32" s="206" t="s">
        <v>288</v>
      </c>
      <c r="H32" s="202">
        <v>1080.8</v>
      </c>
      <c r="I32" s="202">
        <v>1020.8</v>
      </c>
      <c r="J32" s="202">
        <v>1237.7</v>
      </c>
      <c r="K32" s="202">
        <v>1529.5</v>
      </c>
      <c r="L32" s="202">
        <v>1757.5</v>
      </c>
      <c r="M32" s="202">
        <v>1484.6</v>
      </c>
      <c r="N32" s="202">
        <v>1296.2</v>
      </c>
      <c r="O32" s="202">
        <v>1287.2</v>
      </c>
      <c r="P32" s="202">
        <v>1565.2</v>
      </c>
      <c r="Q32" s="207">
        <v>1427.5</v>
      </c>
      <c r="R32" s="202">
        <v>624.1</v>
      </c>
      <c r="S32" s="202">
        <v>817.8</v>
      </c>
      <c r="T32" s="202">
        <v>817.8</v>
      </c>
      <c r="U32" s="202">
        <v>817.8</v>
      </c>
      <c r="V32" s="203">
        <f t="shared" si="0"/>
        <v>16764.5</v>
      </c>
      <c r="W32" s="374"/>
    </row>
    <row r="33" spans="1:24" ht="35.1" customHeight="1" x14ac:dyDescent="0.25">
      <c r="A33" s="498"/>
      <c r="B33" s="488"/>
      <c r="C33" s="413"/>
      <c r="D33" s="206" t="s">
        <v>200</v>
      </c>
      <c r="E33" s="206" t="s">
        <v>417</v>
      </c>
      <c r="F33" s="206" t="s">
        <v>418</v>
      </c>
      <c r="G33" s="206" t="s">
        <v>289</v>
      </c>
      <c r="H33" s="202"/>
      <c r="I33" s="202"/>
      <c r="J33" s="202"/>
      <c r="K33" s="202"/>
      <c r="L33" s="202"/>
      <c r="M33" s="202"/>
      <c r="N33" s="202"/>
      <c r="O33" s="202">
        <v>0</v>
      </c>
      <c r="P33" s="202">
        <v>0</v>
      </c>
      <c r="Q33" s="207">
        <v>0</v>
      </c>
      <c r="R33" s="202">
        <v>0</v>
      </c>
      <c r="S33" s="202">
        <v>0</v>
      </c>
      <c r="T33" s="202">
        <v>0</v>
      </c>
      <c r="U33" s="202">
        <v>0</v>
      </c>
      <c r="V33" s="203">
        <f t="shared" si="0"/>
        <v>0</v>
      </c>
      <c r="W33" s="374"/>
    </row>
    <row r="34" spans="1:24" ht="35.1" customHeight="1" x14ac:dyDescent="0.25">
      <c r="A34" s="498"/>
      <c r="B34" s="487" t="s">
        <v>420</v>
      </c>
      <c r="C34" s="413"/>
      <c r="D34" s="206" t="s">
        <v>200</v>
      </c>
      <c r="E34" s="206" t="s">
        <v>417</v>
      </c>
      <c r="F34" s="206" t="s">
        <v>422</v>
      </c>
      <c r="G34" s="206" t="s">
        <v>286</v>
      </c>
      <c r="H34" s="202"/>
      <c r="I34" s="202"/>
      <c r="J34" s="202"/>
      <c r="K34" s="202"/>
      <c r="L34" s="202"/>
      <c r="M34" s="202"/>
      <c r="N34" s="202"/>
      <c r="O34" s="202"/>
      <c r="P34" s="202"/>
      <c r="Q34" s="207"/>
      <c r="R34" s="202">
        <v>7111.9</v>
      </c>
      <c r="S34" s="202">
        <v>5387.4</v>
      </c>
      <c r="T34" s="202">
        <v>5387.4</v>
      </c>
      <c r="U34" s="202">
        <v>5387.4</v>
      </c>
      <c r="V34" s="203">
        <f t="shared" si="0"/>
        <v>23274.1</v>
      </c>
      <c r="W34" s="374"/>
    </row>
    <row r="35" spans="1:24" ht="35.1" customHeight="1" x14ac:dyDescent="0.25">
      <c r="A35" s="498"/>
      <c r="B35" s="488"/>
      <c r="C35" s="413"/>
      <c r="D35" s="206" t="s">
        <v>200</v>
      </c>
      <c r="E35" s="206" t="s">
        <v>417</v>
      </c>
      <c r="F35" s="206" t="s">
        <v>422</v>
      </c>
      <c r="G35" s="206" t="s">
        <v>288</v>
      </c>
      <c r="H35" s="202"/>
      <c r="I35" s="202"/>
      <c r="J35" s="202"/>
      <c r="K35" s="202"/>
      <c r="L35" s="202"/>
      <c r="M35" s="202"/>
      <c r="N35" s="202"/>
      <c r="O35" s="202"/>
      <c r="P35" s="202"/>
      <c r="Q35" s="207"/>
      <c r="R35" s="202">
        <v>750.6</v>
      </c>
      <c r="S35" s="202">
        <v>599.5</v>
      </c>
      <c r="T35" s="202">
        <v>599.5</v>
      </c>
      <c r="U35" s="202">
        <v>599.5</v>
      </c>
      <c r="V35" s="203">
        <f t="shared" si="0"/>
        <v>2549.1</v>
      </c>
      <c r="W35" s="374"/>
    </row>
    <row r="36" spans="1:24" ht="35.1" customHeight="1" x14ac:dyDescent="0.25">
      <c r="A36" s="498"/>
      <c r="B36" s="488"/>
      <c r="C36" s="413"/>
      <c r="D36" s="206" t="s">
        <v>200</v>
      </c>
      <c r="E36" s="206" t="s">
        <v>417</v>
      </c>
      <c r="F36" s="206" t="s">
        <v>421</v>
      </c>
      <c r="G36" s="206" t="s">
        <v>289</v>
      </c>
      <c r="H36" s="202"/>
      <c r="I36" s="202"/>
      <c r="J36" s="202"/>
      <c r="K36" s="202"/>
      <c r="L36" s="202"/>
      <c r="M36" s="202"/>
      <c r="N36" s="202"/>
      <c r="O36" s="202"/>
      <c r="P36" s="202"/>
      <c r="Q36" s="207"/>
      <c r="R36" s="202">
        <v>259.5</v>
      </c>
      <c r="S36" s="202"/>
      <c r="T36" s="202"/>
      <c r="U36" s="202"/>
      <c r="V36" s="203"/>
      <c r="W36" s="374"/>
    </row>
    <row r="37" spans="1:24" s="211" customFormat="1" ht="35.1" customHeight="1" x14ac:dyDescent="0.25">
      <c r="A37" s="498"/>
      <c r="B37" s="487"/>
      <c r="C37" s="413"/>
      <c r="D37" s="200" t="s">
        <v>200</v>
      </c>
      <c r="E37" s="206" t="s">
        <v>417</v>
      </c>
      <c r="F37" s="206" t="s">
        <v>422</v>
      </c>
      <c r="G37" s="209" t="s">
        <v>410</v>
      </c>
      <c r="H37" s="202"/>
      <c r="I37" s="202"/>
      <c r="J37" s="202"/>
      <c r="K37" s="202"/>
      <c r="L37" s="202"/>
      <c r="M37" s="202"/>
      <c r="N37" s="202"/>
      <c r="O37" s="202"/>
      <c r="P37" s="202"/>
      <c r="Q37" s="207"/>
      <c r="R37" s="207">
        <v>8.1</v>
      </c>
      <c r="S37" s="202">
        <v>6</v>
      </c>
      <c r="T37" s="202">
        <v>6</v>
      </c>
      <c r="U37" s="202">
        <v>6</v>
      </c>
      <c r="V37" s="203">
        <f t="shared" si="0"/>
        <v>26.1</v>
      </c>
      <c r="W37" s="374"/>
    </row>
    <row r="38" spans="1:24" s="211" customFormat="1" ht="35.1" customHeight="1" x14ac:dyDescent="0.25">
      <c r="A38" s="498"/>
      <c r="B38" s="488" t="s">
        <v>423</v>
      </c>
      <c r="C38" s="413"/>
      <c r="D38" s="200">
        <v>975</v>
      </c>
      <c r="E38" s="206" t="s">
        <v>417</v>
      </c>
      <c r="F38" s="206" t="s">
        <v>424</v>
      </c>
      <c r="G38" s="209">
        <v>612</v>
      </c>
      <c r="H38" s="202"/>
      <c r="I38" s="202"/>
      <c r="J38" s="202"/>
      <c r="K38" s="202"/>
      <c r="L38" s="202"/>
      <c r="M38" s="202"/>
      <c r="N38" s="202">
        <v>4369.5</v>
      </c>
      <c r="O38" s="202">
        <v>9368.7000000000007</v>
      </c>
      <c r="P38" s="202">
        <v>10907.6</v>
      </c>
      <c r="Q38" s="207">
        <v>11977.5</v>
      </c>
      <c r="R38" s="207">
        <v>12165.3</v>
      </c>
      <c r="S38" s="202">
        <v>13964.4</v>
      </c>
      <c r="T38" s="202">
        <v>13868.8</v>
      </c>
      <c r="U38" s="202">
        <v>5643.2</v>
      </c>
      <c r="V38" s="203">
        <f t="shared" si="0"/>
        <v>82265</v>
      </c>
      <c r="W38" s="374"/>
    </row>
    <row r="39" spans="1:24" s="211" customFormat="1" ht="47.45" customHeight="1" x14ac:dyDescent="0.25">
      <c r="A39" s="498"/>
      <c r="B39" s="488"/>
      <c r="C39" s="413"/>
      <c r="D39" s="200">
        <v>975</v>
      </c>
      <c r="E39" s="206" t="s">
        <v>417</v>
      </c>
      <c r="F39" s="206" t="s">
        <v>424</v>
      </c>
      <c r="G39" s="209">
        <v>622</v>
      </c>
      <c r="H39" s="202"/>
      <c r="I39" s="202"/>
      <c r="J39" s="202"/>
      <c r="K39" s="202"/>
      <c r="L39" s="202"/>
      <c r="M39" s="202"/>
      <c r="N39" s="202">
        <v>1530.9</v>
      </c>
      <c r="O39" s="202">
        <v>2615.6999999999998</v>
      </c>
      <c r="P39" s="202">
        <v>3340.4</v>
      </c>
      <c r="Q39" s="207">
        <v>3574.1</v>
      </c>
      <c r="R39" s="202">
        <v>3732.6</v>
      </c>
      <c r="S39" s="202">
        <v>3993.1</v>
      </c>
      <c r="T39" s="202">
        <v>3227.7</v>
      </c>
      <c r="U39" s="202">
        <v>1613.6</v>
      </c>
      <c r="V39" s="203">
        <f t="shared" si="0"/>
        <v>23628.1</v>
      </c>
      <c r="W39" s="374"/>
    </row>
    <row r="40" spans="1:24" s="211" customFormat="1" ht="47.45" customHeight="1" x14ac:dyDescent="0.25">
      <c r="A40" s="498"/>
      <c r="B40" s="489"/>
      <c r="C40" s="413"/>
      <c r="D40" s="200">
        <v>975</v>
      </c>
      <c r="E40" s="206" t="s">
        <v>417</v>
      </c>
      <c r="F40" s="206" t="s">
        <v>424</v>
      </c>
      <c r="G40" s="209">
        <v>870</v>
      </c>
      <c r="H40" s="202"/>
      <c r="I40" s="202"/>
      <c r="J40" s="202"/>
      <c r="K40" s="202"/>
      <c r="L40" s="202"/>
      <c r="M40" s="202"/>
      <c r="N40" s="202">
        <f>425.1-N41</f>
        <v>412.5</v>
      </c>
      <c r="O40" s="202">
        <v>1269.5</v>
      </c>
      <c r="P40" s="202">
        <v>459.1</v>
      </c>
      <c r="Q40" s="207">
        <v>0</v>
      </c>
      <c r="R40" s="202">
        <v>0</v>
      </c>
      <c r="S40" s="202">
        <v>614.9</v>
      </c>
      <c r="T40" s="202">
        <v>0</v>
      </c>
      <c r="U40" s="202">
        <v>9224.7000000000007</v>
      </c>
      <c r="V40" s="203">
        <f t="shared" si="0"/>
        <v>11980.7</v>
      </c>
      <c r="W40" s="374"/>
    </row>
    <row r="41" spans="1:24" ht="62.45" customHeight="1" x14ac:dyDescent="0.25">
      <c r="A41" s="498"/>
      <c r="B41" s="212"/>
      <c r="C41" s="413"/>
      <c r="D41" s="200">
        <v>975</v>
      </c>
      <c r="E41" s="206" t="s">
        <v>417</v>
      </c>
      <c r="F41" s="206" t="s">
        <v>425</v>
      </c>
      <c r="G41" s="209">
        <v>612.62199999999996</v>
      </c>
      <c r="H41" s="202"/>
      <c r="I41" s="202"/>
      <c r="J41" s="202"/>
      <c r="K41" s="202"/>
      <c r="L41" s="202"/>
      <c r="M41" s="202"/>
      <c r="N41" s="202">
        <v>12.6</v>
      </c>
      <c r="O41" s="202">
        <v>32.700000000000003</v>
      </c>
      <c r="P41" s="202">
        <v>17.399999999999999</v>
      </c>
      <c r="Q41" s="207">
        <v>16</v>
      </c>
      <c r="R41" s="202">
        <v>15.9</v>
      </c>
      <c r="S41" s="202">
        <v>18.600000000000001</v>
      </c>
      <c r="T41" s="202">
        <v>17.100000000000001</v>
      </c>
      <c r="U41" s="202">
        <v>16.5</v>
      </c>
      <c r="V41" s="203">
        <f t="shared" si="0"/>
        <v>146.80000000000001</v>
      </c>
      <c r="W41" s="374"/>
    </row>
    <row r="42" spans="1:24" ht="35.1" customHeight="1" x14ac:dyDescent="0.25">
      <c r="A42" s="498"/>
      <c r="B42" s="487" t="s">
        <v>426</v>
      </c>
      <c r="C42" s="413"/>
      <c r="D42" s="206">
        <v>975</v>
      </c>
      <c r="E42" s="206" t="s">
        <v>417</v>
      </c>
      <c r="F42" s="206" t="s">
        <v>427</v>
      </c>
      <c r="G42" s="206">
        <v>870</v>
      </c>
      <c r="H42" s="202"/>
      <c r="I42" s="202"/>
      <c r="J42" s="202"/>
      <c r="K42" s="202"/>
      <c r="L42" s="202"/>
      <c r="M42" s="202"/>
      <c r="N42" s="202"/>
      <c r="O42" s="202"/>
      <c r="P42" s="202"/>
      <c r="Q42" s="207"/>
      <c r="R42" s="202">
        <f t="shared" ref="R42:U57" si="3">Q42</f>
        <v>0</v>
      </c>
      <c r="S42" s="202">
        <f t="shared" si="3"/>
        <v>0</v>
      </c>
      <c r="T42" s="202">
        <f t="shared" si="3"/>
        <v>0</v>
      </c>
      <c r="U42" s="202">
        <f t="shared" si="3"/>
        <v>0</v>
      </c>
      <c r="V42" s="203">
        <f t="shared" si="0"/>
        <v>0</v>
      </c>
      <c r="W42" s="374"/>
    </row>
    <row r="43" spans="1:24" ht="35.1" customHeight="1" x14ac:dyDescent="0.25">
      <c r="A43" s="498"/>
      <c r="B43" s="489" t="s">
        <v>416</v>
      </c>
      <c r="C43" s="413"/>
      <c r="D43" s="206" t="s">
        <v>200</v>
      </c>
      <c r="E43" s="206" t="s">
        <v>417</v>
      </c>
      <c r="F43" s="206" t="s">
        <v>428</v>
      </c>
      <c r="G43" s="206" t="s">
        <v>286</v>
      </c>
      <c r="H43" s="202">
        <v>0</v>
      </c>
      <c r="I43" s="202">
        <v>0</v>
      </c>
      <c r="J43" s="202">
        <v>187.8</v>
      </c>
      <c r="K43" s="202">
        <v>0</v>
      </c>
      <c r="L43" s="202">
        <v>0</v>
      </c>
      <c r="M43" s="202">
        <v>0</v>
      </c>
      <c r="N43" s="202">
        <v>0</v>
      </c>
      <c r="O43" s="202">
        <v>0</v>
      </c>
      <c r="P43" s="202">
        <f>O43</f>
        <v>0</v>
      </c>
      <c r="Q43" s="207">
        <f t="shared" ref="Q43:Q49" si="4">P43</f>
        <v>0</v>
      </c>
      <c r="R43" s="202">
        <f t="shared" si="3"/>
        <v>0</v>
      </c>
      <c r="S43" s="202">
        <f t="shared" si="3"/>
        <v>0</v>
      </c>
      <c r="T43" s="202">
        <f t="shared" si="3"/>
        <v>0</v>
      </c>
      <c r="U43" s="202">
        <f t="shared" si="3"/>
        <v>0</v>
      </c>
      <c r="V43" s="203">
        <f t="shared" si="0"/>
        <v>187.8</v>
      </c>
      <c r="W43" s="374"/>
    </row>
    <row r="44" spans="1:24" s="60" customFormat="1" ht="35.1" customHeight="1" x14ac:dyDescent="0.25">
      <c r="A44" s="498"/>
      <c r="B44" s="488"/>
      <c r="C44" s="411"/>
      <c r="D44" s="206" t="s">
        <v>200</v>
      </c>
      <c r="E44" s="206" t="s">
        <v>417</v>
      </c>
      <c r="F44" s="206" t="s">
        <v>428</v>
      </c>
      <c r="G44" s="206" t="s">
        <v>288</v>
      </c>
      <c r="H44" s="202">
        <v>0</v>
      </c>
      <c r="I44" s="202">
        <v>0</v>
      </c>
      <c r="J44" s="202">
        <v>101.5</v>
      </c>
      <c r="K44" s="202">
        <v>0</v>
      </c>
      <c r="L44" s="202">
        <v>0</v>
      </c>
      <c r="M44" s="202">
        <v>0</v>
      </c>
      <c r="N44" s="202">
        <v>0</v>
      </c>
      <c r="O44" s="202">
        <v>0</v>
      </c>
      <c r="P44" s="202">
        <f>O44</f>
        <v>0</v>
      </c>
      <c r="Q44" s="207">
        <f t="shared" si="4"/>
        <v>0</v>
      </c>
      <c r="R44" s="202">
        <f t="shared" si="3"/>
        <v>0</v>
      </c>
      <c r="S44" s="202">
        <f t="shared" si="3"/>
        <v>0</v>
      </c>
      <c r="T44" s="202">
        <f t="shared" si="3"/>
        <v>0</v>
      </c>
      <c r="U44" s="202">
        <f t="shared" si="3"/>
        <v>0</v>
      </c>
      <c r="V44" s="203">
        <f t="shared" si="0"/>
        <v>101.5</v>
      </c>
      <c r="W44" s="200"/>
      <c r="X44" s="60" t="s">
        <v>328</v>
      </c>
    </row>
    <row r="45" spans="1:24" s="60" customFormat="1" ht="35.1" customHeight="1" x14ac:dyDescent="0.25">
      <c r="A45" s="498"/>
      <c r="B45" s="488" t="s">
        <v>429</v>
      </c>
      <c r="C45" s="412" t="s">
        <v>199</v>
      </c>
      <c r="D45" s="206" t="s">
        <v>200</v>
      </c>
      <c r="E45" s="206" t="s">
        <v>389</v>
      </c>
      <c r="F45" s="206" t="s">
        <v>430</v>
      </c>
      <c r="G45" s="206" t="s">
        <v>289</v>
      </c>
      <c r="H45" s="202">
        <v>0</v>
      </c>
      <c r="I45" s="202">
        <v>0</v>
      </c>
      <c r="J45" s="202">
        <v>0</v>
      </c>
      <c r="K45" s="202">
        <v>0</v>
      </c>
      <c r="L45" s="202">
        <v>0</v>
      </c>
      <c r="M45" s="202">
        <v>0</v>
      </c>
      <c r="N45" s="202">
        <v>0</v>
      </c>
      <c r="O45" s="202">
        <v>0</v>
      </c>
      <c r="P45" s="202">
        <v>100</v>
      </c>
      <c r="Q45" s="207">
        <v>110.7</v>
      </c>
      <c r="R45" s="202">
        <v>0</v>
      </c>
      <c r="S45" s="202">
        <f t="shared" si="3"/>
        <v>0</v>
      </c>
      <c r="T45" s="202">
        <f t="shared" si="3"/>
        <v>0</v>
      </c>
      <c r="U45" s="202">
        <f t="shared" si="3"/>
        <v>0</v>
      </c>
      <c r="V45" s="203">
        <f t="shared" si="0"/>
        <v>210.7</v>
      </c>
      <c r="W45" s="200"/>
      <c r="X45" s="60" t="s">
        <v>328</v>
      </c>
    </row>
    <row r="46" spans="1:24" s="60" customFormat="1" ht="35.1" customHeight="1" x14ac:dyDescent="0.25">
      <c r="A46" s="497"/>
      <c r="B46" s="489"/>
      <c r="C46" s="476"/>
      <c r="D46" s="206" t="s">
        <v>200</v>
      </c>
      <c r="E46" s="206" t="s">
        <v>389</v>
      </c>
      <c r="F46" s="206" t="s">
        <v>430</v>
      </c>
      <c r="G46" s="206" t="s">
        <v>286</v>
      </c>
      <c r="H46" s="202">
        <v>0</v>
      </c>
      <c r="I46" s="202">
        <v>0</v>
      </c>
      <c r="J46" s="202">
        <v>0</v>
      </c>
      <c r="K46" s="202">
        <v>0</v>
      </c>
      <c r="L46" s="202">
        <v>0</v>
      </c>
      <c r="M46" s="202">
        <v>0</v>
      </c>
      <c r="N46" s="202">
        <v>0</v>
      </c>
      <c r="O46" s="202">
        <v>0</v>
      </c>
      <c r="P46" s="202">
        <v>52.8</v>
      </c>
      <c r="Q46" s="202">
        <v>193.5</v>
      </c>
      <c r="R46" s="202">
        <f>553.9+2.9</f>
        <v>556.79999999999995</v>
      </c>
      <c r="S46" s="202">
        <v>398.3</v>
      </c>
      <c r="T46" s="202">
        <f t="shared" si="3"/>
        <v>398.3</v>
      </c>
      <c r="U46" s="202">
        <f t="shared" si="3"/>
        <v>398.3</v>
      </c>
      <c r="V46" s="203">
        <f t="shared" si="0"/>
        <v>1997.9999999999998</v>
      </c>
      <c r="W46" s="200"/>
      <c r="X46" s="60" t="s">
        <v>328</v>
      </c>
    </row>
    <row r="47" spans="1:24" s="60" customFormat="1" ht="62.25" customHeight="1" x14ac:dyDescent="0.25">
      <c r="A47" s="496"/>
      <c r="B47" s="213"/>
      <c r="C47" s="200"/>
      <c r="D47" s="206" t="s">
        <v>200</v>
      </c>
      <c r="E47" s="206" t="s">
        <v>389</v>
      </c>
      <c r="F47" s="206" t="s">
        <v>430</v>
      </c>
      <c r="G47" s="206" t="s">
        <v>288</v>
      </c>
      <c r="H47" s="202">
        <v>0</v>
      </c>
      <c r="I47" s="202">
        <v>0</v>
      </c>
      <c r="J47" s="202">
        <v>0</v>
      </c>
      <c r="K47" s="202">
        <v>0</v>
      </c>
      <c r="L47" s="202">
        <v>0</v>
      </c>
      <c r="M47" s="202">
        <v>0</v>
      </c>
      <c r="N47" s="202">
        <v>0</v>
      </c>
      <c r="O47" s="202">
        <v>0</v>
      </c>
      <c r="P47" s="202">
        <v>22.9</v>
      </c>
      <c r="Q47" s="202">
        <v>69.599999999999994</v>
      </c>
      <c r="R47" s="202">
        <v>102.2</v>
      </c>
      <c r="S47" s="202">
        <v>76.900000000000006</v>
      </c>
      <c r="T47" s="202">
        <f t="shared" si="3"/>
        <v>76.900000000000006</v>
      </c>
      <c r="U47" s="202">
        <f t="shared" si="3"/>
        <v>76.900000000000006</v>
      </c>
      <c r="V47" s="203">
        <f t="shared" si="0"/>
        <v>425.4</v>
      </c>
      <c r="W47" s="499"/>
    </row>
    <row r="48" spans="1:24" s="60" customFormat="1" ht="63.75" customHeight="1" x14ac:dyDescent="0.25">
      <c r="A48" s="497" t="s">
        <v>431</v>
      </c>
      <c r="B48" s="213" t="s">
        <v>432</v>
      </c>
      <c r="C48" s="200" t="s">
        <v>199</v>
      </c>
      <c r="D48" s="206" t="s">
        <v>200</v>
      </c>
      <c r="E48" s="206" t="s">
        <v>389</v>
      </c>
      <c r="F48" s="206" t="s">
        <v>433</v>
      </c>
      <c r="G48" s="206" t="s">
        <v>286</v>
      </c>
      <c r="H48" s="202"/>
      <c r="I48" s="202">
        <v>694</v>
      </c>
      <c r="J48" s="202"/>
      <c r="K48" s="202"/>
      <c r="L48" s="202"/>
      <c r="M48" s="202"/>
      <c r="N48" s="202"/>
      <c r="O48" s="202"/>
      <c r="P48" s="202">
        <f>O48</f>
        <v>0</v>
      </c>
      <c r="Q48" s="202">
        <f t="shared" si="4"/>
        <v>0</v>
      </c>
      <c r="R48" s="202">
        <f>Q48</f>
        <v>0</v>
      </c>
      <c r="S48" s="202">
        <f t="shared" si="3"/>
        <v>0</v>
      </c>
      <c r="T48" s="202">
        <f t="shared" si="3"/>
        <v>0</v>
      </c>
      <c r="U48" s="202">
        <f t="shared" si="3"/>
        <v>0</v>
      </c>
      <c r="V48" s="203">
        <f t="shared" si="0"/>
        <v>694</v>
      </c>
      <c r="W48" s="499"/>
    </row>
    <row r="49" spans="1:23" s="60" customFormat="1" ht="54.75" customHeight="1" x14ac:dyDescent="0.25">
      <c r="A49" s="496"/>
      <c r="B49" s="213" t="s">
        <v>434</v>
      </c>
      <c r="C49" s="200" t="s">
        <v>199</v>
      </c>
      <c r="D49" s="206" t="s">
        <v>200</v>
      </c>
      <c r="E49" s="206" t="s">
        <v>389</v>
      </c>
      <c r="F49" s="206" t="s">
        <v>435</v>
      </c>
      <c r="G49" s="206" t="s">
        <v>286</v>
      </c>
      <c r="H49" s="202">
        <v>0</v>
      </c>
      <c r="I49" s="202">
        <v>7.3</v>
      </c>
      <c r="J49" s="202"/>
      <c r="K49" s="202"/>
      <c r="L49" s="202"/>
      <c r="M49" s="202"/>
      <c r="N49" s="202"/>
      <c r="O49" s="202"/>
      <c r="P49" s="202">
        <f>O49</f>
        <v>0</v>
      </c>
      <c r="Q49" s="202">
        <f t="shared" si="4"/>
        <v>0</v>
      </c>
      <c r="R49" s="202">
        <f>Q49</f>
        <v>0</v>
      </c>
      <c r="S49" s="202">
        <f t="shared" si="3"/>
        <v>0</v>
      </c>
      <c r="T49" s="202">
        <f t="shared" si="3"/>
        <v>0</v>
      </c>
      <c r="U49" s="202">
        <f t="shared" si="3"/>
        <v>0</v>
      </c>
      <c r="V49" s="203">
        <f t="shared" si="0"/>
        <v>7.3</v>
      </c>
      <c r="W49" s="479"/>
    </row>
    <row r="50" spans="1:23" s="60" customFormat="1" ht="35.1" customHeight="1" x14ac:dyDescent="0.25">
      <c r="A50" s="498" t="s">
        <v>436</v>
      </c>
      <c r="B50" s="481" t="s">
        <v>437</v>
      </c>
      <c r="C50" s="479" t="s">
        <v>199</v>
      </c>
      <c r="D50" s="206" t="s">
        <v>200</v>
      </c>
      <c r="E50" s="206" t="s">
        <v>389</v>
      </c>
      <c r="F50" s="206" t="s">
        <v>438</v>
      </c>
      <c r="G50" s="206" t="s">
        <v>410</v>
      </c>
      <c r="H50" s="202"/>
      <c r="I50" s="202"/>
      <c r="J50" s="202">
        <v>6.8</v>
      </c>
      <c r="K50" s="202">
        <f>6.8+86.4</f>
        <v>93.2</v>
      </c>
      <c r="L50" s="202">
        <f>46.4+46.8</f>
        <v>93.199999999999989</v>
      </c>
      <c r="M50" s="202">
        <v>7.9</v>
      </c>
      <c r="N50" s="202">
        <v>6.04</v>
      </c>
      <c r="O50" s="202">
        <v>4.9000000000000004</v>
      </c>
      <c r="P50" s="202">
        <v>51.2</v>
      </c>
      <c r="Q50" s="202">
        <v>43.2</v>
      </c>
      <c r="R50" s="202">
        <v>0</v>
      </c>
      <c r="S50" s="202">
        <v>0</v>
      </c>
      <c r="T50" s="202">
        <f t="shared" si="3"/>
        <v>0</v>
      </c>
      <c r="U50" s="202">
        <f t="shared" si="3"/>
        <v>0</v>
      </c>
      <c r="V50" s="203">
        <f t="shared" si="0"/>
        <v>306.44</v>
      </c>
      <c r="W50" s="479" t="s">
        <v>439</v>
      </c>
    </row>
    <row r="51" spans="1:23" s="60" customFormat="1" ht="35.1" customHeight="1" x14ac:dyDescent="0.25">
      <c r="A51" s="497"/>
      <c r="B51" s="481" t="s">
        <v>440</v>
      </c>
      <c r="C51" s="479" t="s">
        <v>199</v>
      </c>
      <c r="D51" s="206" t="s">
        <v>200</v>
      </c>
      <c r="E51" s="206" t="s">
        <v>389</v>
      </c>
      <c r="F51" s="206" t="s">
        <v>438</v>
      </c>
      <c r="G51" s="206" t="s">
        <v>410</v>
      </c>
      <c r="H51" s="202"/>
      <c r="I51" s="202"/>
      <c r="J51" s="202">
        <v>16.7</v>
      </c>
      <c r="K51" s="202">
        <f>10.1+2</f>
        <v>12.1</v>
      </c>
      <c r="L51" s="202">
        <v>10.5</v>
      </c>
      <c r="M51" s="202">
        <v>1.9</v>
      </c>
      <c r="N51" s="202">
        <f>1.58-0.12</f>
        <v>1.46</v>
      </c>
      <c r="O51" s="202">
        <v>1.6</v>
      </c>
      <c r="P51" s="202">
        <v>13</v>
      </c>
      <c r="Q51" s="202">
        <v>1</v>
      </c>
      <c r="R51" s="202">
        <v>0</v>
      </c>
      <c r="S51" s="202">
        <f t="shared" ref="S51:U59" si="5">R51</f>
        <v>0</v>
      </c>
      <c r="T51" s="202">
        <f t="shared" si="3"/>
        <v>0</v>
      </c>
      <c r="U51" s="202">
        <f t="shared" si="3"/>
        <v>0</v>
      </c>
      <c r="V51" s="203">
        <f t="shared" si="0"/>
        <v>58.26</v>
      </c>
      <c r="W51" s="479"/>
    </row>
    <row r="52" spans="1:23" ht="35.1" customHeight="1" x14ac:dyDescent="0.25">
      <c r="A52" s="496"/>
      <c r="B52" s="411"/>
      <c r="C52" s="479"/>
      <c r="D52" s="206" t="s">
        <v>200</v>
      </c>
      <c r="E52" s="206" t="s">
        <v>389</v>
      </c>
      <c r="F52" s="206" t="s">
        <v>441</v>
      </c>
      <c r="G52" s="206" t="s">
        <v>286</v>
      </c>
      <c r="H52" s="202"/>
      <c r="I52" s="202"/>
      <c r="J52" s="202">
        <v>7.2</v>
      </c>
      <c r="K52" s="202"/>
      <c r="L52" s="202"/>
      <c r="M52" s="202"/>
      <c r="N52" s="202">
        <v>6</v>
      </c>
      <c r="O52" s="202">
        <v>1</v>
      </c>
      <c r="P52" s="202">
        <v>0</v>
      </c>
      <c r="Q52" s="202"/>
      <c r="R52" s="202">
        <f t="shared" ref="R52:R59" si="6">Q52</f>
        <v>0</v>
      </c>
      <c r="S52" s="202">
        <f t="shared" si="5"/>
        <v>0</v>
      </c>
      <c r="T52" s="202">
        <f t="shared" si="3"/>
        <v>0</v>
      </c>
      <c r="U52" s="202">
        <f t="shared" si="3"/>
        <v>0</v>
      </c>
      <c r="V52" s="203">
        <f t="shared" si="0"/>
        <v>14.2</v>
      </c>
      <c r="W52" s="362"/>
    </row>
    <row r="53" spans="1:23" ht="35.1" customHeight="1" x14ac:dyDescent="0.25">
      <c r="A53" s="498" t="s">
        <v>442</v>
      </c>
      <c r="B53" s="476" t="s">
        <v>443</v>
      </c>
      <c r="C53" s="479" t="s">
        <v>199</v>
      </c>
      <c r="D53" s="206" t="s">
        <v>200</v>
      </c>
      <c r="E53" s="206" t="s">
        <v>389</v>
      </c>
      <c r="F53" s="206" t="s">
        <v>444</v>
      </c>
      <c r="G53" s="206" t="s">
        <v>445</v>
      </c>
      <c r="H53" s="202"/>
      <c r="I53" s="202"/>
      <c r="J53" s="202"/>
      <c r="K53" s="202"/>
      <c r="L53" s="202"/>
      <c r="M53" s="202"/>
      <c r="N53" s="202">
        <v>0</v>
      </c>
      <c r="O53" s="202">
        <v>0</v>
      </c>
      <c r="P53" s="202">
        <v>0</v>
      </c>
      <c r="Q53" s="202">
        <v>0</v>
      </c>
      <c r="R53" s="202">
        <f t="shared" si="6"/>
        <v>0</v>
      </c>
      <c r="S53" s="202">
        <f t="shared" si="5"/>
        <v>0</v>
      </c>
      <c r="T53" s="202">
        <f t="shared" si="3"/>
        <v>0</v>
      </c>
      <c r="U53" s="202">
        <f t="shared" si="3"/>
        <v>0</v>
      </c>
      <c r="V53" s="203">
        <f t="shared" si="0"/>
        <v>0</v>
      </c>
      <c r="W53" s="362"/>
    </row>
    <row r="54" spans="1:23" ht="35.1" customHeight="1" x14ac:dyDescent="0.25">
      <c r="A54" s="498"/>
      <c r="B54" s="411"/>
      <c r="C54" s="479"/>
      <c r="D54" s="206" t="s">
        <v>200</v>
      </c>
      <c r="E54" s="206" t="s">
        <v>389</v>
      </c>
      <c r="F54" s="206" t="s">
        <v>446</v>
      </c>
      <c r="G54" s="206" t="s">
        <v>445</v>
      </c>
      <c r="H54" s="202"/>
      <c r="I54" s="202"/>
      <c r="J54" s="202"/>
      <c r="K54" s="202"/>
      <c r="L54" s="202"/>
      <c r="M54" s="202"/>
      <c r="N54" s="202"/>
      <c r="O54" s="202">
        <v>0</v>
      </c>
      <c r="P54" s="202">
        <v>0</v>
      </c>
      <c r="Q54" s="202">
        <v>0</v>
      </c>
      <c r="R54" s="202">
        <f t="shared" si="6"/>
        <v>0</v>
      </c>
      <c r="S54" s="202">
        <f t="shared" si="5"/>
        <v>0</v>
      </c>
      <c r="T54" s="202">
        <f t="shared" si="3"/>
        <v>0</v>
      </c>
      <c r="U54" s="202">
        <f t="shared" si="3"/>
        <v>0</v>
      </c>
      <c r="V54" s="203">
        <f t="shared" si="0"/>
        <v>0</v>
      </c>
      <c r="W54" s="83"/>
    </row>
    <row r="55" spans="1:23" ht="35.1" customHeight="1" x14ac:dyDescent="0.25">
      <c r="A55" s="497"/>
      <c r="B55" s="476" t="s">
        <v>447</v>
      </c>
      <c r="C55" s="479" t="s">
        <v>199</v>
      </c>
      <c r="D55" s="206" t="s">
        <v>200</v>
      </c>
      <c r="E55" s="206" t="s">
        <v>389</v>
      </c>
      <c r="F55" s="206" t="s">
        <v>446</v>
      </c>
      <c r="G55" s="206" t="s">
        <v>286</v>
      </c>
      <c r="H55" s="202"/>
      <c r="I55" s="202"/>
      <c r="J55" s="202"/>
      <c r="K55" s="202"/>
      <c r="L55" s="202"/>
      <c r="M55" s="202"/>
      <c r="N55" s="202"/>
      <c r="O55" s="202">
        <v>0</v>
      </c>
      <c r="P55" s="202">
        <v>0</v>
      </c>
      <c r="Q55" s="202">
        <v>0</v>
      </c>
      <c r="R55" s="202">
        <f t="shared" si="6"/>
        <v>0</v>
      </c>
      <c r="S55" s="202">
        <f t="shared" si="5"/>
        <v>0</v>
      </c>
      <c r="T55" s="202">
        <f t="shared" si="3"/>
        <v>0</v>
      </c>
      <c r="U55" s="202">
        <f t="shared" si="3"/>
        <v>0</v>
      </c>
      <c r="V55" s="203">
        <f t="shared" si="0"/>
        <v>0</v>
      </c>
      <c r="W55" s="83"/>
    </row>
    <row r="56" spans="1:23" ht="35.1" customHeight="1" x14ac:dyDescent="0.25">
      <c r="A56" s="496"/>
      <c r="B56" s="445"/>
      <c r="C56" s="479"/>
      <c r="D56" s="206" t="s">
        <v>200</v>
      </c>
      <c r="E56" s="206" t="s">
        <v>389</v>
      </c>
      <c r="F56" s="206" t="s">
        <v>446</v>
      </c>
      <c r="G56" s="206" t="s">
        <v>445</v>
      </c>
      <c r="H56" s="202"/>
      <c r="I56" s="202"/>
      <c r="J56" s="202"/>
      <c r="K56" s="202"/>
      <c r="L56" s="202"/>
      <c r="M56" s="202"/>
      <c r="N56" s="202"/>
      <c r="O56" s="202">
        <v>0</v>
      </c>
      <c r="P56" s="202">
        <v>0</v>
      </c>
      <c r="Q56" s="202">
        <f>P56</f>
        <v>0</v>
      </c>
      <c r="R56" s="202">
        <f t="shared" si="6"/>
        <v>0</v>
      </c>
      <c r="S56" s="202">
        <f t="shared" si="5"/>
        <v>0</v>
      </c>
      <c r="T56" s="202">
        <f t="shared" si="3"/>
        <v>0</v>
      </c>
      <c r="U56" s="202">
        <f t="shared" si="3"/>
        <v>0</v>
      </c>
      <c r="V56" s="203">
        <f t="shared" si="0"/>
        <v>0</v>
      </c>
      <c r="W56" s="362"/>
    </row>
    <row r="57" spans="1:23" ht="35.1" customHeight="1" x14ac:dyDescent="0.25">
      <c r="A57" s="498" t="s">
        <v>448</v>
      </c>
      <c r="B57" s="446" t="s">
        <v>449</v>
      </c>
      <c r="C57" s="479" t="s">
        <v>199</v>
      </c>
      <c r="D57" s="206" t="s">
        <v>200</v>
      </c>
      <c r="E57" s="206" t="s">
        <v>389</v>
      </c>
      <c r="F57" s="206" t="s">
        <v>450</v>
      </c>
      <c r="G57" s="206" t="s">
        <v>286</v>
      </c>
      <c r="H57" s="202"/>
      <c r="I57" s="202"/>
      <c r="J57" s="202"/>
      <c r="K57" s="202"/>
      <c r="L57" s="202"/>
      <c r="M57" s="202"/>
      <c r="N57" s="202">
        <v>1800</v>
      </c>
      <c r="O57" s="202">
        <v>600</v>
      </c>
      <c r="P57" s="202">
        <v>0</v>
      </c>
      <c r="Q57" s="202">
        <f>P57</f>
        <v>0</v>
      </c>
      <c r="R57" s="202">
        <f t="shared" si="6"/>
        <v>0</v>
      </c>
      <c r="S57" s="202">
        <f t="shared" si="5"/>
        <v>0</v>
      </c>
      <c r="T57" s="202">
        <f t="shared" si="3"/>
        <v>0</v>
      </c>
      <c r="U57" s="202">
        <f t="shared" si="3"/>
        <v>0</v>
      </c>
      <c r="V57" s="203">
        <f t="shared" si="0"/>
        <v>2400</v>
      </c>
      <c r="W57" s="362"/>
    </row>
    <row r="58" spans="1:23" ht="52.9" customHeight="1" x14ac:dyDescent="0.25">
      <c r="A58" s="498"/>
      <c r="B58" s="411"/>
      <c r="C58" s="411"/>
      <c r="D58" s="206" t="s">
        <v>200</v>
      </c>
      <c r="E58" s="206" t="s">
        <v>389</v>
      </c>
      <c r="F58" s="206" t="s">
        <v>450</v>
      </c>
      <c r="G58" s="206" t="s">
        <v>288</v>
      </c>
      <c r="H58" s="202"/>
      <c r="I58" s="202"/>
      <c r="J58" s="202"/>
      <c r="K58" s="202"/>
      <c r="L58" s="202"/>
      <c r="M58" s="202"/>
      <c r="N58" s="202">
        <v>0</v>
      </c>
      <c r="O58" s="202">
        <v>600</v>
      </c>
      <c r="P58" s="202">
        <v>0</v>
      </c>
      <c r="Q58" s="202">
        <v>0</v>
      </c>
      <c r="R58" s="202">
        <f t="shared" si="6"/>
        <v>0</v>
      </c>
      <c r="S58" s="202">
        <f t="shared" si="5"/>
        <v>0</v>
      </c>
      <c r="T58" s="202">
        <f t="shared" si="5"/>
        <v>0</v>
      </c>
      <c r="U58" s="202">
        <f t="shared" si="5"/>
        <v>0</v>
      </c>
      <c r="V58" s="203">
        <f t="shared" si="0"/>
        <v>600</v>
      </c>
      <c r="W58" s="83"/>
    </row>
    <row r="59" spans="1:23" ht="61.9" customHeight="1" x14ac:dyDescent="0.25">
      <c r="A59" s="498"/>
      <c r="B59" s="412" t="s">
        <v>451</v>
      </c>
      <c r="C59" s="412" t="s">
        <v>199</v>
      </c>
      <c r="D59" s="206" t="s">
        <v>200</v>
      </c>
      <c r="E59" s="206" t="s">
        <v>389</v>
      </c>
      <c r="F59" s="206" t="s">
        <v>452</v>
      </c>
      <c r="G59" s="206" t="s">
        <v>410</v>
      </c>
      <c r="H59" s="202"/>
      <c r="I59" s="202"/>
      <c r="J59" s="202"/>
      <c r="K59" s="202"/>
      <c r="L59" s="202"/>
      <c r="M59" s="202"/>
      <c r="N59" s="202">
        <v>90</v>
      </c>
      <c r="O59" s="202">
        <v>24.6</v>
      </c>
      <c r="P59" s="202">
        <v>0</v>
      </c>
      <c r="Q59" s="202">
        <f>P59</f>
        <v>0</v>
      </c>
      <c r="R59" s="202">
        <f t="shared" si="6"/>
        <v>0</v>
      </c>
      <c r="S59" s="202">
        <f t="shared" si="5"/>
        <v>0</v>
      </c>
      <c r="T59" s="202">
        <f t="shared" si="5"/>
        <v>0</v>
      </c>
      <c r="U59" s="202">
        <f t="shared" si="5"/>
        <v>0</v>
      </c>
      <c r="V59" s="203">
        <f t="shared" si="0"/>
        <v>114.6</v>
      </c>
      <c r="W59" s="83"/>
    </row>
    <row r="60" spans="1:23" ht="61.9" customHeight="1" x14ac:dyDescent="0.25">
      <c r="A60" s="498"/>
      <c r="B60" s="412"/>
      <c r="C60" s="412"/>
      <c r="D60" s="206" t="s">
        <v>200</v>
      </c>
      <c r="E60" s="206" t="s">
        <v>389</v>
      </c>
      <c r="F60" s="206" t="s">
        <v>453</v>
      </c>
      <c r="G60" s="206" t="s">
        <v>286</v>
      </c>
      <c r="H60" s="202"/>
      <c r="I60" s="202"/>
      <c r="J60" s="202"/>
      <c r="K60" s="202"/>
      <c r="L60" s="202"/>
      <c r="M60" s="202"/>
      <c r="N60" s="202">
        <v>0</v>
      </c>
      <c r="O60" s="202">
        <v>0</v>
      </c>
      <c r="P60" s="202">
        <v>0</v>
      </c>
      <c r="Q60" s="202">
        <v>0</v>
      </c>
      <c r="R60" s="202">
        <v>0</v>
      </c>
      <c r="S60" s="202">
        <v>0</v>
      </c>
      <c r="T60" s="202">
        <v>0</v>
      </c>
      <c r="U60" s="202">
        <v>0</v>
      </c>
      <c r="V60" s="203">
        <f t="shared" si="0"/>
        <v>0</v>
      </c>
      <c r="W60" s="83"/>
    </row>
    <row r="61" spans="1:23" ht="61.9" customHeight="1" x14ac:dyDescent="0.25">
      <c r="A61" s="498"/>
      <c r="B61" s="412"/>
      <c r="C61" s="412"/>
      <c r="D61" s="206" t="s">
        <v>200</v>
      </c>
      <c r="E61" s="206" t="s">
        <v>389</v>
      </c>
      <c r="F61" s="206" t="s">
        <v>454</v>
      </c>
      <c r="G61" s="206" t="s">
        <v>286</v>
      </c>
      <c r="H61" s="202"/>
      <c r="I61" s="202"/>
      <c r="J61" s="202"/>
      <c r="K61" s="202"/>
      <c r="L61" s="202"/>
      <c r="M61" s="202"/>
      <c r="N61" s="202">
        <v>0</v>
      </c>
      <c r="O61" s="202">
        <v>0</v>
      </c>
      <c r="P61" s="202">
        <v>0</v>
      </c>
      <c r="Q61" s="202">
        <v>0</v>
      </c>
      <c r="R61" s="202">
        <v>0</v>
      </c>
      <c r="S61" s="202">
        <v>0</v>
      </c>
      <c r="T61" s="202">
        <v>0</v>
      </c>
      <c r="U61" s="202">
        <v>0</v>
      </c>
      <c r="V61" s="203">
        <f t="shared" si="0"/>
        <v>0</v>
      </c>
      <c r="W61" s="83"/>
    </row>
    <row r="62" spans="1:23" ht="61.9" customHeight="1" x14ac:dyDescent="0.25">
      <c r="A62" s="498"/>
      <c r="B62" s="476"/>
      <c r="C62" s="476"/>
      <c r="D62" s="206" t="s">
        <v>200</v>
      </c>
      <c r="E62" s="206" t="s">
        <v>389</v>
      </c>
      <c r="F62" s="206" t="s">
        <v>453</v>
      </c>
      <c r="G62" s="206" t="s">
        <v>288</v>
      </c>
      <c r="H62" s="202"/>
      <c r="I62" s="202"/>
      <c r="J62" s="202"/>
      <c r="K62" s="202"/>
      <c r="L62" s="202"/>
      <c r="M62" s="202"/>
      <c r="N62" s="202">
        <v>0</v>
      </c>
      <c r="O62" s="202">
        <v>0</v>
      </c>
      <c r="P62" s="202">
        <v>0</v>
      </c>
      <c r="Q62" s="202">
        <v>0</v>
      </c>
      <c r="R62" s="202">
        <f t="shared" ref="R62:U65" si="7">Q62</f>
        <v>0</v>
      </c>
      <c r="S62" s="202">
        <f t="shared" si="7"/>
        <v>0</v>
      </c>
      <c r="T62" s="202">
        <f t="shared" si="7"/>
        <v>0</v>
      </c>
      <c r="U62" s="202">
        <f t="shared" si="7"/>
        <v>0</v>
      </c>
      <c r="V62" s="203">
        <f t="shared" si="0"/>
        <v>0</v>
      </c>
      <c r="W62" s="83"/>
    </row>
    <row r="63" spans="1:23" ht="73.900000000000006" customHeight="1" x14ac:dyDescent="0.25">
      <c r="A63" s="498"/>
      <c r="B63" s="214"/>
      <c r="C63" s="479"/>
      <c r="D63" s="206" t="s">
        <v>200</v>
      </c>
      <c r="E63" s="206" t="s">
        <v>389</v>
      </c>
      <c r="F63" s="206" t="s">
        <v>454</v>
      </c>
      <c r="G63" s="206" t="s">
        <v>288</v>
      </c>
      <c r="H63" s="202"/>
      <c r="I63" s="202"/>
      <c r="J63" s="202"/>
      <c r="K63" s="202"/>
      <c r="L63" s="202"/>
      <c r="M63" s="202"/>
      <c r="N63" s="202">
        <v>0</v>
      </c>
      <c r="O63" s="202">
        <v>0</v>
      </c>
      <c r="P63" s="202">
        <v>0</v>
      </c>
      <c r="Q63" s="202">
        <v>0</v>
      </c>
      <c r="R63" s="202">
        <f t="shared" si="7"/>
        <v>0</v>
      </c>
      <c r="S63" s="202">
        <f t="shared" si="7"/>
        <v>0</v>
      </c>
      <c r="T63" s="202">
        <f t="shared" si="7"/>
        <v>0</v>
      </c>
      <c r="U63" s="202">
        <f t="shared" si="7"/>
        <v>0</v>
      </c>
      <c r="V63" s="203">
        <f t="shared" si="0"/>
        <v>0</v>
      </c>
      <c r="W63" s="83"/>
    </row>
    <row r="64" spans="1:23" ht="78.599999999999994" customHeight="1" x14ac:dyDescent="0.25">
      <c r="A64" s="497"/>
      <c r="B64" s="215" t="s">
        <v>449</v>
      </c>
      <c r="C64" s="479" t="s">
        <v>199</v>
      </c>
      <c r="D64" s="206" t="s">
        <v>200</v>
      </c>
      <c r="E64" s="206" t="s">
        <v>389</v>
      </c>
      <c r="F64" s="206" t="s">
        <v>453</v>
      </c>
      <c r="G64" s="206" t="s">
        <v>322</v>
      </c>
      <c r="H64" s="202"/>
      <c r="I64" s="202"/>
      <c r="J64" s="202"/>
      <c r="K64" s="202"/>
      <c r="L64" s="202"/>
      <c r="M64" s="202"/>
      <c r="N64" s="202">
        <f>2866.8-57.4</f>
        <v>2809.4</v>
      </c>
      <c r="O64" s="202">
        <v>2713.7</v>
      </c>
      <c r="P64" s="202">
        <v>0</v>
      </c>
      <c r="Q64" s="202">
        <f>P64</f>
        <v>0</v>
      </c>
      <c r="R64" s="202">
        <f t="shared" si="7"/>
        <v>0</v>
      </c>
      <c r="S64" s="202">
        <f t="shared" si="7"/>
        <v>0</v>
      </c>
      <c r="T64" s="202">
        <f t="shared" si="7"/>
        <v>0</v>
      </c>
      <c r="U64" s="202">
        <f t="shared" si="7"/>
        <v>0</v>
      </c>
      <c r="V64" s="203">
        <f t="shared" si="0"/>
        <v>5523.1</v>
      </c>
      <c r="W64" s="83"/>
    </row>
    <row r="65" spans="1:23" ht="78.599999999999994" customHeight="1" x14ac:dyDescent="0.25">
      <c r="A65" s="496"/>
      <c r="B65" s="215" t="s">
        <v>451</v>
      </c>
      <c r="C65" s="479"/>
      <c r="D65" s="206" t="s">
        <v>200</v>
      </c>
      <c r="E65" s="206" t="s">
        <v>389</v>
      </c>
      <c r="F65" s="206" t="s">
        <v>454</v>
      </c>
      <c r="G65" s="206" t="s">
        <v>322</v>
      </c>
      <c r="H65" s="202"/>
      <c r="I65" s="202"/>
      <c r="J65" s="202"/>
      <c r="K65" s="202"/>
      <c r="L65" s="202"/>
      <c r="M65" s="202"/>
      <c r="N65" s="202">
        <v>57.4</v>
      </c>
      <c r="O65" s="202">
        <v>55.4</v>
      </c>
      <c r="P65" s="202">
        <v>0</v>
      </c>
      <c r="Q65" s="202">
        <f>P65</f>
        <v>0</v>
      </c>
      <c r="R65" s="202">
        <f t="shared" si="7"/>
        <v>0</v>
      </c>
      <c r="S65" s="202">
        <f t="shared" si="7"/>
        <v>0</v>
      </c>
      <c r="T65" s="202">
        <f t="shared" si="7"/>
        <v>0</v>
      </c>
      <c r="U65" s="202">
        <f t="shared" si="7"/>
        <v>0</v>
      </c>
      <c r="V65" s="203">
        <f t="shared" si="0"/>
        <v>112.8</v>
      </c>
      <c r="W65" s="83"/>
    </row>
    <row r="66" spans="1:23" ht="78.599999999999994" customHeight="1" x14ac:dyDescent="0.25">
      <c r="A66" s="497" t="s">
        <v>455</v>
      </c>
      <c r="B66" s="215" t="s">
        <v>456</v>
      </c>
      <c r="C66" s="479" t="s">
        <v>199</v>
      </c>
      <c r="D66" s="206" t="s">
        <v>200</v>
      </c>
      <c r="E66" s="206" t="s">
        <v>389</v>
      </c>
      <c r="F66" s="206" t="s">
        <v>689</v>
      </c>
      <c r="G66" s="206" t="s">
        <v>286</v>
      </c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>
        <v>17567.5</v>
      </c>
      <c r="S66" s="202">
        <v>0</v>
      </c>
      <c r="T66" s="202">
        <v>16127</v>
      </c>
      <c r="U66" s="202">
        <v>0</v>
      </c>
      <c r="V66" s="203">
        <f t="shared" si="0"/>
        <v>33694.5</v>
      </c>
      <c r="W66" s="83"/>
    </row>
    <row r="67" spans="1:23" ht="78.599999999999994" customHeight="1" x14ac:dyDescent="0.25">
      <c r="A67" s="496"/>
      <c r="B67" s="215" t="s">
        <v>458</v>
      </c>
      <c r="C67" s="215"/>
      <c r="D67" s="206" t="s">
        <v>200</v>
      </c>
      <c r="E67" s="206" t="s">
        <v>389</v>
      </c>
      <c r="F67" s="206" t="s">
        <v>457</v>
      </c>
      <c r="G67" s="206" t="s">
        <v>286</v>
      </c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>
        <v>177.5</v>
      </c>
      <c r="S67" s="202">
        <v>0</v>
      </c>
      <c r="T67" s="202">
        <v>0</v>
      </c>
      <c r="U67" s="202">
        <v>0</v>
      </c>
      <c r="V67" s="203">
        <f t="shared" si="0"/>
        <v>177.5</v>
      </c>
      <c r="W67" s="83"/>
    </row>
    <row r="68" spans="1:23" ht="78.599999999999994" customHeight="1" x14ac:dyDescent="0.25">
      <c r="A68" s="497" t="s">
        <v>459</v>
      </c>
      <c r="B68" s="216" t="s">
        <v>460</v>
      </c>
      <c r="C68" s="215" t="s">
        <v>199</v>
      </c>
      <c r="D68" s="206" t="s">
        <v>200</v>
      </c>
      <c r="E68" s="206" t="s">
        <v>389</v>
      </c>
      <c r="F68" s="206" t="s">
        <v>461</v>
      </c>
      <c r="G68" s="206" t="s">
        <v>286</v>
      </c>
      <c r="H68" s="202"/>
      <c r="I68" s="202"/>
      <c r="J68" s="202"/>
      <c r="K68" s="202"/>
      <c r="L68" s="202"/>
      <c r="M68" s="202"/>
      <c r="N68" s="202">
        <v>2400</v>
      </c>
      <c r="O68" s="202">
        <v>5500</v>
      </c>
      <c r="P68" s="202">
        <v>0</v>
      </c>
      <c r="Q68" s="202">
        <f t="shared" ref="Q68:U69" si="8">P68</f>
        <v>0</v>
      </c>
      <c r="R68" s="202">
        <f t="shared" si="8"/>
        <v>0</v>
      </c>
      <c r="S68" s="202">
        <f t="shared" si="8"/>
        <v>0</v>
      </c>
      <c r="T68" s="202">
        <f t="shared" si="8"/>
        <v>0</v>
      </c>
      <c r="U68" s="202">
        <f t="shared" si="8"/>
        <v>0</v>
      </c>
      <c r="V68" s="203">
        <f t="shared" si="0"/>
        <v>7900</v>
      </c>
      <c r="W68" s="83"/>
    </row>
    <row r="69" spans="1:23" ht="78.599999999999994" customHeight="1" x14ac:dyDescent="0.25">
      <c r="A69" s="496"/>
      <c r="B69" s="445" t="s">
        <v>462</v>
      </c>
      <c r="C69" s="215" t="s">
        <v>199</v>
      </c>
      <c r="D69" s="206" t="s">
        <v>200</v>
      </c>
      <c r="E69" s="206" t="s">
        <v>389</v>
      </c>
      <c r="F69" s="206" t="s">
        <v>463</v>
      </c>
      <c r="G69" s="206" t="s">
        <v>286</v>
      </c>
      <c r="H69" s="202"/>
      <c r="I69" s="202"/>
      <c r="J69" s="202"/>
      <c r="K69" s="202"/>
      <c r="L69" s="202"/>
      <c r="M69" s="202"/>
      <c r="N69" s="202">
        <v>400</v>
      </c>
      <c r="O69" s="202">
        <v>300</v>
      </c>
      <c r="P69" s="202">
        <v>0</v>
      </c>
      <c r="Q69" s="202">
        <f t="shared" si="8"/>
        <v>0</v>
      </c>
      <c r="R69" s="202">
        <f t="shared" si="8"/>
        <v>0</v>
      </c>
      <c r="S69" s="202">
        <f t="shared" si="8"/>
        <v>0</v>
      </c>
      <c r="T69" s="202">
        <f t="shared" si="8"/>
        <v>0</v>
      </c>
      <c r="U69" s="202">
        <f t="shared" si="8"/>
        <v>0</v>
      </c>
      <c r="V69" s="203">
        <f t="shared" si="0"/>
        <v>700</v>
      </c>
      <c r="W69" s="83"/>
    </row>
    <row r="70" spans="1:23" ht="78.599999999999994" customHeight="1" x14ac:dyDescent="0.25">
      <c r="A70" s="498" t="s">
        <v>464</v>
      </c>
      <c r="B70" s="446" t="s">
        <v>465</v>
      </c>
      <c r="C70" s="215" t="s">
        <v>199</v>
      </c>
      <c r="D70" s="206" t="s">
        <v>200</v>
      </c>
      <c r="E70" s="206" t="s">
        <v>389</v>
      </c>
      <c r="F70" s="206" t="s">
        <v>406</v>
      </c>
      <c r="G70" s="206" t="s">
        <v>410</v>
      </c>
      <c r="H70" s="202"/>
      <c r="I70" s="202"/>
      <c r="J70" s="202"/>
      <c r="K70" s="202"/>
      <c r="L70" s="202"/>
      <c r="M70" s="202"/>
      <c r="N70" s="202">
        <v>856.3</v>
      </c>
      <c r="O70" s="202">
        <v>0</v>
      </c>
      <c r="P70" s="202">
        <v>0</v>
      </c>
      <c r="Q70" s="202">
        <v>6802.8</v>
      </c>
      <c r="R70" s="202">
        <v>0</v>
      </c>
      <c r="S70" s="202">
        <v>10000</v>
      </c>
      <c r="T70" s="202">
        <v>0</v>
      </c>
      <c r="U70" s="202">
        <f>T70</f>
        <v>0</v>
      </c>
      <c r="V70" s="203">
        <f t="shared" si="0"/>
        <v>17659.099999999999</v>
      </c>
      <c r="W70" s="83"/>
    </row>
    <row r="71" spans="1:23" ht="102.6" customHeight="1" x14ac:dyDescent="0.25">
      <c r="A71" s="498"/>
      <c r="B71" s="445"/>
      <c r="C71" s="215" t="s">
        <v>199</v>
      </c>
      <c r="D71" s="206" t="s">
        <v>200</v>
      </c>
      <c r="E71" s="206" t="s">
        <v>466</v>
      </c>
      <c r="F71" s="206" t="s">
        <v>406</v>
      </c>
      <c r="G71" s="206" t="s">
        <v>286</v>
      </c>
      <c r="H71" s="202"/>
      <c r="I71" s="202"/>
      <c r="J71" s="202"/>
      <c r="K71" s="202"/>
      <c r="L71" s="202"/>
      <c r="M71" s="202"/>
      <c r="N71" s="202"/>
      <c r="O71" s="202"/>
      <c r="P71" s="202"/>
      <c r="Q71" s="202">
        <v>697.3</v>
      </c>
      <c r="R71" s="202">
        <v>10000</v>
      </c>
      <c r="S71" s="202"/>
      <c r="T71" s="202"/>
      <c r="U71" s="202"/>
      <c r="V71" s="203">
        <f t="shared" si="0"/>
        <v>10697.3</v>
      </c>
      <c r="W71" s="83"/>
    </row>
    <row r="72" spans="1:23" ht="102.6" customHeight="1" x14ac:dyDescent="0.25">
      <c r="A72" s="497"/>
      <c r="B72" s="446" t="s">
        <v>467</v>
      </c>
      <c r="C72" s="215" t="s">
        <v>199</v>
      </c>
      <c r="D72" s="206" t="s">
        <v>200</v>
      </c>
      <c r="E72" s="206" t="s">
        <v>389</v>
      </c>
      <c r="F72" s="206" t="s">
        <v>408</v>
      </c>
      <c r="G72" s="206" t="s">
        <v>410</v>
      </c>
      <c r="H72" s="202"/>
      <c r="I72" s="202"/>
      <c r="J72" s="202"/>
      <c r="K72" s="202"/>
      <c r="L72" s="202"/>
      <c r="M72" s="202"/>
      <c r="N72" s="202">
        <v>95.1</v>
      </c>
      <c r="O72" s="202">
        <v>0</v>
      </c>
      <c r="P72" s="202">
        <v>0</v>
      </c>
      <c r="Q72" s="202">
        <v>926.1</v>
      </c>
      <c r="R72" s="202">
        <v>0</v>
      </c>
      <c r="S72" s="202">
        <v>0</v>
      </c>
      <c r="T72" s="202">
        <f>S72</f>
        <v>0</v>
      </c>
      <c r="U72" s="202">
        <f>T72</f>
        <v>0</v>
      </c>
      <c r="V72" s="203">
        <f t="shared" si="0"/>
        <v>1021.2</v>
      </c>
      <c r="W72" s="83"/>
    </row>
    <row r="73" spans="1:23" ht="102.6" customHeight="1" x14ac:dyDescent="0.25">
      <c r="A73" s="217"/>
      <c r="B73" s="215"/>
      <c r="C73" s="215" t="s">
        <v>199</v>
      </c>
      <c r="D73" s="206" t="s">
        <v>200</v>
      </c>
      <c r="E73" s="206" t="s">
        <v>466</v>
      </c>
      <c r="F73" s="206" t="s">
        <v>408</v>
      </c>
      <c r="G73" s="206" t="s">
        <v>286</v>
      </c>
      <c r="H73" s="202"/>
      <c r="I73" s="202"/>
      <c r="J73" s="202"/>
      <c r="K73" s="202"/>
      <c r="L73" s="202"/>
      <c r="M73" s="202"/>
      <c r="N73" s="202"/>
      <c r="O73" s="202"/>
      <c r="P73" s="202"/>
      <c r="Q73" s="202">
        <v>147.80000000000001</v>
      </c>
      <c r="R73" s="202">
        <v>2124.1999999999998</v>
      </c>
      <c r="S73" s="202"/>
      <c r="T73" s="202"/>
      <c r="U73" s="202"/>
      <c r="V73" s="203">
        <f>SUM(H73:U73)</f>
        <v>2272</v>
      </c>
      <c r="W73" s="83"/>
    </row>
    <row r="74" spans="1:23" ht="102.6" customHeight="1" x14ac:dyDescent="0.25">
      <c r="A74" s="217" t="s">
        <v>468</v>
      </c>
      <c r="B74" s="216" t="s">
        <v>469</v>
      </c>
      <c r="C74" s="215" t="s">
        <v>199</v>
      </c>
      <c r="D74" s="206" t="s">
        <v>200</v>
      </c>
      <c r="E74" s="206" t="s">
        <v>389</v>
      </c>
      <c r="F74" s="206" t="s">
        <v>470</v>
      </c>
      <c r="G74" s="206" t="s">
        <v>286</v>
      </c>
      <c r="H74" s="202"/>
      <c r="I74" s="202"/>
      <c r="J74" s="202"/>
      <c r="K74" s="202"/>
      <c r="L74" s="202"/>
      <c r="M74" s="202"/>
      <c r="N74" s="202"/>
      <c r="O74" s="202"/>
      <c r="P74" s="202"/>
      <c r="Q74" s="202">
        <v>160</v>
      </c>
      <c r="R74" s="202">
        <v>0</v>
      </c>
      <c r="S74" s="202">
        <v>0</v>
      </c>
      <c r="T74" s="202">
        <v>0</v>
      </c>
      <c r="U74" s="202">
        <v>0</v>
      </c>
      <c r="V74" s="203">
        <f>SUM(H74:U74)</f>
        <v>160</v>
      </c>
      <c r="W74" s="83"/>
    </row>
    <row r="75" spans="1:23" ht="35.1" customHeight="1" x14ac:dyDescent="0.25">
      <c r="A75" s="491" t="s">
        <v>471</v>
      </c>
      <c r="B75" s="491" t="s">
        <v>472</v>
      </c>
      <c r="C75" s="215" t="s">
        <v>199</v>
      </c>
      <c r="D75" s="218" t="s">
        <v>200</v>
      </c>
      <c r="E75" s="218" t="s">
        <v>389</v>
      </c>
      <c r="F75" s="218" t="s">
        <v>473</v>
      </c>
      <c r="G75" s="218" t="s">
        <v>410</v>
      </c>
      <c r="H75" s="219"/>
      <c r="I75" s="219"/>
      <c r="J75" s="219"/>
      <c r="K75" s="219"/>
      <c r="L75" s="219"/>
      <c r="M75" s="219"/>
      <c r="N75" s="219">
        <v>2398.5</v>
      </c>
      <c r="O75" s="219">
        <v>531</v>
      </c>
      <c r="P75" s="219">
        <v>1088.8</v>
      </c>
      <c r="Q75" s="219">
        <v>0</v>
      </c>
      <c r="R75" s="219">
        <v>596</v>
      </c>
      <c r="S75" s="219">
        <v>0</v>
      </c>
      <c r="T75" s="219">
        <f>S75</f>
        <v>0</v>
      </c>
      <c r="U75" s="219">
        <f>T75</f>
        <v>0</v>
      </c>
      <c r="V75" s="203">
        <f>SUM(H75:U75)</f>
        <v>4614.3</v>
      </c>
      <c r="W75" s="167"/>
    </row>
    <row r="76" spans="1:23" ht="33" customHeight="1" x14ac:dyDescent="0.25">
      <c r="A76" s="428" t="s">
        <v>690</v>
      </c>
      <c r="B76" s="428" t="s">
        <v>691</v>
      </c>
      <c r="C76" s="428" t="s">
        <v>199</v>
      </c>
      <c r="D76" s="428" t="s">
        <v>200</v>
      </c>
      <c r="E76" s="428" t="s">
        <v>389</v>
      </c>
      <c r="F76" s="428" t="s">
        <v>692</v>
      </c>
      <c r="G76" s="428" t="s">
        <v>322</v>
      </c>
      <c r="H76" s="428"/>
      <c r="I76" s="428"/>
      <c r="J76" s="428"/>
      <c r="K76" s="428"/>
      <c r="L76" s="428"/>
      <c r="M76" s="428"/>
      <c r="N76" s="428"/>
      <c r="O76" s="428"/>
      <c r="P76" s="428"/>
      <c r="Q76" s="428"/>
      <c r="R76" s="428"/>
      <c r="S76" s="428">
        <v>306.60000000000002</v>
      </c>
      <c r="T76" s="428"/>
      <c r="U76" s="428"/>
      <c r="V76" s="428">
        <f>SUM(H76:U76)</f>
        <v>306.60000000000002</v>
      </c>
      <c r="W76" s="428"/>
    </row>
    <row r="77" spans="1:23" ht="35.1" customHeight="1" x14ac:dyDescent="0.25">
      <c r="A77" s="492" t="s">
        <v>349</v>
      </c>
      <c r="B77" s="481"/>
      <c r="C77" s="479"/>
      <c r="D77" s="200"/>
      <c r="E77" s="209"/>
      <c r="F77" s="206"/>
      <c r="G77" s="209"/>
      <c r="H77" s="202">
        <f t="shared" ref="H77:M77" si="9">SUM(H7:H52)</f>
        <v>10161.199999999999</v>
      </c>
      <c r="I77" s="202">
        <f t="shared" si="9"/>
        <v>13094</v>
      </c>
      <c r="J77" s="202">
        <f t="shared" si="9"/>
        <v>13027.6</v>
      </c>
      <c r="K77" s="202">
        <f t="shared" si="9"/>
        <v>17311.7</v>
      </c>
      <c r="L77" s="202">
        <f t="shared" si="9"/>
        <v>20666.900000000001</v>
      </c>
      <c r="M77" s="202">
        <f t="shared" si="9"/>
        <v>26856.300000000003</v>
      </c>
      <c r="N77" s="202">
        <f>SUM(N7:N75)</f>
        <v>27723.600000000002</v>
      </c>
      <c r="O77" s="202">
        <f>SUM(O7:O75)</f>
        <v>44252.599999999991</v>
      </c>
      <c r="P77" s="202">
        <f>SUM(P7:P75)</f>
        <v>49186.5</v>
      </c>
      <c r="Q77" s="202">
        <f>SUM(Q7:Q75)</f>
        <v>45166.6</v>
      </c>
      <c r="R77" s="202">
        <f>SUM(R7:R75)</f>
        <v>106227.49999999999</v>
      </c>
      <c r="S77" s="202">
        <f>SUM(S7:S76)</f>
        <v>42118.999999999993</v>
      </c>
      <c r="T77" s="202">
        <f>SUM(T7:T75)</f>
        <v>46462</v>
      </c>
      <c r="U77" s="202">
        <f>SUM(U7:U75)</f>
        <v>29719.4</v>
      </c>
      <c r="V77" s="203">
        <f>SUM(H77:U77)</f>
        <v>491974.9</v>
      </c>
      <c r="W77" s="374"/>
    </row>
    <row r="78" spans="1:23" ht="35.1" customHeight="1" x14ac:dyDescent="0.25">
      <c r="A78" s="492" t="s">
        <v>474</v>
      </c>
      <c r="B78" s="481"/>
      <c r="C78" s="479"/>
      <c r="D78" s="200"/>
      <c r="E78" s="209"/>
      <c r="F78" s="206"/>
      <c r="G78" s="209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3"/>
      <c r="W78" s="374"/>
    </row>
    <row r="79" spans="1:23" ht="35.1" customHeight="1" x14ac:dyDescent="0.25">
      <c r="A79" s="492" t="s">
        <v>65</v>
      </c>
      <c r="B79" s="481" t="s">
        <v>475</v>
      </c>
      <c r="C79" s="479" t="s">
        <v>199</v>
      </c>
      <c r="D79" s="200" t="s">
        <v>200</v>
      </c>
      <c r="E79" s="209" t="s">
        <v>389</v>
      </c>
      <c r="F79" s="206" t="s">
        <v>398</v>
      </c>
      <c r="G79" s="209">
        <v>110</v>
      </c>
      <c r="H79" s="202">
        <v>13238</v>
      </c>
      <c r="I79" s="202">
        <v>13739.9</v>
      </c>
      <c r="J79" s="202">
        <v>12713.2</v>
      </c>
      <c r="K79" s="202">
        <v>12251.6</v>
      </c>
      <c r="L79" s="202">
        <v>11621.6</v>
      </c>
      <c r="M79" s="202">
        <v>6639.3</v>
      </c>
      <c r="N79" s="202">
        <v>0</v>
      </c>
      <c r="O79" s="202">
        <v>0</v>
      </c>
      <c r="P79" s="202">
        <v>0</v>
      </c>
      <c r="Q79" s="207">
        <f>P79</f>
        <v>0</v>
      </c>
      <c r="R79" s="202">
        <f>Q79</f>
        <v>0</v>
      </c>
      <c r="S79" s="202">
        <f>R79</f>
        <v>0</v>
      </c>
      <c r="T79" s="202">
        <f>S79</f>
        <v>0</v>
      </c>
      <c r="U79" s="202">
        <f>T79</f>
        <v>0</v>
      </c>
      <c r="V79" s="203">
        <f>SUM(H79:U79)</f>
        <v>70203.600000000006</v>
      </c>
      <c r="W79" s="374" t="s">
        <v>476</v>
      </c>
    </row>
    <row r="80" spans="1:23" ht="35.1" customHeight="1" x14ac:dyDescent="0.25">
      <c r="A80" s="492"/>
      <c r="B80" s="481"/>
      <c r="C80" s="479"/>
      <c r="D80" s="200" t="s">
        <v>200</v>
      </c>
      <c r="E80" s="209" t="s">
        <v>389</v>
      </c>
      <c r="F80" s="206" t="s">
        <v>398</v>
      </c>
      <c r="G80" s="209">
        <v>240</v>
      </c>
      <c r="H80" s="202">
        <f>6496+150</f>
        <v>6646</v>
      </c>
      <c r="I80" s="202">
        <f>7475.8+89.9</f>
        <v>7565.7</v>
      </c>
      <c r="J80" s="202">
        <v>8087.8</v>
      </c>
      <c r="K80" s="202">
        <v>7359.7</v>
      </c>
      <c r="L80" s="202">
        <f>7456-L12</f>
        <v>6843.8</v>
      </c>
      <c r="M80" s="202">
        <v>3610.3</v>
      </c>
      <c r="N80" s="202">
        <v>0</v>
      </c>
      <c r="O80" s="202">
        <v>0</v>
      </c>
      <c r="P80" s="202">
        <v>0</v>
      </c>
      <c r="Q80" s="207">
        <f t="shared" ref="Q80:U131" si="10">P80</f>
        <v>0</v>
      </c>
      <c r="R80" s="202">
        <f t="shared" si="10"/>
        <v>0</v>
      </c>
      <c r="S80" s="202">
        <f t="shared" si="10"/>
        <v>0</v>
      </c>
      <c r="T80" s="202">
        <f t="shared" si="10"/>
        <v>0</v>
      </c>
      <c r="U80" s="202">
        <f t="shared" si="10"/>
        <v>0</v>
      </c>
      <c r="V80" s="203">
        <f t="shared" ref="V80:V146" si="11">SUM(H80:U80)</f>
        <v>40113.300000000003</v>
      </c>
      <c r="W80" s="374"/>
    </row>
    <row r="81" spans="1:23" ht="35.1" customHeight="1" x14ac:dyDescent="0.25">
      <c r="A81" s="492"/>
      <c r="B81" s="481"/>
      <c r="C81" s="479"/>
      <c r="D81" s="200" t="s">
        <v>200</v>
      </c>
      <c r="E81" s="209" t="s">
        <v>389</v>
      </c>
      <c r="F81" s="206" t="s">
        <v>398</v>
      </c>
      <c r="G81" s="209">
        <v>611</v>
      </c>
      <c r="H81" s="202">
        <v>36650.199999999997</v>
      </c>
      <c r="I81" s="202">
        <v>39146.800000000003</v>
      </c>
      <c r="J81" s="202">
        <v>21385.4</v>
      </c>
      <c r="K81" s="202">
        <v>20376.5</v>
      </c>
      <c r="L81" s="202">
        <v>21744.3</v>
      </c>
      <c r="M81" s="202">
        <v>21733.1</v>
      </c>
      <c r="N81" s="202">
        <v>22651.4</v>
      </c>
      <c r="O81" s="202">
        <v>4848.2</v>
      </c>
      <c r="P81" s="202">
        <v>4928.8999999999996</v>
      </c>
      <c r="Q81" s="207">
        <v>5375.7</v>
      </c>
      <c r="R81" s="208">
        <v>6010.6</v>
      </c>
      <c r="S81" s="202">
        <v>6775.5</v>
      </c>
      <c r="T81" s="202">
        <v>6702</v>
      </c>
      <c r="U81" s="202">
        <v>6655.9</v>
      </c>
      <c r="V81" s="203">
        <f t="shared" si="11"/>
        <v>224984.5</v>
      </c>
      <c r="W81" s="374"/>
    </row>
    <row r="82" spans="1:23" ht="35.1" customHeight="1" x14ac:dyDescent="0.25">
      <c r="A82" s="492"/>
      <c r="B82" s="481"/>
      <c r="C82" s="479"/>
      <c r="D82" s="200" t="s">
        <v>200</v>
      </c>
      <c r="E82" s="209" t="s">
        <v>389</v>
      </c>
      <c r="F82" s="206" t="s">
        <v>477</v>
      </c>
      <c r="G82" s="209">
        <v>611</v>
      </c>
      <c r="H82" s="202"/>
      <c r="I82" s="202"/>
      <c r="J82" s="202"/>
      <c r="K82" s="202"/>
      <c r="L82" s="202"/>
      <c r="M82" s="202"/>
      <c r="N82" s="202"/>
      <c r="O82" s="202">
        <v>11734.5</v>
      </c>
      <c r="P82" s="202">
        <v>12244</v>
      </c>
      <c r="Q82" s="207">
        <v>13649.8</v>
      </c>
      <c r="R82" s="202">
        <v>12129.6</v>
      </c>
      <c r="S82" s="202">
        <v>13730.5</v>
      </c>
      <c r="T82" s="202">
        <v>15756.5</v>
      </c>
      <c r="U82" s="202">
        <v>15756.5</v>
      </c>
      <c r="V82" s="203">
        <f t="shared" si="11"/>
        <v>95001.4</v>
      </c>
      <c r="W82" s="374"/>
    </row>
    <row r="83" spans="1:23" ht="35.1" customHeight="1" x14ac:dyDescent="0.25">
      <c r="A83" s="492"/>
      <c r="B83" s="481"/>
      <c r="C83" s="479"/>
      <c r="D83" s="200" t="s">
        <v>200</v>
      </c>
      <c r="E83" s="209" t="s">
        <v>389</v>
      </c>
      <c r="F83" s="206" t="s">
        <v>477</v>
      </c>
      <c r="G83" s="209">
        <v>612</v>
      </c>
      <c r="H83" s="202"/>
      <c r="I83" s="202"/>
      <c r="J83" s="202"/>
      <c r="K83" s="202"/>
      <c r="L83" s="202"/>
      <c r="M83" s="202"/>
      <c r="N83" s="202"/>
      <c r="O83" s="202"/>
      <c r="P83" s="202"/>
      <c r="Q83" s="207"/>
      <c r="R83" s="202">
        <v>756.4</v>
      </c>
      <c r="S83" s="202"/>
      <c r="T83" s="202"/>
      <c r="U83" s="202"/>
      <c r="V83" s="203">
        <f t="shared" si="11"/>
        <v>756.4</v>
      </c>
      <c r="W83" s="374"/>
    </row>
    <row r="84" spans="1:23" s="60" customFormat="1" ht="35.1" customHeight="1" x14ac:dyDescent="0.25">
      <c r="A84" s="492"/>
      <c r="B84" s="481"/>
      <c r="C84" s="479"/>
      <c r="D84" s="200" t="s">
        <v>200</v>
      </c>
      <c r="E84" s="209" t="s">
        <v>389</v>
      </c>
      <c r="F84" s="206" t="s">
        <v>478</v>
      </c>
      <c r="G84" s="209">
        <v>611</v>
      </c>
      <c r="H84" s="202"/>
      <c r="I84" s="202"/>
      <c r="J84" s="202"/>
      <c r="K84" s="202"/>
      <c r="L84" s="202"/>
      <c r="M84" s="202"/>
      <c r="N84" s="202"/>
      <c r="O84" s="202">
        <v>24874.6</v>
      </c>
      <c r="P84" s="202">
        <f>25719.6+557.2+190</f>
        <v>26466.799999999999</v>
      </c>
      <c r="Q84" s="207">
        <v>30847.7</v>
      </c>
      <c r="R84" s="202">
        <f>34599.6</f>
        <v>34599.599999999999</v>
      </c>
      <c r="S84" s="202">
        <v>38631.800000000003</v>
      </c>
      <c r="T84" s="202">
        <v>35765.4</v>
      </c>
      <c r="U84" s="202">
        <v>35765.4</v>
      </c>
      <c r="V84" s="203">
        <f t="shared" si="11"/>
        <v>226951.3</v>
      </c>
      <c r="W84" s="374"/>
    </row>
    <row r="85" spans="1:23" ht="35.1" customHeight="1" x14ac:dyDescent="0.25">
      <c r="A85" s="492"/>
      <c r="B85" s="481"/>
      <c r="C85" s="479"/>
      <c r="D85" s="200" t="s">
        <v>200</v>
      </c>
      <c r="E85" s="206" t="s">
        <v>389</v>
      </c>
      <c r="F85" s="206" t="s">
        <v>478</v>
      </c>
      <c r="G85" s="209">
        <v>870</v>
      </c>
      <c r="H85" s="202"/>
      <c r="I85" s="202"/>
      <c r="J85" s="202"/>
      <c r="K85" s="202"/>
      <c r="L85" s="202"/>
      <c r="M85" s="202"/>
      <c r="N85" s="202"/>
      <c r="O85" s="202">
        <v>0</v>
      </c>
      <c r="P85" s="202">
        <v>0</v>
      </c>
      <c r="Q85" s="207">
        <v>89.5</v>
      </c>
      <c r="R85" s="202">
        <v>0</v>
      </c>
      <c r="S85" s="202">
        <v>1037.8</v>
      </c>
      <c r="T85" s="202">
        <v>0</v>
      </c>
      <c r="U85" s="202">
        <v>0</v>
      </c>
      <c r="V85" s="203">
        <f t="shared" si="11"/>
        <v>1127.3</v>
      </c>
      <c r="W85" s="374"/>
    </row>
    <row r="86" spans="1:23" ht="35.1" customHeight="1" x14ac:dyDescent="0.25">
      <c r="A86" s="492"/>
      <c r="B86" s="481"/>
      <c r="C86" s="479"/>
      <c r="D86" s="200" t="s">
        <v>200</v>
      </c>
      <c r="E86" s="209" t="s">
        <v>389</v>
      </c>
      <c r="F86" s="206" t="s">
        <v>398</v>
      </c>
      <c r="G86" s="209">
        <v>870</v>
      </c>
      <c r="H86" s="202"/>
      <c r="I86" s="202"/>
      <c r="J86" s="202"/>
      <c r="K86" s="202"/>
      <c r="L86" s="202"/>
      <c r="M86" s="202"/>
      <c r="N86" s="202"/>
      <c r="O86" s="202">
        <v>0</v>
      </c>
      <c r="P86" s="202">
        <v>0</v>
      </c>
      <c r="Q86" s="207">
        <v>0</v>
      </c>
      <c r="R86" s="202">
        <v>0</v>
      </c>
      <c r="S86" s="202">
        <v>0</v>
      </c>
      <c r="T86" s="202">
        <v>0</v>
      </c>
      <c r="U86" s="202">
        <v>0</v>
      </c>
      <c r="V86" s="203">
        <f t="shared" si="11"/>
        <v>0</v>
      </c>
      <c r="W86" s="374"/>
    </row>
    <row r="87" spans="1:23" ht="35.1" customHeight="1" x14ac:dyDescent="0.25">
      <c r="A87" s="492"/>
      <c r="B87" s="481"/>
      <c r="C87" s="479"/>
      <c r="D87" s="200">
        <v>975</v>
      </c>
      <c r="E87" s="209" t="s">
        <v>389</v>
      </c>
      <c r="F87" s="206" t="s">
        <v>398</v>
      </c>
      <c r="G87" s="209">
        <v>612</v>
      </c>
      <c r="H87" s="202">
        <v>68.5</v>
      </c>
      <c r="I87" s="202"/>
      <c r="J87" s="202">
        <v>0</v>
      </c>
      <c r="K87" s="202"/>
      <c r="L87" s="202"/>
      <c r="M87" s="202"/>
      <c r="N87" s="202"/>
      <c r="O87" s="202">
        <v>0</v>
      </c>
      <c r="P87" s="202">
        <f>O87</f>
        <v>0</v>
      </c>
      <c r="Q87" s="207">
        <f t="shared" si="10"/>
        <v>0</v>
      </c>
      <c r="R87" s="202">
        <f t="shared" si="10"/>
        <v>0</v>
      </c>
      <c r="S87" s="202">
        <f t="shared" si="10"/>
        <v>0</v>
      </c>
      <c r="T87" s="202">
        <f t="shared" si="10"/>
        <v>0</v>
      </c>
      <c r="U87" s="202">
        <f t="shared" si="10"/>
        <v>0</v>
      </c>
      <c r="V87" s="203">
        <f t="shared" si="11"/>
        <v>68.5</v>
      </c>
      <c r="W87" s="374"/>
    </row>
    <row r="88" spans="1:23" ht="35.1" customHeight="1" x14ac:dyDescent="0.25">
      <c r="A88" s="492"/>
      <c r="B88" s="481"/>
      <c r="C88" s="479"/>
      <c r="D88" s="200" t="s">
        <v>200</v>
      </c>
      <c r="E88" s="209" t="s">
        <v>389</v>
      </c>
      <c r="F88" s="206" t="s">
        <v>398</v>
      </c>
      <c r="G88" s="209">
        <v>621</v>
      </c>
      <c r="H88" s="202">
        <v>16861.8</v>
      </c>
      <c r="I88" s="202">
        <v>17529.8</v>
      </c>
      <c r="J88" s="202">
        <v>8899.2000000000007</v>
      </c>
      <c r="K88" s="202">
        <v>8641.4</v>
      </c>
      <c r="L88" s="202">
        <v>9217.1</v>
      </c>
      <c r="M88" s="202">
        <v>9882.6</v>
      </c>
      <c r="N88" s="202">
        <v>10200.799999999999</v>
      </c>
      <c r="O88" s="202">
        <v>2076.1999999999998</v>
      </c>
      <c r="P88" s="202">
        <f>1723+395.1</f>
        <v>2118.1</v>
      </c>
      <c r="Q88" s="207">
        <v>1796.6</v>
      </c>
      <c r="R88" s="208">
        <v>1776.6</v>
      </c>
      <c r="S88" s="202">
        <v>1571.1</v>
      </c>
      <c r="T88" s="202">
        <v>1571.1</v>
      </c>
      <c r="U88" s="202">
        <v>1571.1</v>
      </c>
      <c r="V88" s="203">
        <f t="shared" si="11"/>
        <v>93713.500000000044</v>
      </c>
      <c r="W88" s="374"/>
    </row>
    <row r="89" spans="1:23" ht="35.1" customHeight="1" x14ac:dyDescent="0.25">
      <c r="A89" s="492"/>
      <c r="B89" s="481"/>
      <c r="C89" s="479"/>
      <c r="D89" s="200" t="s">
        <v>200</v>
      </c>
      <c r="E89" s="209" t="s">
        <v>389</v>
      </c>
      <c r="F89" s="206" t="s">
        <v>477</v>
      </c>
      <c r="G89" s="209">
        <v>621</v>
      </c>
      <c r="H89" s="202"/>
      <c r="I89" s="202"/>
      <c r="J89" s="202"/>
      <c r="K89" s="202"/>
      <c r="L89" s="202"/>
      <c r="M89" s="202"/>
      <c r="N89" s="202"/>
      <c r="O89" s="202">
        <v>4537.8999999999996</v>
      </c>
      <c r="P89" s="202">
        <v>4431.6000000000004</v>
      </c>
      <c r="Q89" s="207">
        <v>5305.4</v>
      </c>
      <c r="R89" s="202">
        <v>6265.1</v>
      </c>
      <c r="S89" s="202">
        <v>6528.2</v>
      </c>
      <c r="T89" s="202">
        <v>6871.4</v>
      </c>
      <c r="U89" s="202">
        <v>6871.4</v>
      </c>
      <c r="V89" s="203">
        <f t="shared" si="11"/>
        <v>40811</v>
      </c>
      <c r="W89" s="374"/>
    </row>
    <row r="90" spans="1:23" ht="35.1" customHeight="1" x14ac:dyDescent="0.25">
      <c r="A90" s="492"/>
      <c r="B90" s="481"/>
      <c r="C90" s="479"/>
      <c r="D90" s="200" t="s">
        <v>200</v>
      </c>
      <c r="E90" s="206" t="s">
        <v>389</v>
      </c>
      <c r="F90" s="206" t="s">
        <v>477</v>
      </c>
      <c r="G90" s="209">
        <v>622</v>
      </c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>
        <v>537.6</v>
      </c>
      <c r="S90" s="202"/>
      <c r="T90" s="202"/>
      <c r="U90" s="202"/>
      <c r="V90" s="203">
        <f t="shared" si="11"/>
        <v>537.6</v>
      </c>
      <c r="W90" s="374"/>
    </row>
    <row r="91" spans="1:23" ht="35.1" customHeight="1" x14ac:dyDescent="0.25">
      <c r="A91" s="492"/>
      <c r="B91" s="481"/>
      <c r="C91" s="479"/>
      <c r="D91" s="200" t="s">
        <v>200</v>
      </c>
      <c r="E91" s="206" t="s">
        <v>389</v>
      </c>
      <c r="F91" s="206" t="s">
        <v>478</v>
      </c>
      <c r="G91" s="209">
        <v>621</v>
      </c>
      <c r="H91" s="202"/>
      <c r="I91" s="202"/>
      <c r="J91" s="202"/>
      <c r="K91" s="202"/>
      <c r="L91" s="202"/>
      <c r="M91" s="202"/>
      <c r="N91" s="202"/>
      <c r="O91" s="202">
        <v>5641.2</v>
      </c>
      <c r="P91" s="202">
        <f>5941.5+350</f>
        <v>6291.5</v>
      </c>
      <c r="Q91" s="202">
        <v>7061.3</v>
      </c>
      <c r="R91" s="202">
        <v>8668.4</v>
      </c>
      <c r="S91" s="202">
        <v>9390.9</v>
      </c>
      <c r="T91" s="202">
        <v>8671</v>
      </c>
      <c r="U91" s="202">
        <v>8671</v>
      </c>
      <c r="V91" s="203">
        <f t="shared" si="11"/>
        <v>54395.3</v>
      </c>
      <c r="W91" s="374"/>
    </row>
    <row r="92" spans="1:23" ht="35.1" customHeight="1" x14ac:dyDescent="0.25">
      <c r="A92" s="492"/>
      <c r="B92" s="481"/>
      <c r="C92" s="479"/>
      <c r="D92" s="200">
        <v>975</v>
      </c>
      <c r="E92" s="209" t="s">
        <v>389</v>
      </c>
      <c r="F92" s="206" t="s">
        <v>398</v>
      </c>
      <c r="G92" s="209">
        <v>622</v>
      </c>
      <c r="H92" s="202">
        <v>150</v>
      </c>
      <c r="I92" s="202"/>
      <c r="J92" s="202"/>
      <c r="K92" s="202"/>
      <c r="L92" s="202"/>
      <c r="M92" s="202"/>
      <c r="N92" s="202"/>
      <c r="O92" s="202"/>
      <c r="P92" s="202">
        <f>O92</f>
        <v>0</v>
      </c>
      <c r="Q92" s="202">
        <f t="shared" si="10"/>
        <v>0</v>
      </c>
      <c r="R92" s="202">
        <f t="shared" si="10"/>
        <v>0</v>
      </c>
      <c r="S92" s="202">
        <f t="shared" si="10"/>
        <v>0</v>
      </c>
      <c r="T92" s="202">
        <f t="shared" si="10"/>
        <v>0</v>
      </c>
      <c r="U92" s="202">
        <f t="shared" si="10"/>
        <v>0</v>
      </c>
      <c r="V92" s="203">
        <f t="shared" si="11"/>
        <v>150</v>
      </c>
      <c r="W92" s="374"/>
    </row>
    <row r="93" spans="1:23" ht="35.1" customHeight="1" x14ac:dyDescent="0.25">
      <c r="A93" s="492"/>
      <c r="B93" s="481"/>
      <c r="C93" s="479"/>
      <c r="D93" s="200">
        <v>975</v>
      </c>
      <c r="E93" s="209" t="s">
        <v>389</v>
      </c>
      <c r="F93" s="206" t="s">
        <v>398</v>
      </c>
      <c r="G93" s="209">
        <v>850</v>
      </c>
      <c r="H93" s="202">
        <v>26.5</v>
      </c>
      <c r="I93" s="202">
        <v>121.1</v>
      </c>
      <c r="J93" s="202">
        <v>14.2</v>
      </c>
      <c r="K93" s="202">
        <v>12.5</v>
      </c>
      <c r="L93" s="202">
        <v>136.1</v>
      </c>
      <c r="M93" s="202">
        <v>8.9</v>
      </c>
      <c r="N93" s="202">
        <v>0</v>
      </c>
      <c r="O93" s="202">
        <v>0</v>
      </c>
      <c r="P93" s="202">
        <v>0</v>
      </c>
      <c r="Q93" s="202">
        <f t="shared" si="10"/>
        <v>0</v>
      </c>
      <c r="R93" s="202">
        <f t="shared" si="10"/>
        <v>0</v>
      </c>
      <c r="S93" s="202">
        <f t="shared" si="10"/>
        <v>0</v>
      </c>
      <c r="T93" s="202">
        <f t="shared" si="10"/>
        <v>0</v>
      </c>
      <c r="U93" s="202">
        <f t="shared" si="10"/>
        <v>0</v>
      </c>
      <c r="V93" s="203">
        <f t="shared" si="11"/>
        <v>319.29999999999995</v>
      </c>
      <c r="W93" s="374"/>
    </row>
    <row r="94" spans="1:23" ht="35.1" customHeight="1" x14ac:dyDescent="0.25">
      <c r="A94" s="492"/>
      <c r="B94" s="481"/>
      <c r="C94" s="479"/>
      <c r="D94" s="200" t="s">
        <v>200</v>
      </c>
      <c r="E94" s="206" t="s">
        <v>389</v>
      </c>
      <c r="F94" s="206" t="s">
        <v>479</v>
      </c>
      <c r="G94" s="209">
        <v>110</v>
      </c>
      <c r="H94" s="202">
        <v>671.1</v>
      </c>
      <c r="I94" s="202">
        <v>882.4</v>
      </c>
      <c r="J94" s="202">
        <v>1697.2</v>
      </c>
      <c r="K94" s="202">
        <f>1447.3+437.1</f>
        <v>1884.4</v>
      </c>
      <c r="L94" s="202">
        <v>2298.1</v>
      </c>
      <c r="M94" s="202">
        <v>1906.9</v>
      </c>
      <c r="N94" s="202">
        <v>0</v>
      </c>
      <c r="O94" s="202">
        <v>0</v>
      </c>
      <c r="P94" s="202">
        <v>0</v>
      </c>
      <c r="Q94" s="202">
        <f t="shared" si="10"/>
        <v>0</v>
      </c>
      <c r="R94" s="202">
        <f t="shared" si="10"/>
        <v>0</v>
      </c>
      <c r="S94" s="202">
        <f t="shared" si="10"/>
        <v>0</v>
      </c>
      <c r="T94" s="202">
        <f t="shared" si="10"/>
        <v>0</v>
      </c>
      <c r="U94" s="202">
        <f t="shared" si="10"/>
        <v>0</v>
      </c>
      <c r="V94" s="203">
        <f t="shared" si="11"/>
        <v>9340.1</v>
      </c>
      <c r="W94" s="374"/>
    </row>
    <row r="95" spans="1:23" ht="35.1" customHeight="1" x14ac:dyDescent="0.25">
      <c r="A95" s="492"/>
      <c r="B95" s="481"/>
      <c r="C95" s="479"/>
      <c r="D95" s="200" t="s">
        <v>200</v>
      </c>
      <c r="E95" s="209" t="s">
        <v>389</v>
      </c>
      <c r="F95" s="206" t="s">
        <v>479</v>
      </c>
      <c r="G95" s="209">
        <v>611</v>
      </c>
      <c r="H95" s="202">
        <v>1841.5</v>
      </c>
      <c r="I95" s="202">
        <v>2844</v>
      </c>
      <c r="J95" s="202">
        <v>7162.7</v>
      </c>
      <c r="K95" s="202">
        <v>5652.6</v>
      </c>
      <c r="L95" s="202">
        <v>9203</v>
      </c>
      <c r="M95" s="202">
        <v>14852.2</v>
      </c>
      <c r="N95" s="202">
        <v>12395.1</v>
      </c>
      <c r="O95" s="202">
        <v>0</v>
      </c>
      <c r="P95" s="202">
        <v>0</v>
      </c>
      <c r="Q95" s="202">
        <f t="shared" si="10"/>
        <v>0</v>
      </c>
      <c r="R95" s="202">
        <f t="shared" si="10"/>
        <v>0</v>
      </c>
      <c r="S95" s="202">
        <f t="shared" si="10"/>
        <v>0</v>
      </c>
      <c r="T95" s="202">
        <f t="shared" si="10"/>
        <v>0</v>
      </c>
      <c r="U95" s="202">
        <f t="shared" si="10"/>
        <v>0</v>
      </c>
      <c r="V95" s="203">
        <f t="shared" si="11"/>
        <v>53951.1</v>
      </c>
      <c r="W95" s="374"/>
    </row>
    <row r="96" spans="1:23" ht="35.1" customHeight="1" x14ac:dyDescent="0.25">
      <c r="A96" s="492"/>
      <c r="B96" s="481"/>
      <c r="C96" s="479"/>
      <c r="D96" s="200">
        <v>975</v>
      </c>
      <c r="E96" s="209" t="s">
        <v>389</v>
      </c>
      <c r="F96" s="206" t="s">
        <v>479</v>
      </c>
      <c r="G96" s="209">
        <v>621</v>
      </c>
      <c r="H96" s="202"/>
      <c r="I96" s="202">
        <v>34.200000000000003</v>
      </c>
      <c r="J96" s="202">
        <v>65.400000000000006</v>
      </c>
      <c r="K96" s="202">
        <v>91.9</v>
      </c>
      <c r="L96" s="202">
        <v>172.8</v>
      </c>
      <c r="M96" s="202">
        <v>155.4</v>
      </c>
      <c r="N96" s="202">
        <v>179.7</v>
      </c>
      <c r="O96" s="202">
        <v>0</v>
      </c>
      <c r="P96" s="202">
        <v>0</v>
      </c>
      <c r="Q96" s="202">
        <f t="shared" si="10"/>
        <v>0</v>
      </c>
      <c r="R96" s="202">
        <f t="shared" si="10"/>
        <v>0</v>
      </c>
      <c r="S96" s="202">
        <f t="shared" si="10"/>
        <v>0</v>
      </c>
      <c r="T96" s="202">
        <f t="shared" si="10"/>
        <v>0</v>
      </c>
      <c r="U96" s="202">
        <f t="shared" si="10"/>
        <v>0</v>
      </c>
      <c r="V96" s="203">
        <f t="shared" si="11"/>
        <v>699.40000000000009</v>
      </c>
      <c r="W96" s="374"/>
    </row>
    <row r="97" spans="1:24" ht="35.1" customHeight="1" x14ac:dyDescent="0.25">
      <c r="A97" s="492"/>
      <c r="B97" s="481"/>
      <c r="C97" s="479"/>
      <c r="D97" s="200" t="s">
        <v>200</v>
      </c>
      <c r="E97" s="209" t="s">
        <v>389</v>
      </c>
      <c r="F97" s="206" t="s">
        <v>480</v>
      </c>
      <c r="G97" s="209">
        <v>611</v>
      </c>
      <c r="H97" s="202">
        <v>946.6</v>
      </c>
      <c r="I97" s="202">
        <v>1533.9</v>
      </c>
      <c r="J97" s="202"/>
      <c r="K97" s="202"/>
      <c r="L97" s="202"/>
      <c r="M97" s="202"/>
      <c r="N97" s="202"/>
      <c r="O97" s="202"/>
      <c r="P97" s="202">
        <f t="shared" ref="P97:P103" si="12">O97</f>
        <v>0</v>
      </c>
      <c r="Q97" s="202">
        <f t="shared" si="10"/>
        <v>0</v>
      </c>
      <c r="R97" s="202">
        <f t="shared" si="10"/>
        <v>0</v>
      </c>
      <c r="S97" s="202">
        <f t="shared" si="10"/>
        <v>0</v>
      </c>
      <c r="T97" s="202">
        <f t="shared" si="10"/>
        <v>0</v>
      </c>
      <c r="U97" s="202">
        <f t="shared" si="10"/>
        <v>0</v>
      </c>
      <c r="V97" s="203">
        <f t="shared" si="11"/>
        <v>2480.5</v>
      </c>
      <c r="W97" s="374"/>
    </row>
    <row r="98" spans="1:24" ht="35.1" customHeight="1" x14ac:dyDescent="0.25">
      <c r="A98" s="492"/>
      <c r="B98" s="481"/>
      <c r="C98" s="479"/>
      <c r="D98" s="200" t="s">
        <v>200</v>
      </c>
      <c r="E98" s="209" t="s">
        <v>389</v>
      </c>
      <c r="F98" s="206" t="s">
        <v>481</v>
      </c>
      <c r="G98" s="209">
        <v>110</v>
      </c>
      <c r="H98" s="202">
        <v>17</v>
      </c>
      <c r="I98" s="202"/>
      <c r="J98" s="202"/>
      <c r="K98" s="202"/>
      <c r="L98" s="202"/>
      <c r="M98" s="202"/>
      <c r="N98" s="202"/>
      <c r="O98" s="202"/>
      <c r="P98" s="202">
        <f t="shared" si="12"/>
        <v>0</v>
      </c>
      <c r="Q98" s="202">
        <f t="shared" si="10"/>
        <v>0</v>
      </c>
      <c r="R98" s="202">
        <f t="shared" si="10"/>
        <v>0</v>
      </c>
      <c r="S98" s="202">
        <f t="shared" si="10"/>
        <v>0</v>
      </c>
      <c r="T98" s="202">
        <f t="shared" si="10"/>
        <v>0</v>
      </c>
      <c r="U98" s="202">
        <f t="shared" si="10"/>
        <v>0</v>
      </c>
      <c r="V98" s="203">
        <f t="shared" si="11"/>
        <v>17</v>
      </c>
      <c r="W98" s="374"/>
    </row>
    <row r="99" spans="1:24" ht="35.1" customHeight="1" x14ac:dyDescent="0.25">
      <c r="A99" s="492"/>
      <c r="B99" s="481"/>
      <c r="C99" s="479"/>
      <c r="D99" s="200" t="s">
        <v>200</v>
      </c>
      <c r="E99" s="206" t="s">
        <v>389</v>
      </c>
      <c r="F99" s="206" t="s">
        <v>481</v>
      </c>
      <c r="G99" s="209">
        <v>611</v>
      </c>
      <c r="H99" s="202">
        <v>20.7</v>
      </c>
      <c r="I99" s="202"/>
      <c r="J99" s="202"/>
      <c r="K99" s="202"/>
      <c r="L99" s="202"/>
      <c r="M99" s="202"/>
      <c r="N99" s="202"/>
      <c r="O99" s="202"/>
      <c r="P99" s="202">
        <f t="shared" si="12"/>
        <v>0</v>
      </c>
      <c r="Q99" s="202">
        <f t="shared" si="10"/>
        <v>0</v>
      </c>
      <c r="R99" s="202">
        <f t="shared" si="10"/>
        <v>0</v>
      </c>
      <c r="S99" s="202">
        <f t="shared" si="10"/>
        <v>0</v>
      </c>
      <c r="T99" s="202">
        <f t="shared" si="10"/>
        <v>0</v>
      </c>
      <c r="U99" s="202">
        <f t="shared" si="10"/>
        <v>0</v>
      </c>
      <c r="V99" s="203">
        <f t="shared" si="11"/>
        <v>20.7</v>
      </c>
      <c r="W99" s="374"/>
    </row>
    <row r="100" spans="1:24" ht="35.1" customHeight="1" x14ac:dyDescent="0.25">
      <c r="A100" s="492"/>
      <c r="B100" s="481"/>
      <c r="C100" s="479"/>
      <c r="D100" s="200" t="s">
        <v>200</v>
      </c>
      <c r="E100" s="206" t="s">
        <v>389</v>
      </c>
      <c r="F100" s="206" t="s">
        <v>481</v>
      </c>
      <c r="G100" s="209">
        <v>621</v>
      </c>
      <c r="H100" s="202">
        <v>0</v>
      </c>
      <c r="I100" s="202"/>
      <c r="J100" s="202"/>
      <c r="K100" s="202"/>
      <c r="L100" s="202"/>
      <c r="M100" s="202"/>
      <c r="N100" s="202"/>
      <c r="O100" s="202"/>
      <c r="P100" s="202">
        <f t="shared" si="12"/>
        <v>0</v>
      </c>
      <c r="Q100" s="202">
        <f t="shared" si="10"/>
        <v>0</v>
      </c>
      <c r="R100" s="202">
        <f t="shared" si="10"/>
        <v>0</v>
      </c>
      <c r="S100" s="202">
        <f t="shared" si="10"/>
        <v>0</v>
      </c>
      <c r="T100" s="202">
        <f t="shared" si="10"/>
        <v>0</v>
      </c>
      <c r="U100" s="202">
        <f t="shared" si="10"/>
        <v>0</v>
      </c>
      <c r="V100" s="203">
        <f t="shared" si="11"/>
        <v>0</v>
      </c>
      <c r="W100" s="374"/>
    </row>
    <row r="101" spans="1:24" ht="35.1" customHeight="1" x14ac:dyDescent="0.25">
      <c r="A101" s="492"/>
      <c r="B101" s="481"/>
      <c r="C101" s="479"/>
      <c r="D101" s="200">
        <v>975</v>
      </c>
      <c r="E101" s="206" t="s">
        <v>389</v>
      </c>
      <c r="F101" s="206" t="s">
        <v>482</v>
      </c>
      <c r="G101" s="209">
        <v>611</v>
      </c>
      <c r="H101" s="202"/>
      <c r="I101" s="202"/>
      <c r="J101" s="202">
        <v>0</v>
      </c>
      <c r="K101" s="202"/>
      <c r="L101" s="202"/>
      <c r="M101" s="202"/>
      <c r="N101" s="202"/>
      <c r="O101" s="202"/>
      <c r="P101" s="202">
        <f t="shared" si="12"/>
        <v>0</v>
      </c>
      <c r="Q101" s="202">
        <f t="shared" si="10"/>
        <v>0</v>
      </c>
      <c r="R101" s="202">
        <f t="shared" si="10"/>
        <v>0</v>
      </c>
      <c r="S101" s="202">
        <f t="shared" si="10"/>
        <v>0</v>
      </c>
      <c r="T101" s="202">
        <f t="shared" si="10"/>
        <v>0</v>
      </c>
      <c r="U101" s="202">
        <f t="shared" si="10"/>
        <v>0</v>
      </c>
      <c r="V101" s="203">
        <f t="shared" si="11"/>
        <v>0</v>
      </c>
      <c r="W101" s="374"/>
    </row>
    <row r="102" spans="1:24" ht="35.1" customHeight="1" x14ac:dyDescent="0.25">
      <c r="A102" s="493"/>
      <c r="B102" s="487"/>
      <c r="C102" s="411"/>
      <c r="D102" s="200">
        <v>975</v>
      </c>
      <c r="E102" s="206" t="s">
        <v>389</v>
      </c>
      <c r="F102" s="206" t="s">
        <v>483</v>
      </c>
      <c r="G102" s="209">
        <v>611</v>
      </c>
      <c r="H102" s="202"/>
      <c r="I102" s="202"/>
      <c r="J102" s="202">
        <v>69.8</v>
      </c>
      <c r="K102" s="202"/>
      <c r="L102" s="202"/>
      <c r="M102" s="202"/>
      <c r="N102" s="202"/>
      <c r="O102" s="202"/>
      <c r="P102" s="202">
        <f t="shared" si="12"/>
        <v>0</v>
      </c>
      <c r="Q102" s="202">
        <f t="shared" si="10"/>
        <v>0</v>
      </c>
      <c r="R102" s="208">
        <f t="shared" si="10"/>
        <v>0</v>
      </c>
      <c r="S102" s="202">
        <f t="shared" si="10"/>
        <v>0</v>
      </c>
      <c r="T102" s="202">
        <f t="shared" si="10"/>
        <v>0</v>
      </c>
      <c r="U102" s="202">
        <f t="shared" si="10"/>
        <v>0</v>
      </c>
      <c r="V102" s="203">
        <f t="shared" si="11"/>
        <v>69.8</v>
      </c>
      <c r="W102" s="374"/>
    </row>
    <row r="103" spans="1:24" ht="35.1" customHeight="1" x14ac:dyDescent="0.25">
      <c r="A103" s="494"/>
      <c r="B103" s="488"/>
      <c r="C103" s="412"/>
      <c r="D103" s="200">
        <v>975</v>
      </c>
      <c r="E103" s="206" t="s">
        <v>389</v>
      </c>
      <c r="F103" s="206" t="s">
        <v>484</v>
      </c>
      <c r="G103" s="209">
        <v>611</v>
      </c>
      <c r="H103" s="202">
        <v>50.1</v>
      </c>
      <c r="I103" s="202">
        <v>30</v>
      </c>
      <c r="J103" s="202"/>
      <c r="K103" s="202"/>
      <c r="L103" s="202"/>
      <c r="M103" s="202"/>
      <c r="N103" s="202"/>
      <c r="O103" s="202"/>
      <c r="P103" s="202">
        <f t="shared" si="12"/>
        <v>0</v>
      </c>
      <c r="Q103" s="202">
        <f t="shared" si="10"/>
        <v>0</v>
      </c>
      <c r="R103" s="208">
        <f t="shared" si="10"/>
        <v>0</v>
      </c>
      <c r="S103" s="202">
        <f t="shared" si="10"/>
        <v>0</v>
      </c>
      <c r="T103" s="202">
        <f t="shared" si="10"/>
        <v>0</v>
      </c>
      <c r="U103" s="202">
        <f t="shared" si="10"/>
        <v>0</v>
      </c>
      <c r="V103" s="203">
        <f t="shared" si="11"/>
        <v>80.099999999999994</v>
      </c>
      <c r="W103" s="374"/>
    </row>
    <row r="104" spans="1:24" ht="35.1" customHeight="1" x14ac:dyDescent="0.25">
      <c r="A104" s="495" t="s">
        <v>67</v>
      </c>
      <c r="B104" s="489" t="s">
        <v>485</v>
      </c>
      <c r="C104" s="476" t="s">
        <v>199</v>
      </c>
      <c r="D104" s="200">
        <v>975</v>
      </c>
      <c r="E104" s="206" t="s">
        <v>389</v>
      </c>
      <c r="F104" s="206" t="s">
        <v>486</v>
      </c>
      <c r="G104" s="209">
        <v>611</v>
      </c>
      <c r="H104" s="202"/>
      <c r="I104" s="202"/>
      <c r="J104" s="202"/>
      <c r="K104" s="202"/>
      <c r="L104" s="202"/>
      <c r="M104" s="202"/>
      <c r="N104" s="202">
        <v>3984.1</v>
      </c>
      <c r="O104" s="202">
        <v>11751.3</v>
      </c>
      <c r="P104" s="202">
        <v>12074.7</v>
      </c>
      <c r="Q104" s="202">
        <v>12538.2</v>
      </c>
      <c r="R104" s="202">
        <v>22137.7</v>
      </c>
      <c r="S104" s="202">
        <v>25779.599999999999</v>
      </c>
      <c r="T104" s="202">
        <v>25779.599999999999</v>
      </c>
      <c r="U104" s="202">
        <v>25779.599999999999</v>
      </c>
      <c r="V104" s="203">
        <f t="shared" si="11"/>
        <v>139824.80000000002</v>
      </c>
      <c r="W104" s="374"/>
    </row>
    <row r="105" spans="1:24" ht="35.1" customHeight="1" x14ac:dyDescent="0.25">
      <c r="A105" s="492"/>
      <c r="B105" s="481"/>
      <c r="C105" s="479"/>
      <c r="D105" s="200">
        <v>975</v>
      </c>
      <c r="E105" s="206" t="s">
        <v>389</v>
      </c>
      <c r="F105" s="206" t="s">
        <v>486</v>
      </c>
      <c r="G105" s="220">
        <v>621</v>
      </c>
      <c r="H105" s="202"/>
      <c r="I105" s="202"/>
      <c r="J105" s="202"/>
      <c r="K105" s="202"/>
      <c r="L105" s="202"/>
      <c r="M105" s="202"/>
      <c r="N105" s="202">
        <v>1210.9000000000001</v>
      </c>
      <c r="O105" s="202">
        <v>3632.6</v>
      </c>
      <c r="P105" s="202">
        <v>3632.6</v>
      </c>
      <c r="Q105" s="202">
        <v>3632.6</v>
      </c>
      <c r="R105" s="202">
        <v>6389</v>
      </c>
      <c r="S105" s="202">
        <v>7265.2</v>
      </c>
      <c r="T105" s="202">
        <v>7265.2</v>
      </c>
      <c r="U105" s="202">
        <v>7265.2</v>
      </c>
      <c r="V105" s="203">
        <f t="shared" si="11"/>
        <v>40293.299999999996</v>
      </c>
      <c r="W105" s="374"/>
    </row>
    <row r="106" spans="1:24" ht="35.1" customHeight="1" x14ac:dyDescent="0.25">
      <c r="A106" s="492"/>
      <c r="B106" s="481"/>
      <c r="C106" s="479"/>
      <c r="D106" s="200">
        <v>975</v>
      </c>
      <c r="E106" s="206" t="s">
        <v>389</v>
      </c>
      <c r="F106" s="206" t="s">
        <v>486</v>
      </c>
      <c r="G106" s="209">
        <v>870</v>
      </c>
      <c r="H106" s="202"/>
      <c r="I106" s="202"/>
      <c r="J106" s="202"/>
      <c r="K106" s="202"/>
      <c r="L106" s="202"/>
      <c r="M106" s="202"/>
      <c r="N106" s="202">
        <v>0</v>
      </c>
      <c r="O106" s="202">
        <v>0</v>
      </c>
      <c r="P106" s="202">
        <v>0</v>
      </c>
      <c r="Q106" s="202">
        <v>0</v>
      </c>
      <c r="R106" s="202">
        <v>1525.4</v>
      </c>
      <c r="S106" s="202">
        <v>0</v>
      </c>
      <c r="T106" s="202">
        <v>0</v>
      </c>
      <c r="U106" s="202">
        <v>0</v>
      </c>
      <c r="V106" s="203">
        <f t="shared" si="11"/>
        <v>1525.4</v>
      </c>
      <c r="W106" s="374"/>
    </row>
    <row r="107" spans="1:24" ht="35.1" customHeight="1" x14ac:dyDescent="0.25">
      <c r="A107" s="492" t="s">
        <v>69</v>
      </c>
      <c r="B107" s="481" t="s">
        <v>487</v>
      </c>
      <c r="C107" s="479" t="s">
        <v>199</v>
      </c>
      <c r="D107" s="200">
        <v>975</v>
      </c>
      <c r="E107" s="206" t="s">
        <v>389</v>
      </c>
      <c r="F107" s="206" t="s">
        <v>488</v>
      </c>
      <c r="G107" s="209" t="s">
        <v>489</v>
      </c>
      <c r="H107" s="202">
        <v>2069.1</v>
      </c>
      <c r="I107" s="202">
        <v>2048.5</v>
      </c>
      <c r="J107" s="202">
        <v>2159.8000000000002</v>
      </c>
      <c r="K107" s="202">
        <f>1921.59+580.31</f>
        <v>2501.8999999999996</v>
      </c>
      <c r="L107" s="202">
        <v>2453.9</v>
      </c>
      <c r="M107" s="202">
        <f>1245.3+32</f>
        <v>1277.3</v>
      </c>
      <c r="N107" s="202">
        <v>0</v>
      </c>
      <c r="O107" s="202">
        <v>0</v>
      </c>
      <c r="P107" s="202">
        <v>0</v>
      </c>
      <c r="Q107" s="207">
        <f t="shared" si="10"/>
        <v>0</v>
      </c>
      <c r="R107" s="202">
        <f t="shared" si="10"/>
        <v>0</v>
      </c>
      <c r="S107" s="202">
        <f t="shared" si="10"/>
        <v>0</v>
      </c>
      <c r="T107" s="202">
        <f t="shared" si="10"/>
        <v>0</v>
      </c>
      <c r="U107" s="202">
        <f t="shared" si="10"/>
        <v>0</v>
      </c>
      <c r="V107" s="203">
        <f t="shared" si="11"/>
        <v>12510.499999999998</v>
      </c>
      <c r="W107" s="374"/>
    </row>
    <row r="108" spans="1:24" ht="35.1" customHeight="1" x14ac:dyDescent="0.25">
      <c r="A108" s="492"/>
      <c r="B108" s="481"/>
      <c r="C108" s="479"/>
      <c r="D108" s="200">
        <v>975</v>
      </c>
      <c r="E108" s="206" t="s">
        <v>389</v>
      </c>
      <c r="F108" s="206" t="s">
        <v>488</v>
      </c>
      <c r="G108" s="209">
        <v>244</v>
      </c>
      <c r="H108" s="202">
        <v>48</v>
      </c>
      <c r="I108" s="202">
        <v>49.5</v>
      </c>
      <c r="J108" s="202">
        <v>152</v>
      </c>
      <c r="K108" s="202">
        <v>194.7</v>
      </c>
      <c r="L108" s="202">
        <v>150.69999999999999</v>
      </c>
      <c r="M108" s="202">
        <v>117.6</v>
      </c>
      <c r="N108" s="202">
        <v>0</v>
      </c>
      <c r="O108" s="202">
        <v>0</v>
      </c>
      <c r="P108" s="202">
        <v>0</v>
      </c>
      <c r="Q108" s="207">
        <f t="shared" si="10"/>
        <v>0</v>
      </c>
      <c r="R108" s="202">
        <f t="shared" si="10"/>
        <v>0</v>
      </c>
      <c r="S108" s="202">
        <f t="shared" si="10"/>
        <v>0</v>
      </c>
      <c r="T108" s="202">
        <f t="shared" si="10"/>
        <v>0</v>
      </c>
      <c r="U108" s="202">
        <f t="shared" si="10"/>
        <v>0</v>
      </c>
      <c r="V108" s="203">
        <f t="shared" si="11"/>
        <v>712.5</v>
      </c>
      <c r="W108" s="374"/>
    </row>
    <row r="109" spans="1:24" ht="35.1" customHeight="1" x14ac:dyDescent="0.25">
      <c r="A109" s="492"/>
      <c r="B109" s="481"/>
      <c r="C109" s="479"/>
      <c r="D109" s="200">
        <v>975</v>
      </c>
      <c r="E109" s="206" t="s">
        <v>389</v>
      </c>
      <c r="F109" s="206" t="s">
        <v>488</v>
      </c>
      <c r="G109" s="209">
        <v>611</v>
      </c>
      <c r="H109" s="202">
        <v>69419.8</v>
      </c>
      <c r="I109" s="202">
        <v>74727.600000000006</v>
      </c>
      <c r="J109" s="202">
        <v>75371.399999999994</v>
      </c>
      <c r="K109" s="202">
        <v>82441.7</v>
      </c>
      <c r="L109" s="202">
        <v>87113.3</v>
      </c>
      <c r="M109" s="202">
        <v>84914.7</v>
      </c>
      <c r="N109" s="202">
        <v>94080.1</v>
      </c>
      <c r="O109" s="202">
        <v>104322.2</v>
      </c>
      <c r="P109" s="202">
        <v>122057</v>
      </c>
      <c r="Q109" s="207">
        <v>139928.29999999999</v>
      </c>
      <c r="R109" s="202">
        <v>164979.4</v>
      </c>
      <c r="S109" s="202">
        <v>170964.6</v>
      </c>
      <c r="T109" s="202">
        <v>155145.9</v>
      </c>
      <c r="U109" s="202">
        <f t="shared" si="10"/>
        <v>155145.9</v>
      </c>
      <c r="V109" s="203">
        <f t="shared" si="11"/>
        <v>1580611.8999999997</v>
      </c>
      <c r="W109" s="374"/>
    </row>
    <row r="110" spans="1:24" ht="35.1" customHeight="1" x14ac:dyDescent="0.25">
      <c r="A110" s="492"/>
      <c r="B110" s="481"/>
      <c r="C110" s="479"/>
      <c r="D110" s="200">
        <v>975</v>
      </c>
      <c r="E110" s="206" t="s">
        <v>466</v>
      </c>
      <c r="F110" s="206" t="s">
        <v>488</v>
      </c>
      <c r="G110" s="209">
        <v>611.61400000000003</v>
      </c>
      <c r="H110" s="202"/>
      <c r="I110" s="202"/>
      <c r="J110" s="202"/>
      <c r="K110" s="202"/>
      <c r="L110" s="202"/>
      <c r="M110" s="202">
        <v>10565.4</v>
      </c>
      <c r="N110" s="202">
        <v>11184.2</v>
      </c>
      <c r="O110" s="202">
        <v>14948</v>
      </c>
      <c r="P110" s="202">
        <v>22482.7</v>
      </c>
      <c r="Q110" s="207">
        <v>24715.4</v>
      </c>
      <c r="R110" s="202">
        <v>29432</v>
      </c>
      <c r="S110" s="202">
        <v>28708.6</v>
      </c>
      <c r="T110" s="202">
        <v>27587.8</v>
      </c>
      <c r="U110" s="202">
        <v>27587.8</v>
      </c>
      <c r="V110" s="203">
        <f t="shared" si="11"/>
        <v>197211.9</v>
      </c>
      <c r="W110" s="374"/>
      <c r="X110" s="211"/>
    </row>
    <row r="111" spans="1:24" ht="35.1" customHeight="1" x14ac:dyDescent="0.25">
      <c r="A111" s="492"/>
      <c r="B111" s="481"/>
      <c r="C111" s="479"/>
      <c r="D111" s="200">
        <v>975</v>
      </c>
      <c r="E111" s="206" t="s">
        <v>389</v>
      </c>
      <c r="F111" s="206" t="s">
        <v>488</v>
      </c>
      <c r="G111" s="209">
        <v>612</v>
      </c>
      <c r="H111" s="202">
        <v>1060.3</v>
      </c>
      <c r="I111" s="202">
        <v>685.7</v>
      </c>
      <c r="J111" s="202">
        <v>3330.5</v>
      </c>
      <c r="K111" s="202">
        <v>4576</v>
      </c>
      <c r="L111" s="202">
        <v>4798.1000000000004</v>
      </c>
      <c r="M111" s="202">
        <v>4598.3999999999996</v>
      </c>
      <c r="N111" s="202">
        <v>0</v>
      </c>
      <c r="O111" s="202">
        <v>0</v>
      </c>
      <c r="P111" s="202">
        <v>0</v>
      </c>
      <c r="Q111" s="207">
        <f t="shared" si="10"/>
        <v>0</v>
      </c>
      <c r="R111" s="202">
        <f t="shared" si="10"/>
        <v>0</v>
      </c>
      <c r="S111" s="202">
        <f t="shared" si="10"/>
        <v>0</v>
      </c>
      <c r="T111" s="202">
        <f t="shared" si="10"/>
        <v>0</v>
      </c>
      <c r="U111" s="202">
        <f t="shared" si="10"/>
        <v>0</v>
      </c>
      <c r="V111" s="203">
        <f t="shared" si="11"/>
        <v>19049</v>
      </c>
      <c r="W111" s="374"/>
    </row>
    <row r="112" spans="1:24" ht="35.1" customHeight="1" x14ac:dyDescent="0.25">
      <c r="A112" s="492"/>
      <c r="B112" s="481"/>
      <c r="C112" s="479"/>
      <c r="D112" s="200">
        <v>975</v>
      </c>
      <c r="E112" s="206" t="s">
        <v>389</v>
      </c>
      <c r="F112" s="206" t="s">
        <v>488</v>
      </c>
      <c r="G112" s="209">
        <v>621</v>
      </c>
      <c r="H112" s="202">
        <v>28912.7</v>
      </c>
      <c r="I112" s="202">
        <v>29234.2</v>
      </c>
      <c r="J112" s="202">
        <v>29412</v>
      </c>
      <c r="K112" s="202">
        <v>31346.1</v>
      </c>
      <c r="L112" s="202">
        <v>32415.7</v>
      </c>
      <c r="M112" s="202">
        <v>31196.1</v>
      </c>
      <c r="N112" s="202">
        <v>32462.1</v>
      </c>
      <c r="O112" s="202">
        <v>34726.699999999997</v>
      </c>
      <c r="P112" s="202">
        <v>38826.5</v>
      </c>
      <c r="Q112" s="207">
        <v>41521.5</v>
      </c>
      <c r="R112" s="202">
        <v>47730.3</v>
      </c>
      <c r="S112" s="202">
        <v>48073.5</v>
      </c>
      <c r="T112" s="202">
        <v>42638.5</v>
      </c>
      <c r="U112" s="202">
        <f t="shared" si="10"/>
        <v>42638.5</v>
      </c>
      <c r="V112" s="203">
        <f t="shared" si="11"/>
        <v>511134.4</v>
      </c>
      <c r="W112" s="374"/>
    </row>
    <row r="113" spans="1:23" ht="35.1" customHeight="1" x14ac:dyDescent="0.25">
      <c r="A113" s="492"/>
      <c r="B113" s="481"/>
      <c r="C113" s="479"/>
      <c r="D113" s="200">
        <v>975</v>
      </c>
      <c r="E113" s="206" t="s">
        <v>466</v>
      </c>
      <c r="F113" s="206" t="s">
        <v>488</v>
      </c>
      <c r="G113" s="209">
        <v>621.62400000000002</v>
      </c>
      <c r="H113" s="202"/>
      <c r="I113" s="202"/>
      <c r="J113" s="202"/>
      <c r="K113" s="202"/>
      <c r="L113" s="202"/>
      <c r="M113" s="202">
        <v>4913.8</v>
      </c>
      <c r="N113" s="202">
        <v>4838.5</v>
      </c>
      <c r="O113" s="202">
        <v>6476.8</v>
      </c>
      <c r="P113" s="202">
        <v>10542.1</v>
      </c>
      <c r="Q113" s="207">
        <v>12321.4</v>
      </c>
      <c r="R113" s="202">
        <v>11548.2</v>
      </c>
      <c r="S113" s="202">
        <v>9596.4</v>
      </c>
      <c r="T113" s="202">
        <f t="shared" si="10"/>
        <v>9596.4</v>
      </c>
      <c r="U113" s="202">
        <f t="shared" si="10"/>
        <v>9596.4</v>
      </c>
      <c r="V113" s="203">
        <f t="shared" si="11"/>
        <v>79430</v>
      </c>
      <c r="W113" s="374"/>
    </row>
    <row r="114" spans="1:23" ht="35.1" customHeight="1" x14ac:dyDescent="0.25">
      <c r="A114" s="492"/>
      <c r="B114" s="481"/>
      <c r="C114" s="479"/>
      <c r="D114" s="200">
        <v>975</v>
      </c>
      <c r="E114" s="206" t="s">
        <v>389</v>
      </c>
      <c r="F114" s="206" t="s">
        <v>488</v>
      </c>
      <c r="G114" s="209">
        <v>622</v>
      </c>
      <c r="H114" s="202">
        <v>348.3</v>
      </c>
      <c r="I114" s="202">
        <v>360.9</v>
      </c>
      <c r="J114" s="202">
        <v>1248.9000000000001</v>
      </c>
      <c r="K114" s="202">
        <v>1661.6</v>
      </c>
      <c r="L114" s="202">
        <v>1917.9</v>
      </c>
      <c r="M114" s="202">
        <v>1604.6</v>
      </c>
      <c r="N114" s="202">
        <v>0</v>
      </c>
      <c r="O114" s="202">
        <v>0</v>
      </c>
      <c r="P114" s="202">
        <v>0</v>
      </c>
      <c r="Q114" s="207">
        <f t="shared" si="10"/>
        <v>0</v>
      </c>
      <c r="R114" s="202">
        <f t="shared" si="10"/>
        <v>0</v>
      </c>
      <c r="S114" s="202">
        <f t="shared" si="10"/>
        <v>0</v>
      </c>
      <c r="T114" s="202">
        <f t="shared" si="10"/>
        <v>0</v>
      </c>
      <c r="U114" s="202">
        <f t="shared" si="10"/>
        <v>0</v>
      </c>
      <c r="V114" s="203">
        <f t="shared" si="11"/>
        <v>7142.2000000000007</v>
      </c>
      <c r="W114" s="374"/>
    </row>
    <row r="115" spans="1:23" ht="35.1" customHeight="1" x14ac:dyDescent="0.25">
      <c r="A115" s="492"/>
      <c r="B115" s="481"/>
      <c r="C115" s="479"/>
      <c r="D115" s="200">
        <v>975</v>
      </c>
      <c r="E115" s="206" t="s">
        <v>389</v>
      </c>
      <c r="F115" s="206" t="s">
        <v>488</v>
      </c>
      <c r="G115" s="209">
        <v>870</v>
      </c>
      <c r="H115" s="202"/>
      <c r="I115" s="202"/>
      <c r="J115" s="202"/>
      <c r="K115" s="202">
        <v>1355.7</v>
      </c>
      <c r="L115" s="202"/>
      <c r="M115" s="202"/>
      <c r="N115" s="202"/>
      <c r="O115" s="202">
        <v>15.7</v>
      </c>
      <c r="P115" s="202">
        <v>0</v>
      </c>
      <c r="Q115" s="207">
        <v>0</v>
      </c>
      <c r="R115" s="202">
        <v>0</v>
      </c>
      <c r="S115" s="202">
        <v>49.3</v>
      </c>
      <c r="T115" s="202">
        <v>558.79999999999995</v>
      </c>
      <c r="U115" s="202">
        <f t="shared" si="10"/>
        <v>558.79999999999995</v>
      </c>
      <c r="V115" s="203">
        <f t="shared" si="11"/>
        <v>2538.3000000000002</v>
      </c>
      <c r="W115" s="374"/>
    </row>
    <row r="116" spans="1:23" ht="35.1" customHeight="1" x14ac:dyDescent="0.25">
      <c r="A116" s="492"/>
      <c r="B116" s="481"/>
      <c r="C116" s="479"/>
      <c r="D116" s="200">
        <v>975</v>
      </c>
      <c r="E116" s="206" t="s">
        <v>466</v>
      </c>
      <c r="F116" s="206" t="s">
        <v>488</v>
      </c>
      <c r="G116" s="209">
        <v>870</v>
      </c>
      <c r="H116" s="202"/>
      <c r="I116" s="202"/>
      <c r="J116" s="202"/>
      <c r="K116" s="202"/>
      <c r="L116" s="202"/>
      <c r="M116" s="202"/>
      <c r="N116" s="202"/>
      <c r="O116" s="202"/>
      <c r="P116" s="202"/>
      <c r="Q116" s="207"/>
      <c r="R116" s="202">
        <v>0</v>
      </c>
      <c r="S116" s="202">
        <v>2625.3</v>
      </c>
      <c r="T116" s="202">
        <v>2137.4</v>
      </c>
      <c r="U116" s="202">
        <v>2137.4</v>
      </c>
      <c r="V116" s="203">
        <f t="shared" si="11"/>
        <v>6900.1</v>
      </c>
      <c r="W116" s="374"/>
    </row>
    <row r="117" spans="1:23" ht="35.1" customHeight="1" x14ac:dyDescent="0.25">
      <c r="A117" s="492"/>
      <c r="B117" s="481"/>
      <c r="C117" s="479"/>
      <c r="D117" s="200">
        <v>975</v>
      </c>
      <c r="E117" s="206" t="s">
        <v>389</v>
      </c>
      <c r="F117" s="206" t="s">
        <v>490</v>
      </c>
      <c r="G117" s="209">
        <v>110</v>
      </c>
      <c r="H117" s="202">
        <v>19.7</v>
      </c>
      <c r="I117" s="202"/>
      <c r="J117" s="202"/>
      <c r="K117" s="202"/>
      <c r="L117" s="202"/>
      <c r="M117" s="202"/>
      <c r="N117" s="202"/>
      <c r="O117" s="202"/>
      <c r="P117" s="202">
        <f>O117</f>
        <v>0</v>
      </c>
      <c r="Q117" s="207">
        <f t="shared" si="10"/>
        <v>0</v>
      </c>
      <c r="R117" s="202">
        <f t="shared" si="10"/>
        <v>0</v>
      </c>
      <c r="S117" s="202">
        <f t="shared" si="10"/>
        <v>0</v>
      </c>
      <c r="T117" s="202">
        <f t="shared" si="10"/>
        <v>0</v>
      </c>
      <c r="U117" s="202">
        <f t="shared" si="10"/>
        <v>0</v>
      </c>
      <c r="V117" s="203">
        <f t="shared" si="11"/>
        <v>19.7</v>
      </c>
      <c r="W117" s="374"/>
    </row>
    <row r="118" spans="1:23" ht="35.1" customHeight="1" x14ac:dyDescent="0.25">
      <c r="A118" s="492"/>
      <c r="B118" s="481"/>
      <c r="C118" s="479"/>
      <c r="D118" s="200">
        <v>975</v>
      </c>
      <c r="E118" s="206" t="s">
        <v>389</v>
      </c>
      <c r="F118" s="206" t="s">
        <v>491</v>
      </c>
      <c r="G118" s="209">
        <v>110</v>
      </c>
      <c r="H118" s="202"/>
      <c r="I118" s="202"/>
      <c r="J118" s="202">
        <v>911.7</v>
      </c>
      <c r="K118" s="202">
        <v>908.9</v>
      </c>
      <c r="L118" s="202">
        <f>724.5+218.8</f>
        <v>943.3</v>
      </c>
      <c r="M118" s="202">
        <v>456.8</v>
      </c>
      <c r="N118" s="202">
        <v>0</v>
      </c>
      <c r="O118" s="202">
        <v>0</v>
      </c>
      <c r="P118" s="202">
        <v>0</v>
      </c>
      <c r="Q118" s="207">
        <f t="shared" si="10"/>
        <v>0</v>
      </c>
      <c r="R118" s="202">
        <f t="shared" si="10"/>
        <v>0</v>
      </c>
      <c r="S118" s="202">
        <f t="shared" si="10"/>
        <v>0</v>
      </c>
      <c r="T118" s="202">
        <f t="shared" si="10"/>
        <v>0</v>
      </c>
      <c r="U118" s="202">
        <f t="shared" si="10"/>
        <v>0</v>
      </c>
      <c r="V118" s="203">
        <f t="shared" si="11"/>
        <v>3220.7</v>
      </c>
      <c r="W118" s="374"/>
    </row>
    <row r="119" spans="1:23" ht="35.1" customHeight="1" x14ac:dyDescent="0.25">
      <c r="A119" s="492"/>
      <c r="B119" s="481"/>
      <c r="C119" s="479"/>
      <c r="D119" s="200">
        <v>975</v>
      </c>
      <c r="E119" s="206" t="s">
        <v>389</v>
      </c>
      <c r="F119" s="206" t="s">
        <v>491</v>
      </c>
      <c r="G119" s="209">
        <v>240</v>
      </c>
      <c r="H119" s="202"/>
      <c r="I119" s="202"/>
      <c r="J119" s="202">
        <v>17.5</v>
      </c>
      <c r="K119" s="202">
        <v>20.2</v>
      </c>
      <c r="L119" s="202">
        <v>20.2</v>
      </c>
      <c r="M119" s="202">
        <v>13.9</v>
      </c>
      <c r="N119" s="202">
        <v>0</v>
      </c>
      <c r="O119" s="202">
        <v>0</v>
      </c>
      <c r="P119" s="202">
        <v>0</v>
      </c>
      <c r="Q119" s="207">
        <f t="shared" si="10"/>
        <v>0</v>
      </c>
      <c r="R119" s="202">
        <f t="shared" si="10"/>
        <v>0</v>
      </c>
      <c r="S119" s="202">
        <f t="shared" si="10"/>
        <v>0</v>
      </c>
      <c r="T119" s="202">
        <f t="shared" si="10"/>
        <v>0</v>
      </c>
      <c r="U119" s="202">
        <f t="shared" si="10"/>
        <v>0</v>
      </c>
      <c r="V119" s="203">
        <f t="shared" si="11"/>
        <v>71.800000000000011</v>
      </c>
      <c r="W119" s="374"/>
    </row>
    <row r="120" spans="1:23" ht="52.15" customHeight="1" x14ac:dyDescent="0.25">
      <c r="A120" s="492"/>
      <c r="B120" s="481"/>
      <c r="C120" s="479"/>
      <c r="D120" s="200">
        <v>975</v>
      </c>
      <c r="E120" s="206" t="s">
        <v>389</v>
      </c>
      <c r="F120" s="206" t="s">
        <v>491</v>
      </c>
      <c r="G120" s="209">
        <v>611</v>
      </c>
      <c r="H120" s="202"/>
      <c r="I120" s="202"/>
      <c r="J120" s="202">
        <v>19514.400000000001</v>
      </c>
      <c r="K120" s="202">
        <v>19413.400000000001</v>
      </c>
      <c r="L120" s="202">
        <v>20229.8</v>
      </c>
      <c r="M120" s="202">
        <v>22664.400000000001</v>
      </c>
      <c r="N120" s="202">
        <v>26332.400000000001</v>
      </c>
      <c r="O120" s="202">
        <v>27805.3</v>
      </c>
      <c r="P120" s="202">
        <v>32383.9</v>
      </c>
      <c r="Q120" s="202">
        <v>38999</v>
      </c>
      <c r="R120" s="202">
        <v>48704.9</v>
      </c>
      <c r="S120" s="202">
        <v>52610.2</v>
      </c>
      <c r="T120" s="202">
        <v>48266.8</v>
      </c>
      <c r="U120" s="202">
        <v>48266.8</v>
      </c>
      <c r="V120" s="203">
        <f t="shared" si="11"/>
        <v>405191.29999999993</v>
      </c>
      <c r="W120" s="374"/>
    </row>
    <row r="121" spans="1:23" ht="60.6" customHeight="1" x14ac:dyDescent="0.25">
      <c r="A121" s="492"/>
      <c r="B121" s="481"/>
      <c r="C121" s="479"/>
      <c r="D121" s="200">
        <v>975</v>
      </c>
      <c r="E121" s="206" t="s">
        <v>389</v>
      </c>
      <c r="F121" s="206" t="s">
        <v>491</v>
      </c>
      <c r="G121" s="209">
        <v>612</v>
      </c>
      <c r="H121" s="202"/>
      <c r="I121" s="202"/>
      <c r="J121" s="202"/>
      <c r="K121" s="202">
        <v>119</v>
      </c>
      <c r="L121" s="202">
        <v>113</v>
      </c>
      <c r="M121" s="202">
        <v>118</v>
      </c>
      <c r="N121" s="202">
        <v>0</v>
      </c>
      <c r="O121" s="202">
        <v>0</v>
      </c>
      <c r="P121" s="202">
        <v>0</v>
      </c>
      <c r="Q121" s="202">
        <f t="shared" si="10"/>
        <v>0</v>
      </c>
      <c r="R121" s="202">
        <f t="shared" si="10"/>
        <v>0</v>
      </c>
      <c r="S121" s="202">
        <f t="shared" si="10"/>
        <v>0</v>
      </c>
      <c r="T121" s="202">
        <f t="shared" si="10"/>
        <v>0</v>
      </c>
      <c r="U121" s="202">
        <f t="shared" si="10"/>
        <v>0</v>
      </c>
      <c r="V121" s="203">
        <f t="shared" si="11"/>
        <v>350</v>
      </c>
      <c r="W121" s="374"/>
    </row>
    <row r="122" spans="1:23" ht="35.1" customHeight="1" x14ac:dyDescent="0.25">
      <c r="A122" s="492"/>
      <c r="B122" s="481"/>
      <c r="C122" s="479"/>
      <c r="D122" s="200">
        <v>975</v>
      </c>
      <c r="E122" s="206" t="s">
        <v>389</v>
      </c>
      <c r="F122" s="206" t="s">
        <v>491</v>
      </c>
      <c r="G122" s="209">
        <v>621</v>
      </c>
      <c r="H122" s="202"/>
      <c r="I122" s="202"/>
      <c r="J122" s="202">
        <v>9019.2000000000007</v>
      </c>
      <c r="K122" s="202">
        <v>9035.1</v>
      </c>
      <c r="L122" s="202">
        <v>9369.2999999999993</v>
      </c>
      <c r="M122" s="202">
        <v>7901</v>
      </c>
      <c r="N122" s="202">
        <v>8696.1</v>
      </c>
      <c r="O122" s="202">
        <v>9064.7999999999993</v>
      </c>
      <c r="P122" s="202">
        <f>9348.2+846.5</f>
        <v>10194.700000000001</v>
      </c>
      <c r="Q122" s="202">
        <v>12121.2</v>
      </c>
      <c r="R122" s="202">
        <v>14012.5</v>
      </c>
      <c r="S122" s="202">
        <v>15387.2</v>
      </c>
      <c r="T122" s="202">
        <v>13793.7</v>
      </c>
      <c r="U122" s="202">
        <v>13793.7</v>
      </c>
      <c r="V122" s="203">
        <f t="shared" si="11"/>
        <v>132388.5</v>
      </c>
      <c r="W122" s="374"/>
    </row>
    <row r="123" spans="1:23" ht="35.1" customHeight="1" x14ac:dyDescent="0.25">
      <c r="A123" s="492"/>
      <c r="B123" s="481"/>
      <c r="C123" s="479"/>
      <c r="D123" s="200">
        <v>975</v>
      </c>
      <c r="E123" s="206" t="s">
        <v>389</v>
      </c>
      <c r="F123" s="206" t="s">
        <v>492</v>
      </c>
      <c r="G123" s="209">
        <v>621</v>
      </c>
      <c r="H123" s="202"/>
      <c r="I123" s="202"/>
      <c r="J123" s="202"/>
      <c r="K123" s="202"/>
      <c r="L123" s="202">
        <v>162.80000000000001</v>
      </c>
      <c r="M123" s="202">
        <v>48.8</v>
      </c>
      <c r="N123" s="202">
        <v>2.8</v>
      </c>
      <c r="O123" s="202">
        <v>0</v>
      </c>
      <c r="P123" s="202">
        <v>60.8</v>
      </c>
      <c r="Q123" s="202">
        <v>0</v>
      </c>
      <c r="R123" s="202">
        <f t="shared" si="10"/>
        <v>0</v>
      </c>
      <c r="S123" s="202">
        <f t="shared" si="10"/>
        <v>0</v>
      </c>
      <c r="T123" s="202">
        <f t="shared" si="10"/>
        <v>0</v>
      </c>
      <c r="U123" s="202">
        <f t="shared" si="10"/>
        <v>0</v>
      </c>
      <c r="V123" s="203">
        <f t="shared" si="11"/>
        <v>275.20000000000005</v>
      </c>
      <c r="W123" s="374"/>
    </row>
    <row r="124" spans="1:23" ht="35.1" customHeight="1" x14ac:dyDescent="0.25">
      <c r="A124" s="492"/>
      <c r="B124" s="481"/>
      <c r="C124" s="479"/>
      <c r="D124" s="200">
        <v>975</v>
      </c>
      <c r="E124" s="206" t="s">
        <v>389</v>
      </c>
      <c r="F124" s="206" t="s">
        <v>493</v>
      </c>
      <c r="G124" s="209">
        <v>611</v>
      </c>
      <c r="H124" s="202"/>
      <c r="I124" s="202"/>
      <c r="J124" s="202"/>
      <c r="K124" s="202"/>
      <c r="L124" s="202">
        <v>329.3</v>
      </c>
      <c r="M124" s="202">
        <v>15</v>
      </c>
      <c r="N124" s="202">
        <v>1834.2</v>
      </c>
      <c r="O124" s="202">
        <v>0</v>
      </c>
      <c r="P124" s="202">
        <v>1409.5</v>
      </c>
      <c r="Q124" s="202">
        <v>0</v>
      </c>
      <c r="R124" s="202">
        <f t="shared" si="10"/>
        <v>0</v>
      </c>
      <c r="S124" s="202">
        <f t="shared" si="10"/>
        <v>0</v>
      </c>
      <c r="T124" s="202">
        <f t="shared" si="10"/>
        <v>0</v>
      </c>
      <c r="U124" s="202">
        <f t="shared" si="10"/>
        <v>0</v>
      </c>
      <c r="V124" s="203">
        <f t="shared" si="11"/>
        <v>3588</v>
      </c>
      <c r="W124" s="374"/>
    </row>
    <row r="125" spans="1:23" ht="35.1" customHeight="1" x14ac:dyDescent="0.25">
      <c r="A125" s="492"/>
      <c r="B125" s="481"/>
      <c r="C125" s="479"/>
      <c r="D125" s="200">
        <v>975</v>
      </c>
      <c r="E125" s="206" t="s">
        <v>389</v>
      </c>
      <c r="F125" s="206" t="s">
        <v>494</v>
      </c>
      <c r="G125" s="209">
        <v>611</v>
      </c>
      <c r="H125" s="202"/>
      <c r="I125" s="202"/>
      <c r="J125" s="202"/>
      <c r="K125" s="202"/>
      <c r="L125" s="202"/>
      <c r="M125" s="202">
        <v>116.5</v>
      </c>
      <c r="N125" s="202"/>
      <c r="O125" s="202"/>
      <c r="P125" s="202"/>
      <c r="Q125" s="202">
        <f t="shared" si="10"/>
        <v>0</v>
      </c>
      <c r="R125" s="202">
        <f t="shared" si="10"/>
        <v>0</v>
      </c>
      <c r="S125" s="202">
        <f t="shared" si="10"/>
        <v>0</v>
      </c>
      <c r="T125" s="202">
        <f t="shared" si="10"/>
        <v>0</v>
      </c>
      <c r="U125" s="202">
        <f t="shared" si="10"/>
        <v>0</v>
      </c>
      <c r="V125" s="203">
        <f t="shared" si="11"/>
        <v>116.5</v>
      </c>
      <c r="W125" s="374"/>
    </row>
    <row r="126" spans="1:23" ht="35.1" customHeight="1" x14ac:dyDescent="0.25">
      <c r="A126" s="492"/>
      <c r="B126" s="481"/>
      <c r="C126" s="479"/>
      <c r="D126" s="200">
        <v>975</v>
      </c>
      <c r="E126" s="206" t="s">
        <v>389</v>
      </c>
      <c r="F126" s="206" t="s">
        <v>494</v>
      </c>
      <c r="G126" s="209">
        <v>621</v>
      </c>
      <c r="H126" s="202"/>
      <c r="I126" s="202"/>
      <c r="J126" s="202"/>
      <c r="K126" s="202"/>
      <c r="L126" s="202"/>
      <c r="M126" s="202">
        <v>3.6</v>
      </c>
      <c r="N126" s="202"/>
      <c r="O126" s="202"/>
      <c r="P126" s="202"/>
      <c r="Q126" s="202">
        <f t="shared" si="10"/>
        <v>0</v>
      </c>
      <c r="R126" s="202">
        <f t="shared" si="10"/>
        <v>0</v>
      </c>
      <c r="S126" s="202">
        <f t="shared" si="10"/>
        <v>0</v>
      </c>
      <c r="T126" s="202">
        <f t="shared" si="10"/>
        <v>0</v>
      </c>
      <c r="U126" s="202">
        <f t="shared" si="10"/>
        <v>0</v>
      </c>
      <c r="V126" s="203">
        <f t="shared" si="11"/>
        <v>3.6</v>
      </c>
      <c r="W126" s="374"/>
    </row>
    <row r="127" spans="1:23" ht="35.1" customHeight="1" x14ac:dyDescent="0.25">
      <c r="A127" s="492"/>
      <c r="B127" s="481"/>
      <c r="C127" s="479"/>
      <c r="D127" s="200">
        <v>975</v>
      </c>
      <c r="E127" s="206" t="s">
        <v>389</v>
      </c>
      <c r="F127" s="206" t="s">
        <v>495</v>
      </c>
      <c r="G127" s="209">
        <v>611</v>
      </c>
      <c r="H127" s="202"/>
      <c r="I127" s="202"/>
      <c r="J127" s="202"/>
      <c r="K127" s="202"/>
      <c r="L127" s="202"/>
      <c r="M127" s="202"/>
      <c r="N127" s="202">
        <v>73.400000000000006</v>
      </c>
      <c r="O127" s="202"/>
      <c r="P127" s="202"/>
      <c r="Q127" s="202">
        <f t="shared" si="10"/>
        <v>0</v>
      </c>
      <c r="R127" s="202">
        <f t="shared" si="10"/>
        <v>0</v>
      </c>
      <c r="S127" s="202">
        <f t="shared" si="10"/>
        <v>0</v>
      </c>
      <c r="T127" s="202">
        <f t="shared" si="10"/>
        <v>0</v>
      </c>
      <c r="U127" s="202">
        <f t="shared" si="10"/>
        <v>0</v>
      </c>
      <c r="V127" s="203">
        <f t="shared" si="11"/>
        <v>73.400000000000006</v>
      </c>
      <c r="W127" s="374"/>
    </row>
    <row r="128" spans="1:23" ht="35.1" customHeight="1" x14ac:dyDescent="0.25">
      <c r="A128" s="492"/>
      <c r="B128" s="481"/>
      <c r="C128" s="479"/>
      <c r="D128" s="200">
        <v>975</v>
      </c>
      <c r="E128" s="206" t="s">
        <v>389</v>
      </c>
      <c r="F128" s="206" t="s">
        <v>495</v>
      </c>
      <c r="G128" s="209">
        <v>621</v>
      </c>
      <c r="H128" s="202"/>
      <c r="I128" s="202"/>
      <c r="J128" s="202"/>
      <c r="K128" s="202"/>
      <c r="L128" s="202"/>
      <c r="M128" s="202"/>
      <c r="N128" s="202">
        <v>59</v>
      </c>
      <c r="O128" s="202"/>
      <c r="P128" s="202"/>
      <c r="Q128" s="202">
        <f t="shared" si="10"/>
        <v>0</v>
      </c>
      <c r="R128" s="202">
        <f t="shared" si="10"/>
        <v>0</v>
      </c>
      <c r="S128" s="202">
        <f t="shared" si="10"/>
        <v>0</v>
      </c>
      <c r="T128" s="202">
        <f t="shared" si="10"/>
        <v>0</v>
      </c>
      <c r="U128" s="202">
        <f t="shared" si="10"/>
        <v>0</v>
      </c>
      <c r="V128" s="203">
        <f t="shared" si="11"/>
        <v>59</v>
      </c>
      <c r="W128" s="374"/>
    </row>
    <row r="129" spans="1:26" ht="43.5" customHeight="1" x14ac:dyDescent="0.25">
      <c r="A129" s="493"/>
      <c r="B129" s="487"/>
      <c r="C129" s="411"/>
      <c r="D129" s="200">
        <v>975</v>
      </c>
      <c r="E129" s="206" t="s">
        <v>389</v>
      </c>
      <c r="F129" s="206" t="s">
        <v>496</v>
      </c>
      <c r="G129" s="209">
        <v>110</v>
      </c>
      <c r="H129" s="202"/>
      <c r="I129" s="202"/>
      <c r="J129" s="202"/>
      <c r="K129" s="202"/>
      <c r="L129" s="202">
        <v>460.4</v>
      </c>
      <c r="M129" s="202"/>
      <c r="N129" s="202"/>
      <c r="O129" s="202"/>
      <c r="P129" s="202">
        <f>O129</f>
        <v>0</v>
      </c>
      <c r="Q129" s="202">
        <f t="shared" si="10"/>
        <v>0</v>
      </c>
      <c r="R129" s="202">
        <f t="shared" si="10"/>
        <v>0</v>
      </c>
      <c r="S129" s="202">
        <f t="shared" si="10"/>
        <v>0</v>
      </c>
      <c r="T129" s="202">
        <f t="shared" si="10"/>
        <v>0</v>
      </c>
      <c r="U129" s="202">
        <f t="shared" si="10"/>
        <v>0</v>
      </c>
      <c r="V129" s="203">
        <f t="shared" si="11"/>
        <v>460.4</v>
      </c>
      <c r="W129" s="374"/>
    </row>
    <row r="130" spans="1:26" ht="43.5" customHeight="1" x14ac:dyDescent="0.25">
      <c r="A130" s="494"/>
      <c r="B130" s="488"/>
      <c r="C130" s="412"/>
      <c r="D130" s="200">
        <v>975</v>
      </c>
      <c r="E130" s="206" t="s">
        <v>389</v>
      </c>
      <c r="F130" s="206" t="s">
        <v>491</v>
      </c>
      <c r="G130" s="209">
        <v>870</v>
      </c>
      <c r="H130" s="202"/>
      <c r="I130" s="202"/>
      <c r="J130" s="202"/>
      <c r="K130" s="202"/>
      <c r="L130" s="202"/>
      <c r="M130" s="202"/>
      <c r="N130" s="202"/>
      <c r="O130" s="202"/>
      <c r="P130" s="202">
        <f>1147.9-1147.9</f>
        <v>0</v>
      </c>
      <c r="Q130" s="202">
        <v>0</v>
      </c>
      <c r="R130" s="202">
        <v>0</v>
      </c>
      <c r="S130" s="202">
        <v>258.8</v>
      </c>
      <c r="T130" s="202">
        <v>0</v>
      </c>
      <c r="U130" s="202">
        <f t="shared" si="10"/>
        <v>0</v>
      </c>
      <c r="V130" s="203">
        <f t="shared" si="11"/>
        <v>258.8</v>
      </c>
      <c r="W130" s="374"/>
    </row>
    <row r="131" spans="1:26" ht="43.5" customHeight="1" x14ac:dyDescent="0.25">
      <c r="A131" s="494"/>
      <c r="B131" s="488"/>
      <c r="C131" s="412"/>
      <c r="D131" s="200">
        <v>975</v>
      </c>
      <c r="E131" s="206" t="s">
        <v>389</v>
      </c>
      <c r="F131" s="206" t="s">
        <v>490</v>
      </c>
      <c r="G131" s="209">
        <v>611</v>
      </c>
      <c r="H131" s="202">
        <v>77</v>
      </c>
      <c r="I131" s="202"/>
      <c r="J131" s="202"/>
      <c r="K131" s="202"/>
      <c r="L131" s="202"/>
      <c r="M131" s="202"/>
      <c r="N131" s="202"/>
      <c r="O131" s="202"/>
      <c r="P131" s="202">
        <f>O131</f>
        <v>0</v>
      </c>
      <c r="Q131" s="202">
        <f t="shared" si="10"/>
        <v>0</v>
      </c>
      <c r="R131" s="202">
        <f t="shared" si="10"/>
        <v>0</v>
      </c>
      <c r="S131" s="202">
        <f t="shared" si="10"/>
        <v>0</v>
      </c>
      <c r="T131" s="202">
        <f t="shared" si="10"/>
        <v>0</v>
      </c>
      <c r="U131" s="202">
        <f t="shared" si="10"/>
        <v>0</v>
      </c>
      <c r="V131" s="203">
        <f t="shared" si="11"/>
        <v>77</v>
      </c>
      <c r="W131" s="374"/>
    </row>
    <row r="132" spans="1:26" ht="43.5" customHeight="1" x14ac:dyDescent="0.25">
      <c r="A132" s="495" t="s">
        <v>71</v>
      </c>
      <c r="B132" s="489" t="s">
        <v>497</v>
      </c>
      <c r="C132" s="476" t="s">
        <v>199</v>
      </c>
      <c r="D132" s="200">
        <v>975</v>
      </c>
      <c r="E132" s="206" t="s">
        <v>389</v>
      </c>
      <c r="F132" s="206" t="s">
        <v>693</v>
      </c>
      <c r="G132" s="209">
        <v>611</v>
      </c>
      <c r="H132" s="202"/>
      <c r="I132" s="202"/>
      <c r="J132" s="202"/>
      <c r="K132" s="202"/>
      <c r="L132" s="202"/>
      <c r="M132" s="202"/>
      <c r="N132" s="202"/>
      <c r="O132" s="202"/>
      <c r="P132" s="202"/>
      <c r="Q132" s="202">
        <v>19.2</v>
      </c>
      <c r="R132" s="202">
        <v>282.89999999999998</v>
      </c>
      <c r="S132" s="202">
        <v>114.8</v>
      </c>
      <c r="T132" s="202">
        <v>194.3</v>
      </c>
      <c r="U132" s="202">
        <v>276.89999999999998</v>
      </c>
      <c r="V132" s="203">
        <f t="shared" si="11"/>
        <v>888.1</v>
      </c>
      <c r="W132" s="374"/>
    </row>
    <row r="133" spans="1:26" ht="69.75" customHeight="1" x14ac:dyDescent="0.25">
      <c r="A133" s="221"/>
      <c r="B133" s="222"/>
      <c r="C133" s="223"/>
      <c r="D133" s="224">
        <v>975</v>
      </c>
      <c r="E133" s="225" t="s">
        <v>389</v>
      </c>
      <c r="F133" s="225" t="s">
        <v>693</v>
      </c>
      <c r="G133" s="226">
        <v>611</v>
      </c>
      <c r="H133" s="208"/>
      <c r="I133" s="208"/>
      <c r="J133" s="208"/>
      <c r="K133" s="208"/>
      <c r="L133" s="208"/>
      <c r="M133" s="208"/>
      <c r="N133" s="208"/>
      <c r="O133" s="208"/>
      <c r="P133" s="208"/>
      <c r="Q133" s="208">
        <v>364.2</v>
      </c>
      <c r="R133" s="208">
        <v>1813.7</v>
      </c>
      <c r="S133" s="208">
        <v>1799</v>
      </c>
      <c r="T133" s="208">
        <v>1748.6</v>
      </c>
      <c r="U133" s="208">
        <v>1701.1</v>
      </c>
      <c r="V133" s="208">
        <f t="shared" si="11"/>
        <v>7426.6</v>
      </c>
      <c r="W133" s="374"/>
      <c r="Y133" s="156">
        <f>O139+O73</f>
        <v>982.8</v>
      </c>
      <c r="Z133" s="227">
        <f>Y133/3290</f>
        <v>0.29872340425531912</v>
      </c>
    </row>
    <row r="134" spans="1:26" ht="66" customHeight="1" x14ac:dyDescent="0.25">
      <c r="A134" s="228"/>
      <c r="B134" s="213"/>
      <c r="C134" s="200"/>
      <c r="D134" s="206">
        <v>975</v>
      </c>
      <c r="E134" s="206" t="s">
        <v>389</v>
      </c>
      <c r="F134" s="200" t="s">
        <v>693</v>
      </c>
      <c r="G134" s="200">
        <v>621</v>
      </c>
      <c r="H134" s="219"/>
      <c r="I134" s="219"/>
      <c r="J134" s="219"/>
      <c r="K134" s="219"/>
      <c r="L134" s="219"/>
      <c r="M134" s="219"/>
      <c r="N134" s="219"/>
      <c r="O134" s="219"/>
      <c r="P134" s="219"/>
      <c r="Q134" s="202">
        <v>6.4</v>
      </c>
      <c r="R134" s="202">
        <v>56.6</v>
      </c>
      <c r="S134" s="202">
        <v>23</v>
      </c>
      <c r="T134" s="202">
        <v>38.799999999999997</v>
      </c>
      <c r="U134" s="202">
        <v>55.4</v>
      </c>
      <c r="V134" s="203">
        <f t="shared" si="11"/>
        <v>180.2</v>
      </c>
      <c r="W134" s="374"/>
    </row>
    <row r="135" spans="1:26" ht="75" hidden="1" customHeight="1" x14ac:dyDescent="0.25">
      <c r="A135" s="229"/>
      <c r="B135" s="230"/>
      <c r="C135" s="230"/>
      <c r="D135" s="231">
        <v>975</v>
      </c>
      <c r="E135" s="231" t="s">
        <v>389</v>
      </c>
      <c r="F135" s="231" t="s">
        <v>693</v>
      </c>
      <c r="G135" s="230">
        <v>621</v>
      </c>
      <c r="H135" s="232"/>
      <c r="I135" s="232"/>
      <c r="J135" s="232"/>
      <c r="K135" s="232"/>
      <c r="L135" s="232"/>
      <c r="M135" s="232"/>
      <c r="N135" s="232"/>
      <c r="O135" s="232"/>
      <c r="P135" s="202"/>
      <c r="Q135" s="202">
        <v>121.4</v>
      </c>
      <c r="R135" s="202">
        <v>362.7</v>
      </c>
      <c r="S135" s="202">
        <v>359.8</v>
      </c>
      <c r="T135" s="202">
        <v>349.7</v>
      </c>
      <c r="U135" s="202">
        <v>340.2</v>
      </c>
      <c r="V135" s="203">
        <f t="shared" si="11"/>
        <v>1533.8000000000002</v>
      </c>
      <c r="W135" s="12"/>
      <c r="X135" s="4">
        <v>2</v>
      </c>
    </row>
    <row r="136" spans="1:26" ht="134.25" hidden="1" customHeight="1" x14ac:dyDescent="0.25">
      <c r="A136" s="229" t="s">
        <v>73</v>
      </c>
      <c r="B136" s="213" t="s">
        <v>694</v>
      </c>
      <c r="C136" s="200" t="s">
        <v>199</v>
      </c>
      <c r="D136" s="229">
        <v>975</v>
      </c>
      <c r="E136" s="229" t="s">
        <v>389</v>
      </c>
      <c r="F136" s="229" t="s">
        <v>695</v>
      </c>
      <c r="G136" s="200">
        <v>611</v>
      </c>
      <c r="H136" s="219"/>
      <c r="I136" s="219"/>
      <c r="J136" s="219"/>
      <c r="K136" s="219"/>
      <c r="L136" s="219"/>
      <c r="M136" s="219"/>
      <c r="N136" s="219"/>
      <c r="O136" s="219"/>
      <c r="P136" s="202"/>
      <c r="Q136" s="202"/>
      <c r="R136" s="202">
        <v>194.3</v>
      </c>
      <c r="S136" s="202">
        <v>585.9</v>
      </c>
      <c r="T136" s="202">
        <v>585.9</v>
      </c>
      <c r="U136" s="202">
        <v>585.9</v>
      </c>
      <c r="V136" s="203">
        <f t="shared" si="11"/>
        <v>1952</v>
      </c>
      <c r="W136" s="12"/>
    </row>
    <row r="137" spans="1:26" ht="72.75" hidden="1" customHeight="1" x14ac:dyDescent="0.25">
      <c r="A137" s="229"/>
      <c r="B137" s="200"/>
      <c r="C137" s="200"/>
      <c r="D137" s="229">
        <v>975</v>
      </c>
      <c r="E137" s="229" t="s">
        <v>389</v>
      </c>
      <c r="F137" s="229" t="s">
        <v>695</v>
      </c>
      <c r="G137" s="200">
        <v>621</v>
      </c>
      <c r="H137" s="219"/>
      <c r="I137" s="219"/>
      <c r="J137" s="219"/>
      <c r="K137" s="232"/>
      <c r="L137" s="232"/>
      <c r="M137" s="232"/>
      <c r="N137" s="232"/>
      <c r="O137" s="232"/>
      <c r="P137" s="202"/>
      <c r="Q137" s="202"/>
      <c r="R137" s="202">
        <v>38.9</v>
      </c>
      <c r="S137" s="202">
        <v>117.2</v>
      </c>
      <c r="T137" s="202">
        <v>117.2</v>
      </c>
      <c r="U137" s="202">
        <v>117.2</v>
      </c>
      <c r="V137" s="203">
        <f t="shared" si="11"/>
        <v>390.5</v>
      </c>
      <c r="W137" s="233"/>
    </row>
    <row r="138" spans="1:26" ht="78" hidden="1" customHeight="1" x14ac:dyDescent="0.25">
      <c r="A138" s="234" t="s">
        <v>75</v>
      </c>
      <c r="B138" s="200" t="s">
        <v>498</v>
      </c>
      <c r="C138" s="200" t="s">
        <v>199</v>
      </c>
      <c r="D138" s="229">
        <v>975</v>
      </c>
      <c r="E138" s="229" t="s">
        <v>389</v>
      </c>
      <c r="F138" s="229" t="s">
        <v>398</v>
      </c>
      <c r="G138" s="200">
        <v>612</v>
      </c>
      <c r="H138" s="202"/>
      <c r="I138" s="202"/>
      <c r="J138" s="219"/>
      <c r="K138" s="219"/>
      <c r="L138" s="219"/>
      <c r="M138" s="219"/>
      <c r="N138" s="219"/>
      <c r="O138" s="219"/>
      <c r="P138" s="202"/>
      <c r="Q138" s="202"/>
      <c r="R138" s="202">
        <v>10</v>
      </c>
      <c r="S138" s="202">
        <v>25</v>
      </c>
      <c r="T138" s="202">
        <v>25</v>
      </c>
      <c r="U138" s="202">
        <v>25</v>
      </c>
      <c r="V138" s="203">
        <f>SUM(H138:U138)</f>
        <v>85</v>
      </c>
      <c r="W138" s="12"/>
      <c r="X138" s="235" t="s">
        <v>506</v>
      </c>
      <c r="Y138" s="236" t="s">
        <v>507</v>
      </c>
      <c r="Z138" s="2" t="s">
        <v>508</v>
      </c>
    </row>
    <row r="139" spans="1:26" ht="86.25" hidden="1" customHeight="1" x14ac:dyDescent="0.25">
      <c r="A139" s="234" t="s">
        <v>77</v>
      </c>
      <c r="B139" s="200" t="s">
        <v>499</v>
      </c>
      <c r="C139" s="200" t="s">
        <v>199</v>
      </c>
      <c r="D139" s="229" t="s">
        <v>200</v>
      </c>
      <c r="E139" s="229" t="s">
        <v>389</v>
      </c>
      <c r="F139" s="229" t="s">
        <v>197</v>
      </c>
      <c r="G139" s="200" t="s">
        <v>197</v>
      </c>
      <c r="H139" s="202">
        <v>777.6</v>
      </c>
      <c r="I139" s="202">
        <v>532.1</v>
      </c>
      <c r="J139" s="219">
        <v>1013.8</v>
      </c>
      <c r="K139" s="219">
        <v>1013.8</v>
      </c>
      <c r="L139" s="219">
        <f>201+878</f>
        <v>1079</v>
      </c>
      <c r="M139" s="219">
        <f>772.8+3490.5</f>
        <v>4263.3</v>
      </c>
      <c r="N139" s="219">
        <f>802.1+5384</f>
        <v>6186.1</v>
      </c>
      <c r="O139" s="219">
        <v>982.8</v>
      </c>
      <c r="P139" s="202">
        <v>1062.7</v>
      </c>
      <c r="Q139" s="202">
        <v>788.9</v>
      </c>
      <c r="R139" s="202">
        <v>5791.6</v>
      </c>
      <c r="S139" s="202">
        <v>6041.6</v>
      </c>
      <c r="T139" s="202">
        <v>802.8</v>
      </c>
      <c r="U139" s="202">
        <f>T139</f>
        <v>802.8</v>
      </c>
      <c r="V139" s="203">
        <f>SUM(H139:U139)</f>
        <v>31138.9</v>
      </c>
      <c r="W139" s="12"/>
      <c r="X139" s="237"/>
      <c r="Y139" s="236"/>
      <c r="Z139" s="2"/>
    </row>
    <row r="140" spans="1:26" ht="70.5" hidden="1" customHeight="1" x14ac:dyDescent="0.25">
      <c r="A140" s="234" t="s">
        <v>67</v>
      </c>
      <c r="B140" s="200" t="s">
        <v>696</v>
      </c>
      <c r="C140" s="200" t="s">
        <v>199</v>
      </c>
      <c r="D140" s="229" t="s">
        <v>200</v>
      </c>
      <c r="E140" s="229" t="s">
        <v>389</v>
      </c>
      <c r="F140" s="229" t="s">
        <v>197</v>
      </c>
      <c r="G140" s="200" t="s">
        <v>197</v>
      </c>
      <c r="H140" s="202">
        <v>0</v>
      </c>
      <c r="I140" s="202">
        <v>0</v>
      </c>
      <c r="J140" s="202">
        <v>0</v>
      </c>
      <c r="K140" s="202"/>
      <c r="L140" s="202"/>
      <c r="M140" s="202"/>
      <c r="N140" s="202"/>
      <c r="O140" s="202"/>
      <c r="P140" s="202">
        <f t="shared" ref="P140:T145" si="13">O140</f>
        <v>0</v>
      </c>
      <c r="Q140" s="202">
        <f t="shared" si="13"/>
        <v>0</v>
      </c>
      <c r="R140" s="202">
        <f t="shared" si="13"/>
        <v>0</v>
      </c>
      <c r="S140" s="202">
        <f t="shared" si="13"/>
        <v>0</v>
      </c>
      <c r="T140" s="202">
        <f t="shared" si="13"/>
        <v>0</v>
      </c>
      <c r="U140" s="202"/>
      <c r="V140" s="203">
        <f t="shared" si="11"/>
        <v>0</v>
      </c>
      <c r="W140" s="12" t="s">
        <v>697</v>
      </c>
      <c r="X140" s="237"/>
      <c r="Y140" s="236"/>
      <c r="Z140" s="2"/>
    </row>
    <row r="141" spans="1:26" ht="21" customHeight="1" x14ac:dyDescent="0.25">
      <c r="A141" s="478" t="s">
        <v>69</v>
      </c>
      <c r="B141" s="478" t="s">
        <v>500</v>
      </c>
      <c r="C141" s="238" t="s">
        <v>199</v>
      </c>
      <c r="D141" s="238" t="s">
        <v>200</v>
      </c>
      <c r="E141" s="238" t="s">
        <v>501</v>
      </c>
      <c r="F141" s="238" t="s">
        <v>197</v>
      </c>
      <c r="G141" s="238" t="s">
        <v>197</v>
      </c>
      <c r="H141" s="219">
        <v>0</v>
      </c>
      <c r="I141" s="219">
        <v>0</v>
      </c>
      <c r="J141" s="219">
        <v>0</v>
      </c>
      <c r="K141" s="219"/>
      <c r="L141" s="219"/>
      <c r="M141" s="219"/>
      <c r="N141" s="219"/>
      <c r="O141" s="219"/>
      <c r="P141" s="219">
        <f t="shared" si="13"/>
        <v>0</v>
      </c>
      <c r="Q141" s="219">
        <f t="shared" si="13"/>
        <v>0</v>
      </c>
      <c r="R141" s="219">
        <f t="shared" si="13"/>
        <v>0</v>
      </c>
      <c r="S141" s="219">
        <f t="shared" si="13"/>
        <v>0</v>
      </c>
      <c r="T141" s="219">
        <f t="shared" si="13"/>
        <v>0</v>
      </c>
      <c r="U141" s="219"/>
      <c r="V141" s="203">
        <f t="shared" si="11"/>
        <v>0</v>
      </c>
      <c r="W141" s="345" t="s">
        <v>698</v>
      </c>
    </row>
    <row r="142" spans="1:26" ht="27.75" customHeight="1" x14ac:dyDescent="0.25">
      <c r="A142" s="483" t="s">
        <v>71</v>
      </c>
      <c r="B142" s="484" t="s">
        <v>502</v>
      </c>
      <c r="C142" s="484" t="s">
        <v>199</v>
      </c>
      <c r="D142" s="484" t="s">
        <v>200</v>
      </c>
      <c r="E142" s="484" t="s">
        <v>501</v>
      </c>
      <c r="F142" s="484" t="s">
        <v>197</v>
      </c>
      <c r="G142" s="484" t="s">
        <v>197</v>
      </c>
      <c r="H142" s="484">
        <v>0</v>
      </c>
      <c r="I142" s="484">
        <v>0</v>
      </c>
      <c r="J142" s="484">
        <v>0</v>
      </c>
      <c r="K142" s="484"/>
      <c r="L142" s="484"/>
      <c r="M142" s="484"/>
      <c r="N142" s="484"/>
      <c r="O142" s="484"/>
      <c r="P142" s="484">
        <f t="shared" si="13"/>
        <v>0</v>
      </c>
      <c r="Q142" s="484">
        <f t="shared" si="13"/>
        <v>0</v>
      </c>
      <c r="R142" s="484">
        <f t="shared" si="13"/>
        <v>0</v>
      </c>
      <c r="S142" s="484">
        <f t="shared" si="13"/>
        <v>0</v>
      </c>
      <c r="T142" s="484">
        <f t="shared" si="13"/>
        <v>0</v>
      </c>
      <c r="U142" s="484"/>
      <c r="V142" s="484">
        <f t="shared" si="11"/>
        <v>0</v>
      </c>
      <c r="W142" s="485" t="s">
        <v>503</v>
      </c>
      <c r="Y142" s="156">
        <f>P75+P141</f>
        <v>1088.8</v>
      </c>
      <c r="Z142" s="227">
        <f>Y142/3290</f>
        <v>0.33094224924012156</v>
      </c>
    </row>
    <row r="143" spans="1:26" ht="35.1" customHeight="1" x14ac:dyDescent="0.25">
      <c r="A143" s="486"/>
      <c r="B143" s="487" t="s">
        <v>504</v>
      </c>
      <c r="C143" s="413" t="s">
        <v>199</v>
      </c>
      <c r="D143" s="229"/>
      <c r="E143" s="229"/>
      <c r="F143" s="239"/>
      <c r="G143" s="240" t="s">
        <v>197</v>
      </c>
      <c r="H143" s="219"/>
      <c r="I143" s="219"/>
      <c r="J143" s="219"/>
      <c r="K143" s="219"/>
      <c r="L143" s="219"/>
      <c r="M143" s="219"/>
      <c r="N143" s="219"/>
      <c r="O143" s="219"/>
      <c r="P143" s="219">
        <f t="shared" si="13"/>
        <v>0</v>
      </c>
      <c r="Q143" s="241">
        <f t="shared" si="13"/>
        <v>0</v>
      </c>
      <c r="R143" s="242">
        <f t="shared" si="13"/>
        <v>0</v>
      </c>
      <c r="S143" s="219">
        <f t="shared" si="13"/>
        <v>0</v>
      </c>
      <c r="T143" s="219">
        <f t="shared" si="13"/>
        <v>0</v>
      </c>
      <c r="U143" s="219"/>
      <c r="V143" s="203">
        <f t="shared" si="11"/>
        <v>0</v>
      </c>
      <c r="W143" s="374" t="s">
        <v>505</v>
      </c>
    </row>
    <row r="144" spans="1:26" ht="35.1" customHeight="1" x14ac:dyDescent="0.25">
      <c r="A144" s="486" t="s">
        <v>73</v>
      </c>
      <c r="B144" s="488" t="s">
        <v>699</v>
      </c>
      <c r="C144" s="413" t="s">
        <v>509</v>
      </c>
      <c r="D144" s="229" t="s">
        <v>200</v>
      </c>
      <c r="E144" s="229" t="s">
        <v>389</v>
      </c>
      <c r="F144" s="239" t="s">
        <v>510</v>
      </c>
      <c r="G144" s="240">
        <v>244</v>
      </c>
      <c r="H144" s="219"/>
      <c r="I144" s="219"/>
      <c r="J144" s="219"/>
      <c r="K144" s="219"/>
      <c r="L144" s="219"/>
      <c r="M144" s="219"/>
      <c r="N144" s="219"/>
      <c r="O144" s="219"/>
      <c r="P144" s="219">
        <f t="shared" si="13"/>
        <v>0</v>
      </c>
      <c r="Q144" s="219">
        <f t="shared" si="13"/>
        <v>0</v>
      </c>
      <c r="R144" s="219">
        <f t="shared" si="13"/>
        <v>0</v>
      </c>
      <c r="S144" s="219">
        <f t="shared" si="13"/>
        <v>0</v>
      </c>
      <c r="T144" s="219">
        <f t="shared" si="13"/>
        <v>0</v>
      </c>
      <c r="U144" s="219"/>
      <c r="V144" s="203">
        <f t="shared" si="11"/>
        <v>0</v>
      </c>
      <c r="W144" s="374" t="s">
        <v>511</v>
      </c>
      <c r="Y144" s="156">
        <f>Q141+Q75</f>
        <v>0</v>
      </c>
    </row>
    <row r="145" spans="1:23" ht="35.1" customHeight="1" x14ac:dyDescent="0.25">
      <c r="A145" s="486" t="s">
        <v>75</v>
      </c>
      <c r="B145" s="488" t="s">
        <v>512</v>
      </c>
      <c r="C145" s="413" t="s">
        <v>509</v>
      </c>
      <c r="D145" s="229" t="s">
        <v>200</v>
      </c>
      <c r="E145" s="229" t="s">
        <v>389</v>
      </c>
      <c r="F145" s="239" t="s">
        <v>197</v>
      </c>
      <c r="G145" s="240" t="s">
        <v>197</v>
      </c>
      <c r="H145" s="219">
        <v>0</v>
      </c>
      <c r="I145" s="219">
        <v>0</v>
      </c>
      <c r="J145" s="219">
        <v>0</v>
      </c>
      <c r="K145" s="219"/>
      <c r="L145" s="219"/>
      <c r="M145" s="219"/>
      <c r="N145" s="219"/>
      <c r="O145" s="219"/>
      <c r="P145" s="219">
        <f t="shared" si="13"/>
        <v>0</v>
      </c>
      <c r="Q145" s="219">
        <f t="shared" si="13"/>
        <v>0</v>
      </c>
      <c r="R145" s="219">
        <f t="shared" si="13"/>
        <v>0</v>
      </c>
      <c r="S145" s="219">
        <f t="shared" si="13"/>
        <v>0</v>
      </c>
      <c r="T145" s="219">
        <f t="shared" si="13"/>
        <v>0</v>
      </c>
      <c r="U145" s="219"/>
      <c r="V145" s="203">
        <f t="shared" si="11"/>
        <v>0</v>
      </c>
      <c r="W145" s="374" t="s">
        <v>700</v>
      </c>
    </row>
    <row r="146" spans="1:23" ht="35.1" customHeight="1" x14ac:dyDescent="0.25">
      <c r="A146" s="486" t="s">
        <v>513</v>
      </c>
      <c r="B146" s="488"/>
      <c r="C146" s="413"/>
      <c r="D146" s="229"/>
      <c r="E146" s="229"/>
      <c r="F146" s="239"/>
      <c r="G146" s="240"/>
      <c r="H146" s="219">
        <f t="shared" ref="H146:U146" si="14">SUM(H79:H145)</f>
        <v>179920.50000000003</v>
      </c>
      <c r="I146" s="219">
        <f t="shared" si="14"/>
        <v>191066.30000000002</v>
      </c>
      <c r="J146" s="219">
        <f t="shared" si="14"/>
        <v>202246.1</v>
      </c>
      <c r="K146" s="219">
        <f t="shared" si="14"/>
        <v>210858.7</v>
      </c>
      <c r="L146" s="219">
        <f t="shared" si="14"/>
        <v>222793.49999999997</v>
      </c>
      <c r="M146" s="219">
        <f t="shared" si="14"/>
        <v>233577.89999999994</v>
      </c>
      <c r="N146" s="219">
        <f t="shared" si="14"/>
        <v>236370.90000000002</v>
      </c>
      <c r="O146" s="219">
        <f t="shared" si="14"/>
        <v>267438.8</v>
      </c>
      <c r="P146" s="219">
        <f t="shared" si="14"/>
        <v>311208.10000000003</v>
      </c>
      <c r="Q146" s="219">
        <f t="shared" si="14"/>
        <v>351203.70000000013</v>
      </c>
      <c r="R146" s="219">
        <f>SUM(R79:R145)</f>
        <v>425754</v>
      </c>
      <c r="S146" s="219">
        <f t="shared" si="14"/>
        <v>448050.8</v>
      </c>
      <c r="T146" s="219">
        <f t="shared" si="14"/>
        <v>411969.8</v>
      </c>
      <c r="U146" s="219">
        <f t="shared" si="14"/>
        <v>411965.90000000008</v>
      </c>
      <c r="V146" s="203">
        <f t="shared" si="11"/>
        <v>4104424.9999999995</v>
      </c>
      <c r="W146" s="374"/>
    </row>
    <row r="147" spans="1:23" ht="35.1" customHeight="1" x14ac:dyDescent="0.25">
      <c r="A147" s="486" t="s">
        <v>514</v>
      </c>
      <c r="B147" s="488"/>
      <c r="C147" s="413"/>
      <c r="D147" s="229"/>
      <c r="E147" s="229"/>
      <c r="F147" s="239"/>
      <c r="G147" s="240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03"/>
      <c r="W147" s="374"/>
    </row>
    <row r="148" spans="1:23" ht="35.1" customHeight="1" x14ac:dyDescent="0.25">
      <c r="A148" s="486" t="s">
        <v>515</v>
      </c>
      <c r="B148" s="488" t="s">
        <v>516</v>
      </c>
      <c r="C148" s="413" t="s">
        <v>199</v>
      </c>
      <c r="D148" s="229" t="s">
        <v>200</v>
      </c>
      <c r="E148" s="229" t="s">
        <v>466</v>
      </c>
      <c r="F148" s="239" t="s">
        <v>517</v>
      </c>
      <c r="G148" s="240">
        <v>611.61400000000003</v>
      </c>
      <c r="H148" s="219">
        <v>23037.9</v>
      </c>
      <c r="I148" s="219">
        <v>23911.599999999999</v>
      </c>
      <c r="J148" s="219">
        <v>22936.7</v>
      </c>
      <c r="K148" s="219">
        <v>22825.4</v>
      </c>
      <c r="L148" s="219">
        <v>23271.9</v>
      </c>
      <c r="M148" s="219">
        <v>24149.7</v>
      </c>
      <c r="N148" s="219">
        <v>23497.200000000001</v>
      </c>
      <c r="O148" s="219">
        <v>1517.4</v>
      </c>
      <c r="P148" s="219">
        <f>2651.9+207.3</f>
        <v>2859.2000000000003</v>
      </c>
      <c r="Q148" s="219">
        <v>2511.5</v>
      </c>
      <c r="R148" s="219">
        <v>1835</v>
      </c>
      <c r="S148" s="219">
        <v>1965.9</v>
      </c>
      <c r="T148" s="219">
        <v>1931.6</v>
      </c>
      <c r="U148" s="219">
        <v>1931.6</v>
      </c>
      <c r="V148" s="203">
        <f>SUM(H148:U148)</f>
        <v>178182.60000000003</v>
      </c>
      <c r="W148" s="374" t="s">
        <v>518</v>
      </c>
    </row>
    <row r="149" spans="1:23" ht="35.1" customHeight="1" x14ac:dyDescent="0.25">
      <c r="A149" s="486"/>
      <c r="B149" s="488"/>
      <c r="C149" s="413"/>
      <c r="D149" s="229" t="s">
        <v>200</v>
      </c>
      <c r="E149" s="229" t="s">
        <v>466</v>
      </c>
      <c r="F149" s="239" t="s">
        <v>519</v>
      </c>
      <c r="G149" s="240">
        <v>611.61400000000003</v>
      </c>
      <c r="H149" s="219"/>
      <c r="I149" s="219"/>
      <c r="J149" s="219"/>
      <c r="K149" s="219"/>
      <c r="L149" s="219"/>
      <c r="M149" s="219"/>
      <c r="N149" s="219"/>
      <c r="O149" s="219">
        <v>5163.3</v>
      </c>
      <c r="P149" s="219">
        <v>5204.2</v>
      </c>
      <c r="Q149" s="219">
        <v>5746.6</v>
      </c>
      <c r="R149" s="219">
        <v>3434.8</v>
      </c>
      <c r="S149" s="219">
        <v>2486.6</v>
      </c>
      <c r="T149" s="219">
        <v>2486.6</v>
      </c>
      <c r="U149" s="219">
        <v>2486.6</v>
      </c>
      <c r="V149" s="203">
        <f t="shared" ref="V149:V191" si="15">SUM(H149:U149)</f>
        <v>27008.699999999997</v>
      </c>
      <c r="W149" s="374"/>
    </row>
    <row r="150" spans="1:23" ht="35.1" customHeight="1" x14ac:dyDescent="0.25">
      <c r="A150" s="486"/>
      <c r="B150" s="488"/>
      <c r="C150" s="413"/>
      <c r="D150" s="229" t="s">
        <v>200</v>
      </c>
      <c r="E150" s="229" t="s">
        <v>466</v>
      </c>
      <c r="F150" s="239" t="s">
        <v>520</v>
      </c>
      <c r="G150" s="240">
        <v>611.61400000000003</v>
      </c>
      <c r="H150" s="219"/>
      <c r="I150" s="219"/>
      <c r="J150" s="219"/>
      <c r="K150" s="219"/>
      <c r="L150" s="219"/>
      <c r="M150" s="219"/>
      <c r="N150" s="219"/>
      <c r="O150" s="219">
        <v>25885.1</v>
      </c>
      <c r="P150" s="219">
        <v>28003.1</v>
      </c>
      <c r="Q150" s="219">
        <v>28393.200000000001</v>
      </c>
      <c r="R150" s="219">
        <v>21111.1</v>
      </c>
      <c r="S150" s="219">
        <v>21237.8</v>
      </c>
      <c r="T150" s="219">
        <v>10824</v>
      </c>
      <c r="U150" s="219">
        <v>7778</v>
      </c>
      <c r="V150" s="203">
        <f t="shared" si="15"/>
        <v>143232.29999999999</v>
      </c>
      <c r="W150" s="374"/>
    </row>
    <row r="151" spans="1:23" ht="59.45" customHeight="1" x14ac:dyDescent="0.25">
      <c r="A151" s="486"/>
      <c r="B151" s="488"/>
      <c r="C151" s="413"/>
      <c r="D151" s="229" t="s">
        <v>200</v>
      </c>
      <c r="E151" s="229" t="s">
        <v>466</v>
      </c>
      <c r="F151" s="206" t="s">
        <v>517</v>
      </c>
      <c r="G151" s="240">
        <v>612</v>
      </c>
      <c r="H151" s="219">
        <v>228.9</v>
      </c>
      <c r="I151" s="219">
        <v>1514.5</v>
      </c>
      <c r="J151" s="219">
        <f>13390.2-J164-J167</f>
        <v>13254.2</v>
      </c>
      <c r="K151" s="219">
        <v>6851.9</v>
      </c>
      <c r="L151" s="219">
        <v>120</v>
      </c>
      <c r="M151" s="219">
        <v>14.5</v>
      </c>
      <c r="N151" s="219">
        <v>0</v>
      </c>
      <c r="O151" s="219">
        <v>447.9</v>
      </c>
      <c r="P151" s="219">
        <f>90+163.3</f>
        <v>253.3</v>
      </c>
      <c r="Q151" s="219">
        <v>380</v>
      </c>
      <c r="R151" s="219">
        <v>1408.8</v>
      </c>
      <c r="S151" s="219">
        <v>599.79999999999995</v>
      </c>
      <c r="T151" s="219">
        <v>0</v>
      </c>
      <c r="U151" s="219">
        <f t="shared" ref="R151:U186" si="16">T151</f>
        <v>0</v>
      </c>
      <c r="V151" s="203">
        <f t="shared" si="15"/>
        <v>25073.8</v>
      </c>
      <c r="W151" s="374"/>
    </row>
    <row r="152" spans="1:23" ht="59.45" customHeight="1" x14ac:dyDescent="0.25">
      <c r="A152" s="486"/>
      <c r="B152" s="488"/>
      <c r="C152" s="413"/>
      <c r="D152" s="229" t="s">
        <v>200</v>
      </c>
      <c r="E152" s="229" t="s">
        <v>466</v>
      </c>
      <c r="F152" s="206" t="s">
        <v>479</v>
      </c>
      <c r="G152" s="240">
        <v>611</v>
      </c>
      <c r="H152" s="219"/>
      <c r="I152" s="219"/>
      <c r="J152" s="219"/>
      <c r="K152" s="219">
        <v>2950.8</v>
      </c>
      <c r="L152" s="219">
        <v>3915.8</v>
      </c>
      <c r="M152" s="219">
        <v>6010.2</v>
      </c>
      <c r="N152" s="219">
        <v>5508.7</v>
      </c>
      <c r="O152" s="219">
        <v>0</v>
      </c>
      <c r="P152" s="219">
        <v>0</v>
      </c>
      <c r="Q152" s="219">
        <f t="shared" ref="Q152:Q186" si="17">P152</f>
        <v>0</v>
      </c>
      <c r="R152" s="219">
        <f t="shared" si="16"/>
        <v>0</v>
      </c>
      <c r="S152" s="219">
        <f t="shared" si="16"/>
        <v>0</v>
      </c>
      <c r="T152" s="219">
        <f t="shared" si="16"/>
        <v>0</v>
      </c>
      <c r="U152" s="219">
        <f t="shared" si="16"/>
        <v>0</v>
      </c>
      <c r="V152" s="203">
        <f t="shared" si="15"/>
        <v>18385.5</v>
      </c>
      <c r="W152" s="374"/>
    </row>
    <row r="153" spans="1:23" ht="35.1" customHeight="1" x14ac:dyDescent="0.25">
      <c r="A153" s="486"/>
      <c r="B153" s="488"/>
      <c r="C153" s="413"/>
      <c r="D153" s="229" t="s">
        <v>200</v>
      </c>
      <c r="E153" s="229" t="s">
        <v>466</v>
      </c>
      <c r="F153" s="239" t="s">
        <v>521</v>
      </c>
      <c r="G153" s="240">
        <v>611</v>
      </c>
      <c r="H153" s="219"/>
      <c r="I153" s="219"/>
      <c r="J153" s="219"/>
      <c r="K153" s="219">
        <v>111.3</v>
      </c>
      <c r="L153" s="219">
        <v>106.9</v>
      </c>
      <c r="M153" s="219">
        <v>105.5</v>
      </c>
      <c r="N153" s="219">
        <v>0</v>
      </c>
      <c r="O153" s="219">
        <v>0</v>
      </c>
      <c r="P153" s="219">
        <v>0</v>
      </c>
      <c r="Q153" s="219">
        <f t="shared" si="17"/>
        <v>0</v>
      </c>
      <c r="R153" s="219">
        <f t="shared" si="16"/>
        <v>0</v>
      </c>
      <c r="S153" s="219">
        <f t="shared" si="16"/>
        <v>0</v>
      </c>
      <c r="T153" s="219">
        <f t="shared" si="16"/>
        <v>0</v>
      </c>
      <c r="U153" s="219">
        <f t="shared" si="16"/>
        <v>0</v>
      </c>
      <c r="V153" s="203">
        <f t="shared" si="15"/>
        <v>323.7</v>
      </c>
      <c r="W153" s="374"/>
    </row>
    <row r="154" spans="1:23" ht="35.1" customHeight="1" x14ac:dyDescent="0.25">
      <c r="A154" s="486"/>
      <c r="B154" s="488"/>
      <c r="C154" s="413"/>
      <c r="D154" s="229" t="s">
        <v>200</v>
      </c>
      <c r="E154" s="229" t="s">
        <v>466</v>
      </c>
      <c r="F154" s="239" t="s">
        <v>522</v>
      </c>
      <c r="G154" s="240">
        <v>611</v>
      </c>
      <c r="H154" s="219">
        <v>0</v>
      </c>
      <c r="I154" s="219">
        <v>0</v>
      </c>
      <c r="J154" s="219">
        <v>0</v>
      </c>
      <c r="K154" s="219">
        <v>547.79999999999995</v>
      </c>
      <c r="L154" s="219">
        <v>0</v>
      </c>
      <c r="M154" s="219">
        <v>0</v>
      </c>
      <c r="N154" s="219">
        <v>0</v>
      </c>
      <c r="O154" s="219">
        <v>0</v>
      </c>
      <c r="P154" s="219">
        <f t="shared" ref="P154:P172" si="18">O154</f>
        <v>0</v>
      </c>
      <c r="Q154" s="219">
        <f t="shared" si="17"/>
        <v>0</v>
      </c>
      <c r="R154" s="219">
        <f t="shared" si="16"/>
        <v>0</v>
      </c>
      <c r="S154" s="219">
        <f t="shared" si="16"/>
        <v>0</v>
      </c>
      <c r="T154" s="219">
        <f t="shared" si="16"/>
        <v>0</v>
      </c>
      <c r="U154" s="219">
        <f t="shared" si="16"/>
        <v>0</v>
      </c>
      <c r="V154" s="203">
        <f t="shared" si="15"/>
        <v>547.79999999999995</v>
      </c>
      <c r="W154" s="374"/>
    </row>
    <row r="155" spans="1:23" ht="35.1" customHeight="1" x14ac:dyDescent="0.25">
      <c r="A155" s="486"/>
      <c r="B155" s="488"/>
      <c r="C155" s="413"/>
      <c r="D155" s="229" t="s">
        <v>200</v>
      </c>
      <c r="E155" s="229" t="s">
        <v>466</v>
      </c>
      <c r="F155" s="239" t="s">
        <v>523</v>
      </c>
      <c r="G155" s="240">
        <v>611</v>
      </c>
      <c r="H155" s="219"/>
      <c r="I155" s="219"/>
      <c r="J155" s="219"/>
      <c r="K155" s="219"/>
      <c r="L155" s="219">
        <v>1204.5</v>
      </c>
      <c r="M155" s="219">
        <v>1690.6</v>
      </c>
      <c r="N155" s="219">
        <v>1585.8</v>
      </c>
      <c r="O155" s="219">
        <v>0</v>
      </c>
      <c r="P155" s="219">
        <f t="shared" si="18"/>
        <v>0</v>
      </c>
      <c r="Q155" s="219">
        <f t="shared" si="17"/>
        <v>0</v>
      </c>
      <c r="R155" s="219">
        <f t="shared" si="16"/>
        <v>0</v>
      </c>
      <c r="S155" s="219">
        <f t="shared" si="16"/>
        <v>0</v>
      </c>
      <c r="T155" s="219">
        <f t="shared" si="16"/>
        <v>0</v>
      </c>
      <c r="U155" s="219">
        <f t="shared" si="16"/>
        <v>0</v>
      </c>
      <c r="V155" s="203">
        <f t="shared" si="15"/>
        <v>4480.8999999999996</v>
      </c>
      <c r="W155" s="374"/>
    </row>
    <row r="156" spans="1:23" ht="35.1" customHeight="1" x14ac:dyDescent="0.25">
      <c r="A156" s="486"/>
      <c r="B156" s="488"/>
      <c r="C156" s="413"/>
      <c r="D156" s="229" t="s">
        <v>200</v>
      </c>
      <c r="E156" s="229" t="s">
        <v>466</v>
      </c>
      <c r="F156" s="239" t="s">
        <v>524</v>
      </c>
      <c r="G156" s="240">
        <v>611</v>
      </c>
      <c r="H156" s="219"/>
      <c r="I156" s="219"/>
      <c r="J156" s="219"/>
      <c r="K156" s="219"/>
      <c r="L156" s="219">
        <v>689.2</v>
      </c>
      <c r="M156" s="219">
        <v>97.3</v>
      </c>
      <c r="N156" s="219">
        <v>589.4</v>
      </c>
      <c r="O156" s="219">
        <v>0</v>
      </c>
      <c r="P156" s="219">
        <v>616.5</v>
      </c>
      <c r="Q156" s="219">
        <v>0</v>
      </c>
      <c r="R156" s="219">
        <f t="shared" si="16"/>
        <v>0</v>
      </c>
      <c r="S156" s="219">
        <f t="shared" si="16"/>
        <v>0</v>
      </c>
      <c r="T156" s="219">
        <f t="shared" si="16"/>
        <v>0</v>
      </c>
      <c r="U156" s="219">
        <f t="shared" si="16"/>
        <v>0</v>
      </c>
      <c r="V156" s="203">
        <f t="shared" si="15"/>
        <v>1992.4</v>
      </c>
      <c r="W156" s="374"/>
    </row>
    <row r="157" spans="1:23" ht="35.1" customHeight="1" x14ac:dyDescent="0.25">
      <c r="A157" s="486"/>
      <c r="B157" s="489"/>
      <c r="C157" s="413"/>
      <c r="D157" s="229" t="s">
        <v>200</v>
      </c>
      <c r="E157" s="229" t="s">
        <v>466</v>
      </c>
      <c r="F157" s="239" t="s">
        <v>525</v>
      </c>
      <c r="G157" s="240">
        <v>611</v>
      </c>
      <c r="H157" s="219"/>
      <c r="I157" s="219"/>
      <c r="J157" s="219"/>
      <c r="K157" s="219"/>
      <c r="L157" s="219"/>
      <c r="M157" s="219"/>
      <c r="N157" s="219">
        <v>282.8</v>
      </c>
      <c r="O157" s="219">
        <v>0</v>
      </c>
      <c r="P157" s="219">
        <v>0</v>
      </c>
      <c r="Q157" s="219">
        <f t="shared" si="17"/>
        <v>0</v>
      </c>
      <c r="R157" s="219">
        <f t="shared" si="16"/>
        <v>0</v>
      </c>
      <c r="S157" s="219">
        <f t="shared" si="16"/>
        <v>0</v>
      </c>
      <c r="T157" s="219">
        <f t="shared" si="16"/>
        <v>0</v>
      </c>
      <c r="U157" s="219">
        <f t="shared" si="16"/>
        <v>0</v>
      </c>
      <c r="V157" s="203">
        <f t="shared" si="15"/>
        <v>282.8</v>
      </c>
      <c r="W157" s="374"/>
    </row>
    <row r="158" spans="1:23" ht="51.75" customHeight="1" x14ac:dyDescent="0.25">
      <c r="A158" s="486"/>
      <c r="B158" s="213"/>
      <c r="C158" s="413"/>
      <c r="D158" s="229" t="s">
        <v>200</v>
      </c>
      <c r="E158" s="229" t="s">
        <v>466</v>
      </c>
      <c r="F158" s="229" t="s">
        <v>526</v>
      </c>
      <c r="G158" s="200">
        <v>612</v>
      </c>
      <c r="H158" s="219"/>
      <c r="I158" s="219"/>
      <c r="J158" s="219"/>
      <c r="K158" s="219"/>
      <c r="L158" s="219">
        <v>1000</v>
      </c>
      <c r="M158" s="219"/>
      <c r="N158" s="219"/>
      <c r="O158" s="219">
        <v>0</v>
      </c>
      <c r="P158" s="219">
        <f t="shared" si="18"/>
        <v>0</v>
      </c>
      <c r="Q158" s="219">
        <f t="shared" si="17"/>
        <v>0</v>
      </c>
      <c r="R158" s="219">
        <f t="shared" si="16"/>
        <v>0</v>
      </c>
      <c r="S158" s="219">
        <f t="shared" si="16"/>
        <v>0</v>
      </c>
      <c r="T158" s="219">
        <f t="shared" si="16"/>
        <v>0</v>
      </c>
      <c r="U158" s="219">
        <f t="shared" si="16"/>
        <v>0</v>
      </c>
      <c r="V158" s="203">
        <f t="shared" si="15"/>
        <v>1000</v>
      </c>
      <c r="W158" s="374"/>
    </row>
    <row r="159" spans="1:23" ht="68.45" customHeight="1" x14ac:dyDescent="0.25">
      <c r="A159" s="490"/>
      <c r="B159" s="478"/>
      <c r="C159" s="479"/>
      <c r="D159" s="239" t="s">
        <v>200</v>
      </c>
      <c r="E159" s="239" t="s">
        <v>466</v>
      </c>
      <c r="F159" s="239" t="s">
        <v>527</v>
      </c>
      <c r="G159" s="200">
        <v>612</v>
      </c>
      <c r="H159" s="219"/>
      <c r="I159" s="219"/>
      <c r="J159" s="219"/>
      <c r="K159" s="243"/>
      <c r="L159" s="243">
        <v>50</v>
      </c>
      <c r="M159" s="243"/>
      <c r="N159" s="243"/>
      <c r="O159" s="243">
        <v>0</v>
      </c>
      <c r="P159" s="219">
        <f t="shared" si="18"/>
        <v>0</v>
      </c>
      <c r="Q159" s="219">
        <f t="shared" si="17"/>
        <v>0</v>
      </c>
      <c r="R159" s="219">
        <f t="shared" si="16"/>
        <v>0</v>
      </c>
      <c r="S159" s="219">
        <f t="shared" si="16"/>
        <v>0</v>
      </c>
      <c r="T159" s="219">
        <f t="shared" si="16"/>
        <v>0</v>
      </c>
      <c r="U159" s="219">
        <f t="shared" si="16"/>
        <v>0</v>
      </c>
      <c r="V159" s="203">
        <f t="shared" si="15"/>
        <v>50</v>
      </c>
      <c r="W159" s="478"/>
    </row>
    <row r="160" spans="1:23" ht="61.5" customHeight="1" x14ac:dyDescent="0.25">
      <c r="A160" s="490"/>
      <c r="B160" s="478"/>
      <c r="C160" s="479"/>
      <c r="D160" s="239" t="s">
        <v>200</v>
      </c>
      <c r="E160" s="239" t="s">
        <v>466</v>
      </c>
      <c r="F160" s="239" t="s">
        <v>494</v>
      </c>
      <c r="G160" s="200">
        <v>611</v>
      </c>
      <c r="H160" s="219"/>
      <c r="I160" s="219"/>
      <c r="J160" s="219"/>
      <c r="K160" s="243"/>
      <c r="L160" s="243"/>
      <c r="M160" s="243">
        <v>94.7</v>
      </c>
      <c r="N160" s="243"/>
      <c r="O160" s="243">
        <v>0</v>
      </c>
      <c r="P160" s="219">
        <f t="shared" si="18"/>
        <v>0</v>
      </c>
      <c r="Q160" s="219">
        <f t="shared" si="17"/>
        <v>0</v>
      </c>
      <c r="R160" s="219">
        <f t="shared" si="16"/>
        <v>0</v>
      </c>
      <c r="S160" s="219">
        <f t="shared" si="16"/>
        <v>0</v>
      </c>
      <c r="T160" s="219">
        <f t="shared" si="16"/>
        <v>0</v>
      </c>
      <c r="U160" s="219">
        <f t="shared" si="16"/>
        <v>0</v>
      </c>
      <c r="V160" s="203">
        <f t="shared" si="15"/>
        <v>94.7</v>
      </c>
      <c r="W160" s="478"/>
    </row>
    <row r="161" spans="1:23" ht="42.75" customHeight="1" x14ac:dyDescent="0.25">
      <c r="A161" s="477"/>
      <c r="B161" s="478"/>
      <c r="C161" s="479"/>
      <c r="D161" s="239" t="s">
        <v>200</v>
      </c>
      <c r="E161" s="239" t="s">
        <v>466</v>
      </c>
      <c r="F161" s="239" t="s">
        <v>528</v>
      </c>
      <c r="G161" s="200">
        <v>611</v>
      </c>
      <c r="H161" s="219"/>
      <c r="I161" s="219"/>
      <c r="J161" s="219"/>
      <c r="K161" s="219"/>
      <c r="L161" s="219"/>
      <c r="M161" s="219">
        <v>75.8</v>
      </c>
      <c r="N161" s="219"/>
      <c r="O161" s="219">
        <v>0</v>
      </c>
      <c r="P161" s="219">
        <v>0</v>
      </c>
      <c r="Q161" s="219">
        <f t="shared" si="17"/>
        <v>0</v>
      </c>
      <c r="R161" s="219">
        <f t="shared" si="16"/>
        <v>0</v>
      </c>
      <c r="S161" s="219">
        <f t="shared" si="16"/>
        <v>0</v>
      </c>
      <c r="T161" s="219">
        <f t="shared" si="16"/>
        <v>0</v>
      </c>
      <c r="U161" s="219">
        <f t="shared" si="16"/>
        <v>0</v>
      </c>
      <c r="V161" s="203">
        <f t="shared" si="15"/>
        <v>75.8</v>
      </c>
      <c r="W161" s="478"/>
    </row>
    <row r="162" spans="1:23" ht="25.15" customHeight="1" x14ac:dyDescent="0.25">
      <c r="A162" s="477"/>
      <c r="B162" s="478"/>
      <c r="C162" s="479"/>
      <c r="D162" s="239" t="s">
        <v>200</v>
      </c>
      <c r="E162" s="239" t="s">
        <v>466</v>
      </c>
      <c r="F162" s="239" t="s">
        <v>495</v>
      </c>
      <c r="G162" s="200">
        <v>611</v>
      </c>
      <c r="H162" s="219"/>
      <c r="I162" s="219"/>
      <c r="J162" s="219"/>
      <c r="K162" s="243"/>
      <c r="L162" s="243"/>
      <c r="M162" s="243"/>
      <c r="N162" s="243">
        <v>61.1</v>
      </c>
      <c r="O162" s="243">
        <v>0</v>
      </c>
      <c r="P162" s="219">
        <v>0</v>
      </c>
      <c r="Q162" s="219">
        <v>0</v>
      </c>
      <c r="R162" s="219">
        <f t="shared" si="16"/>
        <v>0</v>
      </c>
      <c r="S162" s="219">
        <f t="shared" si="16"/>
        <v>0</v>
      </c>
      <c r="T162" s="219">
        <f t="shared" si="16"/>
        <v>0</v>
      </c>
      <c r="U162" s="219">
        <f t="shared" si="16"/>
        <v>0</v>
      </c>
      <c r="V162" s="203">
        <f t="shared" si="15"/>
        <v>61.1</v>
      </c>
      <c r="W162" s="478"/>
    </row>
    <row r="163" spans="1:23" ht="60.75" hidden="1" customHeight="1" x14ac:dyDescent="0.25">
      <c r="A163" s="480"/>
      <c r="B163" s="481" t="s">
        <v>529</v>
      </c>
      <c r="C163" s="200"/>
      <c r="D163" s="239" t="s">
        <v>200</v>
      </c>
      <c r="E163" s="239" t="s">
        <v>466</v>
      </c>
      <c r="F163" s="239" t="s">
        <v>197</v>
      </c>
      <c r="G163" s="229" t="s">
        <v>197</v>
      </c>
      <c r="H163" s="219">
        <f>959+71.4+16.6</f>
        <v>1047</v>
      </c>
      <c r="I163" s="219">
        <v>1619.2</v>
      </c>
      <c r="J163" s="219">
        <v>1279</v>
      </c>
      <c r="K163" s="219">
        <v>1279</v>
      </c>
      <c r="L163" s="219">
        <f>2009.3+22</f>
        <v>2031.3</v>
      </c>
      <c r="M163" s="219">
        <v>1418.7</v>
      </c>
      <c r="N163" s="219">
        <v>627.1</v>
      </c>
      <c r="O163" s="219">
        <v>1711.5</v>
      </c>
      <c r="P163" s="219">
        <v>2199.3000000000002</v>
      </c>
      <c r="Q163" s="219">
        <v>2217.9</v>
      </c>
      <c r="R163" s="219">
        <v>9905.7000000000007</v>
      </c>
      <c r="S163" s="219">
        <v>8138.8</v>
      </c>
      <c r="T163" s="219">
        <v>1539.2</v>
      </c>
      <c r="U163" s="219">
        <f t="shared" si="16"/>
        <v>1539.2</v>
      </c>
      <c r="V163" s="203">
        <f t="shared" si="15"/>
        <v>36552.9</v>
      </c>
      <c r="W163" s="482"/>
    </row>
    <row r="164" spans="1:23" ht="102.75" hidden="1" customHeight="1" x14ac:dyDescent="0.25">
      <c r="A164" s="480" t="s">
        <v>530</v>
      </c>
      <c r="B164" s="481" t="s">
        <v>531</v>
      </c>
      <c r="C164" s="200" t="s">
        <v>532</v>
      </c>
      <c r="D164" s="239" t="s">
        <v>200</v>
      </c>
      <c r="E164" s="239" t="s">
        <v>389</v>
      </c>
      <c r="F164" s="239" t="s">
        <v>517</v>
      </c>
      <c r="G164" s="244">
        <v>612</v>
      </c>
      <c r="H164" s="219"/>
      <c r="I164" s="219">
        <v>49.6</v>
      </c>
      <c r="J164" s="219">
        <v>63.5</v>
      </c>
      <c r="K164" s="219"/>
      <c r="L164" s="219"/>
      <c r="M164" s="219"/>
      <c r="N164" s="219"/>
      <c r="O164" s="219">
        <v>0</v>
      </c>
      <c r="P164" s="219">
        <f t="shared" si="18"/>
        <v>0</v>
      </c>
      <c r="Q164" s="219">
        <f t="shared" si="17"/>
        <v>0</v>
      </c>
      <c r="R164" s="219">
        <f t="shared" si="16"/>
        <v>0</v>
      </c>
      <c r="S164" s="219">
        <f t="shared" si="16"/>
        <v>0</v>
      </c>
      <c r="T164" s="219">
        <f t="shared" si="16"/>
        <v>0</v>
      </c>
      <c r="U164" s="219">
        <f t="shared" si="16"/>
        <v>0</v>
      </c>
      <c r="V164" s="203">
        <f t="shared" si="15"/>
        <v>113.1</v>
      </c>
      <c r="W164" s="482" t="s">
        <v>701</v>
      </c>
    </row>
    <row r="165" spans="1:23" ht="70.5" hidden="1" customHeight="1" x14ac:dyDescent="0.25">
      <c r="A165" s="480"/>
      <c r="B165" s="481"/>
      <c r="C165" s="200"/>
      <c r="D165" s="239" t="s">
        <v>200</v>
      </c>
      <c r="E165" s="239" t="s">
        <v>389</v>
      </c>
      <c r="F165" s="239" t="s">
        <v>517</v>
      </c>
      <c r="G165" s="244">
        <v>244</v>
      </c>
      <c r="H165" s="219">
        <v>59.6</v>
      </c>
      <c r="I165" s="219">
        <v>10</v>
      </c>
      <c r="J165" s="219">
        <v>10</v>
      </c>
      <c r="K165" s="219"/>
      <c r="L165" s="219"/>
      <c r="M165" s="219"/>
      <c r="N165" s="219"/>
      <c r="O165" s="219">
        <v>0</v>
      </c>
      <c r="P165" s="219">
        <f t="shared" si="18"/>
        <v>0</v>
      </c>
      <c r="Q165" s="219">
        <f t="shared" si="17"/>
        <v>0</v>
      </c>
      <c r="R165" s="219">
        <f t="shared" si="16"/>
        <v>0</v>
      </c>
      <c r="S165" s="219">
        <f t="shared" si="16"/>
        <v>0</v>
      </c>
      <c r="T165" s="219">
        <f t="shared" si="16"/>
        <v>0</v>
      </c>
      <c r="U165" s="219">
        <f t="shared" si="16"/>
        <v>0</v>
      </c>
      <c r="V165" s="203">
        <f t="shared" si="15"/>
        <v>79.599999999999994</v>
      </c>
      <c r="W165" s="482"/>
    </row>
    <row r="166" spans="1:23" ht="66" customHeight="1" x14ac:dyDescent="0.25">
      <c r="A166" s="234" t="s">
        <v>533</v>
      </c>
      <c r="B166" s="200" t="s">
        <v>534</v>
      </c>
      <c r="C166" s="200" t="s">
        <v>199</v>
      </c>
      <c r="D166" s="239" t="s">
        <v>200</v>
      </c>
      <c r="E166" s="239" t="s">
        <v>346</v>
      </c>
      <c r="F166" s="239" t="s">
        <v>535</v>
      </c>
      <c r="G166" s="229">
        <v>244</v>
      </c>
      <c r="H166" s="219">
        <v>31.4</v>
      </c>
      <c r="I166" s="219"/>
      <c r="J166" s="219"/>
      <c r="K166" s="243"/>
      <c r="L166" s="243"/>
      <c r="M166" s="243"/>
      <c r="N166" s="243"/>
      <c r="O166" s="243">
        <v>0</v>
      </c>
      <c r="P166" s="219">
        <f t="shared" si="18"/>
        <v>0</v>
      </c>
      <c r="Q166" s="219">
        <f t="shared" si="17"/>
        <v>0</v>
      </c>
      <c r="R166" s="219">
        <f t="shared" si="16"/>
        <v>0</v>
      </c>
      <c r="S166" s="219">
        <f t="shared" si="16"/>
        <v>0</v>
      </c>
      <c r="T166" s="219">
        <f t="shared" si="16"/>
        <v>0</v>
      </c>
      <c r="U166" s="219">
        <f t="shared" si="16"/>
        <v>0</v>
      </c>
      <c r="V166" s="203">
        <f t="shared" si="15"/>
        <v>31.4</v>
      </c>
      <c r="W166" s="200" t="s">
        <v>536</v>
      </c>
    </row>
    <row r="167" spans="1:23" ht="72" customHeight="1" x14ac:dyDescent="0.25">
      <c r="A167" s="234"/>
      <c r="B167" s="200"/>
      <c r="C167" s="200"/>
      <c r="D167" s="239" t="s">
        <v>200</v>
      </c>
      <c r="E167" s="239" t="s">
        <v>389</v>
      </c>
      <c r="F167" s="239" t="s">
        <v>517</v>
      </c>
      <c r="G167" s="209">
        <v>612</v>
      </c>
      <c r="H167" s="219">
        <v>16</v>
      </c>
      <c r="I167" s="219">
        <v>47.1</v>
      </c>
      <c r="J167" s="219">
        <v>72.5</v>
      </c>
      <c r="K167" s="219"/>
      <c r="L167" s="219"/>
      <c r="M167" s="219"/>
      <c r="N167" s="219"/>
      <c r="O167" s="219">
        <v>0</v>
      </c>
      <c r="P167" s="219">
        <f t="shared" si="18"/>
        <v>0</v>
      </c>
      <c r="Q167" s="219">
        <f t="shared" si="17"/>
        <v>0</v>
      </c>
      <c r="R167" s="219">
        <f t="shared" si="16"/>
        <v>0</v>
      </c>
      <c r="S167" s="219">
        <f t="shared" si="16"/>
        <v>0</v>
      </c>
      <c r="T167" s="219">
        <f t="shared" si="16"/>
        <v>0</v>
      </c>
      <c r="U167" s="219">
        <f t="shared" si="16"/>
        <v>0</v>
      </c>
      <c r="V167" s="203">
        <f t="shared" si="15"/>
        <v>135.6</v>
      </c>
      <c r="W167" s="245"/>
    </row>
    <row r="168" spans="1:23" ht="50.45" customHeight="1" x14ac:dyDescent="0.25">
      <c r="A168" s="472" t="s">
        <v>537</v>
      </c>
      <c r="B168" s="445" t="s">
        <v>538</v>
      </c>
      <c r="C168" s="411" t="s">
        <v>199</v>
      </c>
      <c r="D168" s="229">
        <v>975</v>
      </c>
      <c r="E168" s="229" t="s">
        <v>501</v>
      </c>
      <c r="F168" s="239" t="s">
        <v>197</v>
      </c>
      <c r="G168" s="240" t="s">
        <v>197</v>
      </c>
      <c r="H168" s="219">
        <v>0</v>
      </c>
      <c r="I168" s="219">
        <v>0</v>
      </c>
      <c r="J168" s="219">
        <v>0</v>
      </c>
      <c r="K168" s="219"/>
      <c r="L168" s="219"/>
      <c r="M168" s="219"/>
      <c r="N168" s="219"/>
      <c r="O168" s="219"/>
      <c r="P168" s="219">
        <f t="shared" si="18"/>
        <v>0</v>
      </c>
      <c r="Q168" s="219">
        <f t="shared" si="17"/>
        <v>0</v>
      </c>
      <c r="R168" s="219">
        <f t="shared" si="16"/>
        <v>0</v>
      </c>
      <c r="S168" s="219">
        <f t="shared" si="16"/>
        <v>0</v>
      </c>
      <c r="T168" s="219">
        <f t="shared" si="16"/>
        <v>0</v>
      </c>
      <c r="U168" s="219"/>
      <c r="V168" s="203">
        <f t="shared" si="15"/>
        <v>0</v>
      </c>
      <c r="W168" s="335" t="s">
        <v>702</v>
      </c>
    </row>
    <row r="169" spans="1:23" ht="50.45" customHeight="1" x14ac:dyDescent="0.25">
      <c r="A169" s="473"/>
      <c r="B169" s="475"/>
      <c r="C169" s="412" t="s">
        <v>539</v>
      </c>
      <c r="D169" s="229">
        <v>964</v>
      </c>
      <c r="E169" s="229" t="s">
        <v>501</v>
      </c>
      <c r="F169" s="239" t="s">
        <v>197</v>
      </c>
      <c r="G169" s="240" t="s">
        <v>197</v>
      </c>
      <c r="H169" s="219">
        <v>0</v>
      </c>
      <c r="I169" s="219">
        <v>0</v>
      </c>
      <c r="J169" s="219">
        <v>0</v>
      </c>
      <c r="K169" s="219"/>
      <c r="L169" s="219"/>
      <c r="M169" s="219"/>
      <c r="N169" s="219"/>
      <c r="O169" s="219"/>
      <c r="P169" s="219">
        <f t="shared" si="18"/>
        <v>0</v>
      </c>
      <c r="Q169" s="241">
        <f t="shared" si="17"/>
        <v>0</v>
      </c>
      <c r="R169" s="219">
        <f t="shared" si="16"/>
        <v>0</v>
      </c>
      <c r="S169" s="219">
        <f t="shared" si="16"/>
        <v>0</v>
      </c>
      <c r="T169" s="219">
        <f t="shared" si="16"/>
        <v>0</v>
      </c>
      <c r="U169" s="219"/>
      <c r="V169" s="203">
        <f t="shared" si="15"/>
        <v>0</v>
      </c>
      <c r="W169" s="245"/>
    </row>
    <row r="170" spans="1:23" ht="50.45" customHeight="1" x14ac:dyDescent="0.25">
      <c r="A170" s="473"/>
      <c r="B170" s="475"/>
      <c r="C170" s="412" t="s">
        <v>540</v>
      </c>
      <c r="D170" s="229">
        <v>956</v>
      </c>
      <c r="E170" s="229" t="s">
        <v>541</v>
      </c>
      <c r="F170" s="239" t="s">
        <v>197</v>
      </c>
      <c r="G170" s="240" t="s">
        <v>197</v>
      </c>
      <c r="H170" s="219">
        <v>0</v>
      </c>
      <c r="I170" s="219">
        <v>0</v>
      </c>
      <c r="J170" s="219">
        <v>0</v>
      </c>
      <c r="K170" s="219"/>
      <c r="L170" s="219"/>
      <c r="M170" s="219"/>
      <c r="N170" s="219"/>
      <c r="O170" s="219"/>
      <c r="P170" s="219">
        <f t="shared" si="18"/>
        <v>0</v>
      </c>
      <c r="Q170" s="219">
        <f t="shared" si="17"/>
        <v>0</v>
      </c>
      <c r="R170" s="219">
        <f t="shared" si="16"/>
        <v>0</v>
      </c>
      <c r="S170" s="219">
        <f t="shared" si="16"/>
        <v>0</v>
      </c>
      <c r="T170" s="219">
        <f t="shared" si="16"/>
        <v>0</v>
      </c>
      <c r="U170" s="219"/>
      <c r="V170" s="203">
        <f t="shared" si="15"/>
        <v>0</v>
      </c>
      <c r="W170" s="245"/>
    </row>
    <row r="171" spans="1:23" ht="50.45" customHeight="1" x14ac:dyDescent="0.25">
      <c r="A171" s="473" t="s">
        <v>537</v>
      </c>
      <c r="B171" s="475" t="s">
        <v>542</v>
      </c>
      <c r="C171" s="412" t="s">
        <v>543</v>
      </c>
      <c r="D171" s="229" t="s">
        <v>200</v>
      </c>
      <c r="E171" s="229" t="s">
        <v>346</v>
      </c>
      <c r="F171" s="239" t="s">
        <v>535</v>
      </c>
      <c r="G171" s="240" t="s">
        <v>544</v>
      </c>
      <c r="H171" s="219">
        <v>114.4</v>
      </c>
      <c r="I171" s="219">
        <v>166.8</v>
      </c>
      <c r="J171" s="219">
        <v>0</v>
      </c>
      <c r="K171" s="219"/>
      <c r="L171" s="219"/>
      <c r="M171" s="219"/>
      <c r="N171" s="219"/>
      <c r="O171" s="219">
        <v>0</v>
      </c>
      <c r="P171" s="219">
        <f t="shared" si="18"/>
        <v>0</v>
      </c>
      <c r="Q171" s="219">
        <f t="shared" si="17"/>
        <v>0</v>
      </c>
      <c r="R171" s="219">
        <f t="shared" si="16"/>
        <v>0</v>
      </c>
      <c r="S171" s="219">
        <f t="shared" si="16"/>
        <v>0</v>
      </c>
      <c r="T171" s="219">
        <f t="shared" si="16"/>
        <v>0</v>
      </c>
      <c r="U171" s="219">
        <f t="shared" si="16"/>
        <v>0</v>
      </c>
      <c r="V171" s="203">
        <f t="shared" si="15"/>
        <v>281.20000000000005</v>
      </c>
      <c r="W171" s="335" t="s">
        <v>545</v>
      </c>
    </row>
    <row r="172" spans="1:23" ht="50.45" customHeight="1" x14ac:dyDescent="0.25">
      <c r="A172" s="473" t="s">
        <v>546</v>
      </c>
      <c r="B172" s="475" t="s">
        <v>547</v>
      </c>
      <c r="C172" s="412" t="s">
        <v>199</v>
      </c>
      <c r="D172" s="229" t="s">
        <v>200</v>
      </c>
      <c r="E172" s="229" t="s">
        <v>389</v>
      </c>
      <c r="F172" s="239" t="s">
        <v>548</v>
      </c>
      <c r="G172" s="240">
        <v>612</v>
      </c>
      <c r="H172" s="219">
        <v>5</v>
      </c>
      <c r="I172" s="219"/>
      <c r="J172" s="219"/>
      <c r="K172" s="219"/>
      <c r="L172" s="219"/>
      <c r="M172" s="219"/>
      <c r="N172" s="219"/>
      <c r="O172" s="219">
        <v>0</v>
      </c>
      <c r="P172" s="219">
        <f t="shared" si="18"/>
        <v>0</v>
      </c>
      <c r="Q172" s="219">
        <f t="shared" si="17"/>
        <v>0</v>
      </c>
      <c r="R172" s="219">
        <f t="shared" si="16"/>
        <v>0</v>
      </c>
      <c r="S172" s="219">
        <f t="shared" si="16"/>
        <v>0</v>
      </c>
      <c r="T172" s="219">
        <f t="shared" si="16"/>
        <v>0</v>
      </c>
      <c r="U172" s="219">
        <f t="shared" si="16"/>
        <v>0</v>
      </c>
      <c r="V172" s="203">
        <f t="shared" si="15"/>
        <v>5</v>
      </c>
      <c r="W172" s="245"/>
    </row>
    <row r="173" spans="1:23" ht="50.45" customHeight="1" x14ac:dyDescent="0.25">
      <c r="A173" s="473" t="s">
        <v>549</v>
      </c>
      <c r="B173" s="475" t="s">
        <v>550</v>
      </c>
      <c r="C173" s="412" t="s">
        <v>551</v>
      </c>
      <c r="D173" s="229" t="s">
        <v>200</v>
      </c>
      <c r="E173" s="229" t="s">
        <v>466</v>
      </c>
      <c r="F173" s="239" t="s">
        <v>552</v>
      </c>
      <c r="G173" s="240">
        <v>611</v>
      </c>
      <c r="H173" s="219"/>
      <c r="I173" s="219"/>
      <c r="J173" s="219"/>
      <c r="K173" s="219"/>
      <c r="L173" s="219"/>
      <c r="M173" s="219"/>
      <c r="N173" s="219">
        <v>3287.3</v>
      </c>
      <c r="O173" s="219">
        <v>7227.6</v>
      </c>
      <c r="P173" s="219">
        <v>7957.7</v>
      </c>
      <c r="Q173" s="219">
        <v>5272.3</v>
      </c>
      <c r="R173" s="219">
        <v>0</v>
      </c>
      <c r="S173" s="219">
        <v>0</v>
      </c>
      <c r="T173" s="219">
        <v>0</v>
      </c>
      <c r="U173" s="219">
        <v>0</v>
      </c>
      <c r="V173" s="203">
        <f t="shared" si="15"/>
        <v>23744.9</v>
      </c>
      <c r="W173" s="245"/>
    </row>
    <row r="174" spans="1:23" ht="50.45" customHeight="1" x14ac:dyDescent="0.25">
      <c r="A174" s="473"/>
      <c r="B174" s="475"/>
      <c r="C174" s="412"/>
      <c r="D174" s="229" t="s">
        <v>200</v>
      </c>
      <c r="E174" s="229" t="s">
        <v>466</v>
      </c>
      <c r="F174" s="239" t="s">
        <v>552</v>
      </c>
      <c r="G174" s="240">
        <v>614</v>
      </c>
      <c r="H174" s="219"/>
      <c r="I174" s="219"/>
      <c r="J174" s="219"/>
      <c r="K174" s="219"/>
      <c r="L174" s="219"/>
      <c r="M174" s="219"/>
      <c r="N174" s="219"/>
      <c r="O174" s="219"/>
      <c r="P174" s="219"/>
      <c r="Q174" s="219">
        <v>5123.2</v>
      </c>
      <c r="R174" s="219">
        <v>23514.3</v>
      </c>
      <c r="S174" s="219">
        <v>28708.1</v>
      </c>
      <c r="T174" s="219">
        <v>33475.9</v>
      </c>
      <c r="U174" s="219">
        <v>36521.9</v>
      </c>
      <c r="V174" s="203">
        <f t="shared" si="15"/>
        <v>127343.4</v>
      </c>
      <c r="W174" s="245"/>
    </row>
    <row r="175" spans="1:23" ht="50.45" customHeight="1" x14ac:dyDescent="0.25">
      <c r="A175" s="473"/>
      <c r="B175" s="475"/>
      <c r="C175" s="412"/>
      <c r="D175" s="229" t="s">
        <v>200</v>
      </c>
      <c r="E175" s="229" t="s">
        <v>466</v>
      </c>
      <c r="F175" s="239" t="s">
        <v>552</v>
      </c>
      <c r="G175" s="240">
        <v>613</v>
      </c>
      <c r="H175" s="219"/>
      <c r="I175" s="219"/>
      <c r="J175" s="219"/>
      <c r="K175" s="219"/>
      <c r="L175" s="219"/>
      <c r="M175" s="219"/>
      <c r="N175" s="219"/>
      <c r="O175" s="219">
        <v>0</v>
      </c>
      <c r="P175" s="219">
        <v>0</v>
      </c>
      <c r="Q175" s="219">
        <v>55.1</v>
      </c>
      <c r="R175" s="219"/>
      <c r="S175" s="219"/>
      <c r="T175" s="219"/>
      <c r="U175" s="219"/>
      <c r="V175" s="203">
        <f t="shared" si="15"/>
        <v>55.1</v>
      </c>
      <c r="W175" s="245"/>
    </row>
    <row r="176" spans="1:23" ht="50.45" customHeight="1" x14ac:dyDescent="0.25">
      <c r="A176" s="473"/>
      <c r="B176" s="475"/>
      <c r="C176" s="412"/>
      <c r="D176" s="229" t="s">
        <v>200</v>
      </c>
      <c r="E176" s="229" t="s">
        <v>466</v>
      </c>
      <c r="F176" s="239" t="s">
        <v>552</v>
      </c>
      <c r="G176" s="240">
        <v>615</v>
      </c>
      <c r="H176" s="219"/>
      <c r="I176" s="219"/>
      <c r="J176" s="219"/>
      <c r="K176" s="219"/>
      <c r="L176" s="219"/>
      <c r="M176" s="219"/>
      <c r="N176" s="219"/>
      <c r="O176" s="219"/>
      <c r="P176" s="219"/>
      <c r="Q176" s="219">
        <v>55.2</v>
      </c>
      <c r="R176" s="219">
        <v>0</v>
      </c>
      <c r="S176" s="219">
        <v>360.4</v>
      </c>
      <c r="T176" s="219">
        <v>420.3</v>
      </c>
      <c r="U176" s="219">
        <v>458.5</v>
      </c>
      <c r="V176" s="203">
        <f t="shared" si="15"/>
        <v>1294.4000000000001</v>
      </c>
      <c r="W176" s="245"/>
    </row>
    <row r="177" spans="1:23" ht="50.45" customHeight="1" x14ac:dyDescent="0.25">
      <c r="A177" s="473"/>
      <c r="B177" s="475"/>
      <c r="C177" s="412"/>
      <c r="D177" s="229" t="s">
        <v>200</v>
      </c>
      <c r="E177" s="229" t="s">
        <v>466</v>
      </c>
      <c r="F177" s="239" t="s">
        <v>552</v>
      </c>
      <c r="G177" s="240">
        <v>623</v>
      </c>
      <c r="H177" s="219"/>
      <c r="I177" s="219"/>
      <c r="J177" s="219"/>
      <c r="K177" s="219"/>
      <c r="L177" s="219"/>
      <c r="M177" s="219"/>
      <c r="N177" s="219"/>
      <c r="O177" s="219">
        <v>0</v>
      </c>
      <c r="P177" s="219">
        <v>0</v>
      </c>
      <c r="Q177" s="219">
        <v>55.1</v>
      </c>
      <c r="R177" s="219"/>
      <c r="S177" s="219"/>
      <c r="T177" s="219"/>
      <c r="U177" s="219"/>
      <c r="V177" s="203">
        <f t="shared" si="15"/>
        <v>55.1</v>
      </c>
      <c r="W177" s="245"/>
    </row>
    <row r="178" spans="1:23" ht="50.45" customHeight="1" x14ac:dyDescent="0.25">
      <c r="A178" s="473"/>
      <c r="B178" s="475"/>
      <c r="C178" s="412"/>
      <c r="D178" s="229" t="s">
        <v>200</v>
      </c>
      <c r="E178" s="229" t="s">
        <v>466</v>
      </c>
      <c r="F178" s="239" t="s">
        <v>552</v>
      </c>
      <c r="G178" s="240">
        <v>625</v>
      </c>
      <c r="H178" s="219"/>
      <c r="I178" s="219"/>
      <c r="J178" s="219"/>
      <c r="K178" s="219"/>
      <c r="L178" s="219"/>
      <c r="M178" s="219"/>
      <c r="N178" s="219"/>
      <c r="O178" s="219"/>
      <c r="P178" s="219"/>
      <c r="Q178" s="219">
        <v>55.2</v>
      </c>
      <c r="R178" s="219">
        <v>0</v>
      </c>
      <c r="S178" s="219">
        <v>360.4</v>
      </c>
      <c r="T178" s="219">
        <v>420.3</v>
      </c>
      <c r="U178" s="219">
        <v>458.5</v>
      </c>
      <c r="V178" s="203">
        <f t="shared" si="15"/>
        <v>1294.4000000000001</v>
      </c>
      <c r="W178" s="245"/>
    </row>
    <row r="179" spans="1:23" ht="50.45" customHeight="1" x14ac:dyDescent="0.25">
      <c r="A179" s="473"/>
      <c r="B179" s="475"/>
      <c r="C179" s="412"/>
      <c r="D179" s="229" t="s">
        <v>200</v>
      </c>
      <c r="E179" s="229" t="s">
        <v>466</v>
      </c>
      <c r="F179" s="239" t="s">
        <v>552</v>
      </c>
      <c r="G179" s="240">
        <v>633</v>
      </c>
      <c r="H179" s="219"/>
      <c r="I179" s="219"/>
      <c r="J179" s="219"/>
      <c r="K179" s="219"/>
      <c r="L179" s="219"/>
      <c r="M179" s="219"/>
      <c r="N179" s="219"/>
      <c r="O179" s="219">
        <v>0</v>
      </c>
      <c r="P179" s="219">
        <v>0</v>
      </c>
      <c r="Q179" s="219">
        <v>55.1</v>
      </c>
      <c r="R179" s="219"/>
      <c r="S179" s="219"/>
      <c r="T179" s="219"/>
      <c r="U179" s="219"/>
      <c r="V179" s="203">
        <f t="shared" si="15"/>
        <v>55.1</v>
      </c>
      <c r="W179" s="245"/>
    </row>
    <row r="180" spans="1:23" ht="50.45" customHeight="1" x14ac:dyDescent="0.25">
      <c r="A180" s="473"/>
      <c r="B180" s="475"/>
      <c r="C180" s="476"/>
      <c r="D180" s="229" t="s">
        <v>200</v>
      </c>
      <c r="E180" s="229" t="s">
        <v>466</v>
      </c>
      <c r="F180" s="239" t="s">
        <v>552</v>
      </c>
      <c r="G180" s="240">
        <v>635</v>
      </c>
      <c r="H180" s="219"/>
      <c r="I180" s="219"/>
      <c r="J180" s="219"/>
      <c r="K180" s="219"/>
      <c r="L180" s="219"/>
      <c r="M180" s="219"/>
      <c r="N180" s="219"/>
      <c r="O180" s="219"/>
      <c r="P180" s="219"/>
      <c r="Q180" s="219">
        <v>55.2</v>
      </c>
      <c r="R180" s="219">
        <v>0</v>
      </c>
      <c r="S180" s="219">
        <v>360.4</v>
      </c>
      <c r="T180" s="219">
        <v>420.3</v>
      </c>
      <c r="U180" s="219">
        <v>458.5</v>
      </c>
      <c r="V180" s="203">
        <f t="shared" si="15"/>
        <v>1294.4000000000001</v>
      </c>
      <c r="W180" s="245"/>
    </row>
    <row r="181" spans="1:23" ht="97.9" customHeight="1" x14ac:dyDescent="0.25">
      <c r="A181" s="474"/>
      <c r="B181" s="446"/>
      <c r="C181" s="57"/>
      <c r="D181" s="229" t="s">
        <v>200</v>
      </c>
      <c r="E181" s="229" t="s">
        <v>466</v>
      </c>
      <c r="F181" s="239" t="s">
        <v>552</v>
      </c>
      <c r="G181" s="240">
        <v>813</v>
      </c>
      <c r="H181" s="219"/>
      <c r="I181" s="219"/>
      <c r="J181" s="219"/>
      <c r="K181" s="219"/>
      <c r="L181" s="219"/>
      <c r="M181" s="219"/>
      <c r="N181" s="219"/>
      <c r="O181" s="219">
        <v>0</v>
      </c>
      <c r="P181" s="219">
        <v>0</v>
      </c>
      <c r="Q181" s="219">
        <v>55.1</v>
      </c>
      <c r="R181" s="219"/>
      <c r="S181" s="219"/>
      <c r="T181" s="219"/>
      <c r="U181" s="219"/>
      <c r="V181" s="203">
        <f t="shared" si="15"/>
        <v>55.1</v>
      </c>
      <c r="W181" s="245"/>
    </row>
    <row r="182" spans="1:23" ht="35.1" customHeight="1" x14ac:dyDescent="0.3">
      <c r="A182" s="471"/>
      <c r="B182" s="471"/>
      <c r="C182" s="246"/>
      <c r="D182" s="246" t="s">
        <v>200</v>
      </c>
      <c r="E182" s="246" t="s">
        <v>466</v>
      </c>
      <c r="F182" s="246" t="s">
        <v>552</v>
      </c>
      <c r="G182" s="246">
        <v>816</v>
      </c>
      <c r="H182" s="247"/>
      <c r="I182" s="247"/>
      <c r="J182" s="247"/>
      <c r="K182" s="247"/>
      <c r="L182" s="247"/>
      <c r="M182" s="247"/>
      <c r="N182" s="247"/>
      <c r="O182" s="247"/>
      <c r="P182" s="247"/>
      <c r="Q182" s="247">
        <v>55.2</v>
      </c>
      <c r="R182" s="247">
        <v>0</v>
      </c>
      <c r="S182" s="247">
        <v>360.4</v>
      </c>
      <c r="T182" s="247">
        <v>420.3</v>
      </c>
      <c r="U182" s="247">
        <v>458.5</v>
      </c>
      <c r="V182" s="203">
        <f t="shared" si="15"/>
        <v>1294.4000000000001</v>
      </c>
      <c r="W182" s="248"/>
    </row>
    <row r="183" spans="1:23" s="251" customFormat="1" ht="35.1" customHeight="1" x14ac:dyDescent="0.3">
      <c r="A183" s="471"/>
      <c r="B183" s="471"/>
      <c r="C183" s="249"/>
      <c r="D183" s="249" t="s">
        <v>200</v>
      </c>
      <c r="E183" s="249" t="s">
        <v>466</v>
      </c>
      <c r="F183" s="249" t="s">
        <v>703</v>
      </c>
      <c r="G183" s="249">
        <v>614</v>
      </c>
      <c r="H183" s="247"/>
      <c r="I183" s="247"/>
      <c r="J183" s="247"/>
      <c r="K183" s="247"/>
      <c r="L183" s="247"/>
      <c r="M183" s="247"/>
      <c r="N183" s="247"/>
      <c r="O183" s="247"/>
      <c r="P183" s="247"/>
      <c r="Q183" s="247">
        <v>2180.3000000000002</v>
      </c>
      <c r="R183" s="247">
        <v>2246.8000000000002</v>
      </c>
      <c r="S183" s="247">
        <v>635.79999999999995</v>
      </c>
      <c r="T183" s="247"/>
      <c r="U183" s="247"/>
      <c r="V183" s="203">
        <f t="shared" si="15"/>
        <v>5062.9000000000005</v>
      </c>
      <c r="W183" s="250"/>
    </row>
    <row r="184" spans="1:23" s="251" customFormat="1" ht="35.1" customHeight="1" x14ac:dyDescent="0.3">
      <c r="A184" s="471"/>
      <c r="B184" s="471"/>
      <c r="C184" s="249"/>
      <c r="D184" s="249" t="s">
        <v>200</v>
      </c>
      <c r="E184" s="249" t="s">
        <v>466</v>
      </c>
      <c r="F184" s="249" t="s">
        <v>553</v>
      </c>
      <c r="G184" s="249">
        <v>614</v>
      </c>
      <c r="H184" s="247"/>
      <c r="I184" s="247"/>
      <c r="J184" s="247"/>
      <c r="K184" s="247"/>
      <c r="L184" s="247"/>
      <c r="M184" s="247"/>
      <c r="N184" s="247"/>
      <c r="O184" s="247"/>
      <c r="P184" s="247"/>
      <c r="Q184" s="247">
        <v>2154.4</v>
      </c>
      <c r="R184" s="247">
        <v>3680.2</v>
      </c>
      <c r="S184" s="247"/>
      <c r="T184" s="247"/>
      <c r="U184" s="247"/>
      <c r="V184" s="203">
        <f t="shared" si="15"/>
        <v>5834.6</v>
      </c>
      <c r="W184" s="250"/>
    </row>
    <row r="185" spans="1:23" s="251" customFormat="1" ht="35.1" customHeight="1" x14ac:dyDescent="0.3">
      <c r="A185" s="471"/>
      <c r="B185" s="471"/>
      <c r="C185" s="249"/>
      <c r="D185" s="249" t="s">
        <v>200</v>
      </c>
      <c r="E185" s="249" t="s">
        <v>466</v>
      </c>
      <c r="F185" s="249" t="s">
        <v>704</v>
      </c>
      <c r="G185" s="249">
        <v>614</v>
      </c>
      <c r="H185" s="247"/>
      <c r="I185" s="247"/>
      <c r="J185" s="247"/>
      <c r="K185" s="247"/>
      <c r="L185" s="247"/>
      <c r="M185" s="247"/>
      <c r="N185" s="247"/>
      <c r="O185" s="247"/>
      <c r="P185" s="247"/>
      <c r="Q185" s="247">
        <v>43.8</v>
      </c>
      <c r="R185" s="247">
        <v>59.9</v>
      </c>
      <c r="S185" s="247">
        <v>6.4</v>
      </c>
      <c r="T185" s="247"/>
      <c r="U185" s="247"/>
      <c r="V185" s="203">
        <f t="shared" si="15"/>
        <v>110.1</v>
      </c>
      <c r="W185" s="250"/>
    </row>
    <row r="186" spans="1:23" s="251" customFormat="1" ht="35.1" customHeight="1" x14ac:dyDescent="0.3">
      <c r="A186" s="471"/>
      <c r="B186" s="471"/>
      <c r="C186" s="249" t="s">
        <v>554</v>
      </c>
      <c r="D186" s="249" t="s">
        <v>555</v>
      </c>
      <c r="E186" s="249" t="s">
        <v>466</v>
      </c>
      <c r="F186" s="249" t="s">
        <v>556</v>
      </c>
      <c r="G186" s="249">
        <v>611</v>
      </c>
      <c r="H186" s="247"/>
      <c r="I186" s="247"/>
      <c r="J186" s="247"/>
      <c r="K186" s="247"/>
      <c r="L186" s="247"/>
      <c r="M186" s="247"/>
      <c r="N186" s="247">
        <v>360.3</v>
      </c>
      <c r="O186" s="247">
        <v>0</v>
      </c>
      <c r="P186" s="247">
        <v>0</v>
      </c>
      <c r="Q186" s="247">
        <f t="shared" si="17"/>
        <v>0</v>
      </c>
      <c r="R186" s="247">
        <f t="shared" si="16"/>
        <v>0</v>
      </c>
      <c r="S186" s="247">
        <f t="shared" si="16"/>
        <v>0</v>
      </c>
      <c r="T186" s="247">
        <f t="shared" si="16"/>
        <v>0</v>
      </c>
      <c r="U186" s="247">
        <f t="shared" si="16"/>
        <v>0</v>
      </c>
      <c r="V186" s="203">
        <f t="shared" si="15"/>
        <v>360.3</v>
      </c>
      <c r="W186" s="250"/>
    </row>
    <row r="187" spans="1:23" s="251" customFormat="1" ht="25.15" customHeight="1" x14ac:dyDescent="0.3">
      <c r="A187" s="471" t="s">
        <v>557</v>
      </c>
      <c r="B187" s="471"/>
      <c r="C187" s="252"/>
      <c r="D187" s="249"/>
      <c r="E187" s="249"/>
      <c r="F187" s="249"/>
      <c r="G187" s="249"/>
      <c r="H187" s="247">
        <f t="shared" ref="H187:M187" si="19">SUM(H148:H172)</f>
        <v>24540.200000000004</v>
      </c>
      <c r="I187" s="247">
        <f t="shared" si="19"/>
        <v>27318.799999999996</v>
      </c>
      <c r="J187" s="247">
        <f t="shared" si="19"/>
        <v>37615.9</v>
      </c>
      <c r="K187" s="247">
        <f t="shared" si="19"/>
        <v>34566.200000000004</v>
      </c>
      <c r="L187" s="247">
        <f t="shared" si="19"/>
        <v>32389.600000000002</v>
      </c>
      <c r="M187" s="247">
        <f t="shared" si="19"/>
        <v>33657</v>
      </c>
      <c r="N187" s="247">
        <f t="shared" ref="N187:S187" si="20">SUM(N148:N186)</f>
        <v>35799.700000000004</v>
      </c>
      <c r="O187" s="247">
        <f t="shared" si="20"/>
        <v>41952.799999999996</v>
      </c>
      <c r="P187" s="247">
        <f t="shared" si="20"/>
        <v>47093.3</v>
      </c>
      <c r="Q187" s="247">
        <f t="shared" si="20"/>
        <v>54464.399999999994</v>
      </c>
      <c r="R187" s="247">
        <f>SUM(R148:R186)</f>
        <v>67196.599999999991</v>
      </c>
      <c r="S187" s="247">
        <f t="shared" si="20"/>
        <v>65220.80000000001</v>
      </c>
      <c r="T187" s="247">
        <f>SUM(T148:T186)</f>
        <v>51938.500000000015</v>
      </c>
      <c r="U187" s="247">
        <f>SUM(U148:U186)</f>
        <v>52091.3</v>
      </c>
      <c r="V187" s="203">
        <f t="shared" si="15"/>
        <v>605845.10000000009</v>
      </c>
      <c r="W187" s="250"/>
    </row>
    <row r="188" spans="1:23" ht="26.25" customHeight="1" x14ac:dyDescent="0.3">
      <c r="A188" s="346" t="s">
        <v>558</v>
      </c>
      <c r="B188" s="347"/>
      <c r="C188" s="347"/>
      <c r="D188" s="348"/>
      <c r="E188" s="348"/>
      <c r="F188" s="348"/>
      <c r="G188" s="348"/>
      <c r="H188" s="349">
        <f t="shared" ref="H188:N188" si="21">H187+H146+H77</f>
        <v>214621.90000000005</v>
      </c>
      <c r="I188" s="349">
        <f t="shared" si="21"/>
        <v>231479.1</v>
      </c>
      <c r="J188" s="349">
        <f t="shared" si="21"/>
        <v>252889.60000000001</v>
      </c>
      <c r="K188" s="349">
        <f t="shared" si="21"/>
        <v>262736.60000000003</v>
      </c>
      <c r="L188" s="349">
        <f t="shared" si="21"/>
        <v>275850</v>
      </c>
      <c r="M188" s="349">
        <f t="shared" si="21"/>
        <v>294091.1999999999</v>
      </c>
      <c r="N188" s="349">
        <f t="shared" si="21"/>
        <v>299894.2</v>
      </c>
      <c r="O188" s="350">
        <f>O187+O146+O77-0.2</f>
        <v>353643.99999999994</v>
      </c>
      <c r="P188" s="349">
        <f>P187+P146+P77</f>
        <v>407487.9</v>
      </c>
      <c r="Q188" s="349">
        <f>Q187+Q146+Q77+0.2</f>
        <v>450834.90000000008</v>
      </c>
      <c r="R188" s="349">
        <f>R187+R146+R77+0.3</f>
        <v>599178.4</v>
      </c>
      <c r="S188" s="349">
        <f>S187+S146+S77</f>
        <v>555390.6</v>
      </c>
      <c r="T188" s="349">
        <f>T187+T146+T77</f>
        <v>510370.3</v>
      </c>
      <c r="U188" s="349">
        <f>U187+U146+U77-0.1</f>
        <v>493776.50000000012</v>
      </c>
      <c r="V188" s="349">
        <f t="shared" si="15"/>
        <v>5202245.1999999993</v>
      </c>
      <c r="W188" s="253"/>
    </row>
    <row r="189" spans="1:23" ht="59.25" customHeight="1" x14ac:dyDescent="0.25">
      <c r="A189" s="469" t="s">
        <v>328</v>
      </c>
      <c r="B189" s="470"/>
      <c r="C189" s="353"/>
      <c r="D189" s="354"/>
      <c r="E189" s="353"/>
      <c r="F189" s="353"/>
      <c r="G189" s="355"/>
      <c r="H189" s="353">
        <f>H7+H13+H14+H31+H32+H48+H50+H107+H108+H109+H111+H112+H114+H117+H118+H119+H120+H122+H130+H131</f>
        <v>109406.90000000001</v>
      </c>
      <c r="I189" s="85">
        <f>I7+I13+I14+I31+I32+I48+I50+I107+I108+I109+I111+I112+I114+I117+I118+I119+I120+I122+I130+I131</f>
        <v>113565.79999999999</v>
      </c>
      <c r="J189" s="85">
        <f>J7+J13+J14+J31+J32+J43+J44+J48+J50+J107+J108+J109+J111+J112+J114+J117+J118+J119+J120+J122+J130+J131</f>
        <v>149314.1</v>
      </c>
      <c r="K189" s="85">
        <f>K7+K13+K14+K31+K32+K48+K50+K107+K108+K109+K111+K112+K114+K117+K118+K119+K120+K121+K122+K130+K131+K115</f>
        <v>163921.20000000001</v>
      </c>
      <c r="L189" s="85">
        <f>L7+L13+L14+L31+L32+L48+L50+L107+L108+L109+L111+L112+L114+L117+L118+L119+L120+L121+L122+L130+L131+L156+L155+L129+L124+L123+L158+L23</f>
        <v>178896.09999999998</v>
      </c>
      <c r="M189" s="85">
        <f>M7+M13+M14+M31+M32+M48+M50+M107+M108+M109+M111+M112+M114+M117+M118+M119+M120+M121+M122+M130+M131+M110+M113+M155+M21+M23+M161+M156+M123+M124+M125+M126+M160</f>
        <v>189252.89999999994</v>
      </c>
      <c r="N189" s="85">
        <f>N13+N14+N31+N32+N38+N39++N40+N50+N51+N57+N64+N68+N70+N75+N104+N105+N109+N110+N112+N113+N120+N122+N123+N124+N127+N128+N155++N156+N157+N162-N190</f>
        <v>201386.3</v>
      </c>
      <c r="O189" s="356">
        <v>220168.3</v>
      </c>
      <c r="P189" s="356">
        <f>P13+P14+P15+P19+P31+P32+P38+P39++P40+P50+P104+P105+P106+P109+P110+P112+P113+P120+P122+P123+P124+P156-P190+P33+P75+P45+P46+P47</f>
        <v>265976.2</v>
      </c>
      <c r="Q189" s="356">
        <v>302809.40000000002</v>
      </c>
      <c r="R189" s="356">
        <v>382890</v>
      </c>
      <c r="S189" s="356">
        <v>357672</v>
      </c>
      <c r="T189" s="356">
        <v>324897.90000000002</v>
      </c>
      <c r="U189" s="356">
        <v>318676.40000000002</v>
      </c>
      <c r="V189" s="356">
        <f t="shared" si="15"/>
        <v>3278833.4999999995</v>
      </c>
    </row>
    <row r="190" spans="1:23" s="23" customFormat="1" ht="47.45" customHeight="1" x14ac:dyDescent="0.3">
      <c r="A190" s="469" t="s">
        <v>559</v>
      </c>
      <c r="B190" s="470"/>
      <c r="C190" s="353"/>
      <c r="D190" s="357"/>
      <c r="E190" s="353"/>
      <c r="F190" s="353"/>
      <c r="G190" s="89"/>
      <c r="H190" s="353">
        <v>0</v>
      </c>
      <c r="I190" s="85">
        <v>0</v>
      </c>
      <c r="J190" s="85">
        <v>0</v>
      </c>
      <c r="K190" s="85">
        <v>0</v>
      </c>
      <c r="L190" s="85">
        <v>0</v>
      </c>
      <c r="M190" s="85">
        <v>0</v>
      </c>
      <c r="N190" s="356">
        <v>12598.6</v>
      </c>
      <c r="O190" s="356">
        <v>26440.1</v>
      </c>
      <c r="P190" s="356">
        <v>25380.799999999999</v>
      </c>
      <c r="Q190" s="356">
        <v>27574.5</v>
      </c>
      <c r="R190" s="356">
        <v>56222.2</v>
      </c>
      <c r="S190" s="356">
        <v>49195.6</v>
      </c>
      <c r="T190" s="356">
        <v>56815.8</v>
      </c>
      <c r="U190" s="356">
        <v>46337.4</v>
      </c>
      <c r="V190" s="250">
        <f t="shared" si="15"/>
        <v>300565.00000000006</v>
      </c>
      <c r="W190" s="4"/>
    </row>
    <row r="191" spans="1:23" ht="20.25" customHeight="1" x14ac:dyDescent="0.3">
      <c r="A191" s="469" t="s">
        <v>351</v>
      </c>
      <c r="B191" s="470"/>
      <c r="C191" s="353"/>
      <c r="D191" s="353"/>
      <c r="E191" s="353"/>
      <c r="F191" s="353"/>
      <c r="G191" s="353"/>
      <c r="H191" s="353">
        <f>H10+H11+H17+H18+H49+H51+H52+H79+H80+H81+H87+H88+H92+H93+H94+H95+H96+H97+H98+H99+H100+H101+H102+H103+H144+H148+H151+H152+H153+H154+H171+H172+H165+H166+H167+H164</f>
        <v>103390.39999999999</v>
      </c>
      <c r="I191" s="85">
        <f>I10+I11+I17+I18+I49+I51+I52+I79+I80+I81+I87+I88+I92+I93+I94+I95+I96+I97+I98+I99+I100+I101+I102+I103+I144+I148+I151+I152+I153+I154+I171+I172+I165+I166+I167+I164</f>
        <v>115762.00000000001</v>
      </c>
      <c r="J191" s="85">
        <f>J10+J11+J17+J18+J49+J51+J52+J79+J80+J81+J87+J88+J92+J93+J94+J95+J96+J97+J98+J99+J100+J101+J102+J103+J144+J148+J151+J152+J153+J154+J171+J172+J165+J166+J167+J164</f>
        <v>101282.7</v>
      </c>
      <c r="K191" s="85">
        <f>K10+K11+K17+K18+K49+K51+K52+K79+K80+K81+K87+K88+K92+K93+K94+K95+K96+K97+K98+K99+K100+K101+K102+K103+K144+K148+K151+K152+K153+K154+K171+K172+K165+K166+K167+K164+K142</f>
        <v>96522.60000000002</v>
      </c>
      <c r="L191" s="85">
        <f>L10+L11+L17+L18+L49+L51+L52+L79+L80+L81+L87+L88+L92+L93+L94+L95+L96+L97+L98+L99+L100+L101+L102+L103+L144+L148+L151+L152+L153+L154+L171+L172+L165+L166+L167+L164+L142+L24+L159+L12</f>
        <v>93843.599999999991</v>
      </c>
      <c r="M191" s="85">
        <f>M10+M11+M17+M18+M49+M51+M52+M79+M80+M81+M87+M88+M92+M93+M94+M95+M96+M97+M98+M99+M100+M101+M102+M103+M144+M148+M151+M152+M153+M154+M171+M172+M165+M166+M167+M164+M142+M22+M24+M27</f>
        <v>99156.3</v>
      </c>
      <c r="N191" s="85">
        <f>N10+N17+N18+N41+N52+N59+N65+N69+N72+N81+N88+N95+N96+N148+N152+N173+N186</f>
        <v>79096.100000000006</v>
      </c>
      <c r="O191" s="85">
        <f>O10+O11+O17+O18+O49+O51+O52+O79+O80+O81+O87+O88+O92+O93+O94+O95+O96+O97+O98+O99+O100+O101+O102+O103+O144+O148+O151+O152+O153+O154+O171+O172+O165+O166+O167+O164+O142+O59+O65+O69+O72+O55+O56+O61+O63+O82+O84+O89+O91+O149+O150+O173+O175+O177+O179+O181+O186+O41+O85-1.7</f>
        <v>104341.30000000002</v>
      </c>
      <c r="P191" s="85">
        <f>P10+P11+P16+P17+P18+P20+P49+P51+P52+P79+P80+P81+P87+P88+P92+P93+P94+P95+P96+P97+P98+P99+P100+P101+P102+P103+P144+P148+P151+P152+P153+P154+P171+P172+P165+P166+P167+P164+P142+P59+P65+P69+P72+P55+P56+P61+P63+P82+P84+P89+P91+P149+P150+P173+P175+P177+P179+P181+P186+P54+P41+P85</f>
        <v>112868.89999999998</v>
      </c>
      <c r="Q191" s="85">
        <f>Q182+Q181+Q180+Q179+Q178+Q177+Q176+Q175+Q174+Q173+Q150+Q149+Q148+Q91+Q89+Q88+Q86+Q85+Q84+Q82+Q81+Q74+Q72+Q41+Q30+Q17+Q11+Q10+Q51+Q185+Q73+Q151</f>
        <v>117444.20000000001</v>
      </c>
      <c r="R191" s="85">
        <v>148727.79999999999</v>
      </c>
      <c r="S191" s="85">
        <v>142115.1</v>
      </c>
      <c r="T191" s="85">
        <v>127194.1</v>
      </c>
      <c r="U191" s="85">
        <v>126071.6</v>
      </c>
      <c r="V191" s="250">
        <f t="shared" si="15"/>
        <v>1567816.7000000004</v>
      </c>
    </row>
    <row r="192" spans="1:23" s="171" customFormat="1" ht="47.25" customHeight="1" x14ac:dyDescent="0.25">
      <c r="A192" s="469" t="s">
        <v>352</v>
      </c>
      <c r="B192" s="470"/>
      <c r="C192" s="353"/>
      <c r="D192" s="353"/>
      <c r="E192" s="353"/>
      <c r="F192" s="353"/>
      <c r="G192" s="353"/>
      <c r="H192" s="353">
        <f>H139+H163</f>
        <v>1824.6</v>
      </c>
      <c r="I192" s="85">
        <f t="shared" ref="I192:V192" si="22">I139+I163</f>
        <v>2151.3000000000002</v>
      </c>
      <c r="J192" s="85">
        <f t="shared" si="22"/>
        <v>2292.8000000000002</v>
      </c>
      <c r="K192" s="85">
        <f t="shared" si="22"/>
        <v>2292.8000000000002</v>
      </c>
      <c r="L192" s="85">
        <f t="shared" si="22"/>
        <v>3110.3</v>
      </c>
      <c r="M192" s="85">
        <f t="shared" si="22"/>
        <v>5682</v>
      </c>
      <c r="N192" s="85">
        <f t="shared" si="22"/>
        <v>6813.2000000000007</v>
      </c>
      <c r="O192" s="85">
        <f t="shared" si="22"/>
        <v>2694.3</v>
      </c>
      <c r="P192" s="85">
        <f t="shared" si="22"/>
        <v>3262</v>
      </c>
      <c r="Q192" s="356">
        <f t="shared" si="22"/>
        <v>3006.8</v>
      </c>
      <c r="R192" s="356">
        <f t="shared" si="22"/>
        <v>15697.300000000001</v>
      </c>
      <c r="S192" s="356">
        <f t="shared" si="22"/>
        <v>14180.400000000001</v>
      </c>
      <c r="T192" s="356">
        <f t="shared" si="22"/>
        <v>2342</v>
      </c>
      <c r="U192" s="356">
        <f t="shared" si="22"/>
        <v>2342</v>
      </c>
      <c r="V192" s="356">
        <f t="shared" si="22"/>
        <v>67691.8</v>
      </c>
      <c r="W192" s="4"/>
    </row>
    <row r="193" spans="1:23" s="37" customFormat="1" x14ac:dyDescent="0.3">
      <c r="A193" s="469" t="s">
        <v>560</v>
      </c>
      <c r="B193" s="470"/>
      <c r="C193" s="353"/>
      <c r="D193" s="353"/>
      <c r="E193" s="353"/>
      <c r="F193" s="353"/>
      <c r="G193" s="353"/>
      <c r="H193" s="353"/>
      <c r="I193" s="85"/>
      <c r="J193" s="85"/>
      <c r="K193" s="85"/>
      <c r="L193" s="85"/>
      <c r="M193" s="85"/>
      <c r="N193" s="85"/>
      <c r="O193" s="85"/>
      <c r="P193" s="356"/>
      <c r="Q193" s="85"/>
      <c r="R193" s="85"/>
      <c r="S193" s="85">
        <f>S188-S192</f>
        <v>541210.19999999995</v>
      </c>
      <c r="T193" s="85">
        <f>T188-T192</f>
        <v>508028.3</v>
      </c>
      <c r="U193" s="85">
        <f>U188-U192</f>
        <v>491434.50000000012</v>
      </c>
      <c r="V193" s="250"/>
      <c r="W193" s="4" t="s">
        <v>164</v>
      </c>
    </row>
    <row r="194" spans="1:23" x14ac:dyDescent="0.3">
      <c r="A194" s="351"/>
      <c r="B194" s="352"/>
      <c r="C194" s="353"/>
      <c r="D194" s="353"/>
      <c r="E194" s="353"/>
      <c r="F194" s="353"/>
      <c r="G194" s="353"/>
      <c r="H194" s="353"/>
      <c r="I194" s="85"/>
      <c r="J194" s="85"/>
      <c r="K194" s="85"/>
      <c r="L194" s="85"/>
      <c r="M194" s="85"/>
      <c r="N194" s="85"/>
      <c r="O194" s="356"/>
      <c r="P194" s="85"/>
      <c r="Q194" s="356"/>
      <c r="R194" s="356"/>
      <c r="S194" s="356"/>
      <c r="T194" s="356"/>
      <c r="U194" s="356"/>
      <c r="V194" s="250"/>
    </row>
    <row r="195" spans="1:23" x14ac:dyDescent="0.3">
      <c r="A195" s="254"/>
      <c r="B195" s="255"/>
      <c r="C195" s="256"/>
      <c r="D195" s="256"/>
      <c r="E195" s="256"/>
      <c r="F195" s="256"/>
      <c r="G195" s="256"/>
      <c r="H195" s="256"/>
    </row>
    <row r="196" spans="1:23" x14ac:dyDescent="0.3">
      <c r="A196" s="254"/>
      <c r="B196" s="255"/>
      <c r="C196" s="256"/>
      <c r="D196" s="256"/>
      <c r="E196" s="256"/>
      <c r="F196" s="256"/>
      <c r="G196" s="256"/>
      <c r="H196" s="256"/>
      <c r="P196" s="158"/>
    </row>
    <row r="197" spans="1:23" x14ac:dyDescent="0.3">
      <c r="A197" s="254"/>
      <c r="B197" s="255"/>
      <c r="C197" s="256"/>
      <c r="D197" s="256"/>
      <c r="E197" s="256"/>
      <c r="F197" s="256"/>
      <c r="G197" s="256"/>
      <c r="H197" s="256"/>
    </row>
    <row r="198" spans="1:23" x14ac:dyDescent="0.3">
      <c r="A198" s="254"/>
      <c r="B198" s="255"/>
      <c r="C198" s="256"/>
      <c r="D198" s="256"/>
      <c r="E198" s="256"/>
      <c r="F198" s="256"/>
      <c r="G198" s="256"/>
      <c r="H198" s="256"/>
      <c r="Q198" s="158"/>
      <c r="R198" s="158"/>
      <c r="S198" s="158"/>
      <c r="T198" s="158"/>
      <c r="U198" s="158"/>
    </row>
    <row r="199" spans="1:23" x14ac:dyDescent="0.3">
      <c r="A199" s="254"/>
      <c r="B199" s="255"/>
      <c r="C199" s="256"/>
      <c r="D199" s="256"/>
      <c r="E199" s="256"/>
      <c r="F199" s="256"/>
      <c r="G199" s="256"/>
      <c r="H199" s="256"/>
    </row>
    <row r="200" spans="1:23" x14ac:dyDescent="0.3">
      <c r="A200" s="254"/>
      <c r="B200" s="255"/>
      <c r="C200" s="256"/>
      <c r="D200" s="256"/>
      <c r="E200" s="256"/>
      <c r="F200" s="256"/>
      <c r="G200" s="256"/>
      <c r="H200" s="256"/>
    </row>
    <row r="201" spans="1:23" x14ac:dyDescent="0.3">
      <c r="A201" s="254"/>
      <c r="B201" s="255"/>
      <c r="C201" s="256"/>
      <c r="D201" s="256"/>
      <c r="E201" s="256"/>
      <c r="F201" s="256"/>
      <c r="G201" s="256"/>
      <c r="H201" s="256"/>
    </row>
    <row r="202" spans="1:23" x14ac:dyDescent="0.3">
      <c r="A202" s="254"/>
      <c r="B202" s="255"/>
      <c r="C202" s="256"/>
      <c r="D202" s="256"/>
      <c r="E202" s="256"/>
      <c r="F202" s="256"/>
      <c r="G202" s="256"/>
      <c r="H202" s="256"/>
    </row>
    <row r="203" spans="1:23" x14ac:dyDescent="0.3">
      <c r="A203" s="254"/>
      <c r="B203" s="255"/>
      <c r="C203" s="256"/>
      <c r="D203" s="256"/>
      <c r="E203" s="256"/>
      <c r="F203" s="256"/>
      <c r="G203" s="256"/>
      <c r="H203" s="256"/>
    </row>
    <row r="204" spans="1:23" x14ac:dyDescent="0.3">
      <c r="A204" s="254"/>
      <c r="B204" s="255"/>
      <c r="C204" s="256"/>
      <c r="D204" s="256"/>
      <c r="E204" s="256"/>
      <c r="F204" s="256"/>
      <c r="G204" s="256"/>
      <c r="H204" s="256"/>
    </row>
    <row r="205" spans="1:23" x14ac:dyDescent="0.3">
      <c r="A205" s="254"/>
      <c r="B205" s="255"/>
      <c r="C205" s="256"/>
      <c r="D205" s="256"/>
      <c r="E205" s="256"/>
      <c r="F205" s="256"/>
      <c r="G205" s="256"/>
      <c r="H205" s="256"/>
    </row>
    <row r="206" spans="1:23" x14ac:dyDescent="0.3">
      <c r="A206" s="254"/>
      <c r="B206" s="255"/>
      <c r="C206" s="256"/>
      <c r="D206" s="256"/>
      <c r="E206" s="256"/>
      <c r="F206" s="256"/>
      <c r="G206" s="256"/>
      <c r="H206" s="256"/>
    </row>
    <row r="207" spans="1:23" x14ac:dyDescent="0.3">
      <c r="A207" s="254"/>
      <c r="B207" s="255"/>
      <c r="C207" s="256"/>
      <c r="D207" s="256"/>
      <c r="E207" s="256"/>
      <c r="F207" s="256"/>
      <c r="G207" s="256"/>
      <c r="H207" s="256"/>
    </row>
    <row r="208" spans="1:23" x14ac:dyDescent="0.3">
      <c r="A208" s="254"/>
      <c r="B208" s="255"/>
      <c r="C208" s="256"/>
      <c r="D208" s="256"/>
      <c r="E208" s="256"/>
      <c r="F208" s="256"/>
      <c r="G208" s="256"/>
      <c r="H208" s="256"/>
    </row>
    <row r="209" spans="1:8" x14ac:dyDescent="0.3">
      <c r="A209" s="254"/>
      <c r="B209" s="255"/>
      <c r="C209" s="256"/>
      <c r="D209" s="256"/>
      <c r="E209" s="256"/>
      <c r="F209" s="256"/>
      <c r="G209" s="256"/>
      <c r="H209" s="256"/>
    </row>
    <row r="210" spans="1:8" x14ac:dyDescent="0.3">
      <c r="A210" s="254"/>
      <c r="B210" s="255"/>
      <c r="C210" s="256"/>
      <c r="D210" s="256"/>
      <c r="E210" s="256"/>
      <c r="F210" s="256"/>
      <c r="G210" s="256"/>
      <c r="H210" s="256"/>
    </row>
    <row r="211" spans="1:8" x14ac:dyDescent="0.3">
      <c r="A211" s="254"/>
      <c r="B211" s="255"/>
      <c r="C211" s="256"/>
      <c r="D211" s="256"/>
      <c r="E211" s="256"/>
      <c r="F211" s="256"/>
      <c r="G211" s="256"/>
      <c r="H211" s="256"/>
    </row>
    <row r="212" spans="1:8" x14ac:dyDescent="0.3">
      <c r="A212" s="254"/>
      <c r="B212" s="255"/>
      <c r="C212" s="256"/>
      <c r="D212" s="256"/>
      <c r="E212" s="256"/>
      <c r="F212" s="256"/>
      <c r="G212" s="256"/>
      <c r="H212" s="256"/>
    </row>
    <row r="213" spans="1:8" x14ac:dyDescent="0.3">
      <c r="A213" s="254"/>
      <c r="B213" s="255"/>
      <c r="C213" s="256"/>
      <c r="D213" s="256"/>
      <c r="E213" s="256"/>
      <c r="F213" s="256"/>
      <c r="G213" s="256"/>
      <c r="H213" s="256"/>
    </row>
    <row r="214" spans="1:8" x14ac:dyDescent="0.3">
      <c r="A214" s="254"/>
      <c r="B214" s="255"/>
      <c r="C214" s="256"/>
      <c r="D214" s="256"/>
      <c r="E214" s="256"/>
      <c r="F214" s="256"/>
      <c r="G214" s="256"/>
      <c r="H214" s="256"/>
    </row>
    <row r="215" spans="1:8" x14ac:dyDescent="0.3">
      <c r="A215" s="254"/>
      <c r="B215" s="255"/>
      <c r="C215" s="256"/>
      <c r="D215" s="256"/>
      <c r="E215" s="256"/>
      <c r="F215" s="256"/>
      <c r="G215" s="256"/>
      <c r="H215" s="256"/>
    </row>
    <row r="216" spans="1:8" x14ac:dyDescent="0.3">
      <c r="A216" s="254"/>
      <c r="B216" s="255"/>
      <c r="C216" s="256"/>
      <c r="D216" s="256"/>
      <c r="E216" s="256"/>
      <c r="F216" s="256"/>
      <c r="G216" s="256"/>
      <c r="H216" s="256"/>
    </row>
    <row r="217" spans="1:8" x14ac:dyDescent="0.3">
      <c r="A217" s="254"/>
      <c r="B217" s="255"/>
      <c r="C217" s="256"/>
      <c r="D217" s="256"/>
      <c r="E217" s="256"/>
      <c r="F217" s="256"/>
      <c r="G217" s="256"/>
      <c r="H217" s="256"/>
    </row>
    <row r="218" spans="1:8" x14ac:dyDescent="0.3">
      <c r="A218" s="254"/>
      <c r="B218" s="255"/>
      <c r="C218" s="256"/>
      <c r="D218" s="256"/>
      <c r="E218" s="256"/>
      <c r="F218" s="256"/>
      <c r="G218" s="256"/>
      <c r="H218" s="256"/>
    </row>
    <row r="219" spans="1:8" x14ac:dyDescent="0.3">
      <c r="A219" s="254"/>
      <c r="B219" s="255"/>
      <c r="C219" s="256"/>
      <c r="D219" s="256"/>
      <c r="E219" s="256"/>
      <c r="F219" s="256"/>
      <c r="G219" s="256"/>
      <c r="H219" s="256"/>
    </row>
    <row r="220" spans="1:8" x14ac:dyDescent="0.3">
      <c r="A220" s="254"/>
      <c r="B220" s="255"/>
      <c r="C220" s="256"/>
      <c r="D220" s="256"/>
      <c r="E220" s="256"/>
      <c r="F220" s="256"/>
      <c r="G220" s="256"/>
      <c r="H220" s="256"/>
    </row>
    <row r="221" spans="1:8" x14ac:dyDescent="0.3">
      <c r="A221" s="254"/>
      <c r="B221" s="255"/>
      <c r="C221" s="256"/>
      <c r="D221" s="256"/>
      <c r="E221" s="256"/>
      <c r="F221" s="256"/>
      <c r="G221" s="256"/>
      <c r="H221" s="256"/>
    </row>
    <row r="222" spans="1:8" x14ac:dyDescent="0.3">
      <c r="A222" s="254"/>
      <c r="B222" s="255"/>
      <c r="C222" s="256"/>
      <c r="D222" s="256"/>
      <c r="E222" s="256"/>
      <c r="F222" s="256"/>
      <c r="G222" s="256"/>
      <c r="H222" s="256"/>
    </row>
    <row r="223" spans="1:8" x14ac:dyDescent="0.3">
      <c r="A223" s="254"/>
      <c r="B223" s="255"/>
      <c r="C223" s="256"/>
      <c r="D223" s="256"/>
      <c r="E223" s="256"/>
      <c r="F223" s="256"/>
      <c r="G223" s="256"/>
      <c r="H223" s="256"/>
    </row>
    <row r="224" spans="1:8" x14ac:dyDescent="0.3">
      <c r="A224" s="254"/>
      <c r="B224" s="255"/>
      <c r="C224" s="256"/>
      <c r="D224" s="256"/>
      <c r="E224" s="256"/>
      <c r="F224" s="256"/>
      <c r="G224" s="256"/>
      <c r="H224" s="256"/>
    </row>
    <row r="225" spans="1:8" x14ac:dyDescent="0.3">
      <c r="A225" s="254"/>
      <c r="B225" s="255"/>
      <c r="C225" s="256"/>
      <c r="D225" s="256"/>
      <c r="E225" s="256"/>
      <c r="F225" s="256"/>
      <c r="G225" s="256"/>
      <c r="H225" s="256"/>
    </row>
  </sheetData>
  <mergeCells count="99">
    <mergeCell ref="R1:W1"/>
    <mergeCell ref="A2:V2"/>
    <mergeCell ref="A3:A4"/>
    <mergeCell ref="B3:B4"/>
    <mergeCell ref="C3:C4"/>
    <mergeCell ref="D3:G3"/>
    <mergeCell ref="H3:V3"/>
    <mergeCell ref="W3:W4"/>
    <mergeCell ref="A5:W5"/>
    <mergeCell ref="A6:W6"/>
    <mergeCell ref="C7:C9"/>
    <mergeCell ref="A8:A9"/>
    <mergeCell ref="A10:A27"/>
    <mergeCell ref="B10:B27"/>
    <mergeCell ref="C10:C27"/>
    <mergeCell ref="W10:W27"/>
    <mergeCell ref="A28:A30"/>
    <mergeCell ref="B28:B30"/>
    <mergeCell ref="C28:C30"/>
    <mergeCell ref="A31:A46"/>
    <mergeCell ref="B31:B33"/>
    <mergeCell ref="C31:C43"/>
    <mergeCell ref="W31:W43"/>
    <mergeCell ref="B34:B36"/>
    <mergeCell ref="B37:B40"/>
    <mergeCell ref="B42:B43"/>
    <mergeCell ref="B44:B46"/>
    <mergeCell ref="C44:C46"/>
    <mergeCell ref="A47:A48"/>
    <mergeCell ref="W47:W48"/>
    <mergeCell ref="A49:A51"/>
    <mergeCell ref="W49:W51"/>
    <mergeCell ref="B50:B51"/>
    <mergeCell ref="C50:C51"/>
    <mergeCell ref="A52:A55"/>
    <mergeCell ref="B52:B53"/>
    <mergeCell ref="C52:C53"/>
    <mergeCell ref="W52:W53"/>
    <mergeCell ref="B54:B55"/>
    <mergeCell ref="C54:C55"/>
    <mergeCell ref="A56:A64"/>
    <mergeCell ref="B56:B57"/>
    <mergeCell ref="C56:C57"/>
    <mergeCell ref="W56:W57"/>
    <mergeCell ref="B58:B62"/>
    <mergeCell ref="C58:C62"/>
    <mergeCell ref="C63:C64"/>
    <mergeCell ref="A65:A66"/>
    <mergeCell ref="C65:C66"/>
    <mergeCell ref="A67:A68"/>
    <mergeCell ref="A69:A72"/>
    <mergeCell ref="B69:B70"/>
    <mergeCell ref="B71:B72"/>
    <mergeCell ref="A141:B141"/>
    <mergeCell ref="A75:B75"/>
    <mergeCell ref="A76:W76"/>
    <mergeCell ref="A77:A101"/>
    <mergeCell ref="B77:B101"/>
    <mergeCell ref="C77:C101"/>
    <mergeCell ref="W77:W134"/>
    <mergeCell ref="A102:A104"/>
    <mergeCell ref="B102:B104"/>
    <mergeCell ref="C102:C104"/>
    <mergeCell ref="A105:A128"/>
    <mergeCell ref="B105:B128"/>
    <mergeCell ref="C105:C128"/>
    <mergeCell ref="A129:A132"/>
    <mergeCell ref="B129:B132"/>
    <mergeCell ref="C129:C132"/>
    <mergeCell ref="W161:W162"/>
    <mergeCell ref="A163:A165"/>
    <mergeCell ref="B163:B165"/>
    <mergeCell ref="W163:W165"/>
    <mergeCell ref="A142:W142"/>
    <mergeCell ref="A143:A158"/>
    <mergeCell ref="B143:B157"/>
    <mergeCell ref="C143:C158"/>
    <mergeCell ref="W143:W158"/>
    <mergeCell ref="A159:A160"/>
    <mergeCell ref="B159:B160"/>
    <mergeCell ref="C159:C160"/>
    <mergeCell ref="W159:W160"/>
    <mergeCell ref="C168:C180"/>
    <mergeCell ref="A182:B182"/>
    <mergeCell ref="A183:B183"/>
    <mergeCell ref="A184:B184"/>
    <mergeCell ref="A161:A162"/>
    <mergeCell ref="B161:B162"/>
    <mergeCell ref="C161:C162"/>
    <mergeCell ref="A185:B185"/>
    <mergeCell ref="A186:B186"/>
    <mergeCell ref="A187:B187"/>
    <mergeCell ref="A168:A181"/>
    <mergeCell ref="B168:B181"/>
    <mergeCell ref="A193:B193"/>
    <mergeCell ref="A192:B192"/>
    <mergeCell ref="A191:B191"/>
    <mergeCell ref="A190:B190"/>
    <mergeCell ref="A189:B189"/>
  </mergeCells>
  <pageMargins left="0" right="0" top="0" bottom="0" header="0.31496062992125984" footer="0.31496062992125984"/>
  <pageSetup paperSize="9" scale="3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21</vt:i4>
      </vt:variant>
    </vt:vector>
  </HeadingPairs>
  <TitlesOfParts>
    <vt:vector size="35" baseType="lpstr">
      <vt:lpstr>прил1 к пасп МП</vt:lpstr>
      <vt:lpstr>прил2 к пасп МП</vt:lpstr>
      <vt:lpstr>прил1 к МП</vt:lpstr>
      <vt:lpstr>прил2 к МП</vt:lpstr>
      <vt:lpstr>прил3 к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Лист1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подпр1'!Область_печати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2024-09-23T08:58:24Z</dcterms:created>
  <dcterms:modified xsi:type="dcterms:W3CDTF">2025-06-03T08:33:32Z</dcterms:modified>
</cp:coreProperties>
</file>