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240" windowHeight="12300"/>
  </bookViews>
  <sheets>
    <sheet name="Прил.№2 с 09.01.25г. " sheetId="4" r:id="rId1"/>
  </sheets>
  <calcPr calcId="144525"/>
</workbook>
</file>

<file path=xl/calcChain.xml><?xml version="1.0" encoding="utf-8"?>
<calcChain xmlns="http://schemas.openxmlformats.org/spreadsheetml/2006/main">
  <c r="I163" i="4" l="1"/>
  <c r="E163" i="4"/>
  <c r="I162" i="4"/>
  <c r="E162" i="4"/>
  <c r="I161" i="4"/>
  <c r="E161" i="4"/>
  <c r="I160" i="4"/>
  <c r="E160" i="4"/>
  <c r="I159" i="4"/>
  <c r="E159" i="4"/>
  <c r="I158" i="4"/>
  <c r="E158" i="4"/>
  <c r="I150" i="4" l="1"/>
  <c r="E150" i="4"/>
  <c r="I149" i="4"/>
  <c r="E149" i="4"/>
  <c r="I147" i="4"/>
  <c r="I146" i="4"/>
  <c r="I145" i="4"/>
  <c r="I148" i="4"/>
  <c r="E148" i="4"/>
  <c r="E147" i="4"/>
  <c r="E146" i="4"/>
  <c r="E145" i="4"/>
  <c r="F136" i="4" l="1"/>
  <c r="F133" i="4"/>
  <c r="F132" i="4"/>
  <c r="F124" i="4"/>
  <c r="F123" i="4"/>
  <c r="F122" i="4"/>
  <c r="F121" i="4"/>
  <c r="F120" i="4"/>
  <c r="F119" i="4"/>
  <c r="F118" i="4"/>
  <c r="I118" i="4" s="1"/>
  <c r="F116" i="4"/>
  <c r="F115" i="4"/>
  <c r="F98" i="4"/>
  <c r="F97" i="4"/>
  <c r="F96" i="4"/>
  <c r="F95" i="4"/>
  <c r="F94" i="4"/>
  <c r="F93" i="4"/>
  <c r="F90" i="4"/>
  <c r="I90" i="4" s="1"/>
  <c r="F89" i="4"/>
  <c r="I89" i="4" s="1"/>
  <c r="F58" i="4"/>
  <c r="F59" i="4"/>
  <c r="F60" i="4"/>
  <c r="F61" i="4"/>
  <c r="F57" i="4"/>
  <c r="K163" i="4" l="1"/>
  <c r="K162" i="4"/>
  <c r="K161" i="4"/>
  <c r="K160" i="4"/>
  <c r="K159" i="4"/>
  <c r="K158" i="4"/>
  <c r="J163" i="4"/>
  <c r="J162" i="4"/>
  <c r="J161" i="4"/>
  <c r="J160" i="4"/>
  <c r="J159" i="4"/>
  <c r="J158" i="4"/>
  <c r="E93" i="4" l="1"/>
  <c r="O143" i="4" l="1"/>
  <c r="O148" i="4" s="1"/>
  <c r="K150" i="4"/>
  <c r="K149" i="4"/>
  <c r="K148" i="4"/>
  <c r="K147" i="4"/>
  <c r="K146" i="4"/>
  <c r="K145" i="4"/>
  <c r="J150" i="4"/>
  <c r="J149" i="4"/>
  <c r="J148" i="4"/>
  <c r="J147" i="4"/>
  <c r="J146" i="4"/>
  <c r="J145" i="4"/>
  <c r="O147" i="4"/>
  <c r="M145" i="4"/>
  <c r="O145" i="4" l="1"/>
  <c r="P145" i="4"/>
  <c r="N145" i="4"/>
  <c r="O146" i="4"/>
  <c r="F92" i="4" l="1"/>
  <c r="I92" i="4" s="1"/>
  <c r="F91" i="4"/>
  <c r="I91" i="4" s="1"/>
  <c r="F117" i="4"/>
  <c r="F134" i="4"/>
  <c r="G30" i="4" l="1"/>
  <c r="G26" i="4"/>
  <c r="G16" i="4"/>
  <c r="G13" i="4"/>
  <c r="G10" i="4"/>
  <c r="G9" i="4"/>
  <c r="I136" i="4" l="1"/>
  <c r="I133" i="4"/>
  <c r="I132" i="4"/>
  <c r="I124" i="4"/>
  <c r="I123" i="4"/>
  <c r="I122" i="4"/>
  <c r="I121" i="4"/>
  <c r="I120" i="4"/>
  <c r="I119" i="4"/>
  <c r="I116" i="4"/>
  <c r="I115" i="4"/>
  <c r="I98" i="4"/>
  <c r="I97" i="4"/>
  <c r="I96" i="4"/>
  <c r="I95" i="4"/>
  <c r="I94" i="4"/>
  <c r="I93" i="4"/>
  <c r="I65" i="4"/>
  <c r="E65" i="4"/>
  <c r="I61" i="4"/>
  <c r="I60" i="4"/>
  <c r="I59" i="4"/>
  <c r="I58" i="4"/>
  <c r="I57" i="4"/>
  <c r="G33" i="4"/>
  <c r="G29" i="4"/>
  <c r="G23" i="4"/>
  <c r="G21" i="4"/>
  <c r="G19" i="4"/>
  <c r="G15" i="4"/>
  <c r="G12" i="4"/>
  <c r="E34" i="4"/>
  <c r="X163" i="4"/>
  <c r="W163" i="4"/>
  <c r="X162" i="4"/>
  <c r="W162" i="4"/>
  <c r="X161" i="4"/>
  <c r="W161" i="4"/>
  <c r="X160" i="4"/>
  <c r="W160" i="4"/>
  <c r="X159" i="4"/>
  <c r="X158" i="4"/>
  <c r="W159" i="4"/>
  <c r="W158" i="4"/>
  <c r="Z150" i="4"/>
  <c r="Z149" i="4"/>
  <c r="Z148" i="4"/>
  <c r="Z145" i="4"/>
  <c r="X150" i="4"/>
  <c r="X149" i="4"/>
  <c r="X148" i="4"/>
  <c r="X145" i="4"/>
  <c r="W150" i="4"/>
  <c r="W149" i="4"/>
  <c r="W148" i="4"/>
  <c r="W145" i="4"/>
  <c r="H37" i="4" l="1"/>
  <c r="I129" i="4" l="1"/>
  <c r="I130" i="4"/>
  <c r="I131" i="4"/>
  <c r="I128" i="4"/>
  <c r="I104" i="4"/>
  <c r="I105" i="4"/>
  <c r="I106" i="4"/>
  <c r="I107" i="4"/>
  <c r="I108" i="4"/>
  <c r="I109" i="4"/>
  <c r="I110" i="4"/>
  <c r="I111" i="4"/>
  <c r="I112" i="4"/>
  <c r="I113" i="4"/>
  <c r="I114" i="4"/>
  <c r="I103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69" i="4"/>
  <c r="I63" i="4"/>
  <c r="I55" i="4"/>
  <c r="I53" i="4"/>
  <c r="I51" i="4"/>
  <c r="I48" i="4"/>
  <c r="I45" i="4"/>
  <c r="I42" i="4"/>
  <c r="I40" i="4"/>
  <c r="I37" i="4"/>
  <c r="I33" i="4"/>
  <c r="I30" i="4"/>
  <c r="I29" i="4"/>
  <c r="I26" i="4"/>
  <c r="I23" i="4"/>
  <c r="I21" i="4"/>
  <c r="I19" i="4"/>
  <c r="I16" i="4"/>
  <c r="I15" i="4"/>
  <c r="I13" i="4"/>
  <c r="I12" i="4"/>
  <c r="I10" i="4"/>
  <c r="I9" i="4"/>
  <c r="E42" i="4"/>
  <c r="E21" i="4"/>
  <c r="E55" i="4"/>
  <c r="E59" i="4" l="1"/>
  <c r="E61" i="4"/>
  <c r="E57" i="4"/>
  <c r="BI151" i="4"/>
  <c r="BH151" i="4"/>
  <c r="BE151" i="4"/>
  <c r="BL150" i="4"/>
  <c r="BM150" i="4" s="1"/>
  <c r="BE150" i="4"/>
  <c r="AV150" i="4"/>
  <c r="BL149" i="4"/>
  <c r="BK149" i="4"/>
  <c r="BE149" i="4"/>
  <c r="AV149" i="4"/>
  <c r="BL148" i="4"/>
  <c r="BK148" i="4"/>
  <c r="BE148" i="4"/>
  <c r="AV148" i="4"/>
  <c r="BL147" i="4"/>
  <c r="BK147" i="4"/>
  <c r="BE147" i="4"/>
  <c r="AV147" i="4"/>
  <c r="BL146" i="4"/>
  <c r="BK146" i="4"/>
  <c r="BE146" i="4"/>
  <c r="AV146" i="4"/>
  <c r="BL145" i="4"/>
  <c r="BK145" i="4"/>
  <c r="BF145" i="4"/>
  <c r="BE145" i="4"/>
  <c r="AV145" i="4"/>
  <c r="I141" i="4"/>
  <c r="E141" i="4"/>
  <c r="I140" i="4"/>
  <c r="E140" i="4"/>
  <c r="I138" i="4"/>
  <c r="E138" i="4"/>
  <c r="I137" i="4"/>
  <c r="E137" i="4"/>
  <c r="E136" i="4"/>
  <c r="E135" i="4"/>
  <c r="I135" i="4" s="1"/>
  <c r="E134" i="4"/>
  <c r="I134" i="4" s="1"/>
  <c r="E133" i="4"/>
  <c r="E132" i="4"/>
  <c r="E131" i="4"/>
  <c r="E130" i="4"/>
  <c r="E129" i="4"/>
  <c r="E128" i="4"/>
  <c r="AX126" i="4"/>
  <c r="AY125" i="4"/>
  <c r="E124" i="4"/>
  <c r="E123" i="4"/>
  <c r="E122" i="4"/>
  <c r="E121" i="4"/>
  <c r="E120" i="4"/>
  <c r="E119" i="4"/>
  <c r="E118" i="4"/>
  <c r="E117" i="4"/>
  <c r="I117" i="4" s="1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AZ100" i="4"/>
  <c r="BC100" i="4" s="1"/>
  <c r="AX100" i="4"/>
  <c r="E98" i="4"/>
  <c r="E97" i="4"/>
  <c r="E96" i="4"/>
  <c r="E95" i="4"/>
  <c r="E94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AZ66" i="4"/>
  <c r="BC66" i="4" s="1"/>
  <c r="AX66" i="4"/>
  <c r="I64" i="4"/>
  <c r="E64" i="4"/>
  <c r="I62" i="4"/>
  <c r="E62" i="4"/>
  <c r="E60" i="4"/>
  <c r="E58" i="4"/>
  <c r="AU56" i="4"/>
  <c r="E56" i="4"/>
  <c r="E53" i="4"/>
  <c r="E51" i="4"/>
  <c r="E48" i="4"/>
  <c r="E45" i="4"/>
  <c r="E40" i="4"/>
  <c r="E37" i="4"/>
  <c r="E33" i="4"/>
  <c r="E30" i="4"/>
  <c r="E29" i="4"/>
  <c r="E26" i="4"/>
  <c r="E19" i="4"/>
  <c r="E16" i="4"/>
  <c r="E15" i="4"/>
  <c r="E13" i="4"/>
  <c r="E12" i="4"/>
  <c r="BM7" i="4"/>
  <c r="BQ7" i="4" s="1"/>
  <c r="BM145" i="4" l="1"/>
  <c r="BQ145" i="4" s="1"/>
  <c r="BM146" i="4"/>
  <c r="BT146" i="4" s="1"/>
  <c r="BM148" i="4"/>
  <c r="BQ148" i="4" s="1"/>
  <c r="BM147" i="4"/>
  <c r="BT147" i="4" s="1"/>
  <c r="BM149" i="4"/>
  <c r="BT149" i="4" s="1"/>
  <c r="BQ149" i="4"/>
  <c r="BT145" i="4"/>
  <c r="BQ150" i="4"/>
  <c r="BT150" i="4"/>
  <c r="BO150" i="4"/>
  <c r="BP150" i="4" s="1"/>
  <c r="BO7" i="4"/>
  <c r="BP7" i="4" s="1"/>
  <c r="E9" i="4"/>
  <c r="E10" i="4"/>
  <c r="E23" i="4"/>
  <c r="BO146" i="4"/>
  <c r="BP146" i="4" s="1"/>
  <c r="BO149" i="4" l="1"/>
  <c r="BP149" i="4" s="1"/>
  <c r="BT148" i="4"/>
  <c r="BO145" i="4"/>
  <c r="BP145" i="4" s="1"/>
  <c r="BO148" i="4"/>
  <c r="BP148" i="4" s="1"/>
  <c r="BQ146" i="4"/>
  <c r="BU146" i="4" s="1"/>
  <c r="BO147" i="4"/>
  <c r="BP147" i="4" s="1"/>
  <c r="BQ147" i="4"/>
  <c r="BU147" i="4" s="1"/>
  <c r="BU148" i="4"/>
  <c r="BR150" i="4"/>
  <c r="BR149" i="4"/>
  <c r="BU150" i="4"/>
  <c r="BU149" i="4"/>
  <c r="BU145" i="4"/>
  <c r="BR148" i="4"/>
  <c r="BR7" i="4"/>
  <c r="BR146" i="4" l="1"/>
  <c r="BR145" i="4"/>
  <c r="BR147" i="4"/>
</calcChain>
</file>

<file path=xl/sharedStrings.xml><?xml version="1.0" encoding="utf-8"?>
<sst xmlns="http://schemas.openxmlformats.org/spreadsheetml/2006/main" count="792" uniqueCount="206">
  <si>
    <t>Краевой норматив на административно-управленический и учебно-вспомогательный персонал</t>
  </si>
  <si>
    <t>Затраты на содержание недвижимого имущества</t>
  </si>
  <si>
    <t>Базовые нормативы затрат для муниципальных учреждений</t>
  </si>
  <si>
    <t>Наименование услуги и уникальный номер реестровой записи</t>
  </si>
  <si>
    <t>Базовый норматив затрат на единицу объема</t>
  </si>
  <si>
    <t>Краевой норматив на образовательную услугу</t>
  </si>
  <si>
    <t>Затраты на оплату труда работников, непосредственно связанных с оказанием услуги</t>
  </si>
  <si>
    <t>Затраты на коммунальные услуги</t>
  </si>
  <si>
    <t>в соответствии с перечнем</t>
  </si>
  <si>
    <t>в рублях</t>
  </si>
  <si>
    <t>Группы общеразвивающей направленности (за исключением малокомплектных образовательных организаций)</t>
  </si>
  <si>
    <t>городской населенный пункт</t>
  </si>
  <si>
    <t>сельский населенный пункт</t>
  </si>
  <si>
    <t>0,00</t>
  </si>
  <si>
    <t>чел.</t>
  </si>
  <si>
    <t>группа</t>
  </si>
  <si>
    <t>Ед.изм. Услуги</t>
  </si>
  <si>
    <t>Обучение детей  в образовательных организациях, реализующих программы общего образования (k = 1)</t>
  </si>
  <si>
    <t>человек</t>
  </si>
  <si>
    <t xml:space="preserve">Обучение детей  в малокомплектных образовательных организациях, расположенных в городских населенных пунктах, и в классах с наполняемостью 20 и более человек, созданных в малокомплектных образовательных организациях, расположенных в сельских населенных </t>
  </si>
  <si>
    <t>класс/человек</t>
  </si>
  <si>
    <t>Обучение детей в классах с наполняемостью менее 20 человек, созданных в малокомплектных образовательных организациях, расположенных в сельских населенных пунктах (за исключением детей с ограниченными возможностями здоровья, обучающихся в отдельных классах) (k = 5)</t>
  </si>
  <si>
    <t>Х</t>
  </si>
  <si>
    <t>х</t>
  </si>
  <si>
    <t>Обучение детей  в образовательных организациях, реализующих программы общего образования (k = 1) с углубленным изучением предметов</t>
  </si>
  <si>
    <t>Форма организации обучения детей. Направленность групп образовательной организации</t>
  </si>
  <si>
    <t>Наименование образовательной организации</t>
  </si>
  <si>
    <t>МБОУ ДО "ДДТ"</t>
  </si>
  <si>
    <t>1. Образовательные учреждения</t>
  </si>
  <si>
    <t>2. Учреждения дополнительного образования детей (местный бюджет)</t>
  </si>
  <si>
    <t>Группы общеразвивающей направленности, созданные в малокомплектных образовательных организациях, сельский населенный пункт</t>
  </si>
  <si>
    <t>Группы общеразвивающей направленности, в которых воспитанники посещают бассейн (дополнительный норматив)</t>
  </si>
  <si>
    <t>Местный норматив на содержание учреждения</t>
  </si>
  <si>
    <t>Инклюзивное обучение детей c ограниченными возможностями здоровья в общеобразовательных классах образовательных организаций (k = 9) в т.ч:</t>
  </si>
  <si>
    <t>Индивидуальное обучение детей при наличии соответствующего медицинского заключения и детей-инвалидов на дому (k = 10) город</t>
  </si>
  <si>
    <t>Обучение детей, находящихся на длительном лечении в медицинских учреждениях (индивидуальное, групповое) (k = 11) город</t>
  </si>
  <si>
    <t>Обучение детей, находящихся на длительном лечении в медицинских учреждениях (индивидуальное, групповое) (k = 11) село</t>
  </si>
  <si>
    <t>t=6 город</t>
  </si>
  <si>
    <t>t=6 село</t>
  </si>
  <si>
    <t>t=12 город</t>
  </si>
  <si>
    <t>t=12 село</t>
  </si>
  <si>
    <t xml:space="preserve"> Индивидуальное обучение детей при наличии соответствующего медицинского заключения и детей-инвалидов на дому (k = 10) село</t>
  </si>
  <si>
    <t>Индивидуальное обучение детей при наличии соответствующего медицинского заключения и детей-инвалидов на дому (k = 10) село</t>
  </si>
  <si>
    <t>Инклюзивное обучение детей c ограниченными возможностями здоровья в общеобразовательных классах образовательных организаций (k = 9) в т.ч :</t>
  </si>
  <si>
    <t>t=2 город</t>
  </si>
  <si>
    <t>t=2 село</t>
  </si>
  <si>
    <t>t=4 город</t>
  </si>
  <si>
    <t>t=4 село</t>
  </si>
  <si>
    <t>t=8 город</t>
  </si>
  <si>
    <t>t=8 село</t>
  </si>
  <si>
    <t>t=10 город</t>
  </si>
  <si>
    <t>t=10 село</t>
  </si>
  <si>
    <t>t=5 город</t>
  </si>
  <si>
    <t>t=5 село</t>
  </si>
  <si>
    <t>t=7 город</t>
  </si>
  <si>
    <t>t=7 село</t>
  </si>
  <si>
    <t>t=9 город</t>
  </si>
  <si>
    <t>t=9 село</t>
  </si>
  <si>
    <t>человек-час</t>
  </si>
  <si>
    <t>от 3 до 7 лет (b=8)</t>
  </si>
  <si>
    <t>Дополнительное образование детей в образовательных организациях, реализующих основные общеобразовательные программы (город)</t>
  </si>
  <si>
    <t>Дополнительное образование детей в образовательных организациях, реализующих основные общеобразовательные программы (село)</t>
  </si>
  <si>
    <t xml:space="preserve">Приложение № 2 к Приказу </t>
  </si>
  <si>
    <t>Реализация дополнительных общеразвивающих программ (техническое направление) 804200О.99.0.ББ52АЕ04000</t>
  </si>
  <si>
    <t>Реализация дополнительных общеразвивающих программ (туристическо-краеведческое направление)  804200О.99.0.ББ52А368000</t>
  </si>
  <si>
    <t>Реализация дополнительных общеразвивающих программ (физкультурно-спортивное направление)  804200О.99.0.ББ52АЕ52000</t>
  </si>
  <si>
    <t>Реализация дополнительных общеразвивающих программ (художественное направление) 804200О.99.0.ББ52АЕ76000</t>
  </si>
  <si>
    <t>Реализация дополнительных общеразвивающих программ (естественно-научное направление)  804200О.99.0.ББ52АЕ28000; 804200О.99.0.ББ52АЕ28000</t>
  </si>
  <si>
    <t>Присмотр и уход  853211О.99.0.БВ19АА68000; 853211О.99.0.БВ19АА56000; 853211О.99.0.БВ19АБ82000; 853211О.99.0.БВ19АА20000</t>
  </si>
  <si>
    <t>Реализация основных общеобразовательных программ начального общего образования  801012О.99.0.БА81АЭ92001; 801012О.99.0.БА81АА00001; 801012О.99.0.БА81АЮ16001</t>
  </si>
  <si>
    <t>Реализация основных общеобразовательных программ среднего общего образования 802112О.99.0.ББ11АЮ58001; 802112О.99.0.ББ11АА00001; 802112О.99.0.ББ11АЮ83001</t>
  </si>
  <si>
    <t>Реализация основных образовательных программ дошкольного образования 801011О.99.0.БВ24ДП02000; 801011О.99.0.БВ24ДН82000; 801011О.99.0.БВ24ГД82000; 801011О.99.0.БВ24АУ02000; 801011О.99.0.БВ24АВ42000;</t>
  </si>
  <si>
    <t>Дополнительное образование детей в образовательных организациях, реализующих основные общеобразовательные программы (дети, посещающие бассейн)</t>
  </si>
  <si>
    <t>шк2</t>
  </si>
  <si>
    <t>шк4</t>
  </si>
  <si>
    <t>шк5</t>
  </si>
  <si>
    <t>шк9</t>
  </si>
  <si>
    <t>гим 10</t>
  </si>
  <si>
    <t>шк 7</t>
  </si>
  <si>
    <t>шк 2</t>
  </si>
  <si>
    <t>шк 4</t>
  </si>
  <si>
    <t>шк 5</t>
  </si>
  <si>
    <t>шк 9</t>
  </si>
  <si>
    <t>К1</t>
  </si>
  <si>
    <t>до 3 лет (b3)</t>
  </si>
  <si>
    <t>от 3 до 7 лет (b8)</t>
  </si>
  <si>
    <t>К11</t>
  </si>
  <si>
    <t>разновозрастные группы (b13)</t>
  </si>
  <si>
    <t>Группы компенсирующей направленности для воспитанников с ограниченными возможностями здоровья (за исключением малокомплектных образовательных организаций)</t>
  </si>
  <si>
    <t>К2</t>
  </si>
  <si>
    <t>от 3 до 7 лет город (b8)</t>
  </si>
  <si>
    <t>К3</t>
  </si>
  <si>
    <t>от 3 до 7 лет  (b13)</t>
  </si>
  <si>
    <t>К5</t>
  </si>
  <si>
    <t>Группы комбинированной  направленности (за исключением малокомплектных образовательных организаций), городской населенный пункт</t>
  </si>
  <si>
    <t>К9</t>
  </si>
  <si>
    <t>t=11 город</t>
  </si>
  <si>
    <t>t=11 село</t>
  </si>
  <si>
    <t>Заочное обучение детей в образовательных организациях, реализующие основные общеобразовательные программы (k = 13)</t>
  </si>
  <si>
    <t>от 3 до 7 лет (b=13)</t>
  </si>
  <si>
    <t>К10</t>
  </si>
  <si>
    <t xml:space="preserve">Группы компенсирующей направленности для  воспитанников с ограниченными возможностями здоровья, посещающих бассейн </t>
  </si>
  <si>
    <t>3. Учреждения дополнительного образования детей (норматив по ПФ ДОД)</t>
  </si>
  <si>
    <t>Реализация дополнительных общеразвивающих программ (Персонифицированное финансирование) (Техническое направление) 804200О.99.0.ББ52АЕ04000</t>
  </si>
  <si>
    <t>Реализация дополнительных общеразвивающих программ (Персонифицированное финансирование) (Туристическо-краеведческое направление)  804200О.99.0.ББ52А368000</t>
  </si>
  <si>
    <t>Реализация дополнительных общеразвивающих программ (Персонифицированное финансирование) (Физкультурно-спортивное направление)  804200О.99.0.ББ52АЕ52000</t>
  </si>
  <si>
    <t>Реализация дополнительных общеразвивающих программ (Персонифицированное финансирование) (Художественное направление) 804200О.99.0.ББ52АЕ76000</t>
  </si>
  <si>
    <t>Реализация дополнительных общеразвивающих программ (Персонифицированное финансирование) (Естественно-научное направление)  804200О.99.0.ББ52АЕ28000; 804200О.99.0.ББ52АЕ28000</t>
  </si>
  <si>
    <t>Реализация дополнительных общеразвивающих программ (социально-гуманитарное направление) 804200О.99.0.ББ52АЖ24000</t>
  </si>
  <si>
    <t>Реализация дополнительных общеразвивающих программ (Персонифицированное финансирование) (Социально-гуманитарное направление) 804200О.99.0.ББ52АЖ24000</t>
  </si>
  <si>
    <t>x</t>
  </si>
  <si>
    <t>Базовый норматив затрат на единицу объема на 01.01.2021г.</t>
  </si>
  <si>
    <t>Затраты на на ОТ1 (з/п)</t>
  </si>
  <si>
    <t>материалы</t>
  </si>
  <si>
    <t>КУ</t>
  </si>
  <si>
    <t>Затраты на содержан.недвиж.имущ-ва</t>
  </si>
  <si>
    <t>связь</t>
  </si>
  <si>
    <t>Затраты на ОТ2</t>
  </si>
  <si>
    <t>Затраты прочие</t>
  </si>
  <si>
    <t>сумма прочих расходов</t>
  </si>
  <si>
    <t>Базовый норматив затрат на единицу объема на 17.02.2021г.</t>
  </si>
  <si>
    <r>
      <rPr>
        <b/>
        <sz val="9"/>
        <color theme="9" tint="-0.499984740745262"/>
        <rFont val="Calibri"/>
        <family val="2"/>
        <charset val="204"/>
        <scheme val="minor"/>
      </rPr>
      <t>з/п</t>
    </r>
    <r>
      <rPr>
        <sz val="9"/>
        <color theme="9" tint="-0.499984740745262"/>
        <rFont val="Calibri"/>
        <family val="2"/>
        <charset val="204"/>
        <scheme val="minor"/>
      </rPr>
      <t xml:space="preserve"> после корректировки 17.02.21г.</t>
    </r>
  </si>
  <si>
    <t>повышающ.коэф.на з/п</t>
  </si>
  <si>
    <r>
      <rPr>
        <b/>
        <sz val="9"/>
        <color rgb="FF0070C0"/>
        <rFont val="Calibri"/>
        <family val="2"/>
        <charset val="204"/>
        <scheme val="minor"/>
      </rPr>
      <t>з/п</t>
    </r>
    <r>
      <rPr>
        <sz val="9"/>
        <color rgb="FF0070C0"/>
        <rFont val="Calibri"/>
        <family val="2"/>
        <charset val="204"/>
        <scheme val="minor"/>
      </rPr>
      <t xml:space="preserve"> после корректировки 31.04.21г.</t>
    </r>
  </si>
  <si>
    <t>Базовый норматив затрат на единицу объема на 31.04.2021г.</t>
  </si>
  <si>
    <t>из прилож.№3</t>
  </si>
  <si>
    <r>
      <rPr>
        <b/>
        <sz val="9"/>
        <color theme="5" tint="-0.249977111117893"/>
        <rFont val="Calibri"/>
        <family val="2"/>
        <charset val="204"/>
        <scheme val="minor"/>
      </rPr>
      <t>з/п</t>
    </r>
    <r>
      <rPr>
        <sz val="9"/>
        <color theme="5" tint="-0.249977111117893"/>
        <rFont val="Calibri"/>
        <family val="2"/>
        <charset val="204"/>
        <scheme val="minor"/>
      </rPr>
      <t xml:space="preserve"> после корректировки 31.04.21г.</t>
    </r>
  </si>
  <si>
    <t>з/п</t>
  </si>
  <si>
    <t>содерж.недвиж.имущ-ва</t>
  </si>
  <si>
    <t>норматив в 2021г.</t>
  </si>
  <si>
    <t>норматив ПФ в 2022г.</t>
  </si>
  <si>
    <t>норматив м/б в 2022г.</t>
  </si>
  <si>
    <t>Мисько Галина Владимировна (39144)3-16-33</t>
  </si>
  <si>
    <t>з/п взята из расчета ПФ</t>
  </si>
  <si>
    <t>Реализация основных общеобразовательных программ основного общего образования  802111О.99.0.БА96АЮ58001; 802111О.99.0.БА96АА00001; 802111О.99.0.БА96АЮ83001</t>
  </si>
  <si>
    <t>Реализация дополнительных общеобразовательных общеразвивающих программ 801012О.99.0.ББ57АЕ52000; 804200О.99.0.ББ52АЕ76000; 804200О.99.0.ББ52АЕ04000; 804200О.99.0.ББ52АЖ24000; 824200О.99.0.ББ52АЕ28000</t>
  </si>
  <si>
    <t>Группы оздоровительной направленности (за исключением малокомплектных образовательных организаций), городской населенный пункт</t>
  </si>
  <si>
    <t>К4</t>
  </si>
  <si>
    <t>К12</t>
  </si>
  <si>
    <t>Группы оздоровительной направленности, в которых воспитанники посещают бассейн (дополнительный норматив)</t>
  </si>
  <si>
    <t>*</t>
  </si>
  <si>
    <t>Обучение детей  в образовательных организациях, реализующих программы общего образования (k = 1) мат класс</t>
  </si>
  <si>
    <t>Ведение бух.учета самостоятельно</t>
  </si>
  <si>
    <t>Минимальный норматив финансового обеспечения на 1 организацию на ведение бухгалтерского учета в образовательных организациях ведущих такой учет самостоятельно, v-й численности обучающихся</t>
  </si>
  <si>
    <t>кол.</t>
  </si>
  <si>
    <t>Дополнительный норматив обеспечения расходов на ведение бухгалтерского учета в образовательных организациях на каждые 50 обучающихся сверх численности (для городских населенных пунктов – свыше 476, для сельских населенных пунктов – свыше 400), включенной в норматив расходов на ведение бухгалтерского учета</t>
  </si>
  <si>
    <t>Норматив финансового обеспечения групп продленного дня для обучающихся за исключением детей с ограниченными возможностями здоровья, в расчете на одну группу (город)</t>
  </si>
  <si>
    <t>Норматив финансового обеспечения групп продленного дня для обучающихся за исключением детей с ограниченными возможностями здоровья, в расчете на одну группу (село)</t>
  </si>
  <si>
    <t>в затраты на оплату труда не входит оплата труда местный</t>
  </si>
  <si>
    <t>з/п осталась расчетной по баз.нормативу по М/Б, т.к. она не превышает расчетный норматив по ПФ</t>
  </si>
  <si>
    <t>Норматив финансового обеспечения групп продленного дня для обучающихся  с ограниченными возможностями здоровья, в расчете на одну группу (город)</t>
  </si>
  <si>
    <t>Методическое обеспечение образовательной деятельности Р.01.1.0007.0001.002</t>
  </si>
  <si>
    <t xml:space="preserve"> мероприятия (штук)</t>
  </si>
  <si>
    <t>до 3 лет (b=3)</t>
  </si>
  <si>
    <t>от 3 до 7 лет (b8, t1,8)</t>
  </si>
  <si>
    <t>от 3 до 7 лет (b8, t7)</t>
  </si>
  <si>
    <t>от 3 до 7 лет (b=8, t1)</t>
  </si>
  <si>
    <t>сред.образ.</t>
  </si>
  <si>
    <t>основн.образ.</t>
  </si>
  <si>
    <t>село</t>
  </si>
  <si>
    <t>нач.образ.</t>
  </si>
  <si>
    <t>2001,379- на 1 человека</t>
  </si>
  <si>
    <t>521,13- на 1 человека</t>
  </si>
  <si>
    <t>20921,78- на 1 человека</t>
  </si>
  <si>
    <t>5390,92- на 1 человека</t>
  </si>
  <si>
    <t>2011,69- на 1 человека</t>
  </si>
  <si>
    <t>518,35- на 1 человека</t>
  </si>
  <si>
    <t>базовый нормативнорматив м/б в 2023г.</t>
  </si>
  <si>
    <t>норматив</t>
  </si>
  <si>
    <t>базовый нормативнорматив ПФ  в 2023г.</t>
  </si>
  <si>
    <t>норматив, корректировка от 30.08.23г</t>
  </si>
  <si>
    <t>от 3 до 7 лет (b=13, t4,7,10)</t>
  </si>
  <si>
    <t>Группы комбинированной направленности, в которых воспитанники посещают бассейн (дополнительный норматив)</t>
  </si>
  <si>
    <t>Норматив финансового обеспечения групп продленного дня для обучающихся  с ограниченными возможностями здоровья, в расчете на одну группу (село)</t>
  </si>
  <si>
    <t>854025,01- на 1 класс + 26223,12 на 1 человека</t>
  </si>
  <si>
    <t>275317,13 на 1 класс</t>
  </si>
  <si>
    <t xml:space="preserve">806306,66+271317,13- на 1 класс </t>
  </si>
  <si>
    <t>806713,32 на 1 класс+26223,12 на 1 человека</t>
  </si>
  <si>
    <t>1276686,37 на 1 класс+ 25935,99 на 1 человека</t>
  </si>
  <si>
    <t>275317,13- на 1 класс</t>
  </si>
  <si>
    <t>1228968,02+271317,13- на 1 класс</t>
  </si>
  <si>
    <t>770447,38+271317,13 на 1 класс</t>
  </si>
  <si>
    <t>1037408на 1 класс+ 25935,99 на 1 человека</t>
  </si>
  <si>
    <t>1001142,06+271317,13 на 1 класс</t>
  </si>
  <si>
    <t>1502360,75- на 1 класс+51179,02 на 1 человека</t>
  </si>
  <si>
    <t>1099564,08 на 1 класс+ 51179,02на 1 человека</t>
  </si>
  <si>
    <t>275317,13- на 1класс</t>
  </si>
  <si>
    <t>1454642,4+271317,13- на 1 класс</t>
  </si>
  <si>
    <t>1063298,14+271317,13 на 1 класс</t>
  </si>
  <si>
    <t>гим 10,шк5,шк9</t>
  </si>
  <si>
    <t>%</t>
  </si>
  <si>
    <t>руб.</t>
  </si>
  <si>
    <t>прочие</t>
  </si>
  <si>
    <t>Сумма по Бюджет.росписи от 03.06.24г</t>
  </si>
  <si>
    <r>
      <t xml:space="preserve">39153,14- </t>
    </r>
    <r>
      <rPr>
        <sz val="11"/>
        <rFont val="Times New Roman"/>
        <family val="1"/>
        <charset val="204"/>
      </rPr>
      <t>на 1 человека</t>
    </r>
  </si>
  <si>
    <t>854025,01- на 1 класс+ 2981,82- на 1 человека учебники</t>
  </si>
  <si>
    <t>806713,32 на 1 класс+ 2981,82на 1 человека</t>
  </si>
  <si>
    <t>1276686,37- на 1 класс+ 3966,89 на 1 человека</t>
  </si>
  <si>
    <t>1037408- на 1 класс+3966,89на 1 человека</t>
  </si>
  <si>
    <t>1502360,75- на 1 класс+4107,42 на 1 человека</t>
  </si>
  <si>
    <t>1099564,08 на 1 класс+4107,42на 1 человека</t>
  </si>
  <si>
    <t>39 153,14- на 1 человека</t>
  </si>
  <si>
    <t>39153,14 - на 1 человека</t>
  </si>
  <si>
    <t>39153,14- на 1 человека</t>
  </si>
  <si>
    <t>39153,14 на 1 человека</t>
  </si>
  <si>
    <t>от 02.06.2025 №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</si>
</sst>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#,##0.00000"/>
    <numFmt numFmtId="167" formatCode="0.000"/>
  </numFmts>
  <fonts count="42" x14ac:knownFonts="1">
    <font>
      <sz val="10"/>
      <name val="Arial"/>
    </font>
    <font>
      <sz val="1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9" tint="-0.499984740745262"/>
      <name val="Times New Roman"/>
      <family val="1"/>
      <charset val="204"/>
    </font>
    <font>
      <sz val="9"/>
      <color theme="9" tint="-0.499984740745262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sz val="9"/>
      <color rgb="FF0070C0"/>
      <name val="Calibri"/>
      <family val="2"/>
      <charset val="204"/>
      <scheme val="minor"/>
    </font>
    <font>
      <b/>
      <sz val="9"/>
      <color rgb="FF0070C0"/>
      <name val="Calibri"/>
      <family val="2"/>
      <charset val="204"/>
      <scheme val="minor"/>
    </font>
    <font>
      <sz val="8"/>
      <color rgb="FF0070C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70C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9" tint="-0.49998474074526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b/>
      <sz val="9"/>
      <color theme="5" tint="-0.249977111117893"/>
      <name val="Calibri"/>
      <family val="2"/>
      <charset val="204"/>
      <scheme val="minor"/>
    </font>
    <font>
      <sz val="8"/>
      <color theme="5" tint="-0.249977111117893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"/>
  </cellStyleXfs>
  <cellXfs count="13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vertical="top"/>
    </xf>
    <xf numFmtId="0" fontId="8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0" xfId="0" applyFont="1" applyFill="1"/>
    <xf numFmtId="4" fontId="9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horizont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0" xfId="0" applyFont="1" applyFill="1"/>
    <xf numFmtId="0" fontId="14" fillId="0" borderId="0" xfId="0" applyFont="1" applyFill="1" applyAlignment="1">
      <alignment vertical="top"/>
    </xf>
    <xf numFmtId="0" fontId="14" fillId="0" borderId="0" xfId="0" applyFont="1" applyFill="1"/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4" fontId="1" fillId="0" borderId="0" xfId="0" applyNumberFormat="1" applyFont="1" applyFill="1"/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9" fillId="0" borderId="1" xfId="0" applyFont="1" applyFill="1" applyBorder="1"/>
    <xf numFmtId="4" fontId="11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30" fillId="0" borderId="5" xfId="0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164" fontId="36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4" fontId="31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wrapText="1"/>
    </xf>
    <xf numFmtId="0" fontId="37" fillId="0" borderId="2" xfId="0" applyFont="1" applyFill="1" applyBorder="1" applyAlignment="1">
      <alignment horizontal="center" wrapText="1"/>
    </xf>
    <xf numFmtId="0" fontId="9" fillId="0" borderId="2" xfId="0" applyFont="1" applyFill="1" applyBorder="1"/>
    <xf numFmtId="0" fontId="15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165" fontId="28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166" fontId="28" fillId="0" borderId="2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/>
    </xf>
    <xf numFmtId="0" fontId="15" fillId="0" borderId="0" xfId="0" applyFont="1" applyFill="1" applyAlignment="1">
      <alignment vertical="center" wrapText="1"/>
    </xf>
    <xf numFmtId="4" fontId="40" fillId="0" borderId="1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0" xfId="1" applyFill="1"/>
    <xf numFmtId="4" fontId="4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indent="1"/>
    </xf>
  </cellXfs>
  <cellStyles count="3">
    <cellStyle name="Обычный" xfId="0" builtinId="0"/>
    <cellStyle name="Обычный 2" xfId="2"/>
    <cellStyle name="Плохой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4"/>
  <sheetViews>
    <sheetView tabSelected="1" zoomScale="80" zoomScaleNormal="80" workbookViewId="0">
      <selection activeCell="H15" sqref="H15"/>
    </sheetView>
  </sheetViews>
  <sheetFormatPr defaultColWidth="9.140625" defaultRowHeight="12.75" x14ac:dyDescent="0.2"/>
  <cols>
    <col min="1" max="1" width="29.85546875" style="7" customWidth="1"/>
    <col min="2" max="2" width="37.140625" style="7" customWidth="1"/>
    <col min="3" max="3" width="5.42578125" style="7" customWidth="1"/>
    <col min="4" max="4" width="9.5703125" style="7" customWidth="1"/>
    <col min="5" max="5" width="15" style="7" customWidth="1"/>
    <col min="6" max="6" width="12.140625" style="7" customWidth="1"/>
    <col min="7" max="7" width="18.5703125" style="7" customWidth="1"/>
    <col min="8" max="8" width="14.28515625" style="7" customWidth="1"/>
    <col min="9" max="9" width="15.5703125" style="7" customWidth="1"/>
    <col min="10" max="10" width="12.7109375" style="7" customWidth="1"/>
    <col min="11" max="11" width="12.42578125" style="7" customWidth="1"/>
    <col min="12" max="12" width="5.7109375" style="7" hidden="1" customWidth="1"/>
    <col min="13" max="13" width="6.5703125" style="7" hidden="1" customWidth="1"/>
    <col min="14" max="14" width="11" style="7" hidden="1" customWidth="1"/>
    <col min="15" max="15" width="12.7109375" style="7" hidden="1" customWidth="1"/>
    <col min="16" max="17" width="6.5703125" style="7" hidden="1" customWidth="1"/>
    <col min="18" max="18" width="10.85546875" style="7" hidden="1" customWidth="1"/>
    <col min="19" max="19" width="9.42578125" style="7" hidden="1" customWidth="1"/>
    <col min="20" max="20" width="7.7109375" style="7" hidden="1" customWidth="1"/>
    <col min="21" max="21" width="9.7109375" style="7" hidden="1" customWidth="1"/>
    <col min="22" max="22" width="6.85546875" style="7" hidden="1" customWidth="1"/>
    <col min="23" max="26" width="9.7109375" style="7" hidden="1" customWidth="1"/>
    <col min="27" max="27" width="6.7109375" style="7" hidden="1" customWidth="1"/>
    <col min="28" max="31" width="9.7109375" style="7" hidden="1" customWidth="1"/>
    <col min="32" max="33" width="6.5703125" style="7" hidden="1" customWidth="1"/>
    <col min="34" max="34" width="15.85546875" style="7" hidden="1" customWidth="1"/>
    <col min="35" max="39" width="11.28515625" style="7" hidden="1" customWidth="1"/>
    <col min="40" max="40" width="18.42578125" style="7" hidden="1" customWidth="1"/>
    <col min="41" max="43" width="11.28515625" style="7" hidden="1" customWidth="1"/>
    <col min="44" max="45" width="11.28515625" style="7" customWidth="1"/>
    <col min="46" max="46" width="6.7109375" style="7" customWidth="1"/>
    <col min="47" max="48" width="11.28515625" style="7" hidden="1" customWidth="1"/>
    <col min="49" max="49" width="10.28515625" style="7" hidden="1" customWidth="1"/>
    <col min="50" max="50" width="10.7109375" style="7" hidden="1" customWidth="1"/>
    <col min="51" max="51" width="5.85546875" style="7" hidden="1" customWidth="1"/>
    <col min="52" max="55" width="9.140625" style="7" hidden="1" customWidth="1"/>
    <col min="56" max="56" width="9.7109375" style="7" customWidth="1"/>
    <col min="57" max="57" width="10.85546875" style="7" hidden="1" customWidth="1"/>
    <col min="58" max="58" width="10.42578125" style="7" hidden="1" customWidth="1"/>
    <col min="59" max="60" width="9.140625" style="7" hidden="1" customWidth="1"/>
    <col min="61" max="61" width="8.28515625" style="7" hidden="1" customWidth="1"/>
    <col min="62" max="62" width="8" style="7" hidden="1" customWidth="1"/>
    <col min="63" max="63" width="9.140625" style="7" hidden="1" customWidth="1"/>
    <col min="64" max="64" width="8.28515625" style="7" hidden="1" customWidth="1"/>
    <col min="65" max="65" width="8.42578125" style="7" hidden="1" customWidth="1"/>
    <col min="66" max="66" width="9.7109375" style="7" hidden="1" customWidth="1"/>
    <col min="67" max="67" width="9.140625" style="7" hidden="1" customWidth="1"/>
    <col min="68" max="68" width="10.28515625" style="7" hidden="1" customWidth="1"/>
    <col min="69" max="69" width="9.5703125" style="7" hidden="1" customWidth="1"/>
    <col min="70" max="70" width="9.140625" style="7" hidden="1" customWidth="1"/>
    <col min="71" max="71" width="11.28515625" style="7" hidden="1" customWidth="1"/>
    <col min="72" max="73" width="9.140625" style="7" hidden="1" customWidth="1"/>
    <col min="74" max="74" width="10.5703125" style="7" hidden="1" customWidth="1"/>
    <col min="75" max="75" width="10.5703125" style="7" customWidth="1"/>
    <col min="76" max="16384" width="9.140625" style="7"/>
  </cols>
  <sheetData>
    <row r="1" spans="1:71" ht="15" x14ac:dyDescent="0.25">
      <c r="A1" s="2"/>
      <c r="B1" s="1"/>
      <c r="C1" s="1"/>
      <c r="D1" s="1"/>
      <c r="E1" s="1"/>
      <c r="F1" s="1"/>
      <c r="G1" s="1"/>
      <c r="H1" s="1"/>
      <c r="I1" s="1"/>
      <c r="J1" s="23" t="s">
        <v>62</v>
      </c>
      <c r="K1" s="23"/>
    </row>
    <row r="2" spans="1:71" ht="15" x14ac:dyDescent="0.25">
      <c r="A2" s="2"/>
      <c r="B2" s="1"/>
      <c r="C2" s="1"/>
      <c r="D2" s="1"/>
      <c r="E2" s="1"/>
      <c r="F2" s="1"/>
      <c r="G2" s="1"/>
      <c r="H2" s="1"/>
      <c r="I2" s="1"/>
      <c r="J2" s="23" t="s">
        <v>205</v>
      </c>
      <c r="K2" s="23"/>
    </row>
    <row r="3" spans="1:71" ht="18.75" x14ac:dyDescent="0.2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71" ht="15.75" x14ac:dyDescent="0.25">
      <c r="A4" s="3" t="s">
        <v>28</v>
      </c>
      <c r="B4" s="1"/>
      <c r="C4" s="1"/>
      <c r="D4" s="1"/>
      <c r="E4" s="1"/>
      <c r="F4" s="1"/>
      <c r="G4" s="1"/>
      <c r="H4" s="1"/>
      <c r="I4" s="1"/>
      <c r="J4" s="1"/>
      <c r="K4" s="24"/>
    </row>
    <row r="5" spans="1:71" ht="102.6" customHeight="1" x14ac:dyDescent="0.2">
      <c r="A5" s="15" t="s">
        <v>3</v>
      </c>
      <c r="B5" s="15" t="s">
        <v>25</v>
      </c>
      <c r="C5" s="15"/>
      <c r="D5" s="15" t="s">
        <v>16</v>
      </c>
      <c r="E5" s="15" t="s">
        <v>4</v>
      </c>
      <c r="F5" s="15" t="s">
        <v>5</v>
      </c>
      <c r="G5" s="15" t="s">
        <v>0</v>
      </c>
      <c r="H5" s="15" t="s">
        <v>32</v>
      </c>
      <c r="I5" s="15" t="s">
        <v>6</v>
      </c>
      <c r="J5" s="15" t="s">
        <v>7</v>
      </c>
      <c r="K5" s="15" t="s">
        <v>1</v>
      </c>
    </row>
    <row r="6" spans="1:71" ht="19.899999999999999" customHeight="1" x14ac:dyDescent="0.2">
      <c r="A6" s="87" t="s">
        <v>8</v>
      </c>
      <c r="B6" s="87"/>
      <c r="C6" s="87"/>
      <c r="D6" s="87"/>
      <c r="E6" s="77" t="s">
        <v>9</v>
      </c>
      <c r="F6" s="77" t="s">
        <v>9</v>
      </c>
      <c r="G6" s="77" t="s">
        <v>9</v>
      </c>
      <c r="H6" s="77" t="s">
        <v>9</v>
      </c>
      <c r="I6" s="77" t="s">
        <v>9</v>
      </c>
      <c r="J6" s="77" t="s">
        <v>9</v>
      </c>
      <c r="K6" s="77" t="s">
        <v>9</v>
      </c>
    </row>
    <row r="7" spans="1:71" ht="58.9" customHeight="1" x14ac:dyDescent="0.2">
      <c r="A7" s="88" t="s">
        <v>71</v>
      </c>
      <c r="B7" s="13" t="s">
        <v>10</v>
      </c>
      <c r="C7" s="88" t="s">
        <v>83</v>
      </c>
      <c r="D7" s="15" t="s">
        <v>14</v>
      </c>
      <c r="E7" s="21"/>
      <c r="F7" s="21"/>
      <c r="G7" s="21"/>
      <c r="H7" s="21"/>
      <c r="I7" s="21"/>
      <c r="J7" s="21"/>
      <c r="K7" s="21"/>
      <c r="BE7" s="101">
        <v>270.04000000000002</v>
      </c>
      <c r="BF7" s="102">
        <v>218.16</v>
      </c>
      <c r="BG7" s="103">
        <v>11.109</v>
      </c>
      <c r="BH7" s="102">
        <v>5.7160000000000002</v>
      </c>
      <c r="BI7" s="102">
        <v>4.0739999999999998</v>
      </c>
      <c r="BJ7" s="103">
        <v>0.45800000000000002</v>
      </c>
      <c r="BK7" s="103">
        <v>24.11</v>
      </c>
      <c r="BL7" s="103">
        <v>6.4139999999999997</v>
      </c>
      <c r="BM7" s="103">
        <f t="shared" ref="BM7" si="0">BG7+BJ7+BK7+BL7</f>
        <v>42.091000000000001</v>
      </c>
      <c r="BN7" s="102">
        <v>271.22000000000003</v>
      </c>
      <c r="BO7" s="104">
        <f>BN7-BH7-BI7-BM7</f>
        <v>219.339</v>
      </c>
      <c r="BP7" s="105">
        <f>BO7-218.16</f>
        <v>1.179000000000002</v>
      </c>
      <c r="BQ7" s="106">
        <f>AZ7-BH7-BI7-BM7</f>
        <v>-51.881</v>
      </c>
      <c r="BR7" s="107">
        <f>BQ7-BO7</f>
        <v>-271.22000000000003</v>
      </c>
      <c r="BS7" s="108">
        <v>291.53656671968002</v>
      </c>
    </row>
    <row r="8" spans="1:71" ht="15" x14ac:dyDescent="0.2">
      <c r="A8" s="89"/>
      <c r="B8" s="13" t="s">
        <v>84</v>
      </c>
      <c r="C8" s="89"/>
      <c r="D8" s="15"/>
      <c r="E8" s="21"/>
      <c r="F8" s="21"/>
      <c r="G8" s="21"/>
      <c r="H8" s="21"/>
      <c r="I8" s="21"/>
      <c r="J8" s="21"/>
      <c r="K8" s="21"/>
    </row>
    <row r="9" spans="1:71" ht="15" x14ac:dyDescent="0.2">
      <c r="A9" s="89"/>
      <c r="B9" s="13" t="s">
        <v>11</v>
      </c>
      <c r="C9" s="89"/>
      <c r="D9" s="15" t="s">
        <v>14</v>
      </c>
      <c r="E9" s="14">
        <f>F9+G9+H9</f>
        <v>172226.32</v>
      </c>
      <c r="F9" s="14">
        <v>62813.1</v>
      </c>
      <c r="G9" s="14">
        <f>33955.33+10788.57</f>
        <v>44743.9</v>
      </c>
      <c r="H9" s="14">
        <v>64669.32</v>
      </c>
      <c r="I9" s="14">
        <f>F9-1159.4*1.1</f>
        <v>61537.759999999995</v>
      </c>
      <c r="J9" s="14">
        <v>13397.95</v>
      </c>
      <c r="K9" s="14">
        <v>2656.59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7">
        <v>20321.599999999999</v>
      </c>
      <c r="AV9" s="7">
        <v>10880.37</v>
      </c>
      <c r="AW9" s="7">
        <v>1895.62</v>
      </c>
    </row>
    <row r="10" spans="1:71" ht="15" x14ac:dyDescent="0.2">
      <c r="A10" s="89"/>
      <c r="B10" s="13" t="s">
        <v>12</v>
      </c>
      <c r="C10" s="89"/>
      <c r="D10" s="15" t="s">
        <v>14</v>
      </c>
      <c r="E10" s="14">
        <f t="shared" ref="E10:E16" si="1">F10+G10+H10</f>
        <v>223525.91</v>
      </c>
      <c r="F10" s="14">
        <v>72102.22</v>
      </c>
      <c r="G10" s="14">
        <f>38015.57+11891.75</f>
        <v>49907.32</v>
      </c>
      <c r="H10" s="14">
        <v>101516.37</v>
      </c>
      <c r="I10" s="14">
        <f>F10-1159.4*1.1</f>
        <v>70826.880000000005</v>
      </c>
      <c r="J10" s="14">
        <v>19083.78</v>
      </c>
      <c r="K10" s="14">
        <v>4360.18</v>
      </c>
    </row>
    <row r="11" spans="1:71" ht="15" x14ac:dyDescent="0.2">
      <c r="A11" s="89"/>
      <c r="B11" s="13" t="s">
        <v>85</v>
      </c>
      <c r="C11" s="89"/>
      <c r="D11" s="15"/>
      <c r="E11" s="14"/>
      <c r="F11" s="14"/>
      <c r="G11" s="14"/>
      <c r="H11" s="14"/>
      <c r="I11" s="14"/>
      <c r="J11" s="14"/>
      <c r="K11" s="14"/>
    </row>
    <row r="12" spans="1:71" ht="15" x14ac:dyDescent="0.2">
      <c r="A12" s="89"/>
      <c r="B12" s="13" t="s">
        <v>11</v>
      </c>
      <c r="C12" s="89"/>
      <c r="D12" s="15" t="s">
        <v>14</v>
      </c>
      <c r="E12" s="14">
        <f t="shared" si="1"/>
        <v>150700.64000000001</v>
      </c>
      <c r="F12" s="14">
        <v>49746.25</v>
      </c>
      <c r="G12" s="14">
        <f>25496.5+10788.57</f>
        <v>36285.07</v>
      </c>
      <c r="H12" s="14">
        <v>64669.32</v>
      </c>
      <c r="I12" s="14">
        <f>F12-1159.4*1.1</f>
        <v>48470.91</v>
      </c>
      <c r="J12" s="14">
        <v>13397.95</v>
      </c>
      <c r="K12" s="14">
        <v>2656.59</v>
      </c>
    </row>
    <row r="13" spans="1:71" ht="15" x14ac:dyDescent="0.2">
      <c r="A13" s="89"/>
      <c r="B13" s="13" t="s">
        <v>12</v>
      </c>
      <c r="C13" s="89"/>
      <c r="D13" s="15" t="s">
        <v>14</v>
      </c>
      <c r="E13" s="14">
        <f t="shared" si="1"/>
        <v>198990.36</v>
      </c>
      <c r="F13" s="14">
        <v>57040.56</v>
      </c>
      <c r="G13" s="14">
        <f>28541.68+11891.75</f>
        <v>40433.43</v>
      </c>
      <c r="H13" s="14">
        <v>101516.37</v>
      </c>
      <c r="I13" s="14">
        <f>F13-1159.4*1.1</f>
        <v>55765.22</v>
      </c>
      <c r="J13" s="14">
        <v>19083.78</v>
      </c>
      <c r="K13" s="14">
        <v>4360.18</v>
      </c>
    </row>
    <row r="14" spans="1:71" ht="15" x14ac:dyDescent="0.2">
      <c r="A14" s="89"/>
      <c r="B14" s="13" t="s">
        <v>87</v>
      </c>
      <c r="C14" s="89"/>
      <c r="D14" s="15"/>
      <c r="E14" s="14"/>
      <c r="F14" s="14"/>
      <c r="G14" s="14"/>
      <c r="H14" s="14"/>
      <c r="I14" s="14"/>
      <c r="J14" s="14"/>
      <c r="K14" s="14"/>
    </row>
    <row r="15" spans="1:71" ht="15" x14ac:dyDescent="0.2">
      <c r="A15" s="89"/>
      <c r="B15" s="13" t="s">
        <v>11</v>
      </c>
      <c r="C15" s="89"/>
      <c r="D15" s="15" t="s">
        <v>14</v>
      </c>
      <c r="E15" s="14">
        <f t="shared" si="1"/>
        <v>150700.64000000001</v>
      </c>
      <c r="F15" s="14">
        <v>49746.25</v>
      </c>
      <c r="G15" s="14">
        <f>25496.5+10788.57</f>
        <v>36285.07</v>
      </c>
      <c r="H15" s="14">
        <v>64669.32</v>
      </c>
      <c r="I15" s="14">
        <f>F15-1159.4*1.1</f>
        <v>48470.91</v>
      </c>
      <c r="J15" s="14">
        <v>13397.95</v>
      </c>
      <c r="K15" s="14">
        <v>2656.59</v>
      </c>
    </row>
    <row r="16" spans="1:71" ht="15" x14ac:dyDescent="0.2">
      <c r="A16" s="89"/>
      <c r="B16" s="13" t="s">
        <v>12</v>
      </c>
      <c r="C16" s="90"/>
      <c r="D16" s="15" t="s">
        <v>14</v>
      </c>
      <c r="E16" s="14">
        <f t="shared" si="1"/>
        <v>198990.36</v>
      </c>
      <c r="F16" s="14">
        <v>57040.56</v>
      </c>
      <c r="G16" s="14">
        <f>28541.68+11891.75</f>
        <v>40433.43</v>
      </c>
      <c r="H16" s="14">
        <v>101516.37</v>
      </c>
      <c r="I16" s="14">
        <f>F16-1159.4*1.1</f>
        <v>55765.22</v>
      </c>
      <c r="J16" s="14">
        <v>19083.78</v>
      </c>
      <c r="K16" s="14">
        <v>4360.18</v>
      </c>
    </row>
    <row r="17" spans="1:11" ht="84.6" customHeight="1" x14ac:dyDescent="0.2">
      <c r="A17" s="89"/>
      <c r="B17" s="13" t="s">
        <v>88</v>
      </c>
      <c r="C17" s="88" t="s">
        <v>89</v>
      </c>
      <c r="D17" s="15" t="s">
        <v>14</v>
      </c>
      <c r="E17" s="20"/>
      <c r="F17" s="20"/>
      <c r="G17" s="20"/>
      <c r="H17" s="20"/>
      <c r="I17" s="20"/>
      <c r="J17" s="20"/>
      <c r="K17" s="20"/>
    </row>
    <row r="18" spans="1:11" ht="15" x14ac:dyDescent="0.2">
      <c r="A18" s="62"/>
      <c r="B18" s="13" t="s">
        <v>154</v>
      </c>
      <c r="C18" s="89"/>
      <c r="D18" s="15"/>
      <c r="E18" s="20"/>
      <c r="F18" s="65"/>
      <c r="G18" s="20"/>
      <c r="H18" s="20"/>
      <c r="I18" s="64"/>
      <c r="J18" s="20"/>
      <c r="K18" s="20"/>
    </row>
    <row r="19" spans="1:11" ht="15" x14ac:dyDescent="0.2">
      <c r="A19" s="62"/>
      <c r="B19" s="13" t="s">
        <v>11</v>
      </c>
      <c r="C19" s="89"/>
      <c r="D19" s="15" t="s">
        <v>14</v>
      </c>
      <c r="E19" s="14">
        <f t="shared" ref="E19:E23" si="2">F19+G19+H19</f>
        <v>338812.37</v>
      </c>
      <c r="F19" s="14">
        <v>209100.19</v>
      </c>
      <c r="G19" s="14">
        <f>50873.01+14169.85</f>
        <v>65042.86</v>
      </c>
      <c r="H19" s="14">
        <v>64669.32</v>
      </c>
      <c r="I19" s="14">
        <f>F19-1159.4*1.1</f>
        <v>207824.85</v>
      </c>
      <c r="J19" s="14">
        <v>13397.95</v>
      </c>
      <c r="K19" s="14">
        <v>2656.59</v>
      </c>
    </row>
    <row r="20" spans="1:11" ht="15" x14ac:dyDescent="0.2">
      <c r="A20" s="62"/>
      <c r="B20" s="13" t="s">
        <v>155</v>
      </c>
      <c r="C20" s="89"/>
      <c r="D20" s="15"/>
      <c r="E20" s="20"/>
      <c r="F20" s="65"/>
      <c r="G20" s="20"/>
      <c r="H20" s="20"/>
      <c r="I20" s="64"/>
      <c r="J20" s="20"/>
      <c r="K20" s="20"/>
    </row>
    <row r="21" spans="1:11" ht="15" x14ac:dyDescent="0.2">
      <c r="A21" s="62"/>
      <c r="B21" s="13" t="s">
        <v>11</v>
      </c>
      <c r="C21" s="89"/>
      <c r="D21" s="15" t="s">
        <v>14</v>
      </c>
      <c r="E21" s="14">
        <f t="shared" ref="E21" si="3">F21+G21+H21</f>
        <v>403969.04</v>
      </c>
      <c r="F21" s="14">
        <v>261056.4</v>
      </c>
      <c r="G21" s="14">
        <f>63561.25+14682.07</f>
        <v>78243.320000000007</v>
      </c>
      <c r="H21" s="14">
        <v>64669.32</v>
      </c>
      <c r="I21" s="14">
        <f>F21-1159.4*1.1</f>
        <v>259781.06</v>
      </c>
      <c r="J21" s="14">
        <v>13397.95</v>
      </c>
      <c r="K21" s="14">
        <v>2656.59</v>
      </c>
    </row>
    <row r="22" spans="1:11" ht="15" x14ac:dyDescent="0.2">
      <c r="A22" s="62"/>
      <c r="B22" s="13" t="s">
        <v>92</v>
      </c>
      <c r="C22" s="89"/>
      <c r="D22" s="15"/>
      <c r="E22" s="14"/>
      <c r="F22" s="11"/>
      <c r="G22" s="14"/>
      <c r="H22" s="14"/>
      <c r="I22" s="14"/>
      <c r="J22" s="14"/>
      <c r="K22" s="14"/>
    </row>
    <row r="23" spans="1:11" ht="15" x14ac:dyDescent="0.2">
      <c r="A23" s="62"/>
      <c r="B23" s="13" t="s">
        <v>11</v>
      </c>
      <c r="C23" s="90"/>
      <c r="D23" s="15" t="s">
        <v>14</v>
      </c>
      <c r="E23" s="14">
        <f t="shared" si="2"/>
        <v>338812.37</v>
      </c>
      <c r="F23" s="14">
        <v>209100.19</v>
      </c>
      <c r="G23" s="14">
        <f>50873.01+14169.85</f>
        <v>65042.86</v>
      </c>
      <c r="H23" s="14">
        <v>64669.32</v>
      </c>
      <c r="I23" s="14">
        <f>F23-1159.4*1.1</f>
        <v>207824.85</v>
      </c>
      <c r="J23" s="14">
        <v>13397.95</v>
      </c>
      <c r="K23" s="14">
        <v>2656.59</v>
      </c>
    </row>
    <row r="24" spans="1:11" ht="72" customHeight="1" x14ac:dyDescent="0.2">
      <c r="A24" s="62"/>
      <c r="B24" s="13" t="s">
        <v>94</v>
      </c>
      <c r="C24" s="88" t="s">
        <v>91</v>
      </c>
      <c r="D24" s="15" t="s">
        <v>14</v>
      </c>
      <c r="E24" s="20"/>
      <c r="F24" s="20"/>
      <c r="G24" s="20"/>
      <c r="H24" s="20"/>
      <c r="I24" s="20"/>
      <c r="J24" s="20"/>
      <c r="K24" s="20"/>
    </row>
    <row r="25" spans="1:11" ht="16.149999999999999" customHeight="1" x14ac:dyDescent="0.2">
      <c r="A25" s="62"/>
      <c r="B25" s="13" t="s">
        <v>84</v>
      </c>
      <c r="C25" s="89"/>
      <c r="D25" s="15"/>
      <c r="E25" s="20"/>
      <c r="F25" s="20"/>
      <c r="G25" s="20"/>
      <c r="H25" s="20"/>
      <c r="I25" s="20"/>
      <c r="J25" s="20"/>
      <c r="K25" s="20"/>
    </row>
    <row r="26" spans="1:11" ht="14.45" customHeight="1" x14ac:dyDescent="0.2">
      <c r="A26" s="62"/>
      <c r="B26" s="13" t="s">
        <v>12</v>
      </c>
      <c r="C26" s="89"/>
      <c r="D26" s="15" t="s">
        <v>14</v>
      </c>
      <c r="E26" s="14">
        <f t="shared" ref="E26" si="4">F26+G26+H26</f>
        <v>293964.58</v>
      </c>
      <c r="F26" s="14">
        <v>146601.13</v>
      </c>
      <c r="G26" s="14">
        <f>33955.33+11891.75</f>
        <v>45847.08</v>
      </c>
      <c r="H26" s="14">
        <v>101516.37</v>
      </c>
      <c r="I26" s="14">
        <f>F26-1159.4*1.1</f>
        <v>145325.79</v>
      </c>
      <c r="J26" s="14">
        <v>19083.78</v>
      </c>
      <c r="K26" s="14">
        <v>4360.18</v>
      </c>
    </row>
    <row r="27" spans="1:11" ht="14.45" customHeight="1" x14ac:dyDescent="0.2">
      <c r="A27" s="62"/>
      <c r="B27" s="13" t="s">
        <v>11</v>
      </c>
      <c r="C27" s="89"/>
      <c r="D27" s="15" t="s">
        <v>14</v>
      </c>
      <c r="E27" s="14"/>
      <c r="F27" s="14"/>
      <c r="G27" s="14"/>
      <c r="H27" s="14"/>
      <c r="I27" s="14"/>
      <c r="J27" s="14"/>
      <c r="K27" s="14"/>
    </row>
    <row r="28" spans="1:11" ht="15" x14ac:dyDescent="0.2">
      <c r="A28" s="62"/>
      <c r="B28" s="13" t="s">
        <v>90</v>
      </c>
      <c r="C28" s="89"/>
      <c r="D28" s="15"/>
      <c r="E28" s="20"/>
      <c r="F28" s="109"/>
      <c r="G28" s="20"/>
      <c r="H28" s="20"/>
      <c r="I28" s="64"/>
      <c r="J28" s="20"/>
      <c r="K28" s="20"/>
    </row>
    <row r="29" spans="1:11" ht="15" x14ac:dyDescent="0.2">
      <c r="A29" s="62"/>
      <c r="B29" s="13" t="s">
        <v>11</v>
      </c>
      <c r="C29" s="89"/>
      <c r="D29" s="15" t="s">
        <v>14</v>
      </c>
      <c r="E29" s="14">
        <f t="shared" ref="E29:E30" si="5">F29+G29+H29</f>
        <v>196660.03</v>
      </c>
      <c r="F29" s="14">
        <v>95705.64</v>
      </c>
      <c r="G29" s="14">
        <f>25496.5+10788.57</f>
        <v>36285.07</v>
      </c>
      <c r="H29" s="14">
        <v>64669.32</v>
      </c>
      <c r="I29" s="14">
        <f>F29-1159.4*1.1</f>
        <v>94430.3</v>
      </c>
      <c r="J29" s="14">
        <v>13397.95</v>
      </c>
      <c r="K29" s="14">
        <v>2656.59</v>
      </c>
    </row>
    <row r="30" spans="1:11" ht="15" x14ac:dyDescent="0.2">
      <c r="A30" s="62"/>
      <c r="B30" s="13" t="s">
        <v>12</v>
      </c>
      <c r="C30" s="90"/>
      <c r="D30" s="15" t="s">
        <v>14</v>
      </c>
      <c r="E30" s="14">
        <f t="shared" si="5"/>
        <v>251933.16</v>
      </c>
      <c r="F30" s="11">
        <v>109983.36</v>
      </c>
      <c r="G30" s="14">
        <f>28541.68+11891.75</f>
        <v>40433.43</v>
      </c>
      <c r="H30" s="14">
        <v>101516.37</v>
      </c>
      <c r="I30" s="14">
        <f>F30-1159.4*1.1</f>
        <v>108708.02</v>
      </c>
      <c r="J30" s="14">
        <v>19083.78</v>
      </c>
      <c r="K30" s="14">
        <v>4360.18</v>
      </c>
    </row>
    <row r="31" spans="1:11" ht="69.599999999999994" customHeight="1" x14ac:dyDescent="0.2">
      <c r="A31" s="62"/>
      <c r="B31" s="13" t="s">
        <v>136</v>
      </c>
      <c r="C31" s="88" t="s">
        <v>137</v>
      </c>
      <c r="D31" s="15" t="s">
        <v>15</v>
      </c>
      <c r="E31" s="14"/>
      <c r="F31" s="14"/>
      <c r="G31" s="14"/>
      <c r="H31" s="14"/>
      <c r="I31" s="14"/>
      <c r="J31" s="14"/>
      <c r="K31" s="14"/>
    </row>
    <row r="32" spans="1:11" ht="15" x14ac:dyDescent="0.2">
      <c r="A32" s="62"/>
      <c r="B32" s="13" t="s">
        <v>90</v>
      </c>
      <c r="C32" s="89"/>
      <c r="D32" s="15"/>
      <c r="E32" s="20"/>
      <c r="F32" s="109"/>
      <c r="G32" s="20"/>
      <c r="H32" s="20"/>
      <c r="I32" s="64"/>
      <c r="J32" s="20"/>
      <c r="K32" s="20"/>
    </row>
    <row r="33" spans="1:11" ht="15.75" customHeight="1" x14ac:dyDescent="0.2">
      <c r="A33" s="62"/>
      <c r="B33" s="13" t="s">
        <v>11</v>
      </c>
      <c r="C33" s="89"/>
      <c r="D33" s="15" t="s">
        <v>14</v>
      </c>
      <c r="E33" s="14">
        <f t="shared" ref="E33:E34" si="6">F33+G33+H33</f>
        <v>186487.28</v>
      </c>
      <c r="F33" s="14">
        <v>78427.47</v>
      </c>
      <c r="G33" s="14">
        <f>32601.92+10788.57</f>
        <v>43390.49</v>
      </c>
      <c r="H33" s="14">
        <v>64669.32</v>
      </c>
      <c r="I33" s="14">
        <f>F33-1159.4*1.1</f>
        <v>77152.13</v>
      </c>
      <c r="J33" s="14">
        <v>19083.78</v>
      </c>
      <c r="K33" s="14">
        <v>4360.18</v>
      </c>
    </row>
    <row r="34" spans="1:11" ht="13.5" customHeight="1" x14ac:dyDescent="0.2">
      <c r="A34" s="62"/>
      <c r="B34" s="13" t="s">
        <v>12</v>
      </c>
      <c r="C34" s="90"/>
      <c r="D34" s="15" t="s">
        <v>14</v>
      </c>
      <c r="E34" s="14">
        <f t="shared" si="6"/>
        <v>90105.1</v>
      </c>
      <c r="F34" s="14">
        <v>90105.1</v>
      </c>
      <c r="G34" s="14"/>
      <c r="H34" s="14"/>
      <c r="I34" s="14"/>
      <c r="J34" s="14"/>
      <c r="K34" s="14"/>
    </row>
    <row r="35" spans="1:11" ht="75.599999999999994" hidden="1" customHeight="1" x14ac:dyDescent="0.2">
      <c r="A35" s="62"/>
      <c r="B35" s="13" t="s">
        <v>30</v>
      </c>
      <c r="C35" s="88" t="s">
        <v>93</v>
      </c>
      <c r="D35" s="15" t="s">
        <v>15</v>
      </c>
      <c r="E35" s="14"/>
      <c r="F35" s="14"/>
      <c r="G35" s="14"/>
      <c r="H35" s="14"/>
      <c r="I35" s="14"/>
      <c r="J35" s="14"/>
      <c r="K35" s="14"/>
    </row>
    <row r="36" spans="1:11" ht="15.75" hidden="1" customHeight="1" x14ac:dyDescent="0.2">
      <c r="A36" s="62"/>
      <c r="B36" s="13" t="s">
        <v>87</v>
      </c>
      <c r="C36" s="89"/>
      <c r="D36" s="15" t="s">
        <v>15</v>
      </c>
      <c r="E36" s="14"/>
      <c r="F36" s="14"/>
      <c r="G36" s="14"/>
      <c r="H36" s="14"/>
      <c r="I36" s="14"/>
      <c r="J36" s="14"/>
      <c r="K36" s="14"/>
    </row>
    <row r="37" spans="1:11" ht="13.5" hidden="1" customHeight="1" x14ac:dyDescent="0.2">
      <c r="A37" s="62"/>
      <c r="B37" s="13" t="s">
        <v>12</v>
      </c>
      <c r="C37" s="90"/>
      <c r="D37" s="15" t="s">
        <v>15</v>
      </c>
      <c r="E37" s="14">
        <f t="shared" ref="E37" si="7">F37+G37+H37</f>
        <v>1671444.9600000002</v>
      </c>
      <c r="F37" s="14">
        <v>1007823.68</v>
      </c>
      <c r="G37" s="14">
        <v>583976.5</v>
      </c>
      <c r="H37" s="14">
        <f>72522.95+3177.46+3944.37</f>
        <v>79644.78</v>
      </c>
      <c r="I37" s="14">
        <f>F37-1159.4*1.1</f>
        <v>1006548.3400000001</v>
      </c>
      <c r="J37" s="14">
        <v>19083.78</v>
      </c>
      <c r="K37" s="14">
        <v>4360.18</v>
      </c>
    </row>
    <row r="38" spans="1:11" ht="57.6" customHeight="1" x14ac:dyDescent="0.2">
      <c r="A38" s="62"/>
      <c r="B38" s="13" t="s">
        <v>101</v>
      </c>
      <c r="C38" s="88" t="s">
        <v>100</v>
      </c>
      <c r="D38" s="15" t="s">
        <v>14</v>
      </c>
      <c r="E38" s="14"/>
      <c r="F38" s="14"/>
      <c r="G38" s="14"/>
      <c r="H38" s="14"/>
      <c r="I38" s="25"/>
      <c r="J38" s="14"/>
      <c r="K38" s="14"/>
    </row>
    <row r="39" spans="1:11" ht="13.5" customHeight="1" x14ac:dyDescent="0.2">
      <c r="A39" s="62"/>
      <c r="B39" s="13" t="s">
        <v>171</v>
      </c>
      <c r="C39" s="89"/>
      <c r="D39" s="15"/>
      <c r="E39" s="14"/>
      <c r="F39" s="14"/>
      <c r="G39" s="14"/>
      <c r="H39" s="14"/>
      <c r="I39" s="25"/>
      <c r="J39" s="14"/>
      <c r="K39" s="14"/>
    </row>
    <row r="40" spans="1:11" ht="18.600000000000001" customHeight="1" x14ac:dyDescent="0.2">
      <c r="A40" s="62"/>
      <c r="B40" s="13" t="s">
        <v>11</v>
      </c>
      <c r="C40" s="90"/>
      <c r="D40" s="15" t="s">
        <v>14</v>
      </c>
      <c r="E40" s="14">
        <f t="shared" ref="E40:E48" si="8">F40+G40+H40</f>
        <v>71617.86</v>
      </c>
      <c r="F40" s="14">
        <v>6948.54</v>
      </c>
      <c r="G40" s="14">
        <v>0</v>
      </c>
      <c r="H40" s="14">
        <v>64669.32</v>
      </c>
      <c r="I40" s="14">
        <f>F40-1159.4*1.1</f>
        <v>5673.2</v>
      </c>
      <c r="J40" s="14">
        <v>13397.95</v>
      </c>
      <c r="K40" s="14">
        <v>2656.59</v>
      </c>
    </row>
    <row r="41" spans="1:11" ht="13.5" customHeight="1" x14ac:dyDescent="0.2">
      <c r="A41" s="62"/>
      <c r="B41" s="13" t="s">
        <v>156</v>
      </c>
      <c r="C41" s="78"/>
      <c r="D41" s="15"/>
      <c r="E41" s="14"/>
      <c r="F41" s="14"/>
      <c r="G41" s="14"/>
      <c r="H41" s="14"/>
      <c r="I41" s="14"/>
      <c r="J41" s="14"/>
      <c r="K41" s="14"/>
    </row>
    <row r="42" spans="1:11" ht="18.600000000000001" customHeight="1" x14ac:dyDescent="0.2">
      <c r="A42" s="62"/>
      <c r="B42" s="13" t="s">
        <v>11</v>
      </c>
      <c r="C42" s="78"/>
      <c r="D42" s="15" t="s">
        <v>14</v>
      </c>
      <c r="E42" s="14">
        <f t="shared" ref="E42" si="9">F42+G42+H42</f>
        <v>70228.149999999994</v>
      </c>
      <c r="F42" s="14">
        <v>5558.83</v>
      </c>
      <c r="G42" s="14">
        <v>0</v>
      </c>
      <c r="H42" s="14">
        <v>64669.32</v>
      </c>
      <c r="I42" s="14">
        <f>F42-1159.4*1.1</f>
        <v>4283.49</v>
      </c>
      <c r="J42" s="14">
        <v>13397.95</v>
      </c>
      <c r="K42" s="14">
        <v>2656.59</v>
      </c>
    </row>
    <row r="43" spans="1:11" ht="59.45" customHeight="1" x14ac:dyDescent="0.2">
      <c r="A43" s="62"/>
      <c r="B43" s="13" t="s">
        <v>172</v>
      </c>
      <c r="C43" s="88" t="s">
        <v>86</v>
      </c>
      <c r="D43" s="15" t="s">
        <v>14</v>
      </c>
      <c r="E43" s="14"/>
      <c r="F43" s="14"/>
      <c r="G43" s="14"/>
      <c r="H43" s="14"/>
      <c r="I43" s="14"/>
      <c r="J43" s="14"/>
      <c r="K43" s="14"/>
    </row>
    <row r="44" spans="1:11" ht="15" x14ac:dyDescent="0.2">
      <c r="A44" s="62"/>
      <c r="B44" s="13" t="s">
        <v>59</v>
      </c>
      <c r="C44" s="90"/>
      <c r="D44" s="15"/>
      <c r="E44" s="14"/>
      <c r="F44" s="14"/>
      <c r="G44" s="14" t="s">
        <v>23</v>
      </c>
      <c r="H44" s="14"/>
      <c r="I44" s="25"/>
      <c r="J44" s="14" t="s">
        <v>23</v>
      </c>
      <c r="K44" s="14" t="s">
        <v>23</v>
      </c>
    </row>
    <row r="45" spans="1:11" ht="15" x14ac:dyDescent="0.2">
      <c r="A45" s="62"/>
      <c r="B45" s="13" t="s">
        <v>11</v>
      </c>
      <c r="C45" s="78"/>
      <c r="D45" s="15" t="s">
        <v>14</v>
      </c>
      <c r="E45" s="14">
        <f t="shared" ref="E45" si="10">F45+G45+H45</f>
        <v>67759.460000000006</v>
      </c>
      <c r="F45" s="14">
        <v>3090.14</v>
      </c>
      <c r="G45" s="14">
        <v>0</v>
      </c>
      <c r="H45" s="14">
        <v>64669.32</v>
      </c>
      <c r="I45" s="14">
        <f>F45-1159.4*1.1</f>
        <v>1814.7999999999997</v>
      </c>
      <c r="J45" s="14">
        <v>13397.95</v>
      </c>
      <c r="K45" s="14">
        <v>2656.59</v>
      </c>
    </row>
    <row r="46" spans="1:11" ht="59.45" customHeight="1" x14ac:dyDescent="0.2">
      <c r="A46" s="62"/>
      <c r="B46" s="13" t="s">
        <v>139</v>
      </c>
      <c r="C46" s="88" t="s">
        <v>138</v>
      </c>
      <c r="D46" s="15" t="s">
        <v>14</v>
      </c>
      <c r="E46" s="14"/>
      <c r="F46" s="14"/>
      <c r="G46" s="14"/>
      <c r="H46" s="14"/>
      <c r="I46" s="14"/>
      <c r="J46" s="14"/>
      <c r="K46" s="14"/>
    </row>
    <row r="47" spans="1:11" ht="15" x14ac:dyDescent="0.2">
      <c r="A47" s="62"/>
      <c r="B47" s="13" t="s">
        <v>59</v>
      </c>
      <c r="C47" s="90"/>
      <c r="D47" s="15"/>
      <c r="E47" s="14"/>
      <c r="F47" s="14"/>
      <c r="G47" s="14" t="s">
        <v>23</v>
      </c>
      <c r="H47" s="14"/>
      <c r="I47" s="14"/>
      <c r="J47" s="14" t="s">
        <v>23</v>
      </c>
      <c r="K47" s="14" t="s">
        <v>23</v>
      </c>
    </row>
    <row r="48" spans="1:11" ht="15" x14ac:dyDescent="0.2">
      <c r="A48" s="62"/>
      <c r="B48" s="13" t="s">
        <v>11</v>
      </c>
      <c r="C48" s="78"/>
      <c r="D48" s="15" t="s">
        <v>14</v>
      </c>
      <c r="E48" s="14">
        <f t="shared" si="8"/>
        <v>68375.210000000006</v>
      </c>
      <c r="F48" s="14">
        <v>3705.89</v>
      </c>
      <c r="G48" s="14">
        <v>0</v>
      </c>
      <c r="H48" s="14">
        <v>64669.32</v>
      </c>
      <c r="I48" s="14">
        <f>F48-1159.4*1.1</f>
        <v>2430.5499999999997</v>
      </c>
      <c r="J48" s="14">
        <v>13397.95</v>
      </c>
      <c r="K48" s="14">
        <v>2656.59</v>
      </c>
    </row>
    <row r="49" spans="1:49" ht="60" customHeight="1" x14ac:dyDescent="0.2">
      <c r="A49" s="62"/>
      <c r="B49" s="13" t="s">
        <v>31</v>
      </c>
      <c r="C49" s="88" t="s">
        <v>95</v>
      </c>
      <c r="D49" s="15" t="s">
        <v>14</v>
      </c>
      <c r="E49" s="14"/>
      <c r="F49" s="14"/>
      <c r="G49" s="14" t="s">
        <v>23</v>
      </c>
      <c r="H49" s="14"/>
      <c r="I49" s="14"/>
      <c r="J49" s="14" t="s">
        <v>23</v>
      </c>
      <c r="K49" s="14" t="s">
        <v>23</v>
      </c>
    </row>
    <row r="50" spans="1:49" ht="15" x14ac:dyDescent="0.2">
      <c r="A50" s="62"/>
      <c r="B50" s="13" t="s">
        <v>59</v>
      </c>
      <c r="C50" s="89"/>
      <c r="D50" s="15"/>
      <c r="E50" s="14"/>
      <c r="F50" s="14"/>
      <c r="G50" s="14"/>
      <c r="H50" s="14"/>
      <c r="I50" s="15"/>
      <c r="J50" s="14"/>
      <c r="K50" s="14" t="s">
        <v>23</v>
      </c>
    </row>
    <row r="51" spans="1:49" ht="15" x14ac:dyDescent="0.2">
      <c r="A51" s="62"/>
      <c r="B51" s="13" t="s">
        <v>11</v>
      </c>
      <c r="C51" s="89"/>
      <c r="D51" s="15" t="s">
        <v>14</v>
      </c>
      <c r="E51" s="14">
        <f>F51+G51+H51</f>
        <v>66986.94</v>
      </c>
      <c r="F51" s="14">
        <v>2317.62</v>
      </c>
      <c r="G51" s="14">
        <v>0</v>
      </c>
      <c r="H51" s="14">
        <v>64669.32</v>
      </c>
      <c r="I51" s="14">
        <f>F51-1159.4*1.1</f>
        <v>1042.2799999999997</v>
      </c>
      <c r="J51" s="14">
        <v>13397.95</v>
      </c>
      <c r="K51" s="14">
        <v>2656.59</v>
      </c>
    </row>
    <row r="52" spans="1:49" ht="15" x14ac:dyDescent="0.2">
      <c r="A52" s="62"/>
      <c r="B52" s="13" t="s">
        <v>99</v>
      </c>
      <c r="C52" s="89"/>
      <c r="D52" s="15"/>
      <c r="E52" s="14"/>
      <c r="F52" s="14"/>
      <c r="G52" s="14"/>
      <c r="H52" s="14"/>
      <c r="I52" s="14"/>
      <c r="J52" s="14"/>
      <c r="K52" s="14"/>
    </row>
    <row r="53" spans="1:49" ht="18.600000000000001" customHeight="1" x14ac:dyDescent="0.2">
      <c r="A53" s="63"/>
      <c r="B53" s="13" t="s">
        <v>11</v>
      </c>
      <c r="C53" s="90"/>
      <c r="D53" s="15" t="s">
        <v>14</v>
      </c>
      <c r="E53" s="14">
        <f>F53+G53+H53</f>
        <v>66986.94</v>
      </c>
      <c r="F53" s="14">
        <v>2317.62</v>
      </c>
      <c r="G53" s="14">
        <v>0</v>
      </c>
      <c r="H53" s="14">
        <v>64669.32</v>
      </c>
      <c r="I53" s="14">
        <f>F53-1159.4*1.1</f>
        <v>1042.2799999999997</v>
      </c>
      <c r="J53" s="14">
        <v>13397.95</v>
      </c>
      <c r="K53" s="14">
        <v>2656.59</v>
      </c>
    </row>
    <row r="54" spans="1:49" ht="15" x14ac:dyDescent="0.2">
      <c r="A54" s="62"/>
      <c r="B54" s="13" t="s">
        <v>153</v>
      </c>
      <c r="C54" s="79"/>
      <c r="D54" s="15"/>
      <c r="E54" s="14"/>
      <c r="F54" s="14"/>
      <c r="G54" s="14"/>
      <c r="H54" s="14"/>
      <c r="I54" s="29"/>
      <c r="J54" s="14"/>
      <c r="K54" s="14" t="s">
        <v>23</v>
      </c>
    </row>
    <row r="55" spans="1:49" ht="15" x14ac:dyDescent="0.2">
      <c r="A55" s="62"/>
      <c r="B55" s="13" t="s">
        <v>11</v>
      </c>
      <c r="C55" s="79"/>
      <c r="D55" s="15" t="s">
        <v>14</v>
      </c>
      <c r="E55" s="14">
        <f>F55+G55+H55</f>
        <v>67759.460000000006</v>
      </c>
      <c r="F55" s="14">
        <v>3090.14</v>
      </c>
      <c r="G55" s="14">
        <v>0</v>
      </c>
      <c r="H55" s="14">
        <v>64669.32</v>
      </c>
      <c r="I55" s="14">
        <f>F55-1159.4*1.1</f>
        <v>1814.7999999999997</v>
      </c>
      <c r="J55" s="14">
        <v>13397.95</v>
      </c>
      <c r="K55" s="14">
        <v>2656.59</v>
      </c>
    </row>
    <row r="56" spans="1:49" ht="72" customHeight="1" x14ac:dyDescent="0.2">
      <c r="A56" s="13" t="s">
        <v>68</v>
      </c>
      <c r="B56" s="13"/>
      <c r="C56" s="13"/>
      <c r="D56" s="15" t="s">
        <v>14</v>
      </c>
      <c r="E56" s="14">
        <f>H56</f>
        <v>70953.149999999994</v>
      </c>
      <c r="F56" s="14" t="s">
        <v>13</v>
      </c>
      <c r="G56" s="14" t="s">
        <v>13</v>
      </c>
      <c r="H56" s="14">
        <v>70953.149999999994</v>
      </c>
      <c r="I56" s="14" t="s">
        <v>13</v>
      </c>
      <c r="J56" s="14">
        <v>0</v>
      </c>
      <c r="K56" s="14" t="s">
        <v>13</v>
      </c>
      <c r="AU56" s="110">
        <f>12750.1+9670.65</f>
        <v>22420.75</v>
      </c>
    </row>
    <row r="57" spans="1:49" ht="25.15" customHeight="1" x14ac:dyDescent="0.2">
      <c r="A57" s="83" t="s">
        <v>69</v>
      </c>
      <c r="B57" s="91" t="s">
        <v>17</v>
      </c>
      <c r="C57" s="80"/>
      <c r="D57" s="4" t="s">
        <v>18</v>
      </c>
      <c r="E57" s="11">
        <f>SUM(F57:H57)</f>
        <v>63136.43</v>
      </c>
      <c r="F57" s="14">
        <f>28292.04+2981.82</f>
        <v>31273.86</v>
      </c>
      <c r="G57" s="14">
        <v>11092.25</v>
      </c>
      <c r="H57" s="14">
        <v>20770.32</v>
      </c>
      <c r="I57" s="14">
        <f>28292.04-1908.73+G57-165.7</f>
        <v>37309.86</v>
      </c>
      <c r="J57" s="14">
        <v>2683.96</v>
      </c>
      <c r="K57" s="14">
        <v>126.92</v>
      </c>
      <c r="L57" s="26" t="s">
        <v>73</v>
      </c>
      <c r="M57" s="26"/>
      <c r="N57" s="26" t="s">
        <v>160</v>
      </c>
      <c r="O57" s="111" t="s">
        <v>148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I57" s="111"/>
      <c r="AJ57" s="111"/>
      <c r="AK57" s="111"/>
      <c r="AL57" s="59"/>
      <c r="AM57" s="59"/>
      <c r="AN57" s="112"/>
      <c r="AO57" s="59"/>
      <c r="AP57" s="59"/>
      <c r="AQ57" s="59"/>
      <c r="AR57" s="59"/>
      <c r="AS57" s="59"/>
      <c r="AT57" s="59"/>
      <c r="AU57" s="7">
        <v>7790.73</v>
      </c>
      <c r="AV57" s="7">
        <v>2567.5</v>
      </c>
      <c r="AW57" s="7">
        <v>247.23</v>
      </c>
    </row>
    <row r="58" spans="1:49" ht="25.9" customHeight="1" x14ac:dyDescent="0.2">
      <c r="A58" s="84"/>
      <c r="B58" s="92"/>
      <c r="C58" s="81"/>
      <c r="D58" s="4" t="s">
        <v>18</v>
      </c>
      <c r="E58" s="11">
        <f>SUM(F58:H58)</f>
        <v>63678.400000000001</v>
      </c>
      <c r="F58" s="14">
        <f t="shared" ref="F58:F61" si="11">28292.04+2981.82</f>
        <v>31273.86</v>
      </c>
      <c r="G58" s="14">
        <v>11634.22</v>
      </c>
      <c r="H58" s="14">
        <v>20770.32</v>
      </c>
      <c r="I58" s="14">
        <f>28292.04-1908.73+G58-165.7</f>
        <v>37851.83</v>
      </c>
      <c r="J58" s="14">
        <v>2683.96</v>
      </c>
      <c r="K58" s="14">
        <v>126.92</v>
      </c>
      <c r="L58" s="26" t="s">
        <v>74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112"/>
      <c r="AO58" s="26"/>
      <c r="AP58" s="26"/>
      <c r="AQ58" s="26"/>
      <c r="AR58" s="26"/>
      <c r="AS58" s="26"/>
      <c r="AT58" s="26"/>
    </row>
    <row r="59" spans="1:49" ht="27" customHeight="1" x14ac:dyDescent="0.2">
      <c r="A59" s="84"/>
      <c r="B59" s="92"/>
      <c r="C59" s="81"/>
      <c r="D59" s="4" t="s">
        <v>18</v>
      </c>
      <c r="E59" s="11">
        <f>SUM(F59:H59)</f>
        <v>63466.909999999996</v>
      </c>
      <c r="F59" s="14">
        <f t="shared" si="11"/>
        <v>31273.86</v>
      </c>
      <c r="G59" s="14">
        <v>11422.73</v>
      </c>
      <c r="H59" s="14">
        <v>20770.32</v>
      </c>
      <c r="I59" s="14">
        <f>28292.04-1908.73+G59-165.7</f>
        <v>37640.340000000004</v>
      </c>
      <c r="J59" s="14">
        <v>2683.96</v>
      </c>
      <c r="K59" s="14">
        <v>126.92</v>
      </c>
      <c r="L59" s="26" t="s">
        <v>75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112"/>
      <c r="AO59" s="26"/>
      <c r="AP59" s="26"/>
      <c r="AQ59" s="26"/>
      <c r="AR59" s="26"/>
      <c r="AS59" s="26"/>
      <c r="AT59" s="26"/>
    </row>
    <row r="60" spans="1:49" ht="25.15" customHeight="1" x14ac:dyDescent="0.2">
      <c r="A60" s="84"/>
      <c r="B60" s="92"/>
      <c r="C60" s="81"/>
      <c r="D60" s="4" t="s">
        <v>18</v>
      </c>
      <c r="E60" s="11">
        <f>SUM(F60:H60)</f>
        <v>63984.88</v>
      </c>
      <c r="F60" s="14">
        <f t="shared" si="11"/>
        <v>31273.86</v>
      </c>
      <c r="G60" s="14">
        <v>11940.7</v>
      </c>
      <c r="H60" s="14">
        <v>20770.32</v>
      </c>
      <c r="I60" s="14">
        <f>28292.04-1908.73+G60-165.7</f>
        <v>38158.310000000005</v>
      </c>
      <c r="J60" s="14">
        <v>2683.96</v>
      </c>
      <c r="K60" s="14">
        <v>126.92</v>
      </c>
      <c r="L60" s="26" t="s">
        <v>76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</row>
    <row r="61" spans="1:49" ht="23.45" customHeight="1" x14ac:dyDescent="0.2">
      <c r="A61" s="84"/>
      <c r="B61" s="93"/>
      <c r="C61" s="82"/>
      <c r="D61" s="4" t="s">
        <v>18</v>
      </c>
      <c r="E61" s="11">
        <f>SUM(F61:H61)</f>
        <v>63736.14</v>
      </c>
      <c r="F61" s="14">
        <f t="shared" si="11"/>
        <v>31273.86</v>
      </c>
      <c r="G61" s="14">
        <v>11691.96</v>
      </c>
      <c r="H61" s="14">
        <v>20770.32</v>
      </c>
      <c r="I61" s="14">
        <f>28292.04-1908.73+G61-165.7</f>
        <v>37909.570000000007</v>
      </c>
      <c r="J61" s="14">
        <v>2683.96</v>
      </c>
      <c r="K61" s="14">
        <v>126.92</v>
      </c>
      <c r="L61" s="26" t="s">
        <v>77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</row>
    <row r="62" spans="1:49" ht="89.45" customHeight="1" x14ac:dyDescent="0.2">
      <c r="A62" s="84"/>
      <c r="B62" s="113" t="s">
        <v>146</v>
      </c>
      <c r="C62" s="82"/>
      <c r="D62" s="4" t="s">
        <v>144</v>
      </c>
      <c r="E62" s="11">
        <f t="shared" ref="E62:E64" si="12">SUM(F62:H62)</f>
        <v>233978.27</v>
      </c>
      <c r="F62" s="14"/>
      <c r="G62" s="11">
        <v>233978.27</v>
      </c>
      <c r="H62" s="14"/>
      <c r="I62" s="14">
        <f>G62</f>
        <v>233978.27</v>
      </c>
      <c r="J62" s="14"/>
      <c r="K62" s="14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</row>
    <row r="63" spans="1:49" ht="73.150000000000006" customHeight="1" x14ac:dyDescent="0.2">
      <c r="A63" s="84"/>
      <c r="B63" s="113" t="s">
        <v>150</v>
      </c>
      <c r="C63" s="82"/>
      <c r="D63" s="4" t="s">
        <v>144</v>
      </c>
      <c r="E63" s="11">
        <v>294556.87</v>
      </c>
      <c r="F63" s="14"/>
      <c r="G63" s="11">
        <v>294556.87</v>
      </c>
      <c r="H63" s="14"/>
      <c r="I63" s="14">
        <f>G63</f>
        <v>294556.87</v>
      </c>
      <c r="J63" s="14"/>
      <c r="K63" s="14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</row>
    <row r="64" spans="1:49" ht="86.45" customHeight="1" x14ac:dyDescent="0.2">
      <c r="A64" s="84"/>
      <c r="B64" s="113" t="s">
        <v>147</v>
      </c>
      <c r="C64" s="82"/>
      <c r="D64" s="4" t="s">
        <v>144</v>
      </c>
      <c r="E64" s="11">
        <f t="shared" si="12"/>
        <v>332298.84999999998</v>
      </c>
      <c r="F64" s="14"/>
      <c r="G64" s="11">
        <v>332298.84999999998</v>
      </c>
      <c r="H64" s="14"/>
      <c r="I64" s="14">
        <f>G64</f>
        <v>332298.84999999998</v>
      </c>
      <c r="J64" s="14"/>
      <c r="K64" s="14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</row>
    <row r="65" spans="1:55" ht="75.75" customHeight="1" x14ac:dyDescent="0.2">
      <c r="A65" s="84"/>
      <c r="B65" s="113" t="s">
        <v>173</v>
      </c>
      <c r="C65" s="82"/>
      <c r="D65" s="4"/>
      <c r="E65" s="11">
        <f>G65</f>
        <v>361494.96</v>
      </c>
      <c r="F65" s="14"/>
      <c r="G65" s="11">
        <v>361494.96</v>
      </c>
      <c r="H65" s="14"/>
      <c r="I65" s="14">
        <f>G65</f>
        <v>361494.96</v>
      </c>
      <c r="J65" s="14"/>
      <c r="K65" s="14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55" ht="114.6" customHeight="1" x14ac:dyDescent="0.2">
      <c r="A66" s="84"/>
      <c r="B66" s="12" t="s">
        <v>19</v>
      </c>
      <c r="C66" s="12"/>
      <c r="D66" s="4" t="s">
        <v>20</v>
      </c>
      <c r="E66" s="14" t="s">
        <v>174</v>
      </c>
      <c r="F66" s="11" t="s">
        <v>195</v>
      </c>
      <c r="G66" s="11" t="s">
        <v>175</v>
      </c>
      <c r="H66" s="14" t="s">
        <v>201</v>
      </c>
      <c r="I66" s="14" t="s">
        <v>176</v>
      </c>
      <c r="J66" s="14" t="s">
        <v>161</v>
      </c>
      <c r="K66" s="14" t="s">
        <v>162</v>
      </c>
      <c r="L66" s="26" t="s">
        <v>78</v>
      </c>
      <c r="M66" s="26"/>
      <c r="N66" s="26" t="s">
        <v>159</v>
      </c>
      <c r="O66" s="26" t="s">
        <v>160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7">
        <v>1351.63</v>
      </c>
      <c r="AV66" s="7">
        <v>4001.99</v>
      </c>
      <c r="AW66" s="7">
        <v>20869.5</v>
      </c>
      <c r="AX66" s="19">
        <f>AU66+AV66+AW66</f>
        <v>26223.119999999999</v>
      </c>
      <c r="AZ66" s="7">
        <f>4001.99*2.411294</f>
        <v>9649.9744750599984</v>
      </c>
      <c r="BA66" s="7">
        <v>1329.32</v>
      </c>
      <c r="BB66" s="7">
        <v>11462.74</v>
      </c>
      <c r="BC66" s="9">
        <f>AZ66+BA66+BB66</f>
        <v>22442.034475059998</v>
      </c>
    </row>
    <row r="67" spans="1:55" ht="124.15" customHeight="1" x14ac:dyDescent="0.2">
      <c r="A67" s="84"/>
      <c r="B67" s="12" t="s">
        <v>21</v>
      </c>
      <c r="C67" s="12"/>
      <c r="D67" s="4" t="s">
        <v>20</v>
      </c>
      <c r="E67" s="14" t="s">
        <v>177</v>
      </c>
      <c r="F67" s="11" t="s">
        <v>196</v>
      </c>
      <c r="G67" s="11" t="s">
        <v>175</v>
      </c>
      <c r="H67" s="14" t="s">
        <v>201</v>
      </c>
      <c r="I67" s="14" t="s">
        <v>181</v>
      </c>
      <c r="J67" s="14" t="s">
        <v>161</v>
      </c>
      <c r="K67" s="14" t="s">
        <v>162</v>
      </c>
      <c r="AY67" s="18"/>
    </row>
    <row r="68" spans="1:55" ht="68.45" customHeight="1" x14ac:dyDescent="0.25">
      <c r="A68" s="84"/>
      <c r="B68" s="5" t="s">
        <v>33</v>
      </c>
      <c r="C68" s="5"/>
      <c r="D68" s="6" t="s">
        <v>18</v>
      </c>
      <c r="E68" s="22" t="s">
        <v>23</v>
      </c>
      <c r="F68" s="22" t="s">
        <v>23</v>
      </c>
      <c r="G68" s="22" t="s">
        <v>23</v>
      </c>
      <c r="H68" s="20" t="s">
        <v>23</v>
      </c>
      <c r="I68" s="22" t="s">
        <v>23</v>
      </c>
      <c r="J68" s="22" t="s">
        <v>23</v>
      </c>
      <c r="K68" s="22" t="s">
        <v>23</v>
      </c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</row>
    <row r="69" spans="1:55" ht="15" x14ac:dyDescent="0.2">
      <c r="A69" s="84"/>
      <c r="B69" s="5" t="s">
        <v>44</v>
      </c>
      <c r="C69" s="5"/>
      <c r="D69" s="6" t="s">
        <v>18</v>
      </c>
      <c r="E69" s="25">
        <f>F69</f>
        <v>148317.25</v>
      </c>
      <c r="F69" s="25">
        <v>148317.25</v>
      </c>
      <c r="G69" s="25" t="s">
        <v>23</v>
      </c>
      <c r="H69" s="14" t="s">
        <v>23</v>
      </c>
      <c r="I69" s="25">
        <f>F69-1677.86</f>
        <v>146639.39000000001</v>
      </c>
      <c r="J69" s="25" t="s">
        <v>23</v>
      </c>
      <c r="K69" s="25" t="s">
        <v>23</v>
      </c>
    </row>
    <row r="70" spans="1:55" ht="15" x14ac:dyDescent="0.2">
      <c r="A70" s="84"/>
      <c r="B70" s="5" t="s">
        <v>45</v>
      </c>
      <c r="C70" s="5"/>
      <c r="D70" s="6" t="s">
        <v>18</v>
      </c>
      <c r="E70" s="25">
        <f t="shared" ref="E70:E88" si="13">F70</f>
        <v>180044.6</v>
      </c>
      <c r="F70" s="25">
        <v>180044.6</v>
      </c>
      <c r="G70" s="25" t="s">
        <v>23</v>
      </c>
      <c r="H70" s="14" t="s">
        <v>23</v>
      </c>
      <c r="I70" s="25">
        <f t="shared" ref="I70:I88" si="14">F70-1677.86</f>
        <v>178366.74000000002</v>
      </c>
      <c r="J70" s="25" t="s">
        <v>23</v>
      </c>
      <c r="K70" s="25" t="s">
        <v>23</v>
      </c>
    </row>
    <row r="71" spans="1:55" ht="15" x14ac:dyDescent="0.2">
      <c r="A71" s="84"/>
      <c r="B71" s="5" t="s">
        <v>46</v>
      </c>
      <c r="C71" s="5"/>
      <c r="D71" s="6" t="s">
        <v>18</v>
      </c>
      <c r="E71" s="14">
        <f t="shared" si="13"/>
        <v>131161.82999999999</v>
      </c>
      <c r="F71" s="25">
        <v>131161.82999999999</v>
      </c>
      <c r="G71" s="25" t="s">
        <v>23</v>
      </c>
      <c r="H71" s="14" t="s">
        <v>23</v>
      </c>
      <c r="I71" s="25">
        <f t="shared" si="14"/>
        <v>129483.96999999999</v>
      </c>
      <c r="J71" s="25" t="s">
        <v>23</v>
      </c>
      <c r="K71" s="25" t="s">
        <v>23</v>
      </c>
    </row>
    <row r="72" spans="1:55" ht="15" x14ac:dyDescent="0.2">
      <c r="A72" s="84"/>
      <c r="B72" s="5" t="s">
        <v>47</v>
      </c>
      <c r="C72" s="5"/>
      <c r="D72" s="6" t="s">
        <v>18</v>
      </c>
      <c r="E72" s="14">
        <f t="shared" si="13"/>
        <v>159206.21</v>
      </c>
      <c r="F72" s="25">
        <v>159206.21</v>
      </c>
      <c r="G72" s="25" t="s">
        <v>23</v>
      </c>
      <c r="H72" s="14" t="s">
        <v>23</v>
      </c>
      <c r="I72" s="25">
        <f t="shared" si="14"/>
        <v>157528.35</v>
      </c>
      <c r="J72" s="25" t="s">
        <v>23</v>
      </c>
      <c r="K72" s="25" t="s">
        <v>23</v>
      </c>
    </row>
    <row r="73" spans="1:55" ht="15" x14ac:dyDescent="0.2">
      <c r="A73" s="84"/>
      <c r="B73" s="5" t="s">
        <v>52</v>
      </c>
      <c r="C73" s="5"/>
      <c r="D73" s="6" t="s">
        <v>18</v>
      </c>
      <c r="E73" s="14">
        <f t="shared" si="13"/>
        <v>148317.25</v>
      </c>
      <c r="F73" s="25">
        <v>148317.25</v>
      </c>
      <c r="G73" s="25" t="s">
        <v>23</v>
      </c>
      <c r="H73" s="14" t="s">
        <v>23</v>
      </c>
      <c r="I73" s="25">
        <f t="shared" si="14"/>
        <v>146639.39000000001</v>
      </c>
      <c r="J73" s="25" t="s">
        <v>23</v>
      </c>
      <c r="K73" s="25" t="s">
        <v>23</v>
      </c>
    </row>
    <row r="74" spans="1:55" ht="15" x14ac:dyDescent="0.2">
      <c r="A74" s="84"/>
      <c r="B74" s="5" t="s">
        <v>53</v>
      </c>
      <c r="C74" s="5"/>
      <c r="D74" s="6" t="s">
        <v>18</v>
      </c>
      <c r="E74" s="14">
        <f t="shared" si="13"/>
        <v>180044.6</v>
      </c>
      <c r="F74" s="25">
        <v>180044.6</v>
      </c>
      <c r="G74" s="25" t="s">
        <v>23</v>
      </c>
      <c r="H74" s="14" t="s">
        <v>23</v>
      </c>
      <c r="I74" s="25">
        <f t="shared" si="14"/>
        <v>178366.74000000002</v>
      </c>
      <c r="J74" s="25" t="s">
        <v>23</v>
      </c>
      <c r="K74" s="25" t="s">
        <v>23</v>
      </c>
    </row>
    <row r="75" spans="1:55" ht="15" x14ac:dyDescent="0.2">
      <c r="A75" s="84"/>
      <c r="B75" s="5" t="s">
        <v>37</v>
      </c>
      <c r="C75" s="5"/>
      <c r="D75" s="6" t="s">
        <v>18</v>
      </c>
      <c r="E75" s="14">
        <f t="shared" si="13"/>
        <v>175051.01</v>
      </c>
      <c r="F75" s="25">
        <v>175051.01</v>
      </c>
      <c r="G75" s="25" t="s">
        <v>23</v>
      </c>
      <c r="H75" s="14" t="s">
        <v>23</v>
      </c>
      <c r="I75" s="25">
        <f t="shared" si="14"/>
        <v>173373.15000000002</v>
      </c>
      <c r="J75" s="25" t="s">
        <v>23</v>
      </c>
      <c r="K75" s="25" t="s">
        <v>23</v>
      </c>
    </row>
    <row r="76" spans="1:55" ht="15" x14ac:dyDescent="0.2">
      <c r="A76" s="84"/>
      <c r="B76" s="5" t="s">
        <v>38</v>
      </c>
      <c r="C76" s="5"/>
      <c r="D76" s="6" t="s">
        <v>18</v>
      </c>
      <c r="E76" s="14">
        <f t="shared" si="13"/>
        <v>211495.33</v>
      </c>
      <c r="F76" s="25">
        <v>211495.33</v>
      </c>
      <c r="G76" s="25" t="s">
        <v>23</v>
      </c>
      <c r="H76" s="14" t="s">
        <v>23</v>
      </c>
      <c r="I76" s="25">
        <f t="shared" si="14"/>
        <v>209817.47</v>
      </c>
      <c r="J76" s="25" t="s">
        <v>23</v>
      </c>
      <c r="K76" s="25" t="s">
        <v>23</v>
      </c>
    </row>
    <row r="77" spans="1:55" ht="15" x14ac:dyDescent="0.2">
      <c r="A77" s="84"/>
      <c r="B77" s="5" t="s">
        <v>54</v>
      </c>
      <c r="C77" s="5"/>
      <c r="D77" s="6" t="s">
        <v>18</v>
      </c>
      <c r="E77" s="14">
        <f t="shared" si="13"/>
        <v>146008.26</v>
      </c>
      <c r="F77" s="25">
        <v>146008.26</v>
      </c>
      <c r="G77" s="25" t="s">
        <v>23</v>
      </c>
      <c r="H77" s="14" t="s">
        <v>23</v>
      </c>
      <c r="I77" s="25">
        <f t="shared" si="14"/>
        <v>144330.40000000002</v>
      </c>
      <c r="J77" s="25" t="s">
        <v>23</v>
      </c>
      <c r="K77" s="25" t="s">
        <v>23</v>
      </c>
    </row>
    <row r="78" spans="1:55" ht="15" x14ac:dyDescent="0.2">
      <c r="A78" s="84"/>
      <c r="B78" s="5" t="s">
        <v>55</v>
      </c>
      <c r="C78" s="5"/>
      <c r="D78" s="6" t="s">
        <v>18</v>
      </c>
      <c r="E78" s="14">
        <f t="shared" si="13"/>
        <v>177239.91</v>
      </c>
      <c r="F78" s="25">
        <v>177239.91</v>
      </c>
      <c r="G78" s="25" t="s">
        <v>23</v>
      </c>
      <c r="H78" s="14" t="s">
        <v>23</v>
      </c>
      <c r="I78" s="25">
        <f t="shared" si="14"/>
        <v>175562.05000000002</v>
      </c>
      <c r="J78" s="25" t="s">
        <v>23</v>
      </c>
      <c r="K78" s="25" t="s">
        <v>23</v>
      </c>
    </row>
    <row r="79" spans="1:55" ht="15" x14ac:dyDescent="0.2">
      <c r="A79" s="84"/>
      <c r="B79" s="5" t="s">
        <v>48</v>
      </c>
      <c r="C79" s="5"/>
      <c r="D79" s="6" t="s">
        <v>18</v>
      </c>
      <c r="E79" s="14">
        <f t="shared" si="13"/>
        <v>165472.68</v>
      </c>
      <c r="F79" s="25">
        <v>165472.68</v>
      </c>
      <c r="G79" s="25" t="s">
        <v>23</v>
      </c>
      <c r="H79" s="14" t="s">
        <v>23</v>
      </c>
      <c r="I79" s="25">
        <f t="shared" si="14"/>
        <v>163794.82</v>
      </c>
      <c r="J79" s="25" t="s">
        <v>23</v>
      </c>
      <c r="K79" s="25" t="s">
        <v>23</v>
      </c>
    </row>
    <row r="80" spans="1:55" ht="15" x14ac:dyDescent="0.2">
      <c r="A80" s="84"/>
      <c r="B80" s="5" t="s">
        <v>49</v>
      </c>
      <c r="C80" s="5"/>
      <c r="D80" s="6" t="s">
        <v>18</v>
      </c>
      <c r="E80" s="14">
        <f t="shared" si="13"/>
        <v>200882.98</v>
      </c>
      <c r="F80" s="25">
        <v>200882.98</v>
      </c>
      <c r="G80" s="25" t="s">
        <v>23</v>
      </c>
      <c r="H80" s="14" t="s">
        <v>23</v>
      </c>
      <c r="I80" s="25">
        <f t="shared" si="14"/>
        <v>199205.12000000002</v>
      </c>
      <c r="J80" s="25" t="s">
        <v>23</v>
      </c>
      <c r="K80" s="25" t="s">
        <v>23</v>
      </c>
    </row>
    <row r="81" spans="1:46" ht="15" x14ac:dyDescent="0.2">
      <c r="A81" s="84"/>
      <c r="B81" s="5" t="s">
        <v>56</v>
      </c>
      <c r="C81" s="5"/>
      <c r="D81" s="6" t="s">
        <v>18</v>
      </c>
      <c r="E81" s="14">
        <f t="shared" si="13"/>
        <v>191205.83</v>
      </c>
      <c r="F81" s="25">
        <v>191205.83</v>
      </c>
      <c r="G81" s="25" t="s">
        <v>23</v>
      </c>
      <c r="H81" s="14" t="s">
        <v>23</v>
      </c>
      <c r="I81" s="25">
        <f t="shared" si="14"/>
        <v>189527.97</v>
      </c>
      <c r="J81" s="25" t="s">
        <v>23</v>
      </c>
      <c r="K81" s="25" t="s">
        <v>23</v>
      </c>
    </row>
    <row r="82" spans="1:46" ht="15" x14ac:dyDescent="0.2">
      <c r="A82" s="84"/>
      <c r="B82" s="5" t="s">
        <v>57</v>
      </c>
      <c r="C82" s="5"/>
      <c r="D82" s="6" t="s">
        <v>18</v>
      </c>
      <c r="E82" s="14">
        <f t="shared" si="13"/>
        <v>232140.55</v>
      </c>
      <c r="F82" s="25">
        <v>232140.55</v>
      </c>
      <c r="G82" s="25" t="s">
        <v>23</v>
      </c>
      <c r="H82" s="14" t="s">
        <v>23</v>
      </c>
      <c r="I82" s="25">
        <f t="shared" si="14"/>
        <v>230462.69</v>
      </c>
      <c r="J82" s="25" t="s">
        <v>23</v>
      </c>
      <c r="K82" s="25" t="s">
        <v>23</v>
      </c>
    </row>
    <row r="83" spans="1:46" ht="15" x14ac:dyDescent="0.2">
      <c r="A83" s="84"/>
      <c r="B83" s="5" t="s">
        <v>50</v>
      </c>
      <c r="C83" s="5"/>
      <c r="D83" s="6" t="s">
        <v>18</v>
      </c>
      <c r="E83" s="14">
        <f t="shared" si="13"/>
        <v>188155.03</v>
      </c>
      <c r="F83" s="25">
        <v>188155.03</v>
      </c>
      <c r="G83" s="25" t="s">
        <v>23</v>
      </c>
      <c r="H83" s="14" t="s">
        <v>23</v>
      </c>
      <c r="I83" s="25">
        <f t="shared" si="14"/>
        <v>186477.17</v>
      </c>
      <c r="J83" s="25" t="s">
        <v>23</v>
      </c>
      <c r="K83" s="25" t="s">
        <v>23</v>
      </c>
    </row>
    <row r="84" spans="1:46" ht="15" x14ac:dyDescent="0.2">
      <c r="A84" s="84"/>
      <c r="B84" s="5" t="s">
        <v>51</v>
      </c>
      <c r="C84" s="5"/>
      <c r="D84" s="6" t="s">
        <v>18</v>
      </c>
      <c r="E84" s="14">
        <f t="shared" si="13"/>
        <v>228434.8</v>
      </c>
      <c r="F84" s="25">
        <v>228434.8</v>
      </c>
      <c r="G84" s="25" t="s">
        <v>23</v>
      </c>
      <c r="H84" s="14" t="s">
        <v>23</v>
      </c>
      <c r="I84" s="25">
        <f t="shared" si="14"/>
        <v>226756.94</v>
      </c>
      <c r="J84" s="25" t="s">
        <v>23</v>
      </c>
      <c r="K84" s="25" t="s">
        <v>23</v>
      </c>
    </row>
    <row r="85" spans="1:46" ht="15" x14ac:dyDescent="0.2">
      <c r="A85" s="84"/>
      <c r="B85" s="5" t="s">
        <v>96</v>
      </c>
      <c r="C85" s="5"/>
      <c r="D85" s="6" t="s">
        <v>18</v>
      </c>
      <c r="E85" s="14">
        <f t="shared" si="13"/>
        <v>340458.04</v>
      </c>
      <c r="F85" s="25">
        <v>340458.04</v>
      </c>
      <c r="G85" s="25" t="s">
        <v>23</v>
      </c>
      <c r="H85" s="14" t="s">
        <v>23</v>
      </c>
      <c r="I85" s="25">
        <f t="shared" si="14"/>
        <v>338780.18</v>
      </c>
      <c r="J85" s="25" t="s">
        <v>23</v>
      </c>
      <c r="K85" s="25" t="s">
        <v>23</v>
      </c>
    </row>
    <row r="86" spans="1:46" ht="15" x14ac:dyDescent="0.2">
      <c r="A86" s="84"/>
      <c r="B86" s="5" t="s">
        <v>97</v>
      </c>
      <c r="C86" s="5"/>
      <c r="D86" s="6" t="s">
        <v>18</v>
      </c>
      <c r="E86" s="14">
        <f t="shared" si="13"/>
        <v>413434.44</v>
      </c>
      <c r="F86" s="25">
        <v>413434.44</v>
      </c>
      <c r="G86" s="25" t="s">
        <v>23</v>
      </c>
      <c r="H86" s="14" t="s">
        <v>23</v>
      </c>
      <c r="I86" s="25">
        <f t="shared" si="14"/>
        <v>411756.58</v>
      </c>
      <c r="J86" s="25" t="s">
        <v>23</v>
      </c>
      <c r="K86" s="25" t="s">
        <v>23</v>
      </c>
    </row>
    <row r="87" spans="1:46" ht="15" x14ac:dyDescent="0.2">
      <c r="A87" s="84"/>
      <c r="B87" s="5" t="s">
        <v>39</v>
      </c>
      <c r="C87" s="5"/>
      <c r="D87" s="6" t="s">
        <v>18</v>
      </c>
      <c r="E87" s="14">
        <f t="shared" si="13"/>
        <v>129594.64</v>
      </c>
      <c r="F87" s="25">
        <v>129594.64</v>
      </c>
      <c r="G87" s="25" t="s">
        <v>23</v>
      </c>
      <c r="H87" s="14" t="s">
        <v>23</v>
      </c>
      <c r="I87" s="25">
        <f t="shared" si="14"/>
        <v>127916.78</v>
      </c>
      <c r="J87" s="25" t="s">
        <v>23</v>
      </c>
      <c r="K87" s="25" t="s">
        <v>23</v>
      </c>
    </row>
    <row r="88" spans="1:46" ht="15" x14ac:dyDescent="0.2">
      <c r="A88" s="84"/>
      <c r="B88" s="5" t="s">
        <v>40</v>
      </c>
      <c r="C88" s="5"/>
      <c r="D88" s="6" t="s">
        <v>18</v>
      </c>
      <c r="E88" s="25">
        <f t="shared" si="13"/>
        <v>157302.6</v>
      </c>
      <c r="F88" s="25">
        <v>157302.6</v>
      </c>
      <c r="G88" s="25" t="s">
        <v>23</v>
      </c>
      <c r="H88" s="14" t="s">
        <v>23</v>
      </c>
      <c r="I88" s="25">
        <f t="shared" si="14"/>
        <v>155624.74000000002</v>
      </c>
      <c r="J88" s="25" t="s">
        <v>23</v>
      </c>
      <c r="K88" s="25" t="s">
        <v>23</v>
      </c>
    </row>
    <row r="89" spans="1:46" ht="63" customHeight="1" x14ac:dyDescent="0.2">
      <c r="A89" s="84"/>
      <c r="B89" s="12" t="s">
        <v>34</v>
      </c>
      <c r="C89" s="12"/>
      <c r="D89" s="6" t="s">
        <v>18</v>
      </c>
      <c r="E89" s="25">
        <f>SUM(F89:H89)</f>
        <v>281785.16000000003</v>
      </c>
      <c r="F89" s="25">
        <f>278803.34+2981.82</f>
        <v>281785.16000000003</v>
      </c>
      <c r="G89" s="11" t="s">
        <v>23</v>
      </c>
      <c r="H89" s="14" t="s">
        <v>23</v>
      </c>
      <c r="I89" s="25">
        <f>F89-1908.73-2981.82</f>
        <v>276894.61000000004</v>
      </c>
      <c r="J89" s="25" t="s">
        <v>23</v>
      </c>
      <c r="K89" s="25" t="s">
        <v>23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1:46" ht="61.9" customHeight="1" x14ac:dyDescent="0.2">
      <c r="A90" s="84"/>
      <c r="B90" s="12" t="s">
        <v>42</v>
      </c>
      <c r="C90" s="12"/>
      <c r="D90" s="6" t="s">
        <v>18</v>
      </c>
      <c r="E90" s="25">
        <f>SUM(F90:H90)</f>
        <v>419493.24</v>
      </c>
      <c r="F90" s="25">
        <f>416511.42+2981.82</f>
        <v>419493.24</v>
      </c>
      <c r="G90" s="11" t="s">
        <v>23</v>
      </c>
      <c r="H90" s="14" t="s">
        <v>23</v>
      </c>
      <c r="I90" s="25">
        <f>F90-1908.73-2981.82</f>
        <v>414602.69</v>
      </c>
      <c r="J90" s="25" t="s">
        <v>23</v>
      </c>
      <c r="K90" s="25" t="s">
        <v>23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</row>
    <row r="91" spans="1:46" ht="60" customHeight="1" x14ac:dyDescent="0.2">
      <c r="A91" s="84"/>
      <c r="B91" s="12" t="s">
        <v>35</v>
      </c>
      <c r="C91" s="12"/>
      <c r="D91" s="6" t="s">
        <v>18</v>
      </c>
      <c r="E91" s="25">
        <f>F91</f>
        <v>33623.980000000003</v>
      </c>
      <c r="F91" s="25">
        <f>33623.98</f>
        <v>33623.980000000003</v>
      </c>
      <c r="G91" s="25" t="s">
        <v>23</v>
      </c>
      <c r="H91" s="14" t="s">
        <v>23</v>
      </c>
      <c r="I91" s="25">
        <f>F91</f>
        <v>33623.980000000003</v>
      </c>
      <c r="J91" s="25" t="s">
        <v>23</v>
      </c>
      <c r="K91" s="25" t="s">
        <v>23</v>
      </c>
    </row>
    <row r="92" spans="1:46" ht="61.15" customHeight="1" x14ac:dyDescent="0.2">
      <c r="A92" s="85"/>
      <c r="B92" s="12" t="s">
        <v>36</v>
      </c>
      <c r="C92" s="12"/>
      <c r="D92" s="6" t="s">
        <v>18</v>
      </c>
      <c r="E92" s="25">
        <f>F92</f>
        <v>40917.279999999999</v>
      </c>
      <c r="F92" s="25">
        <f>40917.28</f>
        <v>40917.279999999999</v>
      </c>
      <c r="G92" s="25" t="s">
        <v>23</v>
      </c>
      <c r="H92" s="14" t="s">
        <v>23</v>
      </c>
      <c r="I92" s="25">
        <f>F92</f>
        <v>40917.279999999999</v>
      </c>
      <c r="J92" s="25" t="s">
        <v>23</v>
      </c>
      <c r="K92" s="25" t="s">
        <v>23</v>
      </c>
    </row>
    <row r="93" spans="1:46" ht="50.45" customHeight="1" x14ac:dyDescent="0.2">
      <c r="A93" s="94" t="s">
        <v>134</v>
      </c>
      <c r="B93" s="12" t="s">
        <v>17</v>
      </c>
      <c r="C93" s="12"/>
      <c r="D93" s="4" t="s">
        <v>18</v>
      </c>
      <c r="E93" s="11">
        <f>SUM(F93:H93)</f>
        <v>77984.61</v>
      </c>
      <c r="F93" s="11">
        <f>42155.15+3966.89</f>
        <v>46122.04</v>
      </c>
      <c r="G93" s="14">
        <v>11092.25</v>
      </c>
      <c r="H93" s="14">
        <v>20770.32</v>
      </c>
      <c r="I93" s="14">
        <f>42155.15-1908.73+G93-165.7</f>
        <v>51172.97</v>
      </c>
      <c r="J93" s="14">
        <v>5821.07</v>
      </c>
      <c r="K93" s="14">
        <v>933.5</v>
      </c>
      <c r="L93" s="26" t="s">
        <v>79</v>
      </c>
      <c r="M93" s="26"/>
      <c r="N93" s="26" t="s">
        <v>158</v>
      </c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</row>
    <row r="94" spans="1:46" ht="52.15" customHeight="1" x14ac:dyDescent="0.2">
      <c r="A94" s="95"/>
      <c r="B94" s="12" t="s">
        <v>17</v>
      </c>
      <c r="C94" s="12"/>
      <c r="D94" s="4" t="s">
        <v>18</v>
      </c>
      <c r="E94" s="11">
        <f t="shared" ref="E94:E98" si="15">SUM(F94:H94)</f>
        <v>78526.58</v>
      </c>
      <c r="F94" s="11">
        <f>42155.15+3966.89</f>
        <v>46122.04</v>
      </c>
      <c r="G94" s="14">
        <v>11634.22</v>
      </c>
      <c r="H94" s="14">
        <v>20770.32</v>
      </c>
      <c r="I94" s="14">
        <f>42155.15-1908.73+G94-165.7</f>
        <v>51714.94</v>
      </c>
      <c r="J94" s="14">
        <v>5821.07</v>
      </c>
      <c r="K94" s="14">
        <v>933.5</v>
      </c>
      <c r="L94" s="26" t="s">
        <v>80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</row>
    <row r="95" spans="1:46" ht="49.9" customHeight="1" x14ac:dyDescent="0.2">
      <c r="A95" s="95"/>
      <c r="B95" s="12" t="s">
        <v>17</v>
      </c>
      <c r="C95" s="12"/>
      <c r="D95" s="4" t="s">
        <v>18</v>
      </c>
      <c r="E95" s="11">
        <f t="shared" si="15"/>
        <v>78315.09</v>
      </c>
      <c r="F95" s="11">
        <f>42155.15+3966.89</f>
        <v>46122.04</v>
      </c>
      <c r="G95" s="14">
        <v>11422.73</v>
      </c>
      <c r="H95" s="14">
        <v>20770.32</v>
      </c>
      <c r="I95" s="14">
        <f>42155.15-1908.73+G95-165.7</f>
        <v>51503.45</v>
      </c>
      <c r="J95" s="14">
        <v>5821.07</v>
      </c>
      <c r="K95" s="14">
        <v>933.5</v>
      </c>
      <c r="L95" s="26" t="s">
        <v>81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</row>
    <row r="96" spans="1:46" ht="41.45" customHeight="1" x14ac:dyDescent="0.2">
      <c r="A96" s="95"/>
      <c r="B96" s="12" t="s">
        <v>17</v>
      </c>
      <c r="C96" s="12"/>
      <c r="D96" s="4" t="s">
        <v>18</v>
      </c>
      <c r="E96" s="11">
        <f t="shared" si="15"/>
        <v>78833.06</v>
      </c>
      <c r="F96" s="11">
        <f>42155.15+3966.89</f>
        <v>46122.04</v>
      </c>
      <c r="G96" s="14">
        <v>11940.7</v>
      </c>
      <c r="H96" s="14">
        <v>20770.32</v>
      </c>
      <c r="I96" s="14">
        <f>42155.15-1908.73+G96-165.7</f>
        <v>52021.42</v>
      </c>
      <c r="J96" s="14">
        <v>5821.07</v>
      </c>
      <c r="K96" s="14">
        <v>933.5</v>
      </c>
      <c r="L96" s="26" t="s">
        <v>82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</row>
    <row r="97" spans="1:55" ht="43.15" customHeight="1" x14ac:dyDescent="0.2">
      <c r="A97" s="95"/>
      <c r="B97" s="12" t="s">
        <v>17</v>
      </c>
      <c r="C97" s="12"/>
      <c r="D97" s="4" t="s">
        <v>18</v>
      </c>
      <c r="E97" s="11">
        <f t="shared" si="15"/>
        <v>78584.320000000007</v>
      </c>
      <c r="F97" s="11">
        <f>42155.15+3966.89</f>
        <v>46122.04</v>
      </c>
      <c r="G97" s="14">
        <v>11691.96</v>
      </c>
      <c r="H97" s="14">
        <v>20770.32</v>
      </c>
      <c r="I97" s="14">
        <f>42155.15-1908.73+G97-165.7</f>
        <v>51772.68</v>
      </c>
      <c r="J97" s="14">
        <v>5821.07</v>
      </c>
      <c r="K97" s="14">
        <v>933.5</v>
      </c>
      <c r="L97" s="26" t="s">
        <v>77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</row>
    <row r="98" spans="1:55" ht="55.15" customHeight="1" x14ac:dyDescent="0.2">
      <c r="A98" s="95"/>
      <c r="B98" s="12" t="s">
        <v>24</v>
      </c>
      <c r="C98" s="12"/>
      <c r="D98" s="4" t="s">
        <v>18</v>
      </c>
      <c r="E98" s="11">
        <f t="shared" si="15"/>
        <v>82348.06</v>
      </c>
      <c r="F98" s="11">
        <f>45918.89+3966.89</f>
        <v>49885.78</v>
      </c>
      <c r="G98" s="14">
        <v>11691.96</v>
      </c>
      <c r="H98" s="14">
        <v>20770.32</v>
      </c>
      <c r="I98" s="14">
        <f>45918.89-1908.73+G98-165.7</f>
        <v>55536.42</v>
      </c>
      <c r="J98" s="14">
        <v>5821.07</v>
      </c>
      <c r="K98" s="14">
        <v>933.5</v>
      </c>
      <c r="L98" s="26" t="s">
        <v>189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</row>
    <row r="99" spans="1:55" ht="49.9" customHeight="1" x14ac:dyDescent="0.2">
      <c r="A99" s="95"/>
      <c r="B99" s="12" t="s">
        <v>17</v>
      </c>
      <c r="C99" s="12"/>
      <c r="D99" s="4"/>
      <c r="E99" s="11"/>
      <c r="F99" s="11"/>
      <c r="G99" s="11"/>
      <c r="H99" s="14"/>
      <c r="I99" s="30"/>
      <c r="J99" s="30"/>
      <c r="K99" s="30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</row>
    <row r="100" spans="1:55" ht="112.15" customHeight="1" x14ac:dyDescent="0.2">
      <c r="A100" s="95"/>
      <c r="B100" s="12" t="s">
        <v>19</v>
      </c>
      <c r="C100" s="12"/>
      <c r="D100" s="4" t="s">
        <v>20</v>
      </c>
      <c r="E100" s="14" t="s">
        <v>178</v>
      </c>
      <c r="F100" s="11" t="s">
        <v>197</v>
      </c>
      <c r="G100" s="11" t="s">
        <v>179</v>
      </c>
      <c r="H100" s="115" t="s">
        <v>194</v>
      </c>
      <c r="I100" s="14" t="s">
        <v>180</v>
      </c>
      <c r="J100" s="14" t="s">
        <v>163</v>
      </c>
      <c r="K100" s="14" t="s">
        <v>164</v>
      </c>
      <c r="L100" s="26" t="s">
        <v>78</v>
      </c>
      <c r="M100" s="26"/>
      <c r="N100" s="26" t="s">
        <v>159</v>
      </c>
      <c r="O100" s="26" t="s">
        <v>158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7">
        <v>1649.65</v>
      </c>
      <c r="AV100" s="7">
        <v>4001.99</v>
      </c>
      <c r="AW100" s="7">
        <v>20284.349999999999</v>
      </c>
      <c r="AX100" s="19">
        <f>AU100+AV100+AW100</f>
        <v>25935.989999999998</v>
      </c>
      <c r="AY100" s="16"/>
      <c r="AZ100" s="7">
        <f>4001.99*2.411294</f>
        <v>9649.9744750599984</v>
      </c>
      <c r="BA100" s="7">
        <v>1622.42</v>
      </c>
      <c r="BB100" s="7">
        <v>11462.74</v>
      </c>
      <c r="BC100" s="7">
        <f>AZ100+BA100+BB100</f>
        <v>22735.134475059996</v>
      </c>
    </row>
    <row r="101" spans="1:55" ht="125.45" customHeight="1" x14ac:dyDescent="0.2">
      <c r="A101" s="95"/>
      <c r="B101" s="12" t="s">
        <v>21</v>
      </c>
      <c r="C101" s="12"/>
      <c r="D101" s="4" t="s">
        <v>20</v>
      </c>
      <c r="E101" s="14" t="s">
        <v>182</v>
      </c>
      <c r="F101" s="11" t="s">
        <v>198</v>
      </c>
      <c r="G101" s="11" t="s">
        <v>179</v>
      </c>
      <c r="H101" s="14" t="s">
        <v>202</v>
      </c>
      <c r="I101" s="14" t="s">
        <v>183</v>
      </c>
      <c r="J101" s="14" t="s">
        <v>163</v>
      </c>
      <c r="K101" s="14" t="s">
        <v>164</v>
      </c>
    </row>
    <row r="102" spans="1:55" ht="70.900000000000006" customHeight="1" x14ac:dyDescent="0.2">
      <c r="A102" s="95"/>
      <c r="B102" s="5" t="s">
        <v>33</v>
      </c>
      <c r="C102" s="5"/>
      <c r="D102" s="6" t="s">
        <v>18</v>
      </c>
      <c r="E102" s="25" t="s">
        <v>22</v>
      </c>
      <c r="F102" s="25" t="s">
        <v>22</v>
      </c>
      <c r="G102" s="25" t="s">
        <v>22</v>
      </c>
      <c r="H102" s="14">
        <v>0.76</v>
      </c>
      <c r="I102" s="25" t="s">
        <v>22</v>
      </c>
      <c r="J102" s="25" t="s">
        <v>22</v>
      </c>
      <c r="K102" s="25" t="s">
        <v>22</v>
      </c>
    </row>
    <row r="103" spans="1:55" ht="15" x14ac:dyDescent="0.2">
      <c r="A103" s="27"/>
      <c r="B103" s="5" t="s">
        <v>44</v>
      </c>
      <c r="C103" s="5"/>
      <c r="D103" s="6" t="s">
        <v>18</v>
      </c>
      <c r="E103" s="25">
        <f>F103</f>
        <v>81860.44</v>
      </c>
      <c r="F103" s="25">
        <v>81860.44</v>
      </c>
      <c r="G103" s="25" t="s">
        <v>23</v>
      </c>
      <c r="H103" s="14" t="s">
        <v>23</v>
      </c>
      <c r="I103" s="25">
        <f>F103-1677.86</f>
        <v>80182.58</v>
      </c>
      <c r="J103" s="25" t="s">
        <v>23</v>
      </c>
      <c r="K103" s="25" t="s">
        <v>23</v>
      </c>
    </row>
    <row r="104" spans="1:55" ht="15" x14ac:dyDescent="0.2">
      <c r="A104" s="27"/>
      <c r="B104" s="5" t="s">
        <v>45</v>
      </c>
      <c r="C104" s="5"/>
      <c r="D104" s="6" t="s">
        <v>18</v>
      </c>
      <c r="E104" s="25">
        <f>F104</f>
        <v>99172.79</v>
      </c>
      <c r="F104" s="25">
        <v>99172.79</v>
      </c>
      <c r="G104" s="25" t="s">
        <v>23</v>
      </c>
      <c r="H104" s="14" t="s">
        <v>23</v>
      </c>
      <c r="I104" s="25">
        <f t="shared" ref="I104:I114" si="16">F104-1677.86</f>
        <v>97494.93</v>
      </c>
      <c r="J104" s="25" t="s">
        <v>23</v>
      </c>
      <c r="K104" s="25" t="s">
        <v>23</v>
      </c>
    </row>
    <row r="105" spans="1:55" ht="15" x14ac:dyDescent="0.2">
      <c r="A105" s="27"/>
      <c r="B105" s="5" t="s">
        <v>46</v>
      </c>
      <c r="C105" s="5"/>
      <c r="D105" s="6" t="s">
        <v>18</v>
      </c>
      <c r="E105" s="25">
        <f t="shared" ref="E105:E114" si="17">F105</f>
        <v>56253.14</v>
      </c>
      <c r="F105" s="25">
        <v>56253.14</v>
      </c>
      <c r="G105" s="25" t="s">
        <v>23</v>
      </c>
      <c r="H105" s="14" t="s">
        <v>23</v>
      </c>
      <c r="I105" s="25">
        <f t="shared" si="16"/>
        <v>54575.28</v>
      </c>
      <c r="J105" s="25" t="s">
        <v>23</v>
      </c>
      <c r="K105" s="25" t="s">
        <v>23</v>
      </c>
    </row>
    <row r="106" spans="1:55" ht="15" x14ac:dyDescent="0.2">
      <c r="A106" s="27"/>
      <c r="B106" s="5" t="s">
        <v>47</v>
      </c>
      <c r="C106" s="5"/>
      <c r="D106" s="6" t="s">
        <v>18</v>
      </c>
      <c r="E106" s="25">
        <f t="shared" si="17"/>
        <v>69044.740000000005</v>
      </c>
      <c r="F106" s="25">
        <v>69044.740000000005</v>
      </c>
      <c r="G106" s="25" t="s">
        <v>23</v>
      </c>
      <c r="H106" s="14" t="s">
        <v>23</v>
      </c>
      <c r="I106" s="25">
        <f t="shared" si="16"/>
        <v>67366.880000000005</v>
      </c>
      <c r="J106" s="25" t="s">
        <v>23</v>
      </c>
      <c r="K106" s="25" t="s">
        <v>23</v>
      </c>
    </row>
    <row r="107" spans="1:55" ht="15" x14ac:dyDescent="0.2">
      <c r="A107" s="27"/>
      <c r="B107" s="5" t="s">
        <v>37</v>
      </c>
      <c r="C107" s="5"/>
      <c r="D107" s="6" t="s">
        <v>18</v>
      </c>
      <c r="E107" s="25">
        <f t="shared" si="17"/>
        <v>113140.45</v>
      </c>
      <c r="F107" s="25">
        <v>113140.45</v>
      </c>
      <c r="G107" s="25" t="s">
        <v>23</v>
      </c>
      <c r="H107" s="14" t="s">
        <v>23</v>
      </c>
      <c r="I107" s="25">
        <f t="shared" si="16"/>
        <v>111462.59</v>
      </c>
      <c r="J107" s="25" t="s">
        <v>23</v>
      </c>
      <c r="K107" s="25" t="s">
        <v>23</v>
      </c>
    </row>
    <row r="108" spans="1:55" ht="15" x14ac:dyDescent="0.2">
      <c r="A108" s="27"/>
      <c r="B108" s="5" t="s">
        <v>38</v>
      </c>
      <c r="C108" s="5"/>
      <c r="D108" s="6" t="s">
        <v>18</v>
      </c>
      <c r="E108" s="25">
        <f t="shared" si="17"/>
        <v>136759.12</v>
      </c>
      <c r="F108" s="25">
        <v>136759.12</v>
      </c>
      <c r="G108" s="25" t="s">
        <v>23</v>
      </c>
      <c r="H108" s="14" t="s">
        <v>23</v>
      </c>
      <c r="I108" s="25">
        <f t="shared" si="16"/>
        <v>135081.26</v>
      </c>
      <c r="J108" s="25" t="s">
        <v>23</v>
      </c>
      <c r="K108" s="25" t="s">
        <v>23</v>
      </c>
    </row>
    <row r="109" spans="1:55" ht="15" x14ac:dyDescent="0.2">
      <c r="A109" s="27"/>
      <c r="B109" s="5" t="s">
        <v>48</v>
      </c>
      <c r="C109" s="5"/>
      <c r="D109" s="6" t="s">
        <v>18</v>
      </c>
      <c r="E109" s="25">
        <f t="shared" si="17"/>
        <v>278306.15999999997</v>
      </c>
      <c r="F109" s="25">
        <v>278306.15999999997</v>
      </c>
      <c r="G109" s="25" t="s">
        <v>23</v>
      </c>
      <c r="H109" s="14" t="s">
        <v>23</v>
      </c>
      <c r="I109" s="25">
        <f t="shared" si="16"/>
        <v>276628.3</v>
      </c>
      <c r="J109" s="25" t="s">
        <v>23</v>
      </c>
      <c r="K109" s="25" t="s">
        <v>23</v>
      </c>
    </row>
    <row r="110" spans="1:55" ht="15" x14ac:dyDescent="0.2">
      <c r="A110" s="27"/>
      <c r="B110" s="5" t="s">
        <v>49</v>
      </c>
      <c r="C110" s="5"/>
      <c r="D110" s="6" t="s">
        <v>18</v>
      </c>
      <c r="E110" s="25">
        <f t="shared" si="17"/>
        <v>338129.91999999998</v>
      </c>
      <c r="F110" s="25">
        <v>338129.91999999998</v>
      </c>
      <c r="G110" s="25" t="s">
        <v>23</v>
      </c>
      <c r="H110" s="14" t="s">
        <v>23</v>
      </c>
      <c r="I110" s="25">
        <f t="shared" si="16"/>
        <v>336452.06</v>
      </c>
      <c r="J110" s="25" t="s">
        <v>23</v>
      </c>
      <c r="K110" s="25" t="s">
        <v>23</v>
      </c>
    </row>
    <row r="111" spans="1:55" ht="15" x14ac:dyDescent="0.2">
      <c r="A111" s="27"/>
      <c r="B111" s="5" t="s">
        <v>50</v>
      </c>
      <c r="C111" s="5"/>
      <c r="D111" s="6" t="s">
        <v>18</v>
      </c>
      <c r="E111" s="25">
        <f t="shared" si="17"/>
        <v>25927.38</v>
      </c>
      <c r="F111" s="25">
        <v>25927.38</v>
      </c>
      <c r="G111" s="25" t="s">
        <v>23</v>
      </c>
      <c r="H111" s="14" t="s">
        <v>23</v>
      </c>
      <c r="I111" s="25">
        <f t="shared" si="16"/>
        <v>24249.52</v>
      </c>
      <c r="J111" s="25" t="s">
        <v>23</v>
      </c>
      <c r="K111" s="25" t="s">
        <v>23</v>
      </c>
    </row>
    <row r="112" spans="1:55" ht="15" x14ac:dyDescent="0.2">
      <c r="A112" s="27"/>
      <c r="B112" s="5" t="s">
        <v>51</v>
      </c>
      <c r="C112" s="5"/>
      <c r="D112" s="6" t="s">
        <v>18</v>
      </c>
      <c r="E112" s="25">
        <f t="shared" si="17"/>
        <v>31133.32</v>
      </c>
      <c r="F112" s="25">
        <v>31133.32</v>
      </c>
      <c r="G112" s="25" t="s">
        <v>23</v>
      </c>
      <c r="H112" s="14" t="s">
        <v>23</v>
      </c>
      <c r="I112" s="25">
        <f t="shared" si="16"/>
        <v>29455.46</v>
      </c>
      <c r="J112" s="25" t="s">
        <v>23</v>
      </c>
      <c r="K112" s="25" t="s">
        <v>23</v>
      </c>
    </row>
    <row r="113" spans="1:51" ht="15" x14ac:dyDescent="0.2">
      <c r="A113" s="27"/>
      <c r="B113" s="5" t="s">
        <v>39</v>
      </c>
      <c r="C113" s="5"/>
      <c r="D113" s="6" t="s">
        <v>18</v>
      </c>
      <c r="E113" s="25">
        <f t="shared" si="17"/>
        <v>18833.28</v>
      </c>
      <c r="F113" s="25">
        <v>18833.28</v>
      </c>
      <c r="G113" s="25" t="s">
        <v>23</v>
      </c>
      <c r="H113" s="14" t="s">
        <v>23</v>
      </c>
      <c r="I113" s="25">
        <f t="shared" si="16"/>
        <v>17155.419999999998</v>
      </c>
      <c r="J113" s="25" t="s">
        <v>23</v>
      </c>
      <c r="K113" s="25" t="s">
        <v>23</v>
      </c>
    </row>
    <row r="114" spans="1:51" ht="15" x14ac:dyDescent="0.2">
      <c r="A114" s="27"/>
      <c r="B114" s="5" t="s">
        <v>40</v>
      </c>
      <c r="C114" s="5"/>
      <c r="D114" s="6" t="s">
        <v>18</v>
      </c>
      <c r="E114" s="25">
        <f t="shared" si="17"/>
        <v>22516.240000000002</v>
      </c>
      <c r="F114" s="25">
        <v>22516.240000000002</v>
      </c>
      <c r="G114" s="25" t="s">
        <v>23</v>
      </c>
      <c r="H114" s="14" t="s">
        <v>23</v>
      </c>
      <c r="I114" s="25">
        <f t="shared" si="16"/>
        <v>20838.38</v>
      </c>
      <c r="J114" s="25" t="s">
        <v>23</v>
      </c>
      <c r="K114" s="25" t="s">
        <v>23</v>
      </c>
    </row>
    <row r="115" spans="1:51" ht="63.6" customHeight="1" x14ac:dyDescent="0.2">
      <c r="A115" s="27"/>
      <c r="B115" s="12" t="s">
        <v>34</v>
      </c>
      <c r="C115" s="12"/>
      <c r="D115" s="6" t="s">
        <v>18</v>
      </c>
      <c r="E115" s="25">
        <f>SUM(F115:H115)</f>
        <v>317382.05</v>
      </c>
      <c r="F115" s="25">
        <f>313415.16+3966.89</f>
        <v>317382.05</v>
      </c>
      <c r="G115" s="25" t="s">
        <v>23</v>
      </c>
      <c r="H115" s="14" t="s">
        <v>23</v>
      </c>
      <c r="I115" s="25">
        <f>313415.16-1908.73</f>
        <v>311506.43</v>
      </c>
      <c r="J115" s="25" t="s">
        <v>23</v>
      </c>
      <c r="K115" s="25" t="s">
        <v>23</v>
      </c>
    </row>
    <row r="116" spans="1:51" ht="60" x14ac:dyDescent="0.2">
      <c r="A116" s="27"/>
      <c r="B116" s="12" t="s">
        <v>41</v>
      </c>
      <c r="C116" s="12"/>
      <c r="D116" s="6" t="s">
        <v>18</v>
      </c>
      <c r="E116" s="25">
        <f>SUM(F116:H116)</f>
        <v>472303.64</v>
      </c>
      <c r="F116" s="25">
        <f>468336.75+3966.89</f>
        <v>472303.64</v>
      </c>
      <c r="G116" s="25" t="s">
        <v>23</v>
      </c>
      <c r="H116" s="14" t="s">
        <v>23</v>
      </c>
      <c r="I116" s="25">
        <f>468336.75-1908.73</f>
        <v>466428.02</v>
      </c>
      <c r="J116" s="25" t="s">
        <v>23</v>
      </c>
      <c r="K116" s="25" t="s">
        <v>23</v>
      </c>
    </row>
    <row r="117" spans="1:51" ht="59.45" customHeight="1" x14ac:dyDescent="0.2">
      <c r="A117" s="27"/>
      <c r="B117" s="12" t="s">
        <v>35</v>
      </c>
      <c r="C117" s="12"/>
      <c r="D117" s="6" t="s">
        <v>18</v>
      </c>
      <c r="E117" s="25">
        <f>F117</f>
        <v>47469.15</v>
      </c>
      <c r="F117" s="25">
        <f>47469.15</f>
        <v>47469.15</v>
      </c>
      <c r="G117" s="25" t="s">
        <v>23</v>
      </c>
      <c r="H117" s="14" t="s">
        <v>23</v>
      </c>
      <c r="I117" s="25">
        <f>E117</f>
        <v>47469.15</v>
      </c>
      <c r="J117" s="25" t="s">
        <v>23</v>
      </c>
      <c r="K117" s="25" t="s">
        <v>23</v>
      </c>
    </row>
    <row r="118" spans="1:51" ht="57" customHeight="1" x14ac:dyDescent="0.2">
      <c r="A118" s="28"/>
      <c r="B118" s="12" t="s">
        <v>36</v>
      </c>
      <c r="C118" s="12"/>
      <c r="D118" s="6" t="s">
        <v>18</v>
      </c>
      <c r="E118" s="25">
        <f>F118</f>
        <v>61732.47</v>
      </c>
      <c r="F118" s="25">
        <f>57765.58+3966.89</f>
        <v>61732.47</v>
      </c>
      <c r="G118" s="25" t="s">
        <v>23</v>
      </c>
      <c r="H118" s="14" t="s">
        <v>23</v>
      </c>
      <c r="I118" s="25">
        <f>F118-3966.89</f>
        <v>57765.58</v>
      </c>
      <c r="J118" s="25" t="s">
        <v>23</v>
      </c>
      <c r="K118" s="25" t="s">
        <v>23</v>
      </c>
    </row>
    <row r="119" spans="1:51" ht="43.15" customHeight="1" x14ac:dyDescent="0.2">
      <c r="A119" s="83" t="s">
        <v>70</v>
      </c>
      <c r="B119" s="12" t="s">
        <v>17</v>
      </c>
      <c r="C119" s="12"/>
      <c r="D119" s="4" t="s">
        <v>18</v>
      </c>
      <c r="E119" s="11">
        <f t="shared" ref="E119:E124" si="18">SUM(F119:H119)</f>
        <v>85527.17</v>
      </c>
      <c r="F119" s="11">
        <f>49557.18+4107.42</f>
        <v>53664.6</v>
      </c>
      <c r="G119" s="14">
        <v>11092.25</v>
      </c>
      <c r="H119" s="14">
        <v>20770.32</v>
      </c>
      <c r="I119" s="14">
        <f>49557.18-1908.73+G119-165.7</f>
        <v>58575</v>
      </c>
      <c r="J119" s="14">
        <v>2383.54</v>
      </c>
      <c r="K119" s="14">
        <v>120.83</v>
      </c>
      <c r="L119" s="26" t="s">
        <v>79</v>
      </c>
      <c r="M119" s="26"/>
      <c r="N119" s="26" t="s">
        <v>157</v>
      </c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V119" s="7">
        <v>7790.73</v>
      </c>
      <c r="AW119" s="7">
        <v>1428.72</v>
      </c>
      <c r="AX119" s="7">
        <v>411.21</v>
      </c>
    </row>
    <row r="120" spans="1:51" ht="43.15" customHeight="1" x14ac:dyDescent="0.2">
      <c r="A120" s="84"/>
      <c r="B120" s="12" t="s">
        <v>17</v>
      </c>
      <c r="C120" s="12"/>
      <c r="D120" s="4" t="s">
        <v>18</v>
      </c>
      <c r="E120" s="11">
        <f t="shared" si="18"/>
        <v>86069.14</v>
      </c>
      <c r="F120" s="11">
        <f>49557.18+4107.42</f>
        <v>53664.6</v>
      </c>
      <c r="G120" s="14">
        <v>11634.22</v>
      </c>
      <c r="H120" s="14">
        <v>20770.32</v>
      </c>
      <c r="I120" s="14">
        <f>49557.18-1908.73+G120-165.7</f>
        <v>59116.97</v>
      </c>
      <c r="J120" s="14">
        <v>2383.54</v>
      </c>
      <c r="K120" s="14">
        <v>120.83</v>
      </c>
      <c r="L120" s="26" t="s">
        <v>80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</row>
    <row r="121" spans="1:51" ht="45" customHeight="1" x14ac:dyDescent="0.2">
      <c r="A121" s="84"/>
      <c r="B121" s="12" t="s">
        <v>17</v>
      </c>
      <c r="C121" s="12"/>
      <c r="D121" s="4" t="s">
        <v>18</v>
      </c>
      <c r="E121" s="11">
        <f t="shared" si="18"/>
        <v>85857.65</v>
      </c>
      <c r="F121" s="11">
        <f>49557.18+4107.42</f>
        <v>53664.6</v>
      </c>
      <c r="G121" s="14">
        <v>11422.73</v>
      </c>
      <c r="H121" s="14">
        <v>20770.32</v>
      </c>
      <c r="I121" s="14">
        <f>49557.18-1908.73+G121-165.7</f>
        <v>58905.479999999996</v>
      </c>
      <c r="J121" s="14">
        <v>2383.54</v>
      </c>
      <c r="K121" s="14">
        <v>120.83</v>
      </c>
      <c r="L121" s="26" t="s">
        <v>81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</row>
    <row r="122" spans="1:51" ht="45.6" customHeight="1" x14ac:dyDescent="0.2">
      <c r="A122" s="84"/>
      <c r="B122" s="12" t="s">
        <v>17</v>
      </c>
      <c r="C122" s="12"/>
      <c r="D122" s="4" t="s">
        <v>18</v>
      </c>
      <c r="E122" s="11">
        <f t="shared" si="18"/>
        <v>86375.62</v>
      </c>
      <c r="F122" s="11">
        <f>49557.18+4107.42</f>
        <v>53664.6</v>
      </c>
      <c r="G122" s="14">
        <v>11940.7</v>
      </c>
      <c r="H122" s="14">
        <v>20770.32</v>
      </c>
      <c r="I122" s="14">
        <f>49557.18-1908.73+G122-165.7</f>
        <v>59423.45</v>
      </c>
      <c r="J122" s="14">
        <v>2383.54</v>
      </c>
      <c r="K122" s="14">
        <v>120.83</v>
      </c>
      <c r="L122" s="26" t="s">
        <v>82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</row>
    <row r="123" spans="1:51" ht="45.6" customHeight="1" x14ac:dyDescent="0.2">
      <c r="A123" s="84"/>
      <c r="B123" s="12" t="s">
        <v>17</v>
      </c>
      <c r="C123" s="12"/>
      <c r="D123" s="4" t="s">
        <v>18</v>
      </c>
      <c r="E123" s="11">
        <f t="shared" si="18"/>
        <v>86126.88</v>
      </c>
      <c r="F123" s="11">
        <f>49557.18+4107.42</f>
        <v>53664.6</v>
      </c>
      <c r="G123" s="14">
        <v>11691.96</v>
      </c>
      <c r="H123" s="14">
        <v>20770.32</v>
      </c>
      <c r="I123" s="14">
        <f>49557.18-1908.73+G123-165.7</f>
        <v>59174.71</v>
      </c>
      <c r="J123" s="14">
        <v>2383.54</v>
      </c>
      <c r="K123" s="14">
        <v>120.83</v>
      </c>
      <c r="L123" s="26" t="s">
        <v>77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</row>
    <row r="124" spans="1:51" ht="57" customHeight="1" x14ac:dyDescent="0.2">
      <c r="A124" s="84"/>
      <c r="B124" s="12" t="s">
        <v>141</v>
      </c>
      <c r="C124" s="12"/>
      <c r="D124" s="4" t="s">
        <v>18</v>
      </c>
      <c r="E124" s="11">
        <f t="shared" si="18"/>
        <v>135937.23000000001</v>
      </c>
      <c r="F124" s="11">
        <f>99367.53+4107.42</f>
        <v>103474.95</v>
      </c>
      <c r="G124" s="14">
        <v>11691.96</v>
      </c>
      <c r="H124" s="14">
        <v>20770.32</v>
      </c>
      <c r="I124" s="14">
        <f>99367.53-14470.57+G124-165.7</f>
        <v>96423.219999999987</v>
      </c>
      <c r="J124" s="14">
        <v>2383.54</v>
      </c>
      <c r="K124" s="14">
        <v>120.83</v>
      </c>
      <c r="L124" s="26" t="s">
        <v>77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</row>
    <row r="125" spans="1:51" ht="111.6" customHeight="1" x14ac:dyDescent="0.2">
      <c r="A125" s="84"/>
      <c r="B125" s="12" t="s">
        <v>19</v>
      </c>
      <c r="C125" s="12"/>
      <c r="D125" s="4" t="s">
        <v>20</v>
      </c>
      <c r="E125" s="11" t="s">
        <v>184</v>
      </c>
      <c r="F125" s="11" t="s">
        <v>199</v>
      </c>
      <c r="G125" s="14" t="s">
        <v>186</v>
      </c>
      <c r="H125" s="14" t="s">
        <v>203</v>
      </c>
      <c r="I125" s="14" t="s">
        <v>187</v>
      </c>
      <c r="J125" s="14" t="s">
        <v>165</v>
      </c>
      <c r="K125" s="14" t="s">
        <v>166</v>
      </c>
      <c r="L125" s="26" t="s">
        <v>78</v>
      </c>
      <c r="M125" s="26"/>
      <c r="N125" s="26" t="s">
        <v>159</v>
      </c>
      <c r="O125" s="26" t="s">
        <v>157</v>
      </c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V125" s="7">
        <v>1998.78</v>
      </c>
      <c r="AW125" s="7">
        <v>4001.99</v>
      </c>
      <c r="AX125" s="7">
        <v>45178.25</v>
      </c>
      <c r="AY125" s="9">
        <f>AV125+AW125+AX125</f>
        <v>51179.02</v>
      </c>
    </row>
    <row r="126" spans="1:51" ht="128.44999999999999" customHeight="1" x14ac:dyDescent="0.2">
      <c r="A126" s="84"/>
      <c r="B126" s="12" t="s">
        <v>21</v>
      </c>
      <c r="C126" s="12"/>
      <c r="D126" s="4" t="s">
        <v>20</v>
      </c>
      <c r="E126" s="11" t="s">
        <v>185</v>
      </c>
      <c r="F126" s="11" t="s">
        <v>200</v>
      </c>
      <c r="G126" s="14" t="s">
        <v>179</v>
      </c>
      <c r="H126" s="14" t="s">
        <v>204</v>
      </c>
      <c r="I126" s="14" t="s">
        <v>188</v>
      </c>
      <c r="J126" s="14" t="s">
        <v>165</v>
      </c>
      <c r="K126" s="14" t="s">
        <v>166</v>
      </c>
      <c r="AX126" s="7">
        <f>1998.78+4001.99+45178.25</f>
        <v>51179.02</v>
      </c>
    </row>
    <row r="127" spans="1:51" ht="75" customHeight="1" x14ac:dyDescent="0.2">
      <c r="A127" s="84"/>
      <c r="B127" s="5" t="s">
        <v>43</v>
      </c>
      <c r="C127" s="5"/>
      <c r="D127" s="6" t="s">
        <v>18</v>
      </c>
      <c r="E127" s="25" t="s">
        <v>23</v>
      </c>
      <c r="F127" s="25" t="s">
        <v>23</v>
      </c>
      <c r="G127" s="25" t="s">
        <v>23</v>
      </c>
      <c r="H127" s="14" t="s">
        <v>23</v>
      </c>
      <c r="I127" s="25" t="s">
        <v>23</v>
      </c>
      <c r="J127" s="25" t="s">
        <v>23</v>
      </c>
      <c r="K127" s="25" t="s">
        <v>23</v>
      </c>
    </row>
    <row r="128" spans="1:51" ht="16.899999999999999" customHeight="1" x14ac:dyDescent="0.2">
      <c r="A128" s="84"/>
      <c r="B128" s="5" t="s">
        <v>37</v>
      </c>
      <c r="C128" s="5"/>
      <c r="D128" s="6" t="s">
        <v>18</v>
      </c>
      <c r="E128" s="25">
        <f>F128</f>
        <v>115351.56</v>
      </c>
      <c r="F128" s="25">
        <v>115351.56</v>
      </c>
      <c r="G128" s="25" t="s">
        <v>23</v>
      </c>
      <c r="H128" s="14" t="s">
        <v>23</v>
      </c>
      <c r="I128" s="25">
        <f>F128-1677.86</f>
        <v>113673.7</v>
      </c>
      <c r="J128" s="25" t="s">
        <v>23</v>
      </c>
      <c r="K128" s="25" t="s">
        <v>23</v>
      </c>
    </row>
    <row r="129" spans="1:75" ht="16.899999999999999" customHeight="1" x14ac:dyDescent="0.2">
      <c r="A129" s="84"/>
      <c r="B129" s="5" t="s">
        <v>38</v>
      </c>
      <c r="C129" s="5"/>
      <c r="D129" s="6" t="s">
        <v>18</v>
      </c>
      <c r="E129" s="25">
        <f t="shared" ref="E129:E131" si="19">F129</f>
        <v>139428.28</v>
      </c>
      <c r="F129" s="25">
        <v>139428.28</v>
      </c>
      <c r="G129" s="25" t="s">
        <v>23</v>
      </c>
      <c r="H129" s="14" t="s">
        <v>23</v>
      </c>
      <c r="I129" s="25">
        <f t="shared" ref="I129:I131" si="20">F129-1677.86</f>
        <v>137750.42000000001</v>
      </c>
      <c r="J129" s="25" t="s">
        <v>23</v>
      </c>
      <c r="K129" s="25" t="s">
        <v>23</v>
      </c>
    </row>
    <row r="130" spans="1:75" ht="16.899999999999999" customHeight="1" x14ac:dyDescent="0.2">
      <c r="A130" s="84"/>
      <c r="B130" s="5" t="s">
        <v>39</v>
      </c>
      <c r="C130" s="5"/>
      <c r="D130" s="6" t="s">
        <v>18</v>
      </c>
      <c r="E130" s="25">
        <f t="shared" si="19"/>
        <v>18833.28</v>
      </c>
      <c r="F130" s="25">
        <v>18833.28</v>
      </c>
      <c r="G130" s="25" t="s">
        <v>23</v>
      </c>
      <c r="H130" s="14" t="s">
        <v>23</v>
      </c>
      <c r="I130" s="25">
        <f t="shared" si="20"/>
        <v>17155.419999999998</v>
      </c>
      <c r="J130" s="25" t="s">
        <v>23</v>
      </c>
      <c r="K130" s="25" t="s">
        <v>23</v>
      </c>
    </row>
    <row r="131" spans="1:75" ht="16.899999999999999" customHeight="1" x14ac:dyDescent="0.2">
      <c r="A131" s="84"/>
      <c r="B131" s="5" t="s">
        <v>40</v>
      </c>
      <c r="C131" s="5"/>
      <c r="D131" s="6" t="s">
        <v>18</v>
      </c>
      <c r="E131" s="25">
        <f t="shared" si="19"/>
        <v>22516.240000000002</v>
      </c>
      <c r="F131" s="25">
        <v>22516.240000000002</v>
      </c>
      <c r="G131" s="25" t="s">
        <v>23</v>
      </c>
      <c r="H131" s="14" t="s">
        <v>23</v>
      </c>
      <c r="I131" s="25">
        <f t="shared" si="20"/>
        <v>20838.38</v>
      </c>
      <c r="J131" s="25" t="s">
        <v>23</v>
      </c>
      <c r="K131" s="25" t="s">
        <v>23</v>
      </c>
    </row>
    <row r="132" spans="1:75" ht="63" customHeight="1" x14ac:dyDescent="0.2">
      <c r="A132" s="84"/>
      <c r="B132" s="12" t="s">
        <v>34</v>
      </c>
      <c r="C132" s="12"/>
      <c r="D132" s="6" t="s">
        <v>18</v>
      </c>
      <c r="E132" s="25">
        <f>SUM(F132:H132)</f>
        <v>352134.41</v>
      </c>
      <c r="F132" s="25">
        <f>348026.99+4107.42</f>
        <v>352134.41</v>
      </c>
      <c r="G132" s="25" t="s">
        <v>140</v>
      </c>
      <c r="H132" s="14" t="s">
        <v>23</v>
      </c>
      <c r="I132" s="25">
        <f>348026.99-1908.73</f>
        <v>346118.26</v>
      </c>
      <c r="J132" s="25" t="s">
        <v>23</v>
      </c>
      <c r="K132" s="25" t="s">
        <v>23</v>
      </c>
    </row>
    <row r="133" spans="1:75" ht="63" customHeight="1" x14ac:dyDescent="0.2">
      <c r="A133" s="84"/>
      <c r="B133" s="12" t="s">
        <v>42</v>
      </c>
      <c r="C133" s="12"/>
      <c r="D133" s="6" t="s">
        <v>18</v>
      </c>
      <c r="E133" s="25">
        <f>SUM(F133:H133)</f>
        <v>524269.51</v>
      </c>
      <c r="F133" s="25">
        <f>520162.09+4107.42</f>
        <v>524269.51</v>
      </c>
      <c r="G133" s="25" t="s">
        <v>140</v>
      </c>
      <c r="H133" s="14" t="s">
        <v>23</v>
      </c>
      <c r="I133" s="25">
        <f>520162.09-1908.73</f>
        <v>518253.36000000004</v>
      </c>
      <c r="J133" s="25" t="s">
        <v>23</v>
      </c>
      <c r="K133" s="25" t="s">
        <v>23</v>
      </c>
    </row>
    <row r="134" spans="1:75" ht="62.45" customHeight="1" x14ac:dyDescent="0.2">
      <c r="A134" s="84"/>
      <c r="B134" s="12" t="s">
        <v>35</v>
      </c>
      <c r="C134" s="12"/>
      <c r="D134" s="6" t="s">
        <v>18</v>
      </c>
      <c r="E134" s="25">
        <f>F134</f>
        <v>49447.040000000001</v>
      </c>
      <c r="F134" s="25">
        <f>49447.04</f>
        <v>49447.040000000001</v>
      </c>
      <c r="G134" s="25" t="s">
        <v>23</v>
      </c>
      <c r="H134" s="14" t="s">
        <v>23</v>
      </c>
      <c r="I134" s="25">
        <f>E134</f>
        <v>49447.040000000001</v>
      </c>
      <c r="J134" s="25" t="s">
        <v>23</v>
      </c>
      <c r="K134" s="25" t="s">
        <v>23</v>
      </c>
    </row>
    <row r="135" spans="1:75" ht="60.6" customHeight="1" x14ac:dyDescent="0.2">
      <c r="A135" s="84"/>
      <c r="B135" s="12" t="s">
        <v>36</v>
      </c>
      <c r="C135" s="12"/>
      <c r="D135" s="6" t="s">
        <v>18</v>
      </c>
      <c r="E135" s="25">
        <f>F135</f>
        <v>60172.480000000003</v>
      </c>
      <c r="F135" s="25">
        <v>60172.480000000003</v>
      </c>
      <c r="G135" s="25" t="s">
        <v>23</v>
      </c>
      <c r="H135" s="14" t="s">
        <v>23</v>
      </c>
      <c r="I135" s="25">
        <f>E135</f>
        <v>60172.480000000003</v>
      </c>
      <c r="J135" s="25" t="s">
        <v>23</v>
      </c>
      <c r="K135" s="25" t="s">
        <v>23</v>
      </c>
    </row>
    <row r="136" spans="1:75" ht="74.45" customHeight="1" x14ac:dyDescent="0.2">
      <c r="A136" s="85"/>
      <c r="B136" s="12" t="s">
        <v>98</v>
      </c>
      <c r="C136" s="12"/>
      <c r="D136" s="6" t="s">
        <v>18</v>
      </c>
      <c r="E136" s="25">
        <f>F136+G136</f>
        <v>58292.21</v>
      </c>
      <c r="F136" s="25">
        <f>43092.54+4107.42</f>
        <v>47199.96</v>
      </c>
      <c r="G136" s="14">
        <v>11092.25</v>
      </c>
      <c r="H136" s="14" t="s">
        <v>23</v>
      </c>
      <c r="I136" s="25">
        <f>43092.54-871.1+G136-165.7</f>
        <v>53147.990000000005</v>
      </c>
      <c r="J136" s="25" t="s">
        <v>23</v>
      </c>
      <c r="K136" s="25" t="s">
        <v>23</v>
      </c>
      <c r="L136" s="7" t="s">
        <v>79</v>
      </c>
    </row>
    <row r="137" spans="1:75" ht="70.900000000000006" customHeight="1" x14ac:dyDescent="0.2">
      <c r="A137" s="96" t="s">
        <v>135</v>
      </c>
      <c r="B137" s="12" t="s">
        <v>60</v>
      </c>
      <c r="C137" s="12"/>
      <c r="D137" s="6" t="s">
        <v>18</v>
      </c>
      <c r="E137" s="25">
        <f>F137</f>
        <v>4592.9799999999996</v>
      </c>
      <c r="F137" s="25">
        <v>4592.9799999999996</v>
      </c>
      <c r="G137" s="25" t="s">
        <v>23</v>
      </c>
      <c r="H137" s="14" t="s">
        <v>23</v>
      </c>
      <c r="I137" s="25">
        <f>F137</f>
        <v>4592.9799999999996</v>
      </c>
      <c r="J137" s="25" t="s">
        <v>23</v>
      </c>
      <c r="K137" s="25" t="s">
        <v>23</v>
      </c>
    </row>
    <row r="138" spans="1:75" ht="74.45" customHeight="1" x14ac:dyDescent="0.2">
      <c r="A138" s="97"/>
      <c r="B138" s="12" t="s">
        <v>61</v>
      </c>
      <c r="C138" s="12"/>
      <c r="D138" s="6" t="s">
        <v>18</v>
      </c>
      <c r="E138" s="25">
        <f>F138</f>
        <v>5752.01</v>
      </c>
      <c r="F138" s="25">
        <v>5752.01</v>
      </c>
      <c r="G138" s="25" t="s">
        <v>23</v>
      </c>
      <c r="H138" s="14" t="s">
        <v>23</v>
      </c>
      <c r="I138" s="14">
        <f>F138</f>
        <v>5752.01</v>
      </c>
      <c r="J138" s="25" t="s">
        <v>23</v>
      </c>
      <c r="K138" s="25" t="s">
        <v>23</v>
      </c>
    </row>
    <row r="139" spans="1:75" ht="73.150000000000006" customHeight="1" x14ac:dyDescent="0.2">
      <c r="A139" s="98"/>
      <c r="B139" s="12" t="s">
        <v>72</v>
      </c>
      <c r="C139" s="12"/>
      <c r="D139" s="6" t="s">
        <v>18</v>
      </c>
      <c r="E139" s="25" t="s">
        <v>23</v>
      </c>
      <c r="F139" s="25" t="s">
        <v>23</v>
      </c>
      <c r="G139" s="25" t="s">
        <v>23</v>
      </c>
      <c r="H139" s="14">
        <v>5421.31</v>
      </c>
      <c r="I139" s="25" t="s">
        <v>23</v>
      </c>
      <c r="J139" s="25" t="s">
        <v>23</v>
      </c>
      <c r="K139" s="25" t="s">
        <v>23</v>
      </c>
      <c r="L139" s="26" t="s">
        <v>77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</row>
    <row r="140" spans="1:75" ht="88.9" customHeight="1" x14ac:dyDescent="0.2">
      <c r="A140" s="99" t="s">
        <v>142</v>
      </c>
      <c r="B140" s="116" t="s">
        <v>143</v>
      </c>
      <c r="C140" s="12"/>
      <c r="D140" s="6" t="s">
        <v>144</v>
      </c>
      <c r="E140" s="57">
        <f>F140</f>
        <v>2217471.81</v>
      </c>
      <c r="F140" s="57">
        <v>2217471.81</v>
      </c>
      <c r="G140" s="58" t="s">
        <v>23</v>
      </c>
      <c r="H140" s="117" t="s">
        <v>23</v>
      </c>
      <c r="I140" s="57">
        <f>F140</f>
        <v>2217471.81</v>
      </c>
      <c r="J140" s="57"/>
      <c r="K140" s="57"/>
      <c r="L140" s="26" t="s">
        <v>77</v>
      </c>
    </row>
    <row r="141" spans="1:75" ht="144.6" customHeight="1" x14ac:dyDescent="0.2">
      <c r="A141" s="100"/>
      <c r="B141" s="61" t="s">
        <v>145</v>
      </c>
      <c r="C141" s="12"/>
      <c r="D141" s="6" t="s">
        <v>144</v>
      </c>
      <c r="E141" s="57">
        <f>F141</f>
        <v>39062.44</v>
      </c>
      <c r="F141" s="57">
        <v>39062.44</v>
      </c>
      <c r="G141" s="58" t="s">
        <v>23</v>
      </c>
      <c r="H141" s="117" t="s">
        <v>23</v>
      </c>
      <c r="I141" s="57">
        <f>F141-3500</f>
        <v>35562.44</v>
      </c>
      <c r="J141" s="57"/>
      <c r="K141" s="57"/>
      <c r="L141" s="26" t="s">
        <v>77</v>
      </c>
    </row>
    <row r="142" spans="1:75" ht="30" customHeight="1" x14ac:dyDescent="0.25">
      <c r="A142" s="31" t="s">
        <v>29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</row>
    <row r="143" spans="1:75" ht="99" customHeight="1" x14ac:dyDescent="0.2">
      <c r="A143" s="15" t="s">
        <v>3</v>
      </c>
      <c r="B143" s="15" t="s">
        <v>26</v>
      </c>
      <c r="C143" s="15"/>
      <c r="D143" s="15" t="s">
        <v>16</v>
      </c>
      <c r="E143" s="15" t="s">
        <v>4</v>
      </c>
      <c r="F143" s="15" t="s">
        <v>5</v>
      </c>
      <c r="G143" s="15" t="s">
        <v>0</v>
      </c>
      <c r="H143" s="15" t="s">
        <v>32</v>
      </c>
      <c r="I143" s="15" t="s">
        <v>6</v>
      </c>
      <c r="J143" s="15" t="s">
        <v>7</v>
      </c>
      <c r="K143" s="15" t="s">
        <v>1</v>
      </c>
      <c r="N143" s="76" t="s">
        <v>193</v>
      </c>
      <c r="O143" s="73">
        <f>N146+N147+N148</f>
        <v>20238520</v>
      </c>
      <c r="R143" s="67" t="s">
        <v>167</v>
      </c>
      <c r="S143" s="68"/>
      <c r="T143" s="68"/>
      <c r="U143" s="68"/>
      <c r="BE143" s="118" t="s">
        <v>111</v>
      </c>
      <c r="BF143" s="119" t="s">
        <v>112</v>
      </c>
      <c r="BG143" s="119" t="s">
        <v>113</v>
      </c>
      <c r="BH143" s="120" t="s">
        <v>114</v>
      </c>
      <c r="BI143" s="120" t="s">
        <v>115</v>
      </c>
      <c r="BJ143" s="119" t="s">
        <v>116</v>
      </c>
      <c r="BK143" s="119" t="s">
        <v>117</v>
      </c>
      <c r="BL143" s="121" t="s">
        <v>118</v>
      </c>
      <c r="BM143" s="122" t="s">
        <v>119</v>
      </c>
      <c r="BN143" s="123" t="s">
        <v>120</v>
      </c>
      <c r="BO143" s="124" t="s">
        <v>121</v>
      </c>
      <c r="BP143" s="124" t="s">
        <v>122</v>
      </c>
      <c r="BQ143" s="125" t="s">
        <v>123</v>
      </c>
      <c r="BR143" s="125" t="s">
        <v>122</v>
      </c>
      <c r="BS143" s="126" t="s">
        <v>124</v>
      </c>
      <c r="BT143" s="127" t="s">
        <v>126</v>
      </c>
      <c r="BU143" s="127" t="s">
        <v>122</v>
      </c>
      <c r="BV143" s="128" t="s">
        <v>124</v>
      </c>
      <c r="BW143" s="129"/>
    </row>
    <row r="144" spans="1:75" ht="21.6" customHeight="1" x14ac:dyDescent="0.2">
      <c r="A144" s="87" t="s">
        <v>8</v>
      </c>
      <c r="B144" s="87"/>
      <c r="C144" s="87"/>
      <c r="D144" s="87"/>
      <c r="E144" s="77" t="s">
        <v>9</v>
      </c>
      <c r="F144" s="77" t="s">
        <v>9</v>
      </c>
      <c r="G144" s="77" t="s">
        <v>9</v>
      </c>
      <c r="H144" s="77" t="s">
        <v>9</v>
      </c>
      <c r="I144" s="77" t="s">
        <v>9</v>
      </c>
      <c r="J144" s="77" t="s">
        <v>9</v>
      </c>
      <c r="K144" s="77" t="s">
        <v>9</v>
      </c>
      <c r="O144" s="74" t="s">
        <v>191</v>
      </c>
      <c r="R144" s="68"/>
      <c r="S144" s="39" t="s">
        <v>127</v>
      </c>
      <c r="T144" s="39" t="s">
        <v>114</v>
      </c>
      <c r="U144" s="69" t="s">
        <v>128</v>
      </c>
      <c r="V144" s="48"/>
      <c r="W144" s="69" t="s">
        <v>168</v>
      </c>
      <c r="X144" s="39" t="s">
        <v>127</v>
      </c>
      <c r="Y144" s="39" t="s">
        <v>114</v>
      </c>
      <c r="Z144" s="69" t="s">
        <v>128</v>
      </c>
      <c r="AA144" s="48"/>
      <c r="AB144" s="48"/>
      <c r="AC144" s="48"/>
      <c r="AD144" s="48"/>
      <c r="AE144" s="48"/>
      <c r="AH144" s="55" t="s">
        <v>131</v>
      </c>
      <c r="AI144" s="47" t="s">
        <v>127</v>
      </c>
      <c r="AJ144" s="47" t="s">
        <v>114</v>
      </c>
      <c r="AK144" s="48" t="s">
        <v>128</v>
      </c>
      <c r="AL144" s="48"/>
      <c r="AM144" s="48"/>
      <c r="AN144" s="48"/>
      <c r="AO144" s="48"/>
      <c r="AP144" s="48"/>
      <c r="AQ144" s="48"/>
      <c r="AR144" s="48"/>
      <c r="AS144" s="48"/>
      <c r="AU144" s="48" t="s">
        <v>129</v>
      </c>
      <c r="AV144" s="47" t="s">
        <v>127</v>
      </c>
      <c r="AW144" s="47" t="s">
        <v>114</v>
      </c>
      <c r="AX144" s="48" t="s">
        <v>128</v>
      </c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  <c r="BR144" s="130"/>
      <c r="BS144" s="131" t="s">
        <v>125</v>
      </c>
      <c r="BT144" s="130"/>
      <c r="BU144" s="130"/>
      <c r="BV144" s="131" t="s">
        <v>125</v>
      </c>
      <c r="BW144" s="132"/>
    </row>
    <row r="145" spans="1:77" ht="71.45" customHeight="1" x14ac:dyDescent="0.2">
      <c r="A145" s="60" t="s">
        <v>108</v>
      </c>
      <c r="B145" s="60" t="s">
        <v>27</v>
      </c>
      <c r="C145" s="60"/>
      <c r="D145" s="79" t="s">
        <v>58</v>
      </c>
      <c r="E145" s="70">
        <f>279.4+82.48</f>
        <v>361.88</v>
      </c>
      <c r="F145" s="70" t="s">
        <v>110</v>
      </c>
      <c r="G145" s="70" t="s">
        <v>110</v>
      </c>
      <c r="H145" s="70" t="s">
        <v>110</v>
      </c>
      <c r="I145" s="70">
        <f>187.83+51.32+82.48</f>
        <v>321.63</v>
      </c>
      <c r="J145" s="70">
        <f>0.32+13.37</f>
        <v>13.69</v>
      </c>
      <c r="K145" s="70">
        <f>0.03+6.05</f>
        <v>6.08</v>
      </c>
      <c r="M145" s="72">
        <f>E145-E158</f>
        <v>76.230000000000018</v>
      </c>
      <c r="N145" s="9">
        <f>M145*72.54/100</f>
        <v>55.297242000000011</v>
      </c>
      <c r="O145" s="9">
        <f>M145*18.9/100</f>
        <v>14.407470000000004</v>
      </c>
      <c r="P145" s="9">
        <f>M145*8.56/100</f>
        <v>6.5252880000000015</v>
      </c>
      <c r="Q145" s="8" t="s">
        <v>191</v>
      </c>
      <c r="R145" s="39">
        <v>319.62</v>
      </c>
      <c r="S145" s="39">
        <v>135.51</v>
      </c>
      <c r="T145" s="39">
        <v>40.03</v>
      </c>
      <c r="U145" s="39">
        <v>5.64</v>
      </c>
      <c r="V145" s="34"/>
      <c r="W145" s="39">
        <f>319.62+30.52</f>
        <v>350.14</v>
      </c>
      <c r="X145" s="39">
        <f t="shared" ref="X145:X150" si="21">S145+9.6734697</f>
        <v>145.18346969999999</v>
      </c>
      <c r="Y145" s="39">
        <v>40.03</v>
      </c>
      <c r="Z145" s="40">
        <f t="shared" ref="Z145:Z150" si="22">U145+1.9072</f>
        <v>7.5472000000000001</v>
      </c>
      <c r="AA145" s="34"/>
      <c r="AB145" s="34"/>
      <c r="AC145" s="34"/>
      <c r="AD145" s="34"/>
      <c r="AE145" s="34"/>
      <c r="AH145" s="52">
        <v>267</v>
      </c>
      <c r="AI145" s="34">
        <v>136.80000000000001</v>
      </c>
      <c r="AJ145" s="34">
        <v>27.62</v>
      </c>
      <c r="AK145" s="34">
        <v>3.54</v>
      </c>
      <c r="AL145" s="34"/>
      <c r="AM145" s="34"/>
      <c r="AN145" s="34"/>
      <c r="AO145" s="34"/>
      <c r="AP145" s="34"/>
      <c r="AQ145" s="34"/>
      <c r="AR145" s="34"/>
      <c r="AS145" s="34"/>
      <c r="AU145" s="46">
        <v>211.40100000000001</v>
      </c>
      <c r="AV145" s="49">
        <f>122.18+8.462+13.38+0.52</f>
        <v>144.542</v>
      </c>
      <c r="AW145" s="35">
        <v>16.89</v>
      </c>
      <c r="AX145" s="34">
        <v>1.24</v>
      </c>
      <c r="BE145" s="37">
        <f>211.4-12.4</f>
        <v>199</v>
      </c>
      <c r="BF145" s="70">
        <f>134.58-12.4</f>
        <v>122.18</v>
      </c>
      <c r="BG145" s="39">
        <v>11.78</v>
      </c>
      <c r="BH145" s="14">
        <v>16.89</v>
      </c>
      <c r="BI145" s="14">
        <v>1.24</v>
      </c>
      <c r="BJ145" s="39">
        <v>0.247</v>
      </c>
      <c r="BK145" s="39">
        <f>43.26-1.31</f>
        <v>41.949999999999996</v>
      </c>
      <c r="BL145" s="39">
        <f>4.68+0.031</f>
        <v>4.7109999999999994</v>
      </c>
      <c r="BM145" s="39">
        <f t="shared" ref="BM145:BM150" si="23">BG145+BJ145+BK145+BL145</f>
        <v>58.687999999999995</v>
      </c>
      <c r="BN145" s="42">
        <v>207.46</v>
      </c>
      <c r="BO145" s="40">
        <f>BN145-BH145-BI145-BM145</f>
        <v>130.642</v>
      </c>
      <c r="BP145" s="41">
        <f>BO145-122.18</f>
        <v>8.4619999999999891</v>
      </c>
      <c r="BQ145" s="40">
        <f>BS145-BH145-BI145-BM145</f>
        <v>144.02199999999999</v>
      </c>
      <c r="BR145" s="41">
        <f>BQ145-BO145</f>
        <v>13.379999999999995</v>
      </c>
      <c r="BS145" s="43">
        <v>220.84</v>
      </c>
      <c r="BT145" s="40">
        <f t="shared" ref="BT145:BT150" si="24">BV145-BH145-BI145-BM145</f>
        <v>144.54200000000003</v>
      </c>
      <c r="BU145" s="41">
        <f t="shared" ref="BU145:BU150" si="25">BT145-BQ145</f>
        <v>0.52000000000003865</v>
      </c>
      <c r="BV145" s="44">
        <v>221.36</v>
      </c>
    </row>
    <row r="146" spans="1:77" ht="58.9" customHeight="1" x14ac:dyDescent="0.2">
      <c r="A146" s="13" t="s">
        <v>63</v>
      </c>
      <c r="B146" s="13" t="s">
        <v>27</v>
      </c>
      <c r="C146" s="13"/>
      <c r="D146" s="15" t="s">
        <v>58</v>
      </c>
      <c r="E146" s="70">
        <f>279.41+82.48</f>
        <v>361.89000000000004</v>
      </c>
      <c r="F146" s="70" t="s">
        <v>110</v>
      </c>
      <c r="G146" s="70" t="s">
        <v>110</v>
      </c>
      <c r="H146" s="70" t="s">
        <v>110</v>
      </c>
      <c r="I146" s="14">
        <f>188.4+51.32+82.48</f>
        <v>322.2</v>
      </c>
      <c r="J146" s="14">
        <f>0.39+13.37</f>
        <v>13.76</v>
      </c>
      <c r="K146" s="14">
        <f>0.04+6.05</f>
        <v>6.09</v>
      </c>
      <c r="M146" s="75" t="s">
        <v>127</v>
      </c>
      <c r="N146" s="8">
        <v>14680568</v>
      </c>
      <c r="O146" s="71">
        <f>14680568*100/O143</f>
        <v>72.537754737006466</v>
      </c>
      <c r="P146" s="7" t="s">
        <v>190</v>
      </c>
      <c r="R146" s="39"/>
      <c r="S146" s="39"/>
      <c r="T146" s="39"/>
      <c r="U146" s="39"/>
      <c r="V146" s="34"/>
      <c r="W146" s="39"/>
      <c r="X146" s="39"/>
      <c r="Y146" s="39"/>
      <c r="Z146" s="39"/>
      <c r="AA146" s="34"/>
      <c r="AB146" s="34"/>
      <c r="AC146" s="34"/>
      <c r="AD146" s="34"/>
      <c r="AE146" s="34"/>
      <c r="AH146" s="53">
        <v>194.24</v>
      </c>
      <c r="AI146" s="34">
        <v>94.61</v>
      </c>
      <c r="AJ146" s="34">
        <v>13.052</v>
      </c>
      <c r="AK146" s="34">
        <v>1.671</v>
      </c>
      <c r="AL146" s="34"/>
      <c r="AM146" s="34"/>
      <c r="AN146" s="34"/>
      <c r="AO146" s="34"/>
      <c r="AP146" s="34"/>
      <c r="AQ146" s="34"/>
      <c r="AR146" s="34"/>
      <c r="AS146" s="34"/>
      <c r="AU146" s="50">
        <v>229.35</v>
      </c>
      <c r="AV146" s="49">
        <f>127.13+11.64+18.41+0.72</f>
        <v>157.89999999999998</v>
      </c>
      <c r="AW146" s="34">
        <v>11.821999999999999</v>
      </c>
      <c r="AX146" s="34">
        <v>0.86699999999999999</v>
      </c>
      <c r="BE146" s="38">
        <f>205.68-7.1</f>
        <v>198.58</v>
      </c>
      <c r="BF146" s="14">
        <v>127.13</v>
      </c>
      <c r="BG146" s="39">
        <v>6.53</v>
      </c>
      <c r="BH146" s="133">
        <v>11.824</v>
      </c>
      <c r="BI146" s="133">
        <v>0.86699999999999999</v>
      </c>
      <c r="BJ146" s="39">
        <v>0.17299999999999999</v>
      </c>
      <c r="BK146" s="39">
        <f>55.97-5.93</f>
        <v>50.04</v>
      </c>
      <c r="BL146" s="39">
        <f>1.998+0.021</f>
        <v>2.0190000000000001</v>
      </c>
      <c r="BM146" s="39">
        <f t="shared" si="23"/>
        <v>58.762</v>
      </c>
      <c r="BN146" s="42">
        <v>210.22</v>
      </c>
      <c r="BO146" s="40">
        <f t="shared" ref="BO146:BO150" si="26">BN146-BH146-BI146-BM146</f>
        <v>138.767</v>
      </c>
      <c r="BP146" s="40">
        <f>BO146-127.13</f>
        <v>11.637</v>
      </c>
      <c r="BQ146" s="40">
        <f t="shared" ref="BQ146:BQ150" si="27">BS146-BH146-BI146-BM146</f>
        <v>157.17699999999999</v>
      </c>
      <c r="BR146" s="41">
        <f>BQ146-BO146</f>
        <v>18.409999999999997</v>
      </c>
      <c r="BS146" s="43">
        <v>228.63</v>
      </c>
      <c r="BT146" s="40">
        <f t="shared" si="24"/>
        <v>157.89699999999999</v>
      </c>
      <c r="BU146" s="41">
        <f t="shared" si="25"/>
        <v>0.71999999999999886</v>
      </c>
      <c r="BV146" s="44">
        <v>229.35</v>
      </c>
      <c r="BW146" s="45"/>
      <c r="BX146" s="35"/>
      <c r="BY146" s="35"/>
    </row>
    <row r="147" spans="1:77" ht="72" customHeight="1" x14ac:dyDescent="0.2">
      <c r="A147" s="13" t="s">
        <v>64</v>
      </c>
      <c r="B147" s="13" t="s">
        <v>27</v>
      </c>
      <c r="C147" s="13"/>
      <c r="D147" s="15" t="s">
        <v>58</v>
      </c>
      <c r="E147" s="70">
        <f>279.39+82.48</f>
        <v>361.87</v>
      </c>
      <c r="F147" s="70" t="s">
        <v>110</v>
      </c>
      <c r="G147" s="70" t="s">
        <v>110</v>
      </c>
      <c r="H147" s="70" t="s">
        <v>110</v>
      </c>
      <c r="I147" s="14">
        <f>172.36+51.32+82.48</f>
        <v>306.16000000000003</v>
      </c>
      <c r="J147" s="14">
        <f>0.19+13.37</f>
        <v>13.559999999999999</v>
      </c>
      <c r="K147" s="14">
        <f>0.02+6.05</f>
        <v>6.0699999999999994</v>
      </c>
      <c r="M147" s="75" t="s">
        <v>114</v>
      </c>
      <c r="N147" s="8">
        <v>3824352</v>
      </c>
      <c r="O147" s="71">
        <f>3824352*100/O143</f>
        <v>18.896401515525838</v>
      </c>
      <c r="P147" s="7" t="s">
        <v>190</v>
      </c>
      <c r="R147" s="39"/>
      <c r="S147" s="39"/>
      <c r="T147" s="39"/>
      <c r="U147" s="39"/>
      <c r="V147" s="34"/>
      <c r="W147" s="39"/>
      <c r="X147" s="39"/>
      <c r="Y147" s="39"/>
      <c r="Z147" s="39"/>
      <c r="AA147" s="34"/>
      <c r="AB147" s="34"/>
      <c r="AC147" s="34"/>
      <c r="AD147" s="34"/>
      <c r="AE147" s="34"/>
      <c r="AH147" s="53">
        <v>197.02</v>
      </c>
      <c r="AI147" s="34">
        <v>73.37</v>
      </c>
      <c r="AJ147" s="34">
        <v>11.53</v>
      </c>
      <c r="AK147" s="34">
        <v>1.48</v>
      </c>
      <c r="AL147" s="34"/>
      <c r="AM147" s="34"/>
      <c r="AN147" s="34"/>
      <c r="AO147" s="34"/>
      <c r="AP147" s="34"/>
      <c r="AQ147" s="34"/>
      <c r="AR147" s="34"/>
      <c r="AS147" s="34"/>
      <c r="AU147" s="50">
        <v>266.29000000000002</v>
      </c>
      <c r="AV147" s="49">
        <f>106.47+25.4+40.12+1.58</f>
        <v>173.57000000000002</v>
      </c>
      <c r="AW147" s="34">
        <v>10.7</v>
      </c>
      <c r="AX147" s="34">
        <v>0.78</v>
      </c>
      <c r="BE147" s="38">
        <f>202.73-3.53</f>
        <v>199.2</v>
      </c>
      <c r="BF147" s="14">
        <v>106.47</v>
      </c>
      <c r="BG147" s="39">
        <v>29.44</v>
      </c>
      <c r="BH147" s="14">
        <v>10.7</v>
      </c>
      <c r="BI147" s="133">
        <v>0.78</v>
      </c>
      <c r="BJ147" s="39">
        <v>0.156</v>
      </c>
      <c r="BK147" s="39">
        <f>53.4-3.52</f>
        <v>49.879999999999995</v>
      </c>
      <c r="BL147" s="39">
        <f>1.75+0.019</f>
        <v>1.7689999999999999</v>
      </c>
      <c r="BM147" s="39">
        <f t="shared" si="23"/>
        <v>81.245000000000005</v>
      </c>
      <c r="BN147" s="42">
        <v>224.59</v>
      </c>
      <c r="BO147" s="40">
        <f t="shared" si="26"/>
        <v>131.86500000000001</v>
      </c>
      <c r="BP147" s="40">
        <f>BO147-106.47</f>
        <v>25.39500000000001</v>
      </c>
      <c r="BQ147" s="40">
        <f t="shared" si="27"/>
        <v>171.98499999999999</v>
      </c>
      <c r="BR147" s="41">
        <f>BQ147-BO147</f>
        <v>40.119999999999976</v>
      </c>
      <c r="BS147" s="43">
        <v>264.70999999999998</v>
      </c>
      <c r="BT147" s="40">
        <f t="shared" si="24"/>
        <v>173.56500000000003</v>
      </c>
      <c r="BU147" s="41">
        <f t="shared" si="25"/>
        <v>1.5800000000000409</v>
      </c>
      <c r="BV147" s="44">
        <v>266.29000000000002</v>
      </c>
      <c r="BW147" s="45"/>
      <c r="BX147" s="35"/>
      <c r="BY147" s="35"/>
    </row>
    <row r="148" spans="1:77" ht="74.45" customHeight="1" x14ac:dyDescent="0.2">
      <c r="A148" s="13" t="s">
        <v>65</v>
      </c>
      <c r="B148" s="13" t="s">
        <v>27</v>
      </c>
      <c r="C148" s="13"/>
      <c r="D148" s="15" t="s">
        <v>58</v>
      </c>
      <c r="E148" s="70">
        <f>279.42+82.48+0.0566</f>
        <v>361.95660000000004</v>
      </c>
      <c r="F148" s="70" t="s">
        <v>110</v>
      </c>
      <c r="G148" s="70" t="s">
        <v>110</v>
      </c>
      <c r="H148" s="70" t="s">
        <v>110</v>
      </c>
      <c r="I148" s="14">
        <f>163.96+51.32+17+82.48+0.0566</f>
        <v>314.81659999999999</v>
      </c>
      <c r="J148" s="14">
        <f>1.69+13.37</f>
        <v>15.059999999999999</v>
      </c>
      <c r="K148" s="14">
        <f>0.14+6.05</f>
        <v>6.1899999999999995</v>
      </c>
      <c r="M148" s="7" t="s">
        <v>192</v>
      </c>
      <c r="N148" s="8">
        <v>1733600</v>
      </c>
      <c r="O148" s="71">
        <f>1733600*100/O143</f>
        <v>8.5658437474676994</v>
      </c>
      <c r="P148" s="7" t="s">
        <v>190</v>
      </c>
      <c r="R148" s="39">
        <v>300.27</v>
      </c>
      <c r="S148" s="39">
        <v>105.77</v>
      </c>
      <c r="T148" s="39">
        <v>37.119999999999997</v>
      </c>
      <c r="U148" s="39">
        <v>12.285</v>
      </c>
      <c r="V148" s="34"/>
      <c r="W148" s="39">
        <f>300.27+30.52</f>
        <v>330.78999999999996</v>
      </c>
      <c r="X148" s="39">
        <f t="shared" si="21"/>
        <v>115.44346969999999</v>
      </c>
      <c r="Y148" s="39">
        <v>37.119999999999997</v>
      </c>
      <c r="Z148" s="39">
        <f t="shared" si="22"/>
        <v>14.1922</v>
      </c>
      <c r="AA148" s="34"/>
      <c r="AB148" s="34"/>
      <c r="AC148" s="34"/>
      <c r="AD148" s="34"/>
      <c r="AE148" s="34"/>
      <c r="AH148" s="53">
        <v>184.63</v>
      </c>
      <c r="AI148" s="34">
        <v>74.05</v>
      </c>
      <c r="AJ148" s="34">
        <v>11.84</v>
      </c>
      <c r="AK148" s="34">
        <v>1.516</v>
      </c>
      <c r="AL148" s="34"/>
      <c r="AM148" s="34"/>
      <c r="AN148" s="34"/>
      <c r="AO148" s="34"/>
      <c r="AP148" s="34"/>
      <c r="AQ148" s="34"/>
      <c r="AR148" s="34"/>
      <c r="AS148" s="34"/>
      <c r="AU148" s="50">
        <v>238.2</v>
      </c>
      <c r="AV148" s="49">
        <f>120.68+14.93+23.61+0.93</f>
        <v>160.15000000000003</v>
      </c>
      <c r="AW148" s="34">
        <v>12.38</v>
      </c>
      <c r="AX148" s="34">
        <v>0.90800000000000003</v>
      </c>
      <c r="BE148" s="38">
        <f>200.98-2.25</f>
        <v>198.73</v>
      </c>
      <c r="BF148" s="14">
        <v>120.68</v>
      </c>
      <c r="BG148" s="39">
        <v>4.49</v>
      </c>
      <c r="BH148" s="14">
        <v>12.38</v>
      </c>
      <c r="BI148" s="133">
        <v>0.90800000000000003</v>
      </c>
      <c r="BJ148" s="39">
        <v>0.18</v>
      </c>
      <c r="BK148" s="39">
        <f>60.25-3.13</f>
        <v>57.12</v>
      </c>
      <c r="BL148" s="39">
        <f>2.06+0.91</f>
        <v>2.97</v>
      </c>
      <c r="BM148" s="39">
        <f t="shared" si="23"/>
        <v>64.760000000000005</v>
      </c>
      <c r="BN148" s="42">
        <v>213.66</v>
      </c>
      <c r="BO148" s="40">
        <f t="shared" si="26"/>
        <v>135.61200000000002</v>
      </c>
      <c r="BP148" s="40">
        <f>BO148-120.68</f>
        <v>14.932000000000016</v>
      </c>
      <c r="BQ148" s="40">
        <f t="shared" si="27"/>
        <v>159.22200000000004</v>
      </c>
      <c r="BR148" s="41">
        <f t="shared" ref="BR148:BR150" si="28">BQ148-BO148</f>
        <v>23.610000000000014</v>
      </c>
      <c r="BS148" s="43">
        <v>237.27</v>
      </c>
      <c r="BT148" s="40">
        <f t="shared" si="24"/>
        <v>160.15199999999999</v>
      </c>
      <c r="BU148" s="41">
        <f t="shared" si="25"/>
        <v>0.92999999999994998</v>
      </c>
      <c r="BV148" s="44">
        <v>238.2</v>
      </c>
      <c r="BW148" s="45"/>
      <c r="BX148" s="35"/>
      <c r="BY148" s="35"/>
    </row>
    <row r="149" spans="1:77" ht="63" customHeight="1" x14ac:dyDescent="0.2">
      <c r="A149" s="13" t="s">
        <v>66</v>
      </c>
      <c r="B149" s="13" t="s">
        <v>27</v>
      </c>
      <c r="C149" s="13"/>
      <c r="D149" s="15" t="s">
        <v>58</v>
      </c>
      <c r="E149" s="70">
        <f>279.43+82.48</f>
        <v>361.91</v>
      </c>
      <c r="F149" s="70" t="s">
        <v>110</v>
      </c>
      <c r="G149" s="70" t="s">
        <v>110</v>
      </c>
      <c r="H149" s="70" t="s">
        <v>110</v>
      </c>
      <c r="I149" s="14">
        <f>191.76+51.32+82.48</f>
        <v>325.56</v>
      </c>
      <c r="J149" s="14">
        <f>2.01+13.37</f>
        <v>15.379999999999999</v>
      </c>
      <c r="K149" s="14">
        <f>0.22+6.05</f>
        <v>6.27</v>
      </c>
      <c r="R149" s="39">
        <v>489.29</v>
      </c>
      <c r="S149" s="39">
        <v>212.68</v>
      </c>
      <c r="T149" s="39">
        <v>58.24</v>
      </c>
      <c r="U149" s="39">
        <v>7.96</v>
      </c>
      <c r="V149" s="34"/>
      <c r="W149" s="39">
        <f>489.29+30.52</f>
        <v>519.81000000000006</v>
      </c>
      <c r="X149" s="39">
        <f t="shared" si="21"/>
        <v>222.35346970000001</v>
      </c>
      <c r="Y149" s="39">
        <v>58.24</v>
      </c>
      <c r="Z149" s="39">
        <f t="shared" si="22"/>
        <v>9.8672000000000004</v>
      </c>
      <c r="AA149" s="34"/>
      <c r="AB149" s="34"/>
      <c r="AC149" s="34"/>
      <c r="AD149" s="34"/>
      <c r="AE149" s="34"/>
      <c r="AH149" s="53">
        <v>197.34</v>
      </c>
      <c r="AI149" s="34">
        <v>94.53</v>
      </c>
      <c r="AJ149" s="34">
        <v>15.48</v>
      </c>
      <c r="AK149" s="34">
        <v>1.98</v>
      </c>
      <c r="AL149" s="34"/>
      <c r="AM149" s="34"/>
      <c r="AN149" s="34"/>
      <c r="AO149" s="34"/>
      <c r="AP149" s="34"/>
      <c r="AQ149" s="34"/>
      <c r="AR149" s="34"/>
      <c r="AS149" s="34"/>
      <c r="AU149" s="50">
        <v>212.21</v>
      </c>
      <c r="AV149" s="49">
        <f>122+4.7+7.42+0.29</f>
        <v>134.41</v>
      </c>
      <c r="AW149" s="34">
        <v>16.04</v>
      </c>
      <c r="AX149" s="34">
        <v>1.18</v>
      </c>
      <c r="BE149" s="38">
        <f>220.3-20.5</f>
        <v>199.8</v>
      </c>
      <c r="BF149" s="14">
        <v>122</v>
      </c>
      <c r="BG149" s="39">
        <v>6.57</v>
      </c>
      <c r="BH149" s="14">
        <v>16.04</v>
      </c>
      <c r="BI149" s="14">
        <v>1.18</v>
      </c>
      <c r="BJ149" s="39">
        <v>0.23</v>
      </c>
      <c r="BK149" s="39">
        <f>53.17-2.04</f>
        <v>51.13</v>
      </c>
      <c r="BL149" s="39">
        <f>2.62+0.03</f>
        <v>2.65</v>
      </c>
      <c r="BM149" s="39">
        <f t="shared" si="23"/>
        <v>60.580000000000005</v>
      </c>
      <c r="BN149" s="42">
        <v>204.5</v>
      </c>
      <c r="BO149" s="40">
        <f t="shared" si="26"/>
        <v>126.69999999999999</v>
      </c>
      <c r="BP149" s="40">
        <f>BO149-122</f>
        <v>4.6999999999999886</v>
      </c>
      <c r="BQ149" s="40">
        <f t="shared" si="27"/>
        <v>134.11999999999998</v>
      </c>
      <c r="BR149" s="41">
        <f t="shared" si="28"/>
        <v>7.4199999999999875</v>
      </c>
      <c r="BS149" s="43">
        <v>211.92</v>
      </c>
      <c r="BT149" s="40">
        <f t="shared" si="24"/>
        <v>134.41</v>
      </c>
      <c r="BU149" s="41">
        <f t="shared" si="25"/>
        <v>0.29000000000002046</v>
      </c>
      <c r="BV149" s="44">
        <v>212.21</v>
      </c>
      <c r="BW149" s="45"/>
      <c r="BX149" s="35"/>
      <c r="BY149" s="35"/>
    </row>
    <row r="150" spans="1:77" ht="85.15" customHeight="1" x14ac:dyDescent="0.2">
      <c r="A150" s="13" t="s">
        <v>67</v>
      </c>
      <c r="B150" s="13" t="s">
        <v>27</v>
      </c>
      <c r="C150" s="13"/>
      <c r="D150" s="15" t="s">
        <v>58</v>
      </c>
      <c r="E150" s="70">
        <f>279.4+82.48</f>
        <v>361.88</v>
      </c>
      <c r="F150" s="70" t="s">
        <v>110</v>
      </c>
      <c r="G150" s="70" t="s">
        <v>110</v>
      </c>
      <c r="H150" s="70" t="s">
        <v>110</v>
      </c>
      <c r="I150" s="14">
        <f>171.76+51.32+82.48</f>
        <v>305.56</v>
      </c>
      <c r="J150" s="14">
        <f>1.69+13.37</f>
        <v>15.059999999999999</v>
      </c>
      <c r="K150" s="14">
        <f>0.19+6.05</f>
        <v>6.24</v>
      </c>
      <c r="R150" s="39">
        <v>290.33999999999997</v>
      </c>
      <c r="S150" s="39">
        <v>132.83000000000001</v>
      </c>
      <c r="T150" s="39">
        <v>38.94</v>
      </c>
      <c r="U150" s="39">
        <v>12.81</v>
      </c>
      <c r="V150" s="34"/>
      <c r="W150" s="39">
        <f>290.34+30.52</f>
        <v>320.85999999999996</v>
      </c>
      <c r="X150" s="39">
        <f t="shared" si="21"/>
        <v>142.50346970000001</v>
      </c>
      <c r="Y150" s="39">
        <v>38.94</v>
      </c>
      <c r="Z150" s="39">
        <f t="shared" si="22"/>
        <v>14.7172</v>
      </c>
      <c r="AA150" s="34"/>
      <c r="AB150" s="34"/>
      <c r="AC150" s="34"/>
      <c r="AD150" s="34"/>
      <c r="AE150" s="34"/>
      <c r="AH150" s="53">
        <v>192.32</v>
      </c>
      <c r="AI150" s="34">
        <v>109.07</v>
      </c>
      <c r="AJ150" s="34">
        <v>19.12</v>
      </c>
      <c r="AK150" s="34">
        <v>2.4500000000000002</v>
      </c>
      <c r="AL150" s="34"/>
      <c r="AM150" s="34"/>
      <c r="AN150" s="34"/>
      <c r="AO150" s="34"/>
      <c r="AP150" s="34"/>
      <c r="AQ150" s="34"/>
      <c r="AR150" s="34"/>
      <c r="AS150" s="34"/>
      <c r="AU150" s="50">
        <v>219.42</v>
      </c>
      <c r="AV150" s="49">
        <f>133.4+9.86+15.58+0.62</f>
        <v>159.46</v>
      </c>
      <c r="AW150" s="34">
        <v>16.89</v>
      </c>
      <c r="AX150" s="34">
        <v>1.24</v>
      </c>
      <c r="BE150" s="38">
        <f>200-6.64</f>
        <v>193.36</v>
      </c>
      <c r="BF150" s="14">
        <v>133.4</v>
      </c>
      <c r="BG150" s="39">
        <v>3.78</v>
      </c>
      <c r="BH150" s="14">
        <v>16.89</v>
      </c>
      <c r="BI150" s="14">
        <v>1.24</v>
      </c>
      <c r="BJ150" s="39">
        <v>0.8</v>
      </c>
      <c r="BK150" s="39">
        <v>34.340000000000003</v>
      </c>
      <c r="BL150" s="39">
        <f>2.88+0.03</f>
        <v>2.9099999999999997</v>
      </c>
      <c r="BM150" s="39">
        <f t="shared" si="23"/>
        <v>41.83</v>
      </c>
      <c r="BN150" s="42">
        <v>203.22</v>
      </c>
      <c r="BO150" s="40">
        <f t="shared" si="26"/>
        <v>143.26</v>
      </c>
      <c r="BP150" s="40">
        <f>BO150-133.4</f>
        <v>9.8599999999999852</v>
      </c>
      <c r="BQ150" s="40">
        <f t="shared" si="27"/>
        <v>158.84000000000003</v>
      </c>
      <c r="BR150" s="41">
        <f t="shared" si="28"/>
        <v>15.580000000000041</v>
      </c>
      <c r="BS150" s="43">
        <v>218.8</v>
      </c>
      <c r="BT150" s="40">
        <f t="shared" si="24"/>
        <v>159.45999999999998</v>
      </c>
      <c r="BU150" s="41">
        <f t="shared" si="25"/>
        <v>0.6199999999999477</v>
      </c>
      <c r="BV150" s="44">
        <v>219.42</v>
      </c>
      <c r="BW150" s="45"/>
      <c r="BX150" s="35"/>
      <c r="BY150" s="35"/>
    </row>
    <row r="151" spans="1:77" ht="48.6" customHeight="1" x14ac:dyDescent="0.25">
      <c r="A151" s="61" t="s">
        <v>151</v>
      </c>
      <c r="B151" s="13" t="s">
        <v>27</v>
      </c>
      <c r="C151" s="13"/>
      <c r="D151" s="66" t="s">
        <v>152</v>
      </c>
      <c r="E151" s="70">
        <v>191863.84</v>
      </c>
      <c r="F151" s="70" t="s">
        <v>110</v>
      </c>
      <c r="G151" s="70" t="s">
        <v>110</v>
      </c>
      <c r="H151" s="70" t="s">
        <v>110</v>
      </c>
      <c r="I151" s="14">
        <v>173582.64</v>
      </c>
      <c r="J151" s="14">
        <v>13544.51</v>
      </c>
      <c r="K151" s="14">
        <v>838.52</v>
      </c>
      <c r="N151" s="8"/>
      <c r="O151" s="8"/>
      <c r="R151" s="39">
        <v>822641.93</v>
      </c>
      <c r="S151" s="39">
        <v>276304.15000000002</v>
      </c>
      <c r="T151" s="39">
        <v>373085.78</v>
      </c>
      <c r="U151" s="39">
        <v>33944.199999999997</v>
      </c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H151" s="54">
        <v>1187327.6599999999</v>
      </c>
      <c r="AI151" s="35">
        <v>593061.06000000006</v>
      </c>
      <c r="AJ151" s="35">
        <v>313471.09999999998</v>
      </c>
      <c r="AK151" s="35">
        <v>40138.239999999998</v>
      </c>
      <c r="AL151" s="35"/>
      <c r="AM151" s="35"/>
      <c r="AN151" s="35"/>
      <c r="AO151" s="35"/>
      <c r="AP151" s="35"/>
      <c r="AQ151" s="35"/>
      <c r="AR151" s="35"/>
      <c r="AS151" s="35"/>
      <c r="AU151" s="51">
        <v>2413431.79</v>
      </c>
      <c r="AV151" s="49">
        <v>1158246.98</v>
      </c>
      <c r="AW151" s="35">
        <v>877506.83</v>
      </c>
      <c r="AX151" s="35">
        <v>64368.99</v>
      </c>
      <c r="BD151" s="134"/>
      <c r="BE151" s="33">
        <f>1806231.18+607200.61</f>
        <v>2413431.79</v>
      </c>
      <c r="BF151" s="33">
        <v>1158246.98</v>
      </c>
      <c r="BG151" s="36"/>
      <c r="BH151" s="33">
        <f>336208.68+541298.15</f>
        <v>877506.83000000007</v>
      </c>
      <c r="BI151" s="33">
        <f>33717.09+30651.9</f>
        <v>64368.99</v>
      </c>
      <c r="BJ151" s="34"/>
      <c r="BK151" s="34"/>
      <c r="BL151" s="34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</row>
    <row r="152" spans="1:77" ht="18.600000000000001" customHeight="1" x14ac:dyDescent="0.2"/>
    <row r="155" spans="1:77" ht="15.75" x14ac:dyDescent="0.25">
      <c r="A155" s="31" t="s">
        <v>102</v>
      </c>
      <c r="B155" s="32"/>
      <c r="C155" s="32"/>
      <c r="D155" s="32"/>
      <c r="E155" s="32"/>
      <c r="F155" s="32"/>
      <c r="G155" s="32"/>
      <c r="H155" s="32"/>
      <c r="I155" s="32"/>
      <c r="J155" s="32"/>
      <c r="K155" s="32"/>
    </row>
    <row r="156" spans="1:77" ht="98.45" customHeight="1" x14ac:dyDescent="0.2">
      <c r="A156" s="15" t="s">
        <v>3</v>
      </c>
      <c r="B156" s="15" t="s">
        <v>26</v>
      </c>
      <c r="C156" s="15"/>
      <c r="D156" s="15" t="s">
        <v>16</v>
      </c>
      <c r="E156" s="15" t="s">
        <v>4</v>
      </c>
      <c r="F156" s="15" t="s">
        <v>5</v>
      </c>
      <c r="G156" s="15" t="s">
        <v>0</v>
      </c>
      <c r="H156" s="15" t="s">
        <v>32</v>
      </c>
      <c r="I156" s="15" t="s">
        <v>6</v>
      </c>
      <c r="J156" s="15" t="s">
        <v>7</v>
      </c>
      <c r="K156" s="15" t="s">
        <v>1</v>
      </c>
      <c r="R156" s="67" t="s">
        <v>169</v>
      </c>
      <c r="S156" s="68"/>
      <c r="T156" s="68"/>
      <c r="U156" s="68"/>
      <c r="AB156" s="69" t="s">
        <v>170</v>
      </c>
    </row>
    <row r="157" spans="1:77" ht="21.6" customHeight="1" x14ac:dyDescent="0.2">
      <c r="A157" s="87" t="s">
        <v>8</v>
      </c>
      <c r="B157" s="87"/>
      <c r="C157" s="87"/>
      <c r="D157" s="87"/>
      <c r="E157" s="77" t="s">
        <v>9</v>
      </c>
      <c r="F157" s="77" t="s">
        <v>9</v>
      </c>
      <c r="G157" s="77" t="s">
        <v>9</v>
      </c>
      <c r="H157" s="77" t="s">
        <v>9</v>
      </c>
      <c r="I157" s="77" t="s">
        <v>9</v>
      </c>
      <c r="J157" s="77" t="s">
        <v>9</v>
      </c>
      <c r="K157" s="77" t="s">
        <v>9</v>
      </c>
      <c r="R157" s="68"/>
      <c r="S157" s="39" t="s">
        <v>127</v>
      </c>
      <c r="T157" s="39" t="s">
        <v>114</v>
      </c>
      <c r="U157" s="69" t="s">
        <v>128</v>
      </c>
      <c r="W157" s="69" t="s">
        <v>168</v>
      </c>
      <c r="X157" s="39" t="s">
        <v>127</v>
      </c>
      <c r="Y157" s="39" t="s">
        <v>114</v>
      </c>
      <c r="Z157" s="69" t="s">
        <v>128</v>
      </c>
      <c r="AB157" s="69" t="s">
        <v>170</v>
      </c>
      <c r="AC157" s="39" t="s">
        <v>127</v>
      </c>
      <c r="AD157" s="39" t="s">
        <v>114</v>
      </c>
      <c r="AE157" s="69" t="s">
        <v>128</v>
      </c>
      <c r="AH157" s="55" t="s">
        <v>130</v>
      </c>
      <c r="AI157" s="47" t="s">
        <v>127</v>
      </c>
      <c r="AJ157" s="47" t="s">
        <v>114</v>
      </c>
      <c r="AK157" s="48" t="s">
        <v>128</v>
      </c>
      <c r="AL157" s="48"/>
      <c r="AM157" s="48"/>
      <c r="AN157" s="48"/>
      <c r="AO157" s="48"/>
      <c r="AP157" s="48"/>
      <c r="AQ157" s="48"/>
      <c r="AR157" s="48"/>
      <c r="AS157" s="48"/>
    </row>
    <row r="158" spans="1:77" ht="92.45" customHeight="1" x14ac:dyDescent="0.2">
      <c r="A158" s="60" t="s">
        <v>109</v>
      </c>
      <c r="B158" s="60" t="s">
        <v>27</v>
      </c>
      <c r="C158" s="60"/>
      <c r="D158" s="79" t="s">
        <v>58</v>
      </c>
      <c r="E158" s="70">
        <f>279.4+6.25</f>
        <v>285.64999999999998</v>
      </c>
      <c r="F158" s="70" t="s">
        <v>110</v>
      </c>
      <c r="G158" s="70" t="s">
        <v>110</v>
      </c>
      <c r="H158" s="70" t="s">
        <v>110</v>
      </c>
      <c r="I158" s="70">
        <f>187.83+51.32+6.25</f>
        <v>245.4</v>
      </c>
      <c r="J158" s="70">
        <f>0.32+13.37</f>
        <v>13.69</v>
      </c>
      <c r="K158" s="70">
        <f>0.03+6.05</f>
        <v>6.08</v>
      </c>
      <c r="R158" s="34">
        <v>112.12</v>
      </c>
      <c r="S158" s="34">
        <v>50.14</v>
      </c>
      <c r="T158" s="34">
        <v>18.14</v>
      </c>
      <c r="U158" s="34">
        <v>32</v>
      </c>
      <c r="W158" s="34">
        <f>R158+45.77</f>
        <v>157.89000000000001</v>
      </c>
      <c r="X158" s="34">
        <f>S158+26.3</f>
        <v>76.44</v>
      </c>
      <c r="Y158" s="34">
        <v>18.14</v>
      </c>
      <c r="Z158" s="34">
        <v>32</v>
      </c>
      <c r="AA158" s="34"/>
      <c r="AB158" s="34">
        <v>147.96360200000001</v>
      </c>
      <c r="AC158" s="34"/>
      <c r="AD158" s="34"/>
      <c r="AE158" s="34"/>
      <c r="AH158" s="56">
        <v>124.03</v>
      </c>
      <c r="AI158" s="48" t="s">
        <v>133</v>
      </c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77" ht="87.6" customHeight="1" x14ac:dyDescent="0.2">
      <c r="A159" s="13" t="s">
        <v>103</v>
      </c>
      <c r="B159" s="13" t="s">
        <v>27</v>
      </c>
      <c r="C159" s="13"/>
      <c r="D159" s="15" t="s">
        <v>58</v>
      </c>
      <c r="E159" s="70">
        <f>279.41+6.25</f>
        <v>285.66000000000003</v>
      </c>
      <c r="F159" s="70" t="s">
        <v>110</v>
      </c>
      <c r="G159" s="70" t="s">
        <v>110</v>
      </c>
      <c r="H159" s="70" t="s">
        <v>110</v>
      </c>
      <c r="I159" s="14">
        <f>188.4+51.32+6.25</f>
        <v>245.97</v>
      </c>
      <c r="J159" s="14">
        <f>0.39+13.37</f>
        <v>13.76</v>
      </c>
      <c r="K159" s="14">
        <f>0.04+6.05</f>
        <v>6.09</v>
      </c>
      <c r="R159" s="34">
        <v>111.48</v>
      </c>
      <c r="S159" s="34">
        <v>51.76</v>
      </c>
      <c r="T159" s="34">
        <v>19.760000000000002</v>
      </c>
      <c r="U159" s="34">
        <v>32</v>
      </c>
      <c r="W159" s="34">
        <f>R159+43.92</f>
        <v>155.4</v>
      </c>
      <c r="X159" s="34">
        <f>S159+24.68</f>
        <v>76.44</v>
      </c>
      <c r="Y159" s="34">
        <v>19.760000000000002</v>
      </c>
      <c r="Z159" s="34">
        <v>32</v>
      </c>
      <c r="AA159" s="34"/>
      <c r="AB159" s="34">
        <v>145.473602</v>
      </c>
      <c r="AC159" s="34"/>
      <c r="AD159" s="34"/>
      <c r="AE159" s="34"/>
      <c r="AH159" s="56">
        <v>123.11</v>
      </c>
      <c r="AI159" s="48" t="s">
        <v>133</v>
      </c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77" ht="82.9" customHeight="1" x14ac:dyDescent="0.2">
      <c r="A160" s="13" t="s">
        <v>104</v>
      </c>
      <c r="B160" s="13" t="s">
        <v>27</v>
      </c>
      <c r="C160" s="13"/>
      <c r="D160" s="15" t="s">
        <v>58</v>
      </c>
      <c r="E160" s="70">
        <f>279.39+6.25+0.03215</f>
        <v>285.67214999999999</v>
      </c>
      <c r="F160" s="70" t="s">
        <v>110</v>
      </c>
      <c r="G160" s="70" t="s">
        <v>110</v>
      </c>
      <c r="H160" s="70" t="s">
        <v>110</v>
      </c>
      <c r="I160" s="14">
        <f>172.36+51.32+6.25+0.03215</f>
        <v>229.96215000000001</v>
      </c>
      <c r="J160" s="14">
        <f>0.19+13.37</f>
        <v>13.559999999999999</v>
      </c>
      <c r="K160" s="14">
        <f>0.02+6.05</f>
        <v>6.0699999999999994</v>
      </c>
      <c r="R160" s="34">
        <v>111</v>
      </c>
      <c r="S160" s="34">
        <v>55.33</v>
      </c>
      <c r="T160" s="34">
        <v>23.33</v>
      </c>
      <c r="U160" s="34">
        <v>32</v>
      </c>
      <c r="W160" s="34">
        <f>R160+43.88</f>
        <v>154.88</v>
      </c>
      <c r="X160" s="34">
        <f>S160+21.11</f>
        <v>76.44</v>
      </c>
      <c r="Y160" s="34">
        <v>23.33</v>
      </c>
      <c r="Z160" s="34">
        <v>32</v>
      </c>
      <c r="AA160" s="34"/>
      <c r="AB160" s="34">
        <v>144.95351700000001</v>
      </c>
      <c r="AC160" s="34"/>
      <c r="AD160" s="34"/>
      <c r="AE160" s="34"/>
      <c r="AH160" s="56">
        <v>122.68</v>
      </c>
      <c r="AI160" s="135" t="s">
        <v>149</v>
      </c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85.9" customHeight="1" x14ac:dyDescent="0.2">
      <c r="A161" s="13" t="s">
        <v>105</v>
      </c>
      <c r="B161" s="13" t="s">
        <v>27</v>
      </c>
      <c r="C161" s="13"/>
      <c r="D161" s="15" t="s">
        <v>58</v>
      </c>
      <c r="E161" s="70">
        <f>279.42+6.25</f>
        <v>285.67</v>
      </c>
      <c r="F161" s="70" t="s">
        <v>110</v>
      </c>
      <c r="G161" s="70" t="s">
        <v>110</v>
      </c>
      <c r="H161" s="70" t="s">
        <v>110</v>
      </c>
      <c r="I161" s="14">
        <f>163.96+51.32+17+6.25</f>
        <v>238.53</v>
      </c>
      <c r="J161" s="14">
        <f>1.69+13.37</f>
        <v>15.059999999999999</v>
      </c>
      <c r="K161" s="133">
        <f>0.14+6.05</f>
        <v>6.1899999999999995</v>
      </c>
      <c r="R161" s="34">
        <v>112.18</v>
      </c>
      <c r="S161" s="34">
        <v>51.76</v>
      </c>
      <c r="T161" s="34">
        <v>19.760000000000002</v>
      </c>
      <c r="U161" s="34">
        <v>32</v>
      </c>
      <c r="W161" s="34">
        <f>R161+45.18</f>
        <v>157.36000000000001</v>
      </c>
      <c r="X161" s="34">
        <f>S161+24.68</f>
        <v>76.44</v>
      </c>
      <c r="Y161" s="34">
        <v>19.760000000000002</v>
      </c>
      <c r="Z161" s="34">
        <v>32</v>
      </c>
      <c r="AA161" s="34"/>
      <c r="AB161" s="34">
        <v>147.43360229999999</v>
      </c>
      <c r="AC161" s="34"/>
      <c r="AD161" s="34"/>
      <c r="AE161" s="34"/>
      <c r="AH161" s="56">
        <v>124.35</v>
      </c>
      <c r="AI161" s="135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95.45" customHeight="1" x14ac:dyDescent="0.2">
      <c r="A162" s="13" t="s">
        <v>106</v>
      </c>
      <c r="B162" s="13" t="s">
        <v>27</v>
      </c>
      <c r="C162" s="13"/>
      <c r="D162" s="15" t="s">
        <v>58</v>
      </c>
      <c r="E162" s="70">
        <f>279.43+6.25</f>
        <v>285.68</v>
      </c>
      <c r="F162" s="70" t="s">
        <v>110</v>
      </c>
      <c r="G162" s="70" t="s">
        <v>110</v>
      </c>
      <c r="H162" s="70" t="s">
        <v>110</v>
      </c>
      <c r="I162" s="14">
        <f>191.76+51.32+6.25</f>
        <v>249.32999999999998</v>
      </c>
      <c r="J162" s="14">
        <f>2.01+13.37</f>
        <v>15.379999999999999</v>
      </c>
      <c r="K162" s="14">
        <f>0.22+6.05</f>
        <v>6.27</v>
      </c>
      <c r="R162" s="34">
        <v>112.16</v>
      </c>
      <c r="S162" s="34">
        <v>51.76</v>
      </c>
      <c r="T162" s="34">
        <v>19.760000000000002</v>
      </c>
      <c r="U162" s="34">
        <v>32</v>
      </c>
      <c r="W162" s="34">
        <f>R162+45.18</f>
        <v>157.34</v>
      </c>
      <c r="X162" s="34">
        <f>S162+24.68</f>
        <v>76.44</v>
      </c>
      <c r="Y162" s="34">
        <v>19.760000000000002</v>
      </c>
      <c r="Z162" s="34">
        <v>32</v>
      </c>
      <c r="AA162" s="34"/>
      <c r="AB162" s="34">
        <v>147.41360230000001</v>
      </c>
      <c r="AC162" s="34"/>
      <c r="AD162" s="34"/>
      <c r="AE162" s="34"/>
      <c r="AH162" s="56">
        <v>124.35</v>
      </c>
      <c r="AI162" s="135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02" customHeight="1" x14ac:dyDescent="0.2">
      <c r="A163" s="13" t="s">
        <v>107</v>
      </c>
      <c r="B163" s="13" t="s">
        <v>27</v>
      </c>
      <c r="C163" s="13"/>
      <c r="D163" s="15" t="s">
        <v>58</v>
      </c>
      <c r="E163" s="70">
        <f>279.4+6.25</f>
        <v>285.64999999999998</v>
      </c>
      <c r="F163" s="70" t="s">
        <v>110</v>
      </c>
      <c r="G163" s="70" t="s">
        <v>110</v>
      </c>
      <c r="H163" s="70" t="s">
        <v>110</v>
      </c>
      <c r="I163" s="14">
        <f>171.76+51.32+6.25</f>
        <v>229.32999999999998</v>
      </c>
      <c r="J163" s="14">
        <f>1.69+13.37</f>
        <v>15.059999999999999</v>
      </c>
      <c r="K163" s="14">
        <f>0.19+6.05</f>
        <v>6.24</v>
      </c>
      <c r="R163" s="34">
        <v>112.1</v>
      </c>
      <c r="S163" s="34">
        <v>50.14</v>
      </c>
      <c r="T163" s="34">
        <v>18.14</v>
      </c>
      <c r="U163" s="34">
        <v>32</v>
      </c>
      <c r="W163" s="34">
        <f>R163+45.79</f>
        <v>157.88999999999999</v>
      </c>
      <c r="X163" s="34">
        <f>S163+26.3</f>
        <v>76.44</v>
      </c>
      <c r="Y163" s="34">
        <v>18.14</v>
      </c>
      <c r="Z163" s="34">
        <v>32</v>
      </c>
      <c r="AA163" s="34"/>
      <c r="AB163" s="34">
        <v>147.96350240000001</v>
      </c>
      <c r="AC163" s="34"/>
      <c r="AD163" s="34"/>
      <c r="AE163" s="34"/>
      <c r="AH163" s="56">
        <v>123.8</v>
      </c>
      <c r="AI163" s="48" t="s">
        <v>133</v>
      </c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5" x14ac:dyDescent="0.25">
      <c r="F164" s="136"/>
      <c r="G164" s="137"/>
      <c r="H164" s="137"/>
      <c r="R164" s="34"/>
      <c r="S164" s="34"/>
      <c r="T164" s="34"/>
      <c r="U164" s="34"/>
      <c r="W164" s="34"/>
      <c r="X164" s="34"/>
      <c r="Y164" s="34"/>
      <c r="Z164" s="34"/>
      <c r="AA164" s="34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x14ac:dyDescent="0.2">
      <c r="R165" s="34"/>
      <c r="S165" s="34"/>
      <c r="T165" s="34"/>
      <c r="U165" s="34"/>
      <c r="W165" s="34"/>
      <c r="X165" s="34"/>
      <c r="Y165" s="34"/>
      <c r="Z165" s="34"/>
      <c r="AA165" s="34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x14ac:dyDescent="0.2">
      <c r="A166" s="7" t="s">
        <v>132</v>
      </c>
      <c r="W166" s="34"/>
      <c r="X166" s="34"/>
      <c r="Y166" s="34"/>
      <c r="Z166" s="34"/>
      <c r="AA166" s="34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x14ac:dyDescent="0.2">
      <c r="W167" s="34"/>
      <c r="X167" s="34"/>
      <c r="Y167" s="34"/>
      <c r="Z167" s="34"/>
      <c r="AA167" s="34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5" x14ac:dyDescent="0.25">
      <c r="D168" s="17"/>
      <c r="W168" s="34"/>
      <c r="X168" s="34"/>
      <c r="Y168" s="34"/>
      <c r="Z168" s="34"/>
      <c r="AA168" s="34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x14ac:dyDescent="0.2">
      <c r="W169" s="34"/>
      <c r="X169" s="34"/>
      <c r="Y169" s="34"/>
      <c r="Z169" s="34"/>
      <c r="AA169" s="34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x14ac:dyDescent="0.2">
      <c r="W170" s="34"/>
      <c r="X170" s="34"/>
      <c r="Y170" s="34"/>
      <c r="Z170" s="34"/>
      <c r="AA170" s="34"/>
    </row>
    <row r="171" spans="1:45" x14ac:dyDescent="0.2">
      <c r="W171" s="34"/>
      <c r="X171" s="34"/>
      <c r="Y171" s="34"/>
      <c r="Z171" s="34"/>
      <c r="AA171" s="34"/>
    </row>
    <row r="172" spans="1:45" x14ac:dyDescent="0.2">
      <c r="W172" s="34"/>
      <c r="X172" s="34"/>
      <c r="Y172" s="34"/>
      <c r="Z172" s="34"/>
      <c r="AA172" s="34"/>
    </row>
    <row r="173" spans="1:45" x14ac:dyDescent="0.2">
      <c r="W173" s="34"/>
      <c r="X173" s="34"/>
      <c r="Y173" s="34"/>
      <c r="Z173" s="34"/>
      <c r="AA173" s="34"/>
    </row>
    <row r="174" spans="1:45" x14ac:dyDescent="0.2">
      <c r="W174" s="34"/>
      <c r="X174" s="34"/>
      <c r="Y174" s="34"/>
      <c r="Z174" s="34"/>
      <c r="AA174" s="34"/>
    </row>
  </sheetData>
  <mergeCells count="21">
    <mergeCell ref="A137:A139"/>
    <mergeCell ref="A140:A141"/>
    <mergeCell ref="A144:D144"/>
    <mergeCell ref="A157:D157"/>
    <mergeCell ref="AI160:AI162"/>
    <mergeCell ref="A119:A136"/>
    <mergeCell ref="A3:K3"/>
    <mergeCell ref="A6:D6"/>
    <mergeCell ref="C7:C16"/>
    <mergeCell ref="C17:C23"/>
    <mergeCell ref="C24:C30"/>
    <mergeCell ref="C31:C34"/>
    <mergeCell ref="C35:C37"/>
    <mergeCell ref="C38:C40"/>
    <mergeCell ref="C43:C44"/>
    <mergeCell ref="C46:C47"/>
    <mergeCell ref="C49:C53"/>
    <mergeCell ref="A57:A92"/>
    <mergeCell ref="B57:B61"/>
    <mergeCell ref="A93:A102"/>
    <mergeCell ref="A7:A17"/>
  </mergeCells>
  <pageMargins left="0.11811023622047245" right="0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Прил.№2 с 09.01.25г.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2025-05-07T03:34:47Z</cp:lastPrinted>
  <dcterms:modified xsi:type="dcterms:W3CDTF">2025-06-10T09:23:32Z</dcterms:modified>
</cp:coreProperties>
</file>