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250" windowHeight="12300" activeTab="5"/>
  </bookViews>
  <sheets>
    <sheet name="прилож.3-школы" sheetId="1" r:id="rId1"/>
    <sheet name="прилож.4-школы" sheetId="2" r:id="rId2"/>
    <sheet name="прилож.3-сады" sheetId="5" r:id="rId3"/>
    <sheet name="прилож.4-сады" sheetId="4" r:id="rId4"/>
    <sheet name="прилож.3-ДДТ" sheetId="3" r:id="rId5"/>
    <sheet name="прилож.4-ДДТ" sheetId="6" r:id="rId6"/>
  </sheets>
  <calcPr calcId="144525"/>
</workbook>
</file>

<file path=xl/calcChain.xml><?xml version="1.0" encoding="utf-8"?>
<calcChain xmlns="http://schemas.openxmlformats.org/spreadsheetml/2006/main">
  <c r="S15" i="4" l="1"/>
  <c r="S13" i="4"/>
  <c r="S12" i="4"/>
  <c r="S11" i="4"/>
  <c r="S19" i="4"/>
  <c r="S17" i="4"/>
  <c r="S16" i="4"/>
  <c r="S14" i="4"/>
  <c r="S20" i="4"/>
  <c r="I16" i="3"/>
  <c r="I15" i="3"/>
  <c r="I14" i="3"/>
  <c r="I13" i="3"/>
  <c r="I12" i="3"/>
  <c r="I11" i="3"/>
  <c r="AT13" i="3"/>
  <c r="AT14" i="3"/>
  <c r="AT15" i="3"/>
  <c r="AT16" i="3"/>
  <c r="AT12" i="3"/>
  <c r="AT11" i="3"/>
  <c r="AU10" i="3"/>
  <c r="AT24" i="3"/>
  <c r="AU25" i="3"/>
  <c r="AU22" i="3"/>
  <c r="AU23" i="3"/>
  <c r="AU24" i="3" s="1"/>
  <c r="AU19" i="3"/>
  <c r="AU20" i="3"/>
  <c r="AU21" i="3"/>
  <c r="AU18" i="3"/>
  <c r="AU12" i="3"/>
  <c r="AU13" i="3"/>
  <c r="AU14" i="3"/>
  <c r="AU15" i="3"/>
  <c r="AU16" i="3"/>
  <c r="AU11" i="3"/>
  <c r="AT23" i="3"/>
  <c r="AT22" i="3"/>
  <c r="AT21" i="3"/>
  <c r="AT20" i="3"/>
  <c r="AT19" i="3"/>
  <c r="AT18" i="3"/>
  <c r="AU9" i="3"/>
  <c r="AU17" i="3" l="1"/>
  <c r="AT17" i="3" s="1"/>
  <c r="X10" i="2"/>
  <c r="X15" i="2"/>
  <c r="AU26" i="3" l="1"/>
  <c r="I20" i="3"/>
  <c r="T14" i="2" l="1"/>
  <c r="T12" i="2"/>
  <c r="T11" i="2"/>
  <c r="T10" i="2"/>
  <c r="T13" i="2"/>
  <c r="T15" i="2"/>
  <c r="G152" i="1" l="1"/>
  <c r="I23" i="3" l="1"/>
  <c r="I22" i="3"/>
  <c r="I21" i="3"/>
  <c r="I19" i="3"/>
  <c r="I18" i="3"/>
  <c r="AQ26" i="3"/>
  <c r="AP20" i="3"/>
  <c r="AQ20" i="3" s="1"/>
  <c r="AQ24" i="3" s="1"/>
  <c r="AP24" i="3" s="1"/>
  <c r="AQ23" i="3"/>
  <c r="AQ19" i="3"/>
  <c r="AQ21" i="3"/>
  <c r="AQ22" i="3"/>
  <c r="AQ18" i="3"/>
  <c r="AP23" i="3"/>
  <c r="AP22" i="3"/>
  <c r="AP21" i="3"/>
  <c r="AP19" i="3"/>
  <c r="AP18" i="3"/>
  <c r="AQ25" i="3"/>
  <c r="AO22" i="3"/>
  <c r="AO21" i="3"/>
  <c r="AP17" i="3"/>
  <c r="AQ12" i="3"/>
  <c r="AQ13" i="3"/>
  <c r="AQ14" i="3"/>
  <c r="AQ15" i="3"/>
  <c r="AQ16" i="3"/>
  <c r="AP12" i="3"/>
  <c r="AP13" i="3"/>
  <c r="AP14" i="3"/>
  <c r="AP15" i="3"/>
  <c r="AP16" i="3"/>
  <c r="AQ11" i="3"/>
  <c r="AP11" i="3"/>
  <c r="AQ17" i="3"/>
  <c r="AF25" i="3"/>
  <c r="AD24" i="3"/>
  <c r="AF23" i="3"/>
  <c r="AF22" i="3"/>
  <c r="AF21" i="3"/>
  <c r="AF20" i="3"/>
  <c r="AF19" i="3"/>
  <c r="AF18" i="3"/>
  <c r="AF24" i="3" s="1"/>
  <c r="AE24" i="3" s="1"/>
  <c r="AO20" i="3"/>
  <c r="AO19" i="3"/>
  <c r="AO18" i="3"/>
  <c r="AO9" i="3"/>
  <c r="AF26" i="3" l="1"/>
  <c r="U14" i="2" l="1"/>
  <c r="V14" i="2"/>
  <c r="U12" i="2"/>
  <c r="V12" i="2"/>
  <c r="U11" i="2"/>
  <c r="V11" i="2"/>
  <c r="U10" i="2"/>
  <c r="V10" i="2"/>
  <c r="U13" i="2"/>
  <c r="V13" i="2"/>
  <c r="U15" i="2"/>
  <c r="V15" i="2"/>
  <c r="Q15" i="4"/>
  <c r="R15" i="4"/>
  <c r="Q13" i="4"/>
  <c r="R13" i="4"/>
  <c r="Q12" i="4"/>
  <c r="R12" i="4"/>
  <c r="Q11" i="4"/>
  <c r="R11" i="4"/>
  <c r="Q19" i="4"/>
  <c r="R19" i="4"/>
  <c r="Q18" i="4"/>
  <c r="R18" i="4"/>
  <c r="Q17" i="4"/>
  <c r="R17" i="4"/>
  <c r="Q16" i="4"/>
  <c r="R16" i="4"/>
  <c r="Q14" i="4"/>
  <c r="R14" i="4"/>
  <c r="Q20" i="4" l="1"/>
  <c r="R20" i="4"/>
  <c r="AK21" i="4" l="1"/>
  <c r="F14" i="6" l="1"/>
  <c r="F15" i="6"/>
  <c r="F16" i="6"/>
  <c r="F17" i="6"/>
  <c r="F18" i="6"/>
  <c r="F13" i="6"/>
  <c r="M21" i="3"/>
  <c r="M20" i="3"/>
  <c r="M23" i="3"/>
  <c r="M22" i="3"/>
  <c r="M19" i="3"/>
  <c r="M18" i="3"/>
  <c r="K21" i="3"/>
  <c r="K23" i="3"/>
  <c r="K22" i="3"/>
  <c r="K20" i="3"/>
  <c r="K19" i="3"/>
  <c r="K18" i="3"/>
  <c r="M14" i="3"/>
  <c r="M16" i="3"/>
  <c r="M15" i="3"/>
  <c r="M13" i="3"/>
  <c r="M12" i="3"/>
  <c r="M11" i="3"/>
  <c r="K14" i="3"/>
  <c r="K16" i="3"/>
  <c r="K15" i="3"/>
  <c r="K13" i="3"/>
  <c r="K12" i="3"/>
  <c r="K11" i="3"/>
  <c r="AA25" i="3"/>
  <c r="Z25" i="3"/>
  <c r="Y25" i="3"/>
  <c r="W25" i="3"/>
  <c r="V25" i="3"/>
  <c r="U25" i="3"/>
  <c r="AK24" i="3" l="1"/>
  <c r="AL24" i="3"/>
  <c r="AL23" i="3"/>
  <c r="AL19" i="3"/>
  <c r="AL20" i="3"/>
  <c r="AL21" i="3"/>
  <c r="AL22" i="3"/>
  <c r="AL18" i="3"/>
  <c r="AK19" i="3"/>
  <c r="AK20" i="3"/>
  <c r="AK21" i="3"/>
  <c r="AK22" i="3"/>
  <c r="AK23" i="3"/>
  <c r="AK18" i="3"/>
  <c r="AJ20" i="3"/>
  <c r="AJ19" i="3"/>
  <c r="Z24" i="3"/>
  <c r="V24" i="3"/>
  <c r="AH24" i="3"/>
  <c r="AI24" i="3"/>
  <c r="AI23" i="3"/>
  <c r="AI19" i="3"/>
  <c r="AI20" i="3"/>
  <c r="AI21" i="3"/>
  <c r="AI22" i="3"/>
  <c r="AI18" i="3"/>
  <c r="AH19" i="3"/>
  <c r="AH20" i="3"/>
  <c r="AH21" i="3"/>
  <c r="AH22" i="3"/>
  <c r="AH23" i="3"/>
  <c r="AH18" i="3"/>
  <c r="AG20" i="3"/>
  <c r="AG19" i="3"/>
  <c r="M25" i="3"/>
  <c r="M26" i="3" s="1"/>
  <c r="K25" i="3"/>
  <c r="H25" i="3"/>
  <c r="G25" i="3"/>
  <c r="L25" i="3" s="1"/>
  <c r="N25" i="3" l="1"/>
  <c r="AD9" i="3" l="1"/>
  <c r="Z23" i="3"/>
  <c r="AA23" i="3" s="1"/>
  <c r="Z22" i="3"/>
  <c r="AA22" i="3" s="1"/>
  <c r="Z21" i="3"/>
  <c r="AA21" i="3" s="1"/>
  <c r="Z20" i="3"/>
  <c r="AA20" i="3" s="1"/>
  <c r="Z19" i="3"/>
  <c r="AA19" i="3" s="1"/>
  <c r="Z18" i="3"/>
  <c r="AA18" i="3" s="1"/>
  <c r="Y24" i="3"/>
  <c r="Y17" i="3"/>
  <c r="AA13" i="3"/>
  <c r="AA11" i="3"/>
  <c r="Z16" i="3"/>
  <c r="Z15" i="3"/>
  <c r="Z14" i="3"/>
  <c r="Z12" i="3"/>
  <c r="Z11" i="3"/>
  <c r="S25" i="3"/>
  <c r="W19" i="3"/>
  <c r="W21" i="3"/>
  <c r="W23" i="3"/>
  <c r="V23" i="3"/>
  <c r="V22" i="3"/>
  <c r="W22" i="3" s="1"/>
  <c r="V21" i="3"/>
  <c r="V20" i="3"/>
  <c r="W20" i="3" s="1"/>
  <c r="V19" i="3"/>
  <c r="V18" i="3"/>
  <c r="W18" i="3" s="1"/>
  <c r="W24" i="3" s="1"/>
  <c r="V16" i="3"/>
  <c r="V15" i="3"/>
  <c r="V14" i="3"/>
  <c r="V13" i="3"/>
  <c r="V12" i="3"/>
  <c r="V11" i="3"/>
  <c r="U24" i="3"/>
  <c r="U17" i="3"/>
  <c r="Q24" i="3"/>
  <c r="S23" i="3"/>
  <c r="S22" i="3"/>
  <c r="S21" i="3"/>
  <c r="S20" i="3"/>
  <c r="S19" i="3"/>
  <c r="S18" i="3"/>
  <c r="Q17" i="3"/>
  <c r="S16" i="3"/>
  <c r="S15" i="3"/>
  <c r="S14" i="3"/>
  <c r="S13" i="3"/>
  <c r="S12" i="3"/>
  <c r="S11" i="3"/>
  <c r="AH15" i="2"/>
  <c r="AE15" i="2"/>
  <c r="L15" i="2"/>
  <c r="O202" i="1"/>
  <c r="O194" i="1"/>
  <c r="O182" i="1"/>
  <c r="AH14" i="2"/>
  <c r="AE14" i="2"/>
  <c r="L14" i="2"/>
  <c r="O157" i="1"/>
  <c r="O151" i="1"/>
  <c r="O140" i="1"/>
  <c r="X14" i="2"/>
  <c r="AH13" i="2"/>
  <c r="AE13" i="2"/>
  <c r="L13" i="2"/>
  <c r="O243" i="1"/>
  <c r="O237" i="1"/>
  <c r="O226" i="1"/>
  <c r="X13" i="2"/>
  <c r="AH12" i="2"/>
  <c r="AE12" i="2"/>
  <c r="L12" i="2"/>
  <c r="O117" i="1"/>
  <c r="O109" i="1"/>
  <c r="O99" i="1"/>
  <c r="X12" i="2"/>
  <c r="AH11" i="2"/>
  <c r="AE11" i="2"/>
  <c r="O71" i="1"/>
  <c r="O77" i="1"/>
  <c r="O60" i="1"/>
  <c r="X11" i="2"/>
  <c r="AH10" i="2"/>
  <c r="AE10" i="2"/>
  <c r="O36" i="1"/>
  <c r="O29" i="1"/>
  <c r="O20" i="1"/>
  <c r="AF20" i="4"/>
  <c r="S18" i="4"/>
  <c r="AA24" i="3" l="1"/>
  <c r="W11" i="3"/>
  <c r="W15" i="3"/>
  <c r="W13" i="3"/>
  <c r="AA15" i="3"/>
  <c r="AF37" i="3"/>
  <c r="W16" i="3"/>
  <c r="W14" i="3"/>
  <c r="W12" i="3"/>
  <c r="AA16" i="3"/>
  <c r="AA14" i="3"/>
  <c r="AA17" i="3" s="1"/>
  <c r="AA12" i="3"/>
  <c r="S24" i="3"/>
  <c r="S17" i="3"/>
  <c r="R17" i="3" s="1"/>
  <c r="G154" i="5"/>
  <c r="V123" i="5"/>
  <c r="U123" i="5"/>
  <c r="T123" i="5"/>
  <c r="T120" i="5"/>
  <c r="T93" i="5"/>
  <c r="Q126" i="5"/>
  <c r="Q119" i="5"/>
  <c r="AL9" i="3" l="1"/>
  <c r="AL10" i="3" s="1"/>
  <c r="Z17" i="3"/>
  <c r="R24" i="3"/>
  <c r="AF36" i="3"/>
  <c r="S26" i="3"/>
  <c r="W17" i="3"/>
  <c r="AA26" i="3"/>
  <c r="AE9" i="3"/>
  <c r="Q12" i="5"/>
  <c r="Q16" i="5"/>
  <c r="AK13" i="3" l="1"/>
  <c r="AL13" i="3" s="1"/>
  <c r="AK15" i="3"/>
  <c r="AL15" i="3" s="1"/>
  <c r="AK14" i="3"/>
  <c r="AL14" i="3" s="1"/>
  <c r="AK12" i="3"/>
  <c r="AL12" i="3" s="1"/>
  <c r="AK11" i="3"/>
  <c r="AL11" i="3" s="1"/>
  <c r="AL17" i="3" s="1"/>
  <c r="AK17" i="3" s="1"/>
  <c r="AK16" i="3"/>
  <c r="AL16" i="3" s="1"/>
  <c r="AF9" i="3"/>
  <c r="AI9" i="3"/>
  <c r="AI10" i="3" s="1"/>
  <c r="V17" i="3"/>
  <c r="W26" i="3"/>
  <c r="R239" i="1"/>
  <c r="R229" i="1"/>
  <c r="R216" i="1"/>
  <c r="U202" i="1"/>
  <c r="T202" i="1"/>
  <c r="U194" i="1"/>
  <c r="T194" i="1"/>
  <c r="U182" i="1"/>
  <c r="T182" i="1"/>
  <c r="U167" i="1"/>
  <c r="T167" i="1"/>
  <c r="U157" i="1"/>
  <c r="T157" i="1"/>
  <c r="T151" i="1"/>
  <c r="U151" i="1"/>
  <c r="U140" i="1"/>
  <c r="T140" i="1"/>
  <c r="AH13" i="3" l="1"/>
  <c r="AI13" i="3" s="1"/>
  <c r="AH14" i="3"/>
  <c r="AI14" i="3" s="1"/>
  <c r="AH11" i="3"/>
  <c r="AI11" i="3" s="1"/>
  <c r="AH15" i="3"/>
  <c r="AI15" i="3" s="1"/>
  <c r="AH12" i="3"/>
  <c r="AI12" i="3" s="1"/>
  <c r="AH16" i="3"/>
  <c r="AI16" i="3" s="1"/>
  <c r="AE13" i="3"/>
  <c r="AF13" i="3" s="1"/>
  <c r="AE15" i="3"/>
  <c r="AF15" i="3" s="1"/>
  <c r="AE11" i="3"/>
  <c r="AF11" i="3" s="1"/>
  <c r="AE12" i="3"/>
  <c r="AF12" i="3" s="1"/>
  <c r="AE14" i="3"/>
  <c r="AF14" i="3" s="1"/>
  <c r="AE16" i="3"/>
  <c r="AF16" i="3" s="1"/>
  <c r="R111" i="1"/>
  <c r="R101" i="1"/>
  <c r="R90" i="1"/>
  <c r="R73" i="1"/>
  <c r="R78" i="1" s="1"/>
  <c r="R62" i="1"/>
  <c r="R49" i="1"/>
  <c r="U245" i="1"/>
  <c r="T245" i="1"/>
  <c r="U243" i="1"/>
  <c r="T243" i="1"/>
  <c r="U237" i="1"/>
  <c r="T237" i="1"/>
  <c r="R227" i="1"/>
  <c r="R217" i="1"/>
  <c r="U226" i="1"/>
  <c r="T226" i="1"/>
  <c r="AE217" i="1"/>
  <c r="U126" i="1"/>
  <c r="T126" i="1"/>
  <c r="O126" i="1"/>
  <c r="U117" i="1"/>
  <c r="T117" i="1"/>
  <c r="U109" i="1"/>
  <c r="T109" i="1"/>
  <c r="R118" i="1"/>
  <c r="R110" i="1"/>
  <c r="R100" i="1"/>
  <c r="U99" i="1"/>
  <c r="T99" i="1"/>
  <c r="U86" i="1"/>
  <c r="T86" i="1"/>
  <c r="U36" i="1"/>
  <c r="U60" i="1"/>
  <c r="T60" i="1"/>
  <c r="U71" i="1"/>
  <c r="T71" i="1"/>
  <c r="R72" i="1"/>
  <c r="R61" i="1"/>
  <c r="AF17" i="3" l="1"/>
  <c r="AI17" i="3"/>
  <c r="AH17" i="3" s="1"/>
  <c r="N63" i="1"/>
  <c r="AE17" i="3" l="1"/>
  <c r="AF41" i="3"/>
  <c r="U77" i="1"/>
  <c r="T77" i="1"/>
  <c r="T36" i="1"/>
  <c r="U29" i="1"/>
  <c r="T29" i="1"/>
  <c r="U20" i="1"/>
  <c r="T20" i="1"/>
  <c r="AG17" i="4" l="1"/>
  <c r="L38" i="3" l="1"/>
  <c r="N38" i="3"/>
  <c r="J21" i="3"/>
  <c r="P153" i="1" l="1"/>
  <c r="P150" i="1"/>
  <c r="P143" i="1"/>
  <c r="P139" i="1"/>
  <c r="P130" i="1"/>
  <c r="P209" i="1"/>
  <c r="P201" i="1"/>
  <c r="P197" i="1"/>
  <c r="P196" i="1"/>
  <c r="P192" i="1"/>
  <c r="P185" i="1"/>
  <c r="P184" i="1"/>
  <c r="P180" i="1"/>
  <c r="P171" i="1"/>
  <c r="K201" i="1"/>
  <c r="U199" i="1"/>
  <c r="T199" i="1"/>
  <c r="J199" i="1"/>
  <c r="G199" i="1"/>
  <c r="O199" i="1" s="1"/>
  <c r="N199" i="1" s="1"/>
  <c r="K192" i="1"/>
  <c r="K150" i="1" l="1"/>
  <c r="J41" i="1"/>
  <c r="G41" i="1"/>
  <c r="P41" i="1" s="1"/>
  <c r="F37" i="1"/>
  <c r="H37" i="1"/>
  <c r="I37" i="1"/>
  <c r="E37" i="1"/>
  <c r="T34" i="1"/>
  <c r="K34" i="1"/>
  <c r="J34" i="1" s="1"/>
  <c r="K28" i="1"/>
  <c r="P34" i="1"/>
  <c r="G34" i="1"/>
  <c r="R34" i="1" s="1"/>
  <c r="K19" i="1"/>
  <c r="K224" i="1"/>
  <c r="O229" i="1"/>
  <c r="K236" i="1"/>
  <c r="G233" i="1"/>
  <c r="G234" i="1"/>
  <c r="AC217" i="1"/>
  <c r="O217" i="1"/>
  <c r="K108" i="1"/>
  <c r="K70" i="1"/>
  <c r="O34" i="1" l="1"/>
  <c r="N34" i="1" s="1"/>
  <c r="U34" i="1" s="1"/>
  <c r="M75" i="5" l="1"/>
  <c r="F77" i="5"/>
  <c r="H77" i="5"/>
  <c r="I77" i="5"/>
  <c r="E77" i="5"/>
  <c r="G75" i="5"/>
  <c r="N75" i="5" s="1"/>
  <c r="T75" i="5" s="1"/>
  <c r="U75" i="5" s="1"/>
  <c r="V75" i="5" s="1"/>
  <c r="G67" i="5"/>
  <c r="N67" i="5" s="1"/>
  <c r="K67" i="5"/>
  <c r="M67" i="5" s="1"/>
  <c r="O75" i="5" l="1"/>
  <c r="Q75" i="5"/>
  <c r="O67" i="5"/>
  <c r="Q67" i="5"/>
  <c r="K151" i="5"/>
  <c r="K144" i="5"/>
  <c r="F152" i="5"/>
  <c r="H152" i="5"/>
  <c r="I152" i="5"/>
  <c r="E152" i="5"/>
  <c r="G144" i="5"/>
  <c r="N144" i="5" s="1"/>
  <c r="M144" i="5"/>
  <c r="K132" i="5"/>
  <c r="K136" i="5"/>
  <c r="K130" i="5"/>
  <c r="G135" i="5"/>
  <c r="N135" i="5" s="1"/>
  <c r="K135" i="5"/>
  <c r="M135" i="5" s="1"/>
  <c r="E138" i="5"/>
  <c r="F138" i="5"/>
  <c r="H138" i="5"/>
  <c r="I138" i="5"/>
  <c r="K123" i="5"/>
  <c r="K124" i="5"/>
  <c r="K100" i="5"/>
  <c r="K101" i="5"/>
  <c r="K97" i="5"/>
  <c r="K99" i="5"/>
  <c r="K102" i="5"/>
  <c r="K104" i="5"/>
  <c r="G114" i="5"/>
  <c r="O114" i="5" s="1"/>
  <c r="M114" i="5"/>
  <c r="N114" i="5"/>
  <c r="E117" i="5"/>
  <c r="G104" i="5"/>
  <c r="N104" i="5" s="1"/>
  <c r="M104" i="5"/>
  <c r="K85" i="5"/>
  <c r="K84" i="5"/>
  <c r="K83" i="5"/>
  <c r="K82" i="5"/>
  <c r="M82" i="5" s="1"/>
  <c r="K81" i="5"/>
  <c r="F90" i="5"/>
  <c r="H90" i="5"/>
  <c r="I90" i="5"/>
  <c r="E90" i="5"/>
  <c r="G82" i="5"/>
  <c r="Q82" i="5" s="1"/>
  <c r="K56" i="5"/>
  <c r="K55" i="5"/>
  <c r="G57" i="5"/>
  <c r="N57" i="5" s="1"/>
  <c r="K57" i="5"/>
  <c r="M57" i="5" s="1"/>
  <c r="Q57" i="5"/>
  <c r="K46" i="5"/>
  <c r="K47" i="5"/>
  <c r="K45" i="5"/>
  <c r="K44" i="5"/>
  <c r="K43" i="5"/>
  <c r="M43" i="5" s="1"/>
  <c r="K42" i="5"/>
  <c r="G43" i="5"/>
  <c r="N43" i="5" s="1"/>
  <c r="K31" i="5"/>
  <c r="K32" i="5"/>
  <c r="M32" i="5" s="1"/>
  <c r="K33" i="5"/>
  <c r="K34" i="5"/>
  <c r="M33" i="5"/>
  <c r="K28" i="5"/>
  <c r="K27" i="5"/>
  <c r="K29" i="5"/>
  <c r="K30" i="5"/>
  <c r="G32" i="5"/>
  <c r="Q32" i="5" s="1"/>
  <c r="I32" i="5"/>
  <c r="N32" i="5"/>
  <c r="G33" i="5"/>
  <c r="L38" i="5"/>
  <c r="M38" i="5" s="1"/>
  <c r="P38" i="5"/>
  <c r="R38" i="5"/>
  <c r="E21" i="5"/>
  <c r="N82" i="5" l="1"/>
  <c r="O104" i="5"/>
  <c r="T67" i="5"/>
  <c r="U67" i="5" s="1"/>
  <c r="V67" i="5" s="1"/>
  <c r="O144" i="5"/>
  <c r="Q144" i="5"/>
  <c r="O135" i="5"/>
  <c r="Q135" i="5"/>
  <c r="O82" i="5"/>
  <c r="T82" i="5" s="1"/>
  <c r="U82" i="5" s="1"/>
  <c r="V82" i="5" s="1"/>
  <c r="Q114" i="5"/>
  <c r="T114" i="5" s="1"/>
  <c r="U114" i="5" s="1"/>
  <c r="V114" i="5" s="1"/>
  <c r="Q104" i="5"/>
  <c r="T104" i="5" s="1"/>
  <c r="U104" i="5" s="1"/>
  <c r="V104" i="5" s="1"/>
  <c r="O57" i="5"/>
  <c r="T57" i="5" s="1"/>
  <c r="U57" i="5" s="1"/>
  <c r="V57" i="5" s="1"/>
  <c r="O43" i="5"/>
  <c r="Q43" i="5"/>
  <c r="O32" i="5"/>
  <c r="N33" i="5"/>
  <c r="Q33" i="5"/>
  <c r="O33" i="5"/>
  <c r="I59" i="5"/>
  <c r="H59" i="5"/>
  <c r="I55" i="5"/>
  <c r="H55" i="5"/>
  <c r="F59" i="5"/>
  <c r="E59" i="5"/>
  <c r="E55" i="5"/>
  <c r="F55" i="5"/>
  <c r="Q123" i="5"/>
  <c r="N123" i="5"/>
  <c r="O123" i="5"/>
  <c r="I121" i="5"/>
  <c r="I126" i="5" s="1"/>
  <c r="H121" i="5"/>
  <c r="H126" i="5" s="1"/>
  <c r="F121" i="5"/>
  <c r="F126" i="5" s="1"/>
  <c r="E121" i="5"/>
  <c r="E126" i="5" s="1"/>
  <c r="T135" i="5" l="1"/>
  <c r="U135" i="5" s="1"/>
  <c r="V135" i="5" s="1"/>
  <c r="T144" i="5"/>
  <c r="U144" i="5" s="1"/>
  <c r="V144" i="5" s="1"/>
  <c r="E62" i="5"/>
  <c r="T43" i="5"/>
  <c r="U43" i="5" s="1"/>
  <c r="V43" i="5" s="1"/>
  <c r="T32" i="5"/>
  <c r="V32" i="5"/>
  <c r="U32" i="5"/>
  <c r="U33" i="5"/>
  <c r="T33" i="5"/>
  <c r="V33" i="5"/>
  <c r="M123" i="5"/>
  <c r="I44" i="5"/>
  <c r="H44" i="5"/>
  <c r="F44" i="5"/>
  <c r="E44" i="5"/>
  <c r="I42" i="5"/>
  <c r="H42" i="5"/>
  <c r="F42" i="5"/>
  <c r="E42" i="5"/>
  <c r="F34" i="5"/>
  <c r="E34" i="5"/>
  <c r="E38" i="5" s="1"/>
  <c r="AD239" i="1"/>
  <c r="AC239" i="1"/>
  <c r="Y239" i="1"/>
  <c r="X239" i="1"/>
  <c r="P239" i="1"/>
  <c r="O239" i="1"/>
  <c r="AE229" i="1"/>
  <c r="AC229" i="1"/>
  <c r="Z229" i="1"/>
  <c r="X229" i="1"/>
  <c r="R228" i="1"/>
  <c r="O228" i="1"/>
  <c r="AD217" i="1"/>
  <c r="Z217" i="1"/>
  <c r="Y217" i="1"/>
  <c r="X217" i="1"/>
  <c r="P217" i="1"/>
  <c r="AE216" i="1"/>
  <c r="AC216" i="1"/>
  <c r="Z216" i="1"/>
  <c r="X216" i="1"/>
  <c r="O216" i="1"/>
  <c r="E51" i="5" l="1"/>
  <c r="H51" i="5"/>
  <c r="F51" i="5"/>
  <c r="I51" i="5"/>
  <c r="N23" i="3" l="1"/>
  <c r="N19" i="3"/>
  <c r="N20" i="3"/>
  <c r="N21" i="3"/>
  <c r="N22" i="3"/>
  <c r="N18" i="3"/>
  <c r="N12" i="3"/>
  <c r="N13" i="3"/>
  <c r="N14" i="3"/>
  <c r="N15" i="3"/>
  <c r="N16" i="3"/>
  <c r="N11" i="3"/>
  <c r="G256" i="1" l="1"/>
  <c r="I80" i="1"/>
  <c r="H80" i="1"/>
  <c r="F80" i="1"/>
  <c r="E80" i="1"/>
  <c r="AG11" i="4" l="1"/>
  <c r="L152" i="5" l="1"/>
  <c r="L138" i="5"/>
  <c r="L126" i="5" l="1"/>
  <c r="L117" i="5"/>
  <c r="L90" i="5"/>
  <c r="L77" i="5" l="1"/>
  <c r="L51" i="5"/>
  <c r="L21" i="5"/>
  <c r="L62" i="5"/>
  <c r="AG26" i="5"/>
  <c r="AF27" i="5" s="1"/>
  <c r="Y153" i="1" l="1"/>
  <c r="Y139" i="1"/>
  <c r="Y130" i="1"/>
  <c r="Y111" i="1"/>
  <c r="AD90" i="1"/>
  <c r="Y90" i="1"/>
  <c r="AD49" i="1"/>
  <c r="Y49" i="1"/>
  <c r="AD35" i="1"/>
  <c r="Y35" i="1"/>
  <c r="AD31" i="1"/>
  <c r="Y31" i="1"/>
  <c r="AD22" i="1"/>
  <c r="Y22" i="1"/>
  <c r="AD9" i="1"/>
  <c r="Y9" i="1"/>
  <c r="AC228" i="1" l="1"/>
  <c r="AE228" i="1"/>
  <c r="Z228" i="1"/>
  <c r="AE49" i="1"/>
  <c r="Z49" i="1"/>
  <c r="I245" i="1"/>
  <c r="H245" i="1"/>
  <c r="F245" i="1"/>
  <c r="E245" i="1"/>
  <c r="I204" i="1"/>
  <c r="H204" i="1"/>
  <c r="F204" i="1"/>
  <c r="G204" i="1" s="1"/>
  <c r="E204" i="1"/>
  <c r="I159" i="1"/>
  <c r="H159" i="1"/>
  <c r="F159" i="1"/>
  <c r="E159" i="1"/>
  <c r="I119" i="1"/>
  <c r="H119" i="1"/>
  <c r="F119" i="1"/>
  <c r="E119" i="1"/>
  <c r="I79" i="1"/>
  <c r="H79" i="1"/>
  <c r="F79" i="1"/>
  <c r="E79" i="1"/>
  <c r="I38" i="1"/>
  <c r="H38" i="1"/>
  <c r="F38" i="1" l="1"/>
  <c r="E38" i="1"/>
  <c r="K197" i="1"/>
  <c r="K196" i="1"/>
  <c r="K153" i="1"/>
  <c r="K111" i="1"/>
  <c r="K76" i="1"/>
  <c r="K73" i="1"/>
  <c r="K35" i="1"/>
  <c r="J35" i="1" s="1"/>
  <c r="K31" i="1"/>
  <c r="AD228" i="1"/>
  <c r="Y228" i="1"/>
  <c r="X228" i="1"/>
  <c r="K185" i="1"/>
  <c r="K184" i="1"/>
  <c r="K143" i="1"/>
  <c r="K142" i="1"/>
  <c r="K102" i="1"/>
  <c r="K101" i="1"/>
  <c r="K63" i="1"/>
  <c r="K62" i="1"/>
  <c r="AB228" i="1" l="1"/>
  <c r="U228" i="1" s="1"/>
  <c r="W228" i="1"/>
  <c r="K22" i="1"/>
  <c r="K180" i="1" l="1"/>
  <c r="K171" i="1"/>
  <c r="K139" i="1"/>
  <c r="K130" i="1"/>
  <c r="K98" i="1"/>
  <c r="K90" i="1"/>
  <c r="K59" i="1"/>
  <c r="K49" i="1"/>
  <c r="K9" i="1"/>
  <c r="K59" i="5"/>
  <c r="K58" i="5"/>
  <c r="AC49" i="1" l="1"/>
  <c r="AB49" i="1" s="1"/>
  <c r="X49" i="1"/>
  <c r="W49" i="1" s="1"/>
  <c r="T49" i="1" s="1"/>
  <c r="F21" i="5" l="1"/>
  <c r="M153" i="5" l="1"/>
  <c r="M152" i="5"/>
  <c r="I153" i="5"/>
  <c r="H153" i="5"/>
  <c r="M151" i="5"/>
  <c r="G151" i="5"/>
  <c r="K150" i="5"/>
  <c r="M150" i="5" s="1"/>
  <c r="G150" i="5"/>
  <c r="K149" i="5"/>
  <c r="M149" i="5" s="1"/>
  <c r="G149" i="5"/>
  <c r="K148" i="5"/>
  <c r="M148" i="5" s="1"/>
  <c r="G148" i="5"/>
  <c r="K147" i="5"/>
  <c r="M147" i="5" s="1"/>
  <c r="G147" i="5"/>
  <c r="N147" i="5" s="1"/>
  <c r="K146" i="5"/>
  <c r="M146" i="5" s="1"/>
  <c r="G146" i="5"/>
  <c r="K145" i="5"/>
  <c r="M145" i="5" s="1"/>
  <c r="G145" i="5"/>
  <c r="N145" i="5" s="1"/>
  <c r="K143" i="5"/>
  <c r="M143" i="5" s="1"/>
  <c r="G143" i="5"/>
  <c r="K142" i="5"/>
  <c r="M142" i="5" s="1"/>
  <c r="G142" i="5"/>
  <c r="G152" i="5" s="1"/>
  <c r="R141" i="5"/>
  <c r="P141" i="5"/>
  <c r="M140" i="5"/>
  <c r="M139" i="5"/>
  <c r="R138" i="5"/>
  <c r="P138" i="5"/>
  <c r="M138" i="5"/>
  <c r="I139" i="5"/>
  <c r="H139" i="5"/>
  <c r="K137" i="5"/>
  <c r="M137" i="5" s="1"/>
  <c r="G137" i="5"/>
  <c r="M136" i="5"/>
  <c r="G136" i="5"/>
  <c r="O136" i="5" s="1"/>
  <c r="K134" i="5"/>
  <c r="G134" i="5"/>
  <c r="K133" i="5"/>
  <c r="M133" i="5" s="1"/>
  <c r="G133" i="5"/>
  <c r="Q133" i="5" s="1"/>
  <c r="M132" i="5"/>
  <c r="G132" i="5"/>
  <c r="Q132" i="5" s="1"/>
  <c r="K131" i="5"/>
  <c r="M131" i="5" s="1"/>
  <c r="G131" i="5"/>
  <c r="M130" i="5"/>
  <c r="G130" i="5"/>
  <c r="Q130" i="5" s="1"/>
  <c r="R129" i="5"/>
  <c r="P129" i="5"/>
  <c r="M128" i="5"/>
  <c r="M127" i="5"/>
  <c r="M126" i="5"/>
  <c r="I127" i="5"/>
  <c r="H127" i="5"/>
  <c r="K125" i="5"/>
  <c r="M125" i="5" s="1"/>
  <c r="G125" i="5"/>
  <c r="M124" i="5"/>
  <c r="G124" i="5"/>
  <c r="Q124" i="5" s="1"/>
  <c r="K122" i="5"/>
  <c r="M122" i="5" s="1"/>
  <c r="G122" i="5"/>
  <c r="K121" i="5"/>
  <c r="M121" i="5" s="1"/>
  <c r="G121" i="5"/>
  <c r="G126" i="5" s="1"/>
  <c r="M119" i="5"/>
  <c r="M118" i="5"/>
  <c r="M117" i="5"/>
  <c r="M116" i="5"/>
  <c r="G116" i="5"/>
  <c r="O116" i="5" s="1"/>
  <c r="M115" i="5"/>
  <c r="G115" i="5"/>
  <c r="O115" i="5" s="1"/>
  <c r="M113" i="5"/>
  <c r="G113" i="5"/>
  <c r="O113" i="5" s="1"/>
  <c r="M112" i="5"/>
  <c r="G112" i="5"/>
  <c r="M111" i="5"/>
  <c r="G111" i="5"/>
  <c r="Q111" i="5" s="1"/>
  <c r="M110" i="5"/>
  <c r="G110" i="5"/>
  <c r="Q110" i="5" s="1"/>
  <c r="M109" i="5"/>
  <c r="I109" i="5"/>
  <c r="H109" i="5"/>
  <c r="F109" i="5"/>
  <c r="G109" i="5" s="1"/>
  <c r="M108" i="5"/>
  <c r="G108" i="5"/>
  <c r="O108" i="5" s="1"/>
  <c r="M107" i="5"/>
  <c r="G107" i="5"/>
  <c r="O107" i="5" s="1"/>
  <c r="K106" i="5"/>
  <c r="M106" i="5" s="1"/>
  <c r="G106" i="5"/>
  <c r="K105" i="5"/>
  <c r="M105" i="5" s="1"/>
  <c r="G105" i="5"/>
  <c r="K103" i="5"/>
  <c r="M103" i="5" s="1"/>
  <c r="G103" i="5"/>
  <c r="Q103" i="5" s="1"/>
  <c r="M102" i="5"/>
  <c r="G102" i="5"/>
  <c r="M101" i="5"/>
  <c r="G101" i="5"/>
  <c r="M100" i="5"/>
  <c r="G100" i="5"/>
  <c r="Q100" i="5" s="1"/>
  <c r="M99" i="5"/>
  <c r="G99" i="5"/>
  <c r="K98" i="5"/>
  <c r="M98" i="5" s="1"/>
  <c r="I98" i="5"/>
  <c r="I117" i="5" s="1"/>
  <c r="H98" i="5"/>
  <c r="H117" i="5" s="1"/>
  <c r="F98" i="5"/>
  <c r="F117" i="5" s="1"/>
  <c r="M97" i="5"/>
  <c r="G97" i="5"/>
  <c r="Q97" i="5" s="1"/>
  <c r="K96" i="5"/>
  <c r="M96" i="5" s="1"/>
  <c r="G96" i="5"/>
  <c r="K95" i="5"/>
  <c r="M95" i="5" s="1"/>
  <c r="G95" i="5"/>
  <c r="K94" i="5"/>
  <c r="M94" i="5" s="1"/>
  <c r="G94" i="5"/>
  <c r="S93" i="5"/>
  <c r="R93" i="5"/>
  <c r="P93" i="5"/>
  <c r="M92" i="5"/>
  <c r="M91" i="5"/>
  <c r="M90" i="5"/>
  <c r="I91" i="5"/>
  <c r="H91" i="5"/>
  <c r="M89" i="5"/>
  <c r="G89" i="5"/>
  <c r="O89" i="5" s="1"/>
  <c r="M88" i="5"/>
  <c r="G88" i="5"/>
  <c r="O88" i="5" s="1"/>
  <c r="M87" i="5"/>
  <c r="G87" i="5"/>
  <c r="O87" i="5" s="1"/>
  <c r="M86" i="5"/>
  <c r="I86" i="5"/>
  <c r="H86" i="5"/>
  <c r="F86" i="5"/>
  <c r="G86" i="5" s="1"/>
  <c r="O86" i="5" s="1"/>
  <c r="M85" i="5"/>
  <c r="G85" i="5"/>
  <c r="M84" i="5"/>
  <c r="G84" i="5"/>
  <c r="N84" i="5" s="1"/>
  <c r="M83" i="5"/>
  <c r="G83" i="5"/>
  <c r="M81" i="5"/>
  <c r="G81" i="5"/>
  <c r="M79" i="5"/>
  <c r="M78" i="5"/>
  <c r="M77" i="5"/>
  <c r="N77" i="5"/>
  <c r="M76" i="5"/>
  <c r="G76" i="5"/>
  <c r="M74" i="5"/>
  <c r="G74" i="5"/>
  <c r="Q74" i="5" s="1"/>
  <c r="M73" i="5"/>
  <c r="G73" i="5"/>
  <c r="Q73" i="5" s="1"/>
  <c r="M72" i="5"/>
  <c r="I72" i="5"/>
  <c r="H72" i="5"/>
  <c r="F72" i="5"/>
  <c r="G72" i="5" s="1"/>
  <c r="O72" i="5" s="1"/>
  <c r="K71" i="5"/>
  <c r="M71" i="5" s="1"/>
  <c r="G71" i="5"/>
  <c r="K70" i="5"/>
  <c r="M70" i="5" s="1"/>
  <c r="G70" i="5"/>
  <c r="Q70" i="5" s="1"/>
  <c r="K69" i="5"/>
  <c r="M69" i="5" s="1"/>
  <c r="G69" i="5"/>
  <c r="K68" i="5"/>
  <c r="M68" i="5" s="1"/>
  <c r="G68" i="5"/>
  <c r="K66" i="5"/>
  <c r="M66" i="5" s="1"/>
  <c r="I78" i="5"/>
  <c r="H78" i="5"/>
  <c r="G66" i="5"/>
  <c r="G77" i="5" s="1"/>
  <c r="M64" i="5"/>
  <c r="M63" i="5"/>
  <c r="M62" i="5"/>
  <c r="I62" i="5"/>
  <c r="I63" i="5" s="1"/>
  <c r="H62" i="5"/>
  <c r="H63" i="5" s="1"/>
  <c r="F62" i="5"/>
  <c r="T61" i="5"/>
  <c r="U61" i="5" s="1"/>
  <c r="V61" i="5" s="1"/>
  <c r="K61" i="5"/>
  <c r="T60" i="5"/>
  <c r="U60" i="5" s="1"/>
  <c r="V60" i="5" s="1"/>
  <c r="K60" i="5"/>
  <c r="M59" i="5"/>
  <c r="G59" i="5"/>
  <c r="O59" i="5" s="1"/>
  <c r="M58" i="5"/>
  <c r="G58" i="5"/>
  <c r="O58" i="5" s="1"/>
  <c r="M56" i="5"/>
  <c r="G56" i="5"/>
  <c r="M55" i="5"/>
  <c r="G55" i="5"/>
  <c r="R53" i="5"/>
  <c r="P53" i="5"/>
  <c r="M53" i="5"/>
  <c r="M52" i="5"/>
  <c r="M51" i="5"/>
  <c r="I52" i="5"/>
  <c r="H52" i="5"/>
  <c r="T50" i="5"/>
  <c r="U50" i="5" s="1"/>
  <c r="V50" i="5" s="1"/>
  <c r="K50" i="5"/>
  <c r="M50" i="5" s="1"/>
  <c r="T49" i="5"/>
  <c r="U49" i="5" s="1"/>
  <c r="V49" i="5" s="1"/>
  <c r="K49" i="5"/>
  <c r="M49" i="5" s="1"/>
  <c r="T48" i="5"/>
  <c r="U48" i="5" s="1"/>
  <c r="V48" i="5" s="1"/>
  <c r="K48" i="5"/>
  <c r="M48" i="5" s="1"/>
  <c r="M47" i="5"/>
  <c r="G47" i="5"/>
  <c r="M46" i="5"/>
  <c r="G46" i="5"/>
  <c r="M45" i="5"/>
  <c r="G45" i="5"/>
  <c r="M44" i="5"/>
  <c r="G44" i="5"/>
  <c r="M42" i="5"/>
  <c r="G42" i="5"/>
  <c r="M40" i="5"/>
  <c r="M39" i="5"/>
  <c r="K37" i="5"/>
  <c r="M37" i="5" s="1"/>
  <c r="G37" i="5"/>
  <c r="K36" i="5"/>
  <c r="M36" i="5" s="1"/>
  <c r="I36" i="5"/>
  <c r="H36" i="5"/>
  <c r="F36" i="5"/>
  <c r="G36" i="5" s="1"/>
  <c r="K35" i="5"/>
  <c r="M35" i="5" s="1"/>
  <c r="G35" i="5"/>
  <c r="Q35" i="5" s="1"/>
  <c r="M34" i="5"/>
  <c r="I34" i="5"/>
  <c r="H34" i="5"/>
  <c r="G34" i="5"/>
  <c r="O34" i="5" s="1"/>
  <c r="M31" i="5"/>
  <c r="I31" i="5"/>
  <c r="F31" i="5"/>
  <c r="G31" i="5" s="1"/>
  <c r="M30" i="5"/>
  <c r="I30" i="5"/>
  <c r="H30" i="5"/>
  <c r="G30" i="5"/>
  <c r="Q30" i="5" s="1"/>
  <c r="M29" i="5"/>
  <c r="I29" i="5"/>
  <c r="H29" i="5"/>
  <c r="F29" i="5"/>
  <c r="V28" i="5"/>
  <c r="M28" i="5"/>
  <c r="G28" i="5"/>
  <c r="Q28" i="5" s="1"/>
  <c r="M27" i="5"/>
  <c r="G27" i="5"/>
  <c r="S26" i="5"/>
  <c r="R26" i="5"/>
  <c r="R25" i="5" s="1"/>
  <c r="P26" i="5"/>
  <c r="P25" i="5" s="1"/>
  <c r="M25" i="5"/>
  <c r="T24" i="5"/>
  <c r="U24" i="5" s="1"/>
  <c r="V24" i="5" s="1"/>
  <c r="M24" i="5"/>
  <c r="T23" i="5"/>
  <c r="U23" i="5" s="1"/>
  <c r="V23" i="5" s="1"/>
  <c r="M23" i="5"/>
  <c r="M22" i="5"/>
  <c r="AC21" i="5"/>
  <c r="AB21" i="5"/>
  <c r="AA21" i="5"/>
  <c r="Z21" i="5"/>
  <c r="Y21" i="5"/>
  <c r="W21" i="5"/>
  <c r="S21" i="5"/>
  <c r="R21" i="5"/>
  <c r="P21" i="5"/>
  <c r="M21" i="5"/>
  <c r="I21" i="5"/>
  <c r="H21" i="5"/>
  <c r="K20" i="5"/>
  <c r="M20" i="5" s="1"/>
  <c r="G20" i="5"/>
  <c r="Q20" i="5" s="1"/>
  <c r="K19" i="5"/>
  <c r="M19" i="5" s="1"/>
  <c r="G19" i="5"/>
  <c r="K18" i="5"/>
  <c r="M18" i="5" s="1"/>
  <c r="G18" i="5"/>
  <c r="K17" i="5"/>
  <c r="M17" i="5" s="1"/>
  <c r="G17" i="5"/>
  <c r="Q17" i="5" s="1"/>
  <c r="K16" i="5"/>
  <c r="M16" i="5" s="1"/>
  <c r="G16" i="5"/>
  <c r="K15" i="5"/>
  <c r="M15" i="5" s="1"/>
  <c r="G15" i="5"/>
  <c r="K14" i="5"/>
  <c r="M14" i="5" s="1"/>
  <c r="G14" i="5"/>
  <c r="S13" i="5"/>
  <c r="R13" i="5"/>
  <c r="R12" i="5" s="1"/>
  <c r="P13" i="5"/>
  <c r="P12" i="5" s="1"/>
  <c r="Q151" i="5" l="1"/>
  <c r="O151" i="5"/>
  <c r="F38" i="5"/>
  <c r="I38" i="5"/>
  <c r="V38" i="5" s="1"/>
  <c r="O134" i="5"/>
  <c r="O15" i="5"/>
  <c r="G138" i="5"/>
  <c r="G139" i="5" s="1"/>
  <c r="G90" i="5"/>
  <c r="O81" i="5"/>
  <c r="N83" i="5"/>
  <c r="O83" i="5"/>
  <c r="Q106" i="5"/>
  <c r="H38" i="5"/>
  <c r="U38" i="5" s="1"/>
  <c r="Q44" i="5"/>
  <c r="O44" i="5"/>
  <c r="O105" i="5"/>
  <c r="O16" i="5"/>
  <c r="N31" i="5"/>
  <c r="O31" i="5"/>
  <c r="O55" i="5"/>
  <c r="G62" i="5"/>
  <c r="O14" i="5"/>
  <c r="Q47" i="5"/>
  <c r="G51" i="5"/>
  <c r="G21" i="5"/>
  <c r="G22" i="5" s="1"/>
  <c r="S22" i="5" s="1"/>
  <c r="O149" i="5"/>
  <c r="O150" i="5"/>
  <c r="O71" i="5"/>
  <c r="O142" i="5"/>
  <c r="O42" i="5"/>
  <c r="Q59" i="5"/>
  <c r="I118" i="5"/>
  <c r="O99" i="5"/>
  <c r="O146" i="5"/>
  <c r="I22" i="5"/>
  <c r="V22" i="5" s="1"/>
  <c r="O19" i="5"/>
  <c r="U21" i="5"/>
  <c r="H22" i="5"/>
  <c r="U22" i="5" s="1"/>
  <c r="AB10" i="5" s="1"/>
  <c r="O45" i="5"/>
  <c r="O46" i="5"/>
  <c r="O66" i="5"/>
  <c r="O68" i="5"/>
  <c r="O69" i="5"/>
  <c r="O85" i="5"/>
  <c r="O94" i="5"/>
  <c r="O95" i="5"/>
  <c r="O96" i="5"/>
  <c r="H118" i="5"/>
  <c r="O101" i="5"/>
  <c r="O102" i="5"/>
  <c r="O137" i="5"/>
  <c r="O143" i="5"/>
  <c r="Q147" i="5"/>
  <c r="O76" i="5"/>
  <c r="Q76" i="5"/>
  <c r="O112" i="5"/>
  <c r="Q112" i="5"/>
  <c r="N14" i="5"/>
  <c r="N45" i="5"/>
  <c r="N70" i="5"/>
  <c r="N95" i="5"/>
  <c r="N97" i="5"/>
  <c r="N100" i="5"/>
  <c r="N103" i="5"/>
  <c r="Q115" i="5"/>
  <c r="O125" i="5"/>
  <c r="N130" i="5"/>
  <c r="N137" i="5"/>
  <c r="N149" i="5"/>
  <c r="P154" i="5"/>
  <c r="Q14" i="5"/>
  <c r="Q15" i="5"/>
  <c r="O17" i="5"/>
  <c r="N17" i="5"/>
  <c r="O18" i="5"/>
  <c r="Q19" i="5"/>
  <c r="O35" i="5"/>
  <c r="N35" i="5"/>
  <c r="O37" i="5"/>
  <c r="Q45" i="5"/>
  <c r="N47" i="5"/>
  <c r="O56" i="5"/>
  <c r="Q58" i="5"/>
  <c r="Q66" i="5"/>
  <c r="Q68" i="5"/>
  <c r="O73" i="5"/>
  <c r="Q83" i="5"/>
  <c r="Q84" i="5"/>
  <c r="Q88" i="5"/>
  <c r="Q94" i="5"/>
  <c r="Q95" i="5"/>
  <c r="O106" i="5"/>
  <c r="N106" i="5"/>
  <c r="Q107" i="5"/>
  <c r="O111" i="5"/>
  <c r="O124" i="5"/>
  <c r="N124" i="5"/>
  <c r="O132" i="5"/>
  <c r="N132" i="5"/>
  <c r="O133" i="5"/>
  <c r="N133" i="5"/>
  <c r="M134" i="5"/>
  <c r="Q137" i="5"/>
  <c r="Q145" i="5"/>
  <c r="O148" i="5"/>
  <c r="Q149" i="5"/>
  <c r="N151" i="5"/>
  <c r="R154" i="5"/>
  <c r="N15" i="5"/>
  <c r="N19" i="5"/>
  <c r="N58" i="5"/>
  <c r="T58" i="5" s="1"/>
  <c r="U58" i="5" s="1"/>
  <c r="V58" i="5" s="1"/>
  <c r="N66" i="5"/>
  <c r="N68" i="5"/>
  <c r="O74" i="5"/>
  <c r="Q86" i="5"/>
  <c r="N94" i="5"/>
  <c r="O110" i="5"/>
  <c r="Q36" i="5"/>
  <c r="O36" i="5"/>
  <c r="N36" i="5"/>
  <c r="O62" i="5"/>
  <c r="G98" i="5"/>
  <c r="O98" i="5" s="1"/>
  <c r="Q121" i="5"/>
  <c r="N121" i="5"/>
  <c r="Q122" i="5"/>
  <c r="N122" i="5"/>
  <c r="Q131" i="5"/>
  <c r="N131" i="5"/>
  <c r="Q69" i="5"/>
  <c r="N69" i="5"/>
  <c r="Q81" i="5"/>
  <c r="N81" i="5"/>
  <c r="Q96" i="5"/>
  <c r="N96" i="5"/>
  <c r="Q99" i="5"/>
  <c r="N99" i="5"/>
  <c r="Q102" i="5"/>
  <c r="N102" i="5"/>
  <c r="Q109" i="5"/>
  <c r="N109" i="5"/>
  <c r="Q125" i="5"/>
  <c r="N125" i="5"/>
  <c r="Q134" i="5"/>
  <c r="N134" i="5"/>
  <c r="Q142" i="5"/>
  <c r="N142" i="5"/>
  <c r="Q143" i="5"/>
  <c r="N143" i="5"/>
  <c r="Q150" i="5"/>
  <c r="N150" i="5"/>
  <c r="O20" i="5"/>
  <c r="O28" i="5"/>
  <c r="O30" i="5"/>
  <c r="Q31" i="5"/>
  <c r="G78" i="5"/>
  <c r="N87" i="5"/>
  <c r="N108" i="5"/>
  <c r="N113" i="5"/>
  <c r="N16" i="5"/>
  <c r="N18" i="5"/>
  <c r="Q18" i="5"/>
  <c r="N20" i="5"/>
  <c r="V21" i="5"/>
  <c r="N27" i="5"/>
  <c r="Q27" i="5"/>
  <c r="N28" i="5"/>
  <c r="G29" i="5"/>
  <c r="N30" i="5"/>
  <c r="N34" i="5"/>
  <c r="Q34" i="5"/>
  <c r="N37" i="5"/>
  <c r="Q37" i="5"/>
  <c r="N42" i="5"/>
  <c r="Q42" i="5"/>
  <c r="N44" i="5"/>
  <c r="N46" i="5"/>
  <c r="Q46" i="5"/>
  <c r="O47" i="5"/>
  <c r="N55" i="5"/>
  <c r="Q55" i="5"/>
  <c r="N56" i="5"/>
  <c r="Q56" i="5"/>
  <c r="N59" i="5"/>
  <c r="O70" i="5"/>
  <c r="N76" i="5"/>
  <c r="T76" i="5" s="1"/>
  <c r="U76" i="5" s="1"/>
  <c r="V76" i="5" s="1"/>
  <c r="O84" i="5"/>
  <c r="T84" i="5" s="1"/>
  <c r="U84" i="5" s="1"/>
  <c r="V84" i="5" s="1"/>
  <c r="N86" i="5"/>
  <c r="Q87" i="5"/>
  <c r="N88" i="5"/>
  <c r="Q89" i="5"/>
  <c r="G91" i="5"/>
  <c r="O97" i="5"/>
  <c r="O100" i="5"/>
  <c r="Q101" i="5"/>
  <c r="O103" i="5"/>
  <c r="N107" i="5"/>
  <c r="T107" i="5" s="1"/>
  <c r="U107" i="5" s="1"/>
  <c r="V107" i="5" s="1"/>
  <c r="Q108" i="5"/>
  <c r="O109" i="5"/>
  <c r="N112" i="5"/>
  <c r="Q113" i="5"/>
  <c r="N115" i="5"/>
  <c r="Q116" i="5"/>
  <c r="O121" i="5"/>
  <c r="O122" i="5"/>
  <c r="O130" i="5"/>
  <c r="O131" i="5"/>
  <c r="O145" i="5"/>
  <c r="O147" i="5"/>
  <c r="T147" i="5" s="1"/>
  <c r="U147" i="5" s="1"/>
  <c r="V147" i="5" s="1"/>
  <c r="Q71" i="5"/>
  <c r="N71" i="5"/>
  <c r="Q72" i="5"/>
  <c r="N72" i="5"/>
  <c r="T72" i="5" s="1"/>
  <c r="U72" i="5" s="1"/>
  <c r="V72" i="5" s="1"/>
  <c r="Q85" i="5"/>
  <c r="N85" i="5"/>
  <c r="Q105" i="5"/>
  <c r="N105" i="5"/>
  <c r="Q136" i="5"/>
  <c r="N136" i="5"/>
  <c r="Q146" i="5"/>
  <c r="N146" i="5"/>
  <c r="Q148" i="5"/>
  <c r="N148" i="5"/>
  <c r="O27" i="5"/>
  <c r="N89" i="5"/>
  <c r="N101" i="5"/>
  <c r="N116" i="5"/>
  <c r="G153" i="5"/>
  <c r="N73" i="5"/>
  <c r="T73" i="5" s="1"/>
  <c r="U73" i="5" s="1"/>
  <c r="V73" i="5" s="1"/>
  <c r="N74" i="5"/>
  <c r="T74" i="5" s="1"/>
  <c r="U74" i="5" s="1"/>
  <c r="V74" i="5" s="1"/>
  <c r="N110" i="5"/>
  <c r="N111" i="5"/>
  <c r="T68" i="5" l="1"/>
  <c r="U68" i="5" s="1"/>
  <c r="V68" i="5" s="1"/>
  <c r="N65" i="5"/>
  <c r="U35" i="5"/>
  <c r="V35" i="5" s="1"/>
  <c r="T66" i="5"/>
  <c r="U66" i="5" s="1"/>
  <c r="H39" i="5"/>
  <c r="U39" i="5" s="1"/>
  <c r="T111" i="5"/>
  <c r="U111" i="5" s="1"/>
  <c r="V111" i="5" s="1"/>
  <c r="O93" i="5"/>
  <c r="T137" i="5"/>
  <c r="U137" i="5" s="1"/>
  <c r="V137" i="5" s="1"/>
  <c r="G117" i="5"/>
  <c r="G118" i="5" s="1"/>
  <c r="G38" i="5"/>
  <c r="G39" i="5" s="1"/>
  <c r="S39" i="5" s="1"/>
  <c r="O141" i="5"/>
  <c r="O140" i="5" s="1"/>
  <c r="O41" i="5"/>
  <c r="O40" i="5" s="1"/>
  <c r="I39" i="5"/>
  <c r="Q13" i="5"/>
  <c r="G63" i="5"/>
  <c r="S63" i="5" s="1"/>
  <c r="G127" i="5"/>
  <c r="S127" i="5" s="1"/>
  <c r="O51" i="5"/>
  <c r="G52" i="5"/>
  <c r="S52" i="5" s="1"/>
  <c r="D13" i="4" s="1"/>
  <c r="X16" i="2"/>
  <c r="U30" i="5"/>
  <c r="O21" i="5"/>
  <c r="V39" i="5"/>
  <c r="T19" i="5"/>
  <c r="U19" i="5" s="1"/>
  <c r="V19" i="5" s="1"/>
  <c r="T116" i="5"/>
  <c r="U116" i="5" s="1"/>
  <c r="V116" i="5" s="1"/>
  <c r="T89" i="5"/>
  <c r="U89" i="5" s="1"/>
  <c r="V89" i="5" s="1"/>
  <c r="T145" i="5"/>
  <c r="U145" i="5" s="1"/>
  <c r="V145" i="5" s="1"/>
  <c r="T115" i="5"/>
  <c r="U115" i="5" s="1"/>
  <c r="V115" i="5" s="1"/>
  <c r="T100" i="5"/>
  <c r="U100" i="5" s="1"/>
  <c r="V100" i="5" s="1"/>
  <c r="T88" i="5"/>
  <c r="U88" i="5" s="1"/>
  <c r="V88" i="5" s="1"/>
  <c r="T83" i="5"/>
  <c r="U83" i="5" s="1"/>
  <c r="V83" i="5" s="1"/>
  <c r="T31" i="5"/>
  <c r="N51" i="5"/>
  <c r="T124" i="5"/>
  <c r="U124" i="5" s="1"/>
  <c r="V124" i="5" s="1"/>
  <c r="T106" i="5"/>
  <c r="U106" i="5" s="1"/>
  <c r="V106" i="5" s="1"/>
  <c r="T35" i="5"/>
  <c r="T97" i="5"/>
  <c r="U97" i="5" s="1"/>
  <c r="V97" i="5" s="1"/>
  <c r="T95" i="5"/>
  <c r="U95" i="5" s="1"/>
  <c r="V95" i="5" s="1"/>
  <c r="T15" i="5"/>
  <c r="U15" i="5" s="1"/>
  <c r="V15" i="5" s="1"/>
  <c r="T110" i="5"/>
  <c r="U110" i="5" s="1"/>
  <c r="V110" i="5" s="1"/>
  <c r="T151" i="5"/>
  <c r="U151" i="5" s="1"/>
  <c r="V151" i="5" s="1"/>
  <c r="T112" i="5"/>
  <c r="U112" i="5" s="1"/>
  <c r="V112" i="5" s="1"/>
  <c r="T103" i="5"/>
  <c r="U103" i="5" s="1"/>
  <c r="V103" i="5" s="1"/>
  <c r="T86" i="5"/>
  <c r="U86" i="5" s="1"/>
  <c r="V86" i="5" s="1"/>
  <c r="O65" i="5"/>
  <c r="G15" i="4" s="1"/>
  <c r="T47" i="5"/>
  <c r="U47" i="5" s="1"/>
  <c r="V47" i="5" s="1"/>
  <c r="T28" i="5"/>
  <c r="T20" i="5"/>
  <c r="U20" i="5" s="1"/>
  <c r="V20" i="5" s="1"/>
  <c r="O13" i="5"/>
  <c r="O12" i="5" s="1"/>
  <c r="T94" i="5"/>
  <c r="T133" i="5"/>
  <c r="U133" i="5" s="1"/>
  <c r="V133" i="5" s="1"/>
  <c r="T132" i="5"/>
  <c r="U132" i="5" s="1"/>
  <c r="V132" i="5" s="1"/>
  <c r="T17" i="5"/>
  <c r="U17" i="5" s="1"/>
  <c r="V17" i="5" s="1"/>
  <c r="T45" i="5"/>
  <c r="U45" i="5" s="1"/>
  <c r="V45" i="5" s="1"/>
  <c r="K11" i="4"/>
  <c r="D11" i="4"/>
  <c r="T101" i="5"/>
  <c r="U101" i="5" s="1"/>
  <c r="V101" i="5" s="1"/>
  <c r="T148" i="5"/>
  <c r="U148" i="5" s="1"/>
  <c r="V148" i="5" s="1"/>
  <c r="T146" i="5"/>
  <c r="U146" i="5" s="1"/>
  <c r="V146" i="5" s="1"/>
  <c r="T136" i="5"/>
  <c r="U136" i="5" s="1"/>
  <c r="V136" i="5" s="1"/>
  <c r="T105" i="5"/>
  <c r="U105" i="5" s="1"/>
  <c r="V105" i="5" s="1"/>
  <c r="T85" i="5"/>
  <c r="U85" i="5" s="1"/>
  <c r="V85" i="5" s="1"/>
  <c r="T71" i="5"/>
  <c r="U71" i="5" s="1"/>
  <c r="V71" i="5" s="1"/>
  <c r="Q62" i="5"/>
  <c r="N21" i="5"/>
  <c r="Q21" i="5"/>
  <c r="Q51" i="5"/>
  <c r="T51" i="5" s="1"/>
  <c r="U51" i="5" s="1"/>
  <c r="V51" i="5" s="1"/>
  <c r="N62" i="5"/>
  <c r="Q65" i="5"/>
  <c r="H15" i="4" s="1"/>
  <c r="T59" i="5"/>
  <c r="U59" i="5" s="1"/>
  <c r="V59" i="5" s="1"/>
  <c r="T56" i="5"/>
  <c r="U56" i="5" s="1"/>
  <c r="V56" i="5" s="1"/>
  <c r="T44" i="5"/>
  <c r="U44" i="5" s="1"/>
  <c r="V44" i="5" s="1"/>
  <c r="T16" i="5"/>
  <c r="U16" i="5" s="1"/>
  <c r="V16" i="5" s="1"/>
  <c r="O54" i="5"/>
  <c r="O53" i="5" s="1"/>
  <c r="T150" i="5"/>
  <c r="U150" i="5" s="1"/>
  <c r="V150" i="5" s="1"/>
  <c r="T143" i="5"/>
  <c r="U143" i="5" s="1"/>
  <c r="V143" i="5" s="1"/>
  <c r="T134" i="5"/>
  <c r="U134" i="5" s="1"/>
  <c r="V134" i="5" s="1"/>
  <c r="T125" i="5"/>
  <c r="U125" i="5" s="1"/>
  <c r="V125" i="5" s="1"/>
  <c r="T102" i="5"/>
  <c r="U102" i="5" s="1"/>
  <c r="V102" i="5" s="1"/>
  <c r="T99" i="5"/>
  <c r="U99" i="5" s="1"/>
  <c r="V99" i="5" s="1"/>
  <c r="T69" i="5"/>
  <c r="U69" i="5" s="1"/>
  <c r="V69" i="5" s="1"/>
  <c r="T149" i="5"/>
  <c r="U149" i="5" s="1"/>
  <c r="V149" i="5" s="1"/>
  <c r="O80" i="5"/>
  <c r="O79" i="5" s="1"/>
  <c r="O152" i="5"/>
  <c r="N152" i="5"/>
  <c r="S153" i="5"/>
  <c r="Q152" i="5"/>
  <c r="U94" i="5"/>
  <c r="Q138" i="5"/>
  <c r="O138" i="5"/>
  <c r="S139" i="5"/>
  <c r="N138" i="5"/>
  <c r="O90" i="5"/>
  <c r="Q90" i="5"/>
  <c r="N90" i="5"/>
  <c r="S91" i="5"/>
  <c r="U34" i="5"/>
  <c r="V34" i="5" s="1"/>
  <c r="T34" i="5"/>
  <c r="T30" i="5"/>
  <c r="V30" i="5"/>
  <c r="T27" i="5"/>
  <c r="T18" i="5"/>
  <c r="U18" i="5" s="1"/>
  <c r="V18" i="5" s="1"/>
  <c r="N13" i="5"/>
  <c r="T121" i="5"/>
  <c r="N120" i="5"/>
  <c r="N126" i="5"/>
  <c r="O126" i="5"/>
  <c r="S12" i="5"/>
  <c r="T22" i="5"/>
  <c r="O129" i="5"/>
  <c r="O120" i="5"/>
  <c r="T70" i="5"/>
  <c r="U70" i="5" s="1"/>
  <c r="V70" i="5" s="1"/>
  <c r="Q54" i="5"/>
  <c r="T46" i="5"/>
  <c r="U46" i="5" s="1"/>
  <c r="V46" i="5" s="1"/>
  <c r="Q41" i="5"/>
  <c r="T113" i="5"/>
  <c r="U113" i="5" s="1"/>
  <c r="V113" i="5" s="1"/>
  <c r="Q141" i="5"/>
  <c r="T130" i="5"/>
  <c r="Q80" i="5"/>
  <c r="T131" i="5"/>
  <c r="U131" i="5" s="1"/>
  <c r="V131" i="5" s="1"/>
  <c r="T122" i="5"/>
  <c r="U122" i="5" s="1"/>
  <c r="V122" i="5" s="1"/>
  <c r="U31" i="5"/>
  <c r="V31" i="5"/>
  <c r="T55" i="5"/>
  <c r="N54" i="5"/>
  <c r="T42" i="5"/>
  <c r="N41" i="5"/>
  <c r="U37" i="5"/>
  <c r="T37" i="5"/>
  <c r="N29" i="5"/>
  <c r="N26" i="5" s="1"/>
  <c r="O29" i="5"/>
  <c r="Q29" i="5"/>
  <c r="Q26" i="5" s="1"/>
  <c r="O77" i="5"/>
  <c r="Q77" i="5"/>
  <c r="S78" i="5"/>
  <c r="G14" i="4"/>
  <c r="N141" i="5"/>
  <c r="T142" i="5"/>
  <c r="T81" i="5"/>
  <c r="N80" i="5"/>
  <c r="N98" i="5"/>
  <c r="N93" i="5" s="1"/>
  <c r="Q98" i="5"/>
  <c r="Q93" i="5" s="1"/>
  <c r="H17" i="4" s="1"/>
  <c r="T36" i="5"/>
  <c r="U36" i="5"/>
  <c r="V36" i="5" s="1"/>
  <c r="O26" i="5"/>
  <c r="T108" i="5"/>
  <c r="U108" i="5" s="1"/>
  <c r="V108" i="5" s="1"/>
  <c r="T87" i="5"/>
  <c r="U87" i="5" s="1"/>
  <c r="V87" i="5" s="1"/>
  <c r="N129" i="5"/>
  <c r="T109" i="5"/>
  <c r="U109" i="5" s="1"/>
  <c r="V109" i="5" s="1"/>
  <c r="T96" i="5"/>
  <c r="U96" i="5" s="1"/>
  <c r="V96" i="5" s="1"/>
  <c r="Q129" i="5"/>
  <c r="Q120" i="5"/>
  <c r="T14" i="5"/>
  <c r="AE239" i="1"/>
  <c r="Z239" i="1"/>
  <c r="G20" i="4" l="1"/>
  <c r="N38" i="5"/>
  <c r="O38" i="5"/>
  <c r="Q38" i="5"/>
  <c r="Q25" i="5" s="1"/>
  <c r="O64" i="5"/>
  <c r="G16" i="4"/>
  <c r="G13" i="4"/>
  <c r="D14" i="4"/>
  <c r="S53" i="5"/>
  <c r="K14" i="4"/>
  <c r="T63" i="5"/>
  <c r="U63" i="5" s="1"/>
  <c r="AA54" i="5" s="1"/>
  <c r="T52" i="5"/>
  <c r="U52" i="5" s="1"/>
  <c r="AA41" i="5" s="1"/>
  <c r="K13" i="4"/>
  <c r="S40" i="5"/>
  <c r="T62" i="5"/>
  <c r="U62" i="5" s="1"/>
  <c r="V62" i="5" s="1"/>
  <c r="Q128" i="5"/>
  <c r="X128" i="5" s="1"/>
  <c r="Y128" i="5" s="1"/>
  <c r="H19" i="4"/>
  <c r="Q64" i="5"/>
  <c r="X64" i="5" s="1"/>
  <c r="Y64" i="5" s="1"/>
  <c r="I15" i="4"/>
  <c r="C15" i="4"/>
  <c r="H12" i="4"/>
  <c r="Q79" i="5"/>
  <c r="AB79" i="5" s="1"/>
  <c r="AC79" i="5" s="1"/>
  <c r="H16" i="4"/>
  <c r="Q140" i="5"/>
  <c r="X140" i="5" s="1"/>
  <c r="Y140" i="5" s="1"/>
  <c r="H20" i="4"/>
  <c r="Q40" i="5"/>
  <c r="AB40" i="5" s="1"/>
  <c r="AC40" i="5" s="1"/>
  <c r="H13" i="4"/>
  <c r="Q53" i="5"/>
  <c r="X53" i="5" s="1"/>
  <c r="Y53" i="5" s="1"/>
  <c r="H14" i="4"/>
  <c r="I18" i="4"/>
  <c r="C18" i="4"/>
  <c r="K19" i="4"/>
  <c r="D19" i="4"/>
  <c r="I19" i="4"/>
  <c r="C19" i="4"/>
  <c r="K20" i="4"/>
  <c r="D20" i="4"/>
  <c r="C12" i="4"/>
  <c r="K12" i="4"/>
  <c r="D12" i="4"/>
  <c r="I11" i="4"/>
  <c r="C11" i="4"/>
  <c r="I14" i="4"/>
  <c r="C14" i="4"/>
  <c r="AB119" i="5"/>
  <c r="AC119" i="5" s="1"/>
  <c r="H18" i="4"/>
  <c r="K15" i="4"/>
  <c r="D15" i="4"/>
  <c r="K18" i="4"/>
  <c r="D18" i="4"/>
  <c r="D16" i="4"/>
  <c r="K16" i="4"/>
  <c r="I16" i="4"/>
  <c r="C16" i="4"/>
  <c r="I20" i="4"/>
  <c r="C20" i="4"/>
  <c r="I13" i="4"/>
  <c r="C13" i="4"/>
  <c r="T21" i="5"/>
  <c r="T138" i="5"/>
  <c r="U138" i="5" s="1"/>
  <c r="V138" i="5" s="1"/>
  <c r="O92" i="5"/>
  <c r="G17" i="4"/>
  <c r="U14" i="5"/>
  <c r="T13" i="5"/>
  <c r="X119" i="5"/>
  <c r="Y119" i="5" s="1"/>
  <c r="F15" i="4"/>
  <c r="N64" i="5"/>
  <c r="O25" i="5"/>
  <c r="G12" i="4"/>
  <c r="V63" i="5"/>
  <c r="U81" i="5"/>
  <c r="T80" i="5"/>
  <c r="B16" i="4" s="1"/>
  <c r="N140" i="5"/>
  <c r="F20" i="4"/>
  <c r="U42" i="5"/>
  <c r="T41" i="5"/>
  <c r="U55" i="5"/>
  <c r="T54" i="5"/>
  <c r="T129" i="5"/>
  <c r="B19" i="4" s="1"/>
  <c r="U130" i="5"/>
  <c r="O128" i="5"/>
  <c r="G19" i="4"/>
  <c r="N119" i="5"/>
  <c r="F18" i="4"/>
  <c r="N12" i="5"/>
  <c r="F11" i="4"/>
  <c r="U27" i="5"/>
  <c r="V139" i="5"/>
  <c r="T139" i="5"/>
  <c r="S128" i="5"/>
  <c r="U139" i="5"/>
  <c r="AA129" i="5" s="1"/>
  <c r="V66" i="5"/>
  <c r="V65" i="5" s="1"/>
  <c r="U65" i="5"/>
  <c r="V94" i="5"/>
  <c r="T39" i="5"/>
  <c r="S25" i="5"/>
  <c r="T29" i="5"/>
  <c r="U29" i="5" s="1"/>
  <c r="V29" i="5" s="1"/>
  <c r="T90" i="5"/>
  <c r="U90" i="5" s="1"/>
  <c r="V90" i="5" s="1"/>
  <c r="T152" i="5"/>
  <c r="U152" i="5" s="1"/>
  <c r="V152" i="5" s="1"/>
  <c r="N118" i="5"/>
  <c r="N92" i="5"/>
  <c r="F17" i="4"/>
  <c r="F19" i="4"/>
  <c r="N128" i="5"/>
  <c r="S118" i="5"/>
  <c r="Q117" i="5"/>
  <c r="O117" i="5"/>
  <c r="N79" i="5"/>
  <c r="F16" i="4"/>
  <c r="U142" i="5"/>
  <c r="T141" i="5"/>
  <c r="B20" i="4" s="1"/>
  <c r="T78" i="5"/>
  <c r="U78" i="5" s="1"/>
  <c r="S64" i="5"/>
  <c r="N40" i="5"/>
  <c r="F13" i="4"/>
  <c r="F14" i="4"/>
  <c r="N53" i="5"/>
  <c r="O119" i="5"/>
  <c r="G18" i="4"/>
  <c r="T127" i="5"/>
  <c r="U127" i="5" s="1"/>
  <c r="S119" i="5"/>
  <c r="U121" i="5"/>
  <c r="B18" i="4"/>
  <c r="T91" i="5"/>
  <c r="U91" i="5" s="1"/>
  <c r="S79" i="5"/>
  <c r="T153" i="5"/>
  <c r="U153" i="5" s="1"/>
  <c r="S140" i="5"/>
  <c r="T98" i="5"/>
  <c r="U98" i="5" s="1"/>
  <c r="V98" i="5" s="1"/>
  <c r="T77" i="5"/>
  <c r="U77" i="5" s="1"/>
  <c r="V77" i="5" s="1"/>
  <c r="W71" i="5"/>
  <c r="T126" i="5"/>
  <c r="U126" i="5" s="1"/>
  <c r="V126" i="5" s="1"/>
  <c r="T65" i="5"/>
  <c r="H142" i="1"/>
  <c r="Y142" i="1" s="1"/>
  <c r="F142" i="1"/>
  <c r="E142" i="1"/>
  <c r="E146" i="1"/>
  <c r="E152" i="1" l="1"/>
  <c r="P142" i="1"/>
  <c r="V52" i="5"/>
  <c r="AB25" i="5"/>
  <c r="AC25" i="5" s="1"/>
  <c r="X25" i="5"/>
  <c r="Y25" i="5" s="1"/>
  <c r="T38" i="5"/>
  <c r="I12" i="4"/>
  <c r="J18" i="4"/>
  <c r="AB53" i="5"/>
  <c r="X79" i="5"/>
  <c r="Y79" i="5" s="1"/>
  <c r="AB128" i="5"/>
  <c r="AC128" i="5" s="1"/>
  <c r="AB140" i="5"/>
  <c r="AC140" i="5" s="1"/>
  <c r="AB64" i="5"/>
  <c r="AC64" i="5" s="1"/>
  <c r="X40" i="5"/>
  <c r="Y40" i="5" s="1"/>
  <c r="AD142" i="1"/>
  <c r="AE142" i="1"/>
  <c r="AC142" i="1"/>
  <c r="U93" i="5"/>
  <c r="V93" i="5"/>
  <c r="T12" i="5"/>
  <c r="T64" i="5"/>
  <c r="B15" i="4"/>
  <c r="D17" i="4"/>
  <c r="K17" i="4"/>
  <c r="AB12" i="5"/>
  <c r="AC12" i="5" s="1"/>
  <c r="X12" i="5"/>
  <c r="Y12" i="5" s="1"/>
  <c r="T117" i="5"/>
  <c r="U117" i="5" s="1"/>
  <c r="V117" i="5" s="1"/>
  <c r="I17" i="4"/>
  <c r="C17" i="4"/>
  <c r="T53" i="5"/>
  <c r="B14" i="4"/>
  <c r="T40" i="5"/>
  <c r="B13" i="4"/>
  <c r="T155" i="5"/>
  <c r="T128" i="5"/>
  <c r="Q155" i="5"/>
  <c r="V153" i="5"/>
  <c r="AA141" i="5"/>
  <c r="V91" i="5"/>
  <c r="AA80" i="5"/>
  <c r="U120" i="5"/>
  <c r="U119" i="5" s="1"/>
  <c r="V121" i="5"/>
  <c r="V120" i="5" s="1"/>
  <c r="V127" i="5"/>
  <c r="AA120" i="5"/>
  <c r="V78" i="5"/>
  <c r="V64" i="5" s="1"/>
  <c r="AA65" i="5"/>
  <c r="U141" i="5"/>
  <c r="U140" i="5" s="1"/>
  <c r="V142" i="5"/>
  <c r="V141" i="5" s="1"/>
  <c r="V27" i="5"/>
  <c r="V26" i="5" s="1"/>
  <c r="V25" i="5" s="1"/>
  <c r="U26" i="5"/>
  <c r="U25" i="5" s="1"/>
  <c r="X27" i="5" s="1"/>
  <c r="N25" i="5"/>
  <c r="N154" i="5" s="1"/>
  <c r="F12" i="4"/>
  <c r="T118" i="5"/>
  <c r="U118" i="5" s="1"/>
  <c r="S92" i="5"/>
  <c r="S154" i="5" s="1"/>
  <c r="V130" i="5"/>
  <c r="V129" i="5" s="1"/>
  <c r="V128" i="5" s="1"/>
  <c r="U129" i="5"/>
  <c r="U128" i="5" s="1"/>
  <c r="V55" i="5"/>
  <c r="V54" i="5" s="1"/>
  <c r="V53" i="5" s="1"/>
  <c r="U54" i="5"/>
  <c r="U53" i="5" s="1"/>
  <c r="U41" i="5"/>
  <c r="U40" i="5" s="1"/>
  <c r="V42" i="5"/>
  <c r="V41" i="5" s="1"/>
  <c r="V81" i="5"/>
  <c r="V80" i="5" s="1"/>
  <c r="V79" i="5" s="1"/>
  <c r="U80" i="5"/>
  <c r="U79" i="5" s="1"/>
  <c r="V14" i="5"/>
  <c r="V13" i="5" s="1"/>
  <c r="V12" i="5" s="1"/>
  <c r="U13" i="5"/>
  <c r="U12" i="5" s="1"/>
  <c r="Q92" i="5"/>
  <c r="T79" i="5"/>
  <c r="T119" i="5"/>
  <c r="T140" i="5"/>
  <c r="U64" i="5"/>
  <c r="T26" i="5"/>
  <c r="O154" i="5"/>
  <c r="F107" i="1"/>
  <c r="E107" i="1"/>
  <c r="Y101" i="1"/>
  <c r="F105" i="1"/>
  <c r="F104" i="1"/>
  <c r="E105" i="1"/>
  <c r="E104" i="1"/>
  <c r="F72" i="1"/>
  <c r="E72" i="1"/>
  <c r="I52" i="1"/>
  <c r="H52" i="1"/>
  <c r="G49" i="1"/>
  <c r="F15" i="1"/>
  <c r="V40" i="5" l="1"/>
  <c r="AB142" i="1"/>
  <c r="U142" i="1" s="1"/>
  <c r="AD62" i="1"/>
  <c r="AC62" i="1"/>
  <c r="AE62" i="1"/>
  <c r="H72" i="1"/>
  <c r="Y62" i="1"/>
  <c r="Z62" i="1"/>
  <c r="X62" i="1"/>
  <c r="I72" i="1"/>
  <c r="AD101" i="1"/>
  <c r="AE101" i="1"/>
  <c r="AC101" i="1"/>
  <c r="U92" i="5"/>
  <c r="X94" i="5" s="1"/>
  <c r="T25" i="5"/>
  <c r="B12" i="4"/>
  <c r="T92" i="5"/>
  <c r="B17" i="4"/>
  <c r="V140" i="5"/>
  <c r="V119" i="5"/>
  <c r="T154" i="5"/>
  <c r="X14" i="5"/>
  <c r="X21" i="5" s="1"/>
  <c r="AA11" i="5"/>
  <c r="AB80" i="5"/>
  <c r="X83" i="5"/>
  <c r="X55" i="5"/>
  <c r="AB54" i="5"/>
  <c r="AB129" i="5"/>
  <c r="X132" i="5"/>
  <c r="X66" i="5"/>
  <c r="AB65" i="5"/>
  <c r="AB92" i="5"/>
  <c r="AC92" i="5" s="1"/>
  <c r="X92" i="5"/>
  <c r="Y92" i="5" s="1"/>
  <c r="Q154" i="5"/>
  <c r="X42" i="5"/>
  <c r="AB41" i="5"/>
  <c r="V118" i="5"/>
  <c r="AA93" i="5"/>
  <c r="X142" i="5"/>
  <c r="AB141" i="5"/>
  <c r="X121" i="5"/>
  <c r="AB120" i="5"/>
  <c r="V92" i="5"/>
  <c r="J25" i="3"/>
  <c r="U154" i="5" l="1"/>
  <c r="AB93" i="5"/>
  <c r="AB101" i="1"/>
  <c r="U101" i="1" s="1"/>
  <c r="V154" i="5"/>
  <c r="AB62" i="1"/>
  <c r="W62" i="1"/>
  <c r="T62" i="1" s="1"/>
  <c r="AB217" i="1"/>
  <c r="U217" i="1" s="1"/>
  <c r="W217" i="1"/>
  <c r="T217" i="1" s="1"/>
  <c r="I29" i="1" l="1"/>
  <c r="H29" i="1"/>
  <c r="F29" i="1"/>
  <c r="I25" i="1"/>
  <c r="H25" i="1"/>
  <c r="F25" i="1"/>
  <c r="E23" i="3" l="1"/>
  <c r="F23" i="3"/>
  <c r="E21" i="3"/>
  <c r="F21" i="3"/>
  <c r="E19" i="3"/>
  <c r="F19" i="3"/>
  <c r="E18" i="3"/>
  <c r="F18" i="3"/>
  <c r="EJ12" i="3"/>
  <c r="EH18" i="3"/>
  <c r="EN25" i="3"/>
  <c r="EK25" i="3"/>
  <c r="EM18" i="3"/>
  <c r="EM23" i="3"/>
  <c r="EM22" i="3"/>
  <c r="EN22" i="3" s="1"/>
  <c r="EM21" i="3"/>
  <c r="EM20" i="3"/>
  <c r="EN20" i="3" s="1"/>
  <c r="EM19" i="3"/>
  <c r="EP25" i="3"/>
  <c r="EL23" i="3"/>
  <c r="EL22" i="3"/>
  <c r="EL21" i="3"/>
  <c r="EL20" i="3"/>
  <c r="EL19" i="3"/>
  <c r="EL18" i="3"/>
  <c r="EJ18" i="3"/>
  <c r="EJ23" i="3"/>
  <c r="EJ22" i="3"/>
  <c r="EJ21" i="3"/>
  <c r="EJ20" i="3"/>
  <c r="EJ19" i="3"/>
  <c r="EG23" i="3"/>
  <c r="EI23" i="3"/>
  <c r="EI21" i="3"/>
  <c r="EN21" i="3" s="1"/>
  <c r="EI19" i="3"/>
  <c r="EI18" i="3"/>
  <c r="EM13" i="3"/>
  <c r="EM15" i="3"/>
  <c r="EM16" i="3"/>
  <c r="EM14" i="3"/>
  <c r="EM12" i="3"/>
  <c r="EM11" i="3"/>
  <c r="EL16" i="3"/>
  <c r="EL15" i="3"/>
  <c r="EL14" i="3"/>
  <c r="EL13" i="3"/>
  <c r="EL12" i="3"/>
  <c r="EN19" i="3" l="1"/>
  <c r="EN23" i="3"/>
  <c r="EN18" i="3"/>
  <c r="EJ15" i="3"/>
  <c r="EJ11" i="3"/>
  <c r="EJ14" i="3"/>
  <c r="EJ16" i="3"/>
  <c r="EJ13" i="3"/>
  <c r="EI16" i="3"/>
  <c r="EN16" i="3" s="1"/>
  <c r="EI15" i="3"/>
  <c r="EN15" i="3" s="1"/>
  <c r="EI14" i="3"/>
  <c r="EN14" i="3" s="1"/>
  <c r="EI13" i="3"/>
  <c r="EI12" i="3"/>
  <c r="EN12" i="3" s="1"/>
  <c r="EI11" i="3"/>
  <c r="EN11" i="3" s="1"/>
  <c r="EI24" i="3"/>
  <c r="EG24" i="3" s="1"/>
  <c r="EK23" i="3"/>
  <c r="EK22" i="3"/>
  <c r="EK21" i="3"/>
  <c r="EK20" i="3"/>
  <c r="EK19" i="3"/>
  <c r="EK18" i="3"/>
  <c r="EK16" i="3" l="1"/>
  <c r="EN24" i="3"/>
  <c r="EP24" i="3" s="1"/>
  <c r="EQ24" i="3" s="1"/>
  <c r="EK12" i="3"/>
  <c r="EQ25" i="3"/>
  <c r="EK13" i="3"/>
  <c r="EN13" i="3"/>
  <c r="EN17" i="3" s="1"/>
  <c r="EK14" i="3"/>
  <c r="EK15" i="3"/>
  <c r="EK24" i="3"/>
  <c r="EI17" i="3"/>
  <c r="EK11" i="3"/>
  <c r="EM24" i="3" l="1"/>
  <c r="EK17" i="3"/>
  <c r="EK26" i="3" s="1"/>
  <c r="EN26" i="3"/>
  <c r="EL17" i="3"/>
  <c r="EM17" i="3"/>
  <c r="EG18" i="3"/>
  <c r="EJ24" i="3"/>
  <c r="EJ17" i="3" l="1"/>
  <c r="EB32" i="3"/>
  <c r="ED32" i="3" s="1"/>
  <c r="DW21" i="3"/>
  <c r="DW24" i="3"/>
  <c r="DW23" i="3"/>
  <c r="DW22" i="3"/>
  <c r="DW20" i="3"/>
  <c r="DW19" i="3"/>
  <c r="CZ19" i="3"/>
  <c r="DW12" i="3"/>
  <c r="DW15" i="3"/>
  <c r="DW14" i="3"/>
  <c r="DW13" i="3"/>
  <c r="DW11" i="3"/>
  <c r="DW16" i="3"/>
  <c r="DY18" i="3"/>
  <c r="DY14" i="3"/>
  <c r="DX24" i="3" l="1"/>
  <c r="DX22" i="3"/>
  <c r="DX21" i="3"/>
  <c r="DX20" i="3"/>
  <c r="DW26" i="3"/>
  <c r="DX26" i="3" s="1"/>
  <c r="DX23" i="3"/>
  <c r="DX19" i="3"/>
  <c r="DX12" i="3"/>
  <c r="DX15" i="3"/>
  <c r="DX13" i="3"/>
  <c r="DX11" i="3"/>
  <c r="DY15" i="3"/>
  <c r="DY13" i="3"/>
  <c r="EB14" i="3" s="1"/>
  <c r="ED14" i="3" s="1"/>
  <c r="DY16" i="3"/>
  <c r="DX16" i="3"/>
  <c r="DX14" i="3"/>
  <c r="FE13" i="3"/>
  <c r="N16" i="4"/>
  <c r="DV11" i="3" l="1"/>
  <c r="DV13" i="3" s="1"/>
  <c r="EB15" i="3"/>
  <c r="DY10" i="3"/>
  <c r="FF15" i="3"/>
  <c r="DV15" i="3"/>
  <c r="DV16" i="3" s="1"/>
  <c r="EB16" i="3"/>
  <c r="DX25" i="3"/>
  <c r="DX17" i="3"/>
  <c r="FF14" i="3"/>
  <c r="I188" i="1"/>
  <c r="H188" i="1"/>
  <c r="F188" i="1"/>
  <c r="I235" i="1"/>
  <c r="I233" i="1"/>
  <c r="H233" i="1"/>
  <c r="I221" i="1"/>
  <c r="H220" i="1"/>
  <c r="G39" i="1"/>
  <c r="G119" i="1"/>
  <c r="G160" i="1"/>
  <c r="FF16" i="3" l="1"/>
  <c r="F152" i="1"/>
  <c r="DX27" i="3"/>
  <c r="FE17" i="3"/>
  <c r="FH14" i="3"/>
  <c r="I120" i="1"/>
  <c r="H120" i="1"/>
  <c r="G120" i="1"/>
  <c r="P63" i="1"/>
  <c r="J63" i="1"/>
  <c r="G63" i="1"/>
  <c r="R63" i="1" s="1"/>
  <c r="E78" i="1"/>
  <c r="F78" i="1"/>
  <c r="O63" i="1" l="1"/>
  <c r="T63" i="1" s="1"/>
  <c r="U63" i="1" s="1"/>
  <c r="G80" i="1"/>
  <c r="G35" i="1"/>
  <c r="F30" i="1" l="1"/>
  <c r="DK20" i="3" l="1"/>
  <c r="DL20" i="3" s="1"/>
  <c r="DK23" i="3"/>
  <c r="DL23" i="3" s="1"/>
  <c r="DK22" i="3"/>
  <c r="DL22" i="3" s="1"/>
  <c r="DK21" i="3"/>
  <c r="DL21" i="3" s="1"/>
  <c r="DK19" i="3"/>
  <c r="DL19" i="3" s="1"/>
  <c r="DK18" i="3"/>
  <c r="DL18" i="3" s="1"/>
  <c r="DM15" i="3"/>
  <c r="DK25" i="3"/>
  <c r="DL25" i="3" s="1"/>
  <c r="DM16" i="3"/>
  <c r="DK16" i="3"/>
  <c r="DL16" i="3" s="1"/>
  <c r="DK15" i="3"/>
  <c r="DL15" i="3" s="1"/>
  <c r="DM14" i="3"/>
  <c r="DK14" i="3"/>
  <c r="DL14" i="3" s="1"/>
  <c r="DM13" i="3"/>
  <c r="DO13" i="3" s="1"/>
  <c r="DK13" i="3"/>
  <c r="DL13" i="3" s="1"/>
  <c r="DK12" i="3"/>
  <c r="DL12" i="3" s="1"/>
  <c r="DK11" i="3"/>
  <c r="DL11" i="3" s="1"/>
  <c r="DJ11" i="3"/>
  <c r="CZ12" i="3"/>
  <c r="CZ16" i="3"/>
  <c r="CZ15" i="3"/>
  <c r="CZ14" i="3"/>
  <c r="CZ13" i="3"/>
  <c r="CZ11" i="3"/>
  <c r="DJ15" i="3" l="1"/>
  <c r="DJ16" i="3" s="1"/>
  <c r="DL17" i="3"/>
  <c r="DP15" i="3"/>
  <c r="EC15" i="3" s="1"/>
  <c r="DL24" i="3"/>
  <c r="DP14" i="3"/>
  <c r="DM10" i="3"/>
  <c r="DJ13" i="3"/>
  <c r="DA12" i="3"/>
  <c r="DA13" i="3"/>
  <c r="DA16" i="3"/>
  <c r="DA15" i="3"/>
  <c r="DA14" i="3"/>
  <c r="DA11" i="3"/>
  <c r="CZ25" i="3"/>
  <c r="DA25" i="3" s="1"/>
  <c r="CZ23" i="3"/>
  <c r="DA23" i="3" s="1"/>
  <c r="CZ22" i="3"/>
  <c r="DA22" i="3" s="1"/>
  <c r="CZ21" i="3"/>
  <c r="DA21" i="3" s="1"/>
  <c r="CZ20" i="3"/>
  <c r="DA20" i="3" s="1"/>
  <c r="DA19" i="3"/>
  <c r="CZ18" i="3"/>
  <c r="DB16" i="3"/>
  <c r="CY15" i="3" s="1"/>
  <c r="DB14" i="3"/>
  <c r="DB13" i="3"/>
  <c r="DB10" i="3" l="1"/>
  <c r="DD13" i="3"/>
  <c r="DE14" i="3"/>
  <c r="DE15" i="3"/>
  <c r="DA18" i="3"/>
  <c r="DA24" i="3" s="1"/>
  <c r="DQ15" i="3"/>
  <c r="FG15" i="3" s="1"/>
  <c r="CY11" i="3"/>
  <c r="CY13" i="3" s="1"/>
  <c r="DL26" i="3"/>
  <c r="DO17" i="3"/>
  <c r="DP16" i="3"/>
  <c r="DR14" i="3"/>
  <c r="EE14" i="3" s="1"/>
  <c r="DA17" i="3"/>
  <c r="CN20" i="3"/>
  <c r="CO20" i="3" s="1"/>
  <c r="CN23" i="3"/>
  <c r="CO23" i="3" s="1"/>
  <c r="CN22" i="3"/>
  <c r="CO22" i="3" s="1"/>
  <c r="CN21" i="3"/>
  <c r="CO21" i="3" s="1"/>
  <c r="CN19" i="3"/>
  <c r="CN18" i="3"/>
  <c r="CO18" i="3" s="1"/>
  <c r="CO19" i="3"/>
  <c r="DE16" i="3" l="1"/>
  <c r="DD17" i="3"/>
  <c r="DG14" i="3"/>
  <c r="DA26" i="3"/>
  <c r="CY16" i="3"/>
  <c r="CN12" i="3"/>
  <c r="CN16" i="3"/>
  <c r="CN15" i="3"/>
  <c r="CN14" i="3"/>
  <c r="CN13" i="3"/>
  <c r="CN11" i="3"/>
  <c r="CO11" i="3" l="1"/>
  <c r="CO16" i="3"/>
  <c r="CO15" i="3"/>
  <c r="CO14" i="3"/>
  <c r="CO13" i="3"/>
  <c r="CO12" i="3"/>
  <c r="CG16" i="3"/>
  <c r="CG15" i="3"/>
  <c r="CG14" i="3"/>
  <c r="CG13" i="3"/>
  <c r="CG12" i="3"/>
  <c r="CG11" i="3"/>
  <c r="CA16" i="3"/>
  <c r="CA15" i="3"/>
  <c r="CA14" i="3"/>
  <c r="CA13" i="3"/>
  <c r="CA12" i="3"/>
  <c r="CA11" i="3"/>
  <c r="CP16" i="3"/>
  <c r="CP14" i="3"/>
  <c r="CP13" i="3"/>
  <c r="CN25" i="3"/>
  <c r="CO25" i="3" s="1"/>
  <c r="V13" i="4"/>
  <c r="O12" i="4"/>
  <c r="CP10" i="3" l="1"/>
  <c r="CT14" i="3"/>
  <c r="CV14" i="3" s="1"/>
  <c r="CR13" i="3"/>
  <c r="CM11" i="3"/>
  <c r="CT15" i="3"/>
  <c r="CM15" i="3"/>
  <c r="CO24" i="3"/>
  <c r="CM16" i="3" l="1"/>
  <c r="CM13" i="3"/>
  <c r="CR17" i="3"/>
  <c r="CT16" i="3"/>
  <c r="S21" i="4"/>
  <c r="S24" i="4" s="1"/>
  <c r="CA25" i="3" l="1"/>
  <c r="CH12" i="3"/>
  <c r="CH16" i="3"/>
  <c r="CH15" i="3"/>
  <c r="CH14" i="3"/>
  <c r="CH11" i="3"/>
  <c r="CH13" i="3"/>
  <c r="CB9" i="3"/>
  <c r="CH17" i="3" l="1"/>
  <c r="CT17" i="3" s="1"/>
  <c r="BW13" i="3"/>
  <c r="CE13" i="3"/>
  <c r="BW14" i="3"/>
  <c r="CE14" i="3"/>
  <c r="CI14" i="3" s="1"/>
  <c r="CI15" i="3" s="1"/>
  <c r="CO17" i="3" l="1"/>
  <c r="DF17" i="3" s="1"/>
  <c r="BX14" i="3"/>
  <c r="CO26" i="3" l="1"/>
  <c r="CB25" i="3"/>
  <c r="CB19" i="3"/>
  <c r="CB20" i="3"/>
  <c r="CB21" i="3"/>
  <c r="CB22" i="3"/>
  <c r="CB23" i="3"/>
  <c r="CB18" i="3"/>
  <c r="BS25" i="3"/>
  <c r="BS19" i="3"/>
  <c r="BS20" i="3"/>
  <c r="BS21" i="3"/>
  <c r="BS22" i="3"/>
  <c r="BS23" i="3"/>
  <c r="BS18" i="3"/>
  <c r="BS12" i="3"/>
  <c r="BS13" i="3"/>
  <c r="BS14" i="3"/>
  <c r="BS15" i="3"/>
  <c r="BS16" i="3"/>
  <c r="BS11" i="3"/>
  <c r="CB12" i="3"/>
  <c r="CB13" i="3"/>
  <c r="CB14" i="3"/>
  <c r="CB15" i="3"/>
  <c r="CB16" i="3"/>
  <c r="CB11" i="3"/>
  <c r="CC18" i="3"/>
  <c r="BU17" i="3"/>
  <c r="BZ15" i="3"/>
  <c r="BZ11" i="3"/>
  <c r="BZ13" i="3" s="1"/>
  <c r="BQ15" i="3"/>
  <c r="BQ11" i="3"/>
  <c r="BQ13" i="3" s="1"/>
  <c r="CB24" i="3" l="1"/>
  <c r="CD24" i="3" s="1"/>
  <c r="BQ16" i="3"/>
  <c r="BZ16" i="3"/>
  <c r="BS17" i="3"/>
  <c r="CI17" i="3" s="1"/>
  <c r="BS24" i="3"/>
  <c r="BX13" i="3"/>
  <c r="CE17" i="3"/>
  <c r="CB17" i="3"/>
  <c r="CB26" i="3" l="1"/>
  <c r="CR18" i="3"/>
  <c r="BS26" i="3"/>
  <c r="CB32" i="3"/>
  <c r="BY17" i="3"/>
  <c r="BY18" i="3"/>
  <c r="CB31" i="3"/>
  <c r="BM25" i="3" l="1"/>
  <c r="BM22" i="3"/>
  <c r="BM23" i="3"/>
  <c r="BM19" i="3"/>
  <c r="BM20" i="3"/>
  <c r="BM21" i="3"/>
  <c r="BM18" i="3"/>
  <c r="BM12" i="3"/>
  <c r="BM13" i="3"/>
  <c r="BM14" i="3"/>
  <c r="BM15" i="3"/>
  <c r="BM16" i="3"/>
  <c r="BK24" i="3"/>
  <c r="BK17" i="3"/>
  <c r="BM11" i="3"/>
  <c r="BM17" i="3" l="1"/>
  <c r="BL17" i="3" s="1"/>
  <c r="BM24" i="3"/>
  <c r="DW25" i="3"/>
  <c r="ED15" i="3"/>
  <c r="FH15" i="3"/>
  <c r="FH17" i="3"/>
  <c r="DW9" i="3" s="1"/>
  <c r="DV14" i="3"/>
  <c r="EF14" i="3"/>
  <c r="DK24" i="3"/>
  <c r="DR15" i="3"/>
  <c r="CZ24" i="3"/>
  <c r="CN24" i="3"/>
  <c r="CT18" i="3"/>
  <c r="DR17" i="3"/>
  <c r="DK9" i="3" s="1"/>
  <c r="DJ14" i="3"/>
  <c r="CY14" i="3"/>
  <c r="CU17" i="3"/>
  <c r="CN9" i="3" s="1"/>
  <c r="DG17" i="3"/>
  <c r="CZ9" i="3" s="1"/>
  <c r="CM14" i="3"/>
  <c r="BZ14" i="3"/>
  <c r="CJ17" i="3"/>
  <c r="BQ14" i="3"/>
  <c r="CA24" i="3"/>
  <c r="BR24" i="3"/>
  <c r="BL24" i="3"/>
  <c r="K235" i="1" l="1"/>
  <c r="K243" i="1"/>
  <c r="K237" i="1"/>
  <c r="K226" i="1"/>
  <c r="P102" i="1"/>
  <c r="J143" i="1"/>
  <c r="K116" i="1"/>
  <c r="J102" i="1"/>
  <c r="P210" i="1"/>
  <c r="K202" i="1"/>
  <c r="K194" i="1"/>
  <c r="K182" i="1"/>
  <c r="K157" i="1"/>
  <c r="K151" i="1"/>
  <c r="K140" i="1"/>
  <c r="I152" i="1"/>
  <c r="H152" i="1"/>
  <c r="G143" i="1"/>
  <c r="K117" i="1"/>
  <c r="K109" i="1"/>
  <c r="K99" i="1"/>
  <c r="K77" i="1"/>
  <c r="K71" i="1"/>
  <c r="K60" i="1"/>
  <c r="K36" i="1"/>
  <c r="K29" i="1"/>
  <c r="K20" i="1"/>
  <c r="F110" i="1"/>
  <c r="E110" i="1"/>
  <c r="I110" i="1"/>
  <c r="H110" i="1"/>
  <c r="G102" i="1"/>
  <c r="T45" i="1" l="1"/>
  <c r="O143" i="1"/>
  <c r="O102" i="1"/>
  <c r="R143" i="1"/>
  <c r="R102" i="1"/>
  <c r="N102" i="1" s="1"/>
  <c r="T102" i="1" s="1"/>
  <c r="U102" i="1" s="1"/>
  <c r="AD216" i="1"/>
  <c r="Y216" i="1"/>
  <c r="N143" i="1" l="1"/>
  <c r="T143" i="1" s="1"/>
  <c r="U143" i="1" s="1"/>
  <c r="AB216" i="1"/>
  <c r="U216" i="1" s="1"/>
  <c r="W216" i="1"/>
  <c r="T216" i="1" s="1"/>
  <c r="FM69" i="3"/>
  <c r="FL69" i="3"/>
  <c r="FN68" i="3"/>
  <c r="FN69" i="3" s="1"/>
  <c r="FM67" i="3"/>
  <c r="FL67" i="3"/>
  <c r="FL71" i="3" s="1"/>
  <c r="FL72" i="3" s="1"/>
  <c r="FF64" i="3"/>
  <c r="FF65" i="3" s="1"/>
  <c r="FH57" i="3" s="1"/>
  <c r="FN61" i="3"/>
  <c r="FN60" i="3"/>
  <c r="FK60" i="3"/>
  <c r="FL60" i="3" s="1"/>
  <c r="FH60" i="3"/>
  <c r="FG59" i="3"/>
  <c r="FG57" i="3"/>
  <c r="GE45" i="3"/>
  <c r="GD45" i="3"/>
  <c r="GE43" i="3"/>
  <c r="GD43" i="3"/>
  <c r="GD47" i="3" s="1"/>
  <c r="GD48" i="3" s="1"/>
  <c r="HT42" i="3"/>
  <c r="HX18" i="3" s="1"/>
  <c r="HT39" i="3"/>
  <c r="GF37" i="3"/>
  <c r="GF36" i="3"/>
  <c r="GC36" i="3"/>
  <c r="GD36" i="3" s="1"/>
  <c r="FO35" i="3"/>
  <c r="FN38" i="3" s="1"/>
  <c r="HU34" i="3"/>
  <c r="HT34" i="3"/>
  <c r="HT18" i="3" s="1"/>
  <c r="FS33" i="3"/>
  <c r="FR33" i="3"/>
  <c r="FL31" i="3"/>
  <c r="FK31" i="3"/>
  <c r="L30" i="3"/>
  <c r="N30" i="3" s="1"/>
  <c r="H30" i="3"/>
  <c r="G30" i="3"/>
  <c r="F30" i="3"/>
  <c r="E30" i="3"/>
  <c r="D30" i="3"/>
  <c r="H29" i="3"/>
  <c r="G29" i="3"/>
  <c r="F29" i="3"/>
  <c r="E29" i="3"/>
  <c r="D29" i="3"/>
  <c r="FL27" i="3"/>
  <c r="FK27" i="3"/>
  <c r="H27" i="3"/>
  <c r="G27" i="3"/>
  <c r="F27" i="3"/>
  <c r="E27" i="3"/>
  <c r="D27" i="3"/>
  <c r="GD26" i="3"/>
  <c r="FP26" i="3"/>
  <c r="H26" i="3"/>
  <c r="G26" i="3"/>
  <c r="F26" i="3"/>
  <c r="E26" i="3"/>
  <c r="D26" i="3"/>
  <c r="IJ25" i="3"/>
  <c r="IK25" i="3" s="1"/>
  <c r="FO25" i="3"/>
  <c r="FP31" i="3" s="1"/>
  <c r="FN25" i="3"/>
  <c r="FL25" i="3"/>
  <c r="FK25" i="3"/>
  <c r="N26" i="3"/>
  <c r="I26" i="3"/>
  <c r="IJ24" i="3"/>
  <c r="IK24" i="3" s="1"/>
  <c r="HN24" i="3"/>
  <c r="HA24" i="3"/>
  <c r="HH24" i="3" s="1"/>
  <c r="GE24" i="3"/>
  <c r="GE23" i="3" s="1"/>
  <c r="GD24" i="3"/>
  <c r="GF44" i="3" s="1"/>
  <c r="GF45" i="3" s="1"/>
  <c r="GB24" i="3"/>
  <c r="FM24" i="3"/>
  <c r="FM25" i="3" s="1"/>
  <c r="H24" i="3"/>
  <c r="G24" i="3"/>
  <c r="F24" i="3"/>
  <c r="E24" i="3"/>
  <c r="D24" i="3"/>
  <c r="HO23" i="3"/>
  <c r="HP23" i="3" s="1"/>
  <c r="GZ23" i="3"/>
  <c r="HG23" i="3" s="1"/>
  <c r="GA23" i="3"/>
  <c r="FR23" i="3"/>
  <c r="F25" i="6"/>
  <c r="J23" i="3"/>
  <c r="C25" i="6" s="1"/>
  <c r="D25" i="6" s="1"/>
  <c r="HO22" i="3"/>
  <c r="HP22" i="3" s="1"/>
  <c r="GZ22" i="3"/>
  <c r="GZ24" i="3" s="1"/>
  <c r="GA22" i="3"/>
  <c r="FR22" i="3"/>
  <c r="FQ22" i="3"/>
  <c r="F24" i="6"/>
  <c r="J22" i="3"/>
  <c r="C24" i="6" s="1"/>
  <c r="D24" i="6" s="1"/>
  <c r="HO21" i="3"/>
  <c r="HP21" i="3" s="1"/>
  <c r="GA21" i="3"/>
  <c r="FR21" i="3"/>
  <c r="FQ21" i="3"/>
  <c r="F23" i="6"/>
  <c r="C23" i="6"/>
  <c r="D23" i="6" s="1"/>
  <c r="HO20" i="3"/>
  <c r="HP20" i="3" s="1"/>
  <c r="GA20" i="3"/>
  <c r="FR20" i="3"/>
  <c r="FS20" i="3" s="1"/>
  <c r="L20" i="3"/>
  <c r="E22" i="6" s="1"/>
  <c r="J20" i="3"/>
  <c r="C22" i="6" s="1"/>
  <c r="D22" i="6" s="1"/>
  <c r="HR19" i="3"/>
  <c r="HO19" i="3"/>
  <c r="HP19" i="3" s="1"/>
  <c r="GA19" i="3"/>
  <c r="FR19" i="3"/>
  <c r="L19" i="3"/>
  <c r="E21" i="6" s="1"/>
  <c r="J19" i="3"/>
  <c r="C21" i="6" s="1"/>
  <c r="D21" i="6" s="1"/>
  <c r="IJ18" i="3"/>
  <c r="IG18" i="3"/>
  <c r="IG20" i="3" s="1"/>
  <c r="IF18" i="3"/>
  <c r="ID18" i="3"/>
  <c r="ID19" i="3" s="1"/>
  <c r="IC18" i="3"/>
  <c r="HV18" i="3"/>
  <c r="HP18" i="3"/>
  <c r="GA18" i="3"/>
  <c r="FR18" i="3"/>
  <c r="FS18" i="3" s="1"/>
  <c r="L18" i="3"/>
  <c r="E20" i="6" s="1"/>
  <c r="J18" i="3"/>
  <c r="C20" i="6" s="1"/>
  <c r="D20" i="6" s="1"/>
  <c r="IJ17" i="3"/>
  <c r="HQ17" i="3"/>
  <c r="HP17" i="3"/>
  <c r="HN17" i="3"/>
  <c r="F17" i="3"/>
  <c r="E17" i="3"/>
  <c r="HR16" i="3"/>
  <c r="HT16" i="3" s="1"/>
  <c r="FW16" i="3"/>
  <c r="FR16" i="3"/>
  <c r="FN16" i="3"/>
  <c r="FS16" i="3" s="1"/>
  <c r="FM16" i="3"/>
  <c r="HR15" i="3"/>
  <c r="HT15" i="3" s="1"/>
  <c r="GI15" i="3"/>
  <c r="FN15" i="3"/>
  <c r="FS15" i="3" s="1"/>
  <c r="HR14" i="3"/>
  <c r="HT14" i="3" s="1"/>
  <c r="GI14" i="3"/>
  <c r="FN14" i="3"/>
  <c r="FS14" i="3" s="1"/>
  <c r="FX14" i="3" s="1"/>
  <c r="FY14" i="3" s="1"/>
  <c r="J14" i="3"/>
  <c r="C16" i="6" s="1"/>
  <c r="D16" i="6" s="1"/>
  <c r="HR13" i="3"/>
  <c r="HT13" i="3" s="1"/>
  <c r="GI13" i="3"/>
  <c r="FW13" i="3"/>
  <c r="FR13" i="3"/>
  <c r="FN13" i="3"/>
  <c r="FS13" i="3" s="1"/>
  <c r="FM13" i="3"/>
  <c r="L13" i="3"/>
  <c r="E15" i="6" s="1"/>
  <c r="J13" i="3"/>
  <c r="C15" i="6" s="1"/>
  <c r="D15" i="6" s="1"/>
  <c r="HR12" i="3"/>
  <c r="HT12" i="3" s="1"/>
  <c r="GI12" i="3"/>
  <c r="FN12" i="3"/>
  <c r="FS12" i="3" s="1"/>
  <c r="L12" i="3"/>
  <c r="E14" i="6" s="1"/>
  <c r="J12" i="3"/>
  <c r="C14" i="6" s="1"/>
  <c r="D14" i="6" s="1"/>
  <c r="HR11" i="3"/>
  <c r="GO11" i="3"/>
  <c r="GK11" i="3"/>
  <c r="GK12" i="3" s="1"/>
  <c r="GI11" i="3"/>
  <c r="GG11" i="3"/>
  <c r="GG12" i="3" s="1"/>
  <c r="FN11" i="3"/>
  <c r="FO11" i="3" s="1"/>
  <c r="HF9" i="3"/>
  <c r="HE11" i="3" s="1"/>
  <c r="GY9" i="3"/>
  <c r="GX11" i="3" s="1"/>
  <c r="GT9" i="3"/>
  <c r="GS11" i="3" s="1"/>
  <c r="GI9" i="3"/>
  <c r="Y21" i="4"/>
  <c r="M21" i="4"/>
  <c r="AB21" i="4" s="1"/>
  <c r="AA20" i="4"/>
  <c r="AC20" i="4" s="1"/>
  <c r="V20" i="4"/>
  <c r="Z20" i="4" s="1"/>
  <c r="AG20" i="4" s="1"/>
  <c r="AA19" i="4"/>
  <c r="AC19" i="4" s="1"/>
  <c r="V19" i="4"/>
  <c r="Z19" i="4" s="1"/>
  <c r="AG19" i="4" s="1"/>
  <c r="AA18" i="4"/>
  <c r="AC18" i="4" s="1"/>
  <c r="V18" i="4"/>
  <c r="Z18" i="4" s="1"/>
  <c r="AG18" i="4" s="1"/>
  <c r="AA17" i="4"/>
  <c r="AC17" i="4" s="1"/>
  <c r="V17" i="4"/>
  <c r="Z17" i="4" s="1"/>
  <c r="AA16" i="4"/>
  <c r="AC16" i="4" s="1"/>
  <c r="V16" i="4"/>
  <c r="Z16" i="4" s="1"/>
  <c r="AG16" i="4" s="1"/>
  <c r="AA15" i="4"/>
  <c r="AC15" i="4" s="1"/>
  <c r="V15" i="4"/>
  <c r="Z15" i="4" s="1"/>
  <c r="AG15" i="4" s="1"/>
  <c r="AA14" i="4"/>
  <c r="AC14" i="4" s="1"/>
  <c r="AA13" i="4"/>
  <c r="AC13" i="4" s="1"/>
  <c r="AA12" i="4"/>
  <c r="AC12" i="4" s="1"/>
  <c r="AA11" i="4"/>
  <c r="AC11" i="4" s="1"/>
  <c r="R21" i="4"/>
  <c r="N19" i="4" l="1"/>
  <c r="C26" i="6"/>
  <c r="D17" i="3"/>
  <c r="D26" i="6"/>
  <c r="GO12" i="3"/>
  <c r="FO14" i="3"/>
  <c r="GM14" i="3" s="1"/>
  <c r="GL14" i="3" s="1"/>
  <c r="HQ16" i="3"/>
  <c r="F21" i="6"/>
  <c r="FS21" i="3"/>
  <c r="L22" i="3"/>
  <c r="E24" i="6" s="1"/>
  <c r="FS22" i="3"/>
  <c r="G11" i="4"/>
  <c r="O11" i="4" s="1"/>
  <c r="GS12" i="3"/>
  <c r="G17" i="3"/>
  <c r="HR17" i="3"/>
  <c r="HR20" i="3" s="1"/>
  <c r="FO12" i="3"/>
  <c r="GM12" i="3" s="1"/>
  <c r="GQ12" i="3" s="1"/>
  <c r="GY22" i="3"/>
  <c r="HB22" i="3" s="1"/>
  <c r="HC22" i="3" s="1"/>
  <c r="HC24" i="3" s="1"/>
  <c r="IL24" i="3"/>
  <c r="IL25" i="3"/>
  <c r="N17" i="4"/>
  <c r="GF23" i="3"/>
  <c r="GG23" i="3" s="1"/>
  <c r="GF22" i="3"/>
  <c r="GF24" i="3" s="1"/>
  <c r="L15" i="3"/>
  <c r="E17" i="6" s="1"/>
  <c r="L16" i="3"/>
  <c r="E18" i="6" s="1"/>
  <c r="HK24" i="3"/>
  <c r="FG60" i="3"/>
  <c r="GX12" i="3"/>
  <c r="HQ11" i="3"/>
  <c r="HQ12" i="3"/>
  <c r="FW14" i="3"/>
  <c r="HQ14" i="3"/>
  <c r="J15" i="3"/>
  <c r="C17" i="6" s="1"/>
  <c r="D17" i="6" s="1"/>
  <c r="FO15" i="3"/>
  <c r="GM15" i="3" s="1"/>
  <c r="GL15" i="3" s="1"/>
  <c r="HQ15" i="3"/>
  <c r="J16" i="3"/>
  <c r="C18" i="6" s="1"/>
  <c r="D18" i="6" s="1"/>
  <c r="HP24" i="3"/>
  <c r="FQ19" i="3"/>
  <c r="FS19" i="3" s="1"/>
  <c r="F22" i="6"/>
  <c r="FQ23" i="3"/>
  <c r="FS23" i="3" s="1"/>
  <c r="HF23" i="3"/>
  <c r="HI23" i="3" s="1"/>
  <c r="HJ23" i="3" s="1"/>
  <c r="HO24" i="3"/>
  <c r="HV34" i="3"/>
  <c r="HV35" i="3" s="1"/>
  <c r="FF67" i="3"/>
  <c r="FF68" i="3" s="1"/>
  <c r="HE12" i="3"/>
  <c r="FS11" i="3"/>
  <c r="GL12" i="3"/>
  <c r="HS12" i="3"/>
  <c r="HV12" i="3"/>
  <c r="FX13" i="3"/>
  <c r="FY13" i="3" s="1"/>
  <c r="FT13" i="3"/>
  <c r="HV13" i="3"/>
  <c r="HS13" i="3"/>
  <c r="HS14" i="3"/>
  <c r="HV14" i="3"/>
  <c r="FT15" i="3"/>
  <c r="FX15" i="3"/>
  <c r="FY15" i="3" s="1"/>
  <c r="HS15" i="3"/>
  <c r="HV15" i="3"/>
  <c r="H17" i="3"/>
  <c r="J11" i="3"/>
  <c r="C13" i="6" s="1"/>
  <c r="GM11" i="3"/>
  <c r="GH11" i="3"/>
  <c r="FT12" i="3"/>
  <c r="FX12" i="3"/>
  <c r="FY12" i="3" s="1"/>
  <c r="GQ15" i="3"/>
  <c r="FX16" i="3"/>
  <c r="FY16" i="3" s="1"/>
  <c r="FT16" i="3"/>
  <c r="HS16" i="3"/>
  <c r="HV16" i="3"/>
  <c r="L11" i="3"/>
  <c r="E13" i="6" s="1"/>
  <c r="HT11" i="3"/>
  <c r="FO13" i="3"/>
  <c r="HQ13" i="3"/>
  <c r="L14" i="3"/>
  <c r="E16" i="6" s="1"/>
  <c r="FR14" i="3"/>
  <c r="FT14" i="3"/>
  <c r="FO16" i="3"/>
  <c r="J24" i="3"/>
  <c r="F20" i="6"/>
  <c r="FI57" i="3"/>
  <c r="FH54" i="3"/>
  <c r="IG19" i="3"/>
  <c r="L21" i="3"/>
  <c r="E23" i="6" s="1"/>
  <c r="GG22" i="3"/>
  <c r="HG22" i="3"/>
  <c r="L23" i="3"/>
  <c r="E25" i="6" s="1"/>
  <c r="GY23" i="3"/>
  <c r="HB23" i="3" s="1"/>
  <c r="HC23" i="3" s="1"/>
  <c r="K26" i="3"/>
  <c r="V11" i="4"/>
  <c r="V12" i="4"/>
  <c r="Z12" i="4" s="1"/>
  <c r="AG12" i="4" s="1"/>
  <c r="V14" i="4"/>
  <c r="Z14" i="4" s="1"/>
  <c r="AG14" i="4" s="1"/>
  <c r="Q21" i="4"/>
  <c r="Z13" i="4"/>
  <c r="AG13" i="4" s="1"/>
  <c r="O19" i="4"/>
  <c r="H11" i="4"/>
  <c r="O14" i="4"/>
  <c r="O16" i="4"/>
  <c r="O13" i="4"/>
  <c r="O15" i="4"/>
  <c r="O17" i="4"/>
  <c r="O20" i="4"/>
  <c r="I24" i="3" l="1"/>
  <c r="FZ24" i="3" s="1"/>
  <c r="L26" i="3"/>
  <c r="IK18" i="3" s="1"/>
  <c r="IL18" i="3" s="1"/>
  <c r="E27" i="6"/>
  <c r="E26" i="6"/>
  <c r="F26" i="6"/>
  <c r="IM18" i="3"/>
  <c r="N24" i="3"/>
  <c r="GQ14" i="3"/>
  <c r="GP14" i="3" s="1"/>
  <c r="GH14" i="3"/>
  <c r="F19" i="6"/>
  <c r="H21" i="4"/>
  <c r="J26" i="3"/>
  <c r="IK17" i="3" s="1"/>
  <c r="IL17" i="3" s="1"/>
  <c r="IM17" i="3" s="1"/>
  <c r="C27" i="6"/>
  <c r="E19" i="6"/>
  <c r="J20" i="4"/>
  <c r="P20" i="4" s="1"/>
  <c r="P18" i="4"/>
  <c r="T18" i="4" s="1"/>
  <c r="W18" i="4" s="1"/>
  <c r="J15" i="4"/>
  <c r="P15" i="4" s="1"/>
  <c r="U15" i="4" s="1"/>
  <c r="AB15" i="4" s="1"/>
  <c r="N14" i="4"/>
  <c r="J13" i="4"/>
  <c r="J17" i="4"/>
  <c r="P17" i="4" s="1"/>
  <c r="T17" i="4" s="1"/>
  <c r="W17" i="4" s="1"/>
  <c r="J19" i="4"/>
  <c r="P19" i="4" s="1"/>
  <c r="T19" i="4" s="1"/>
  <c r="W19" i="4" s="1"/>
  <c r="J14" i="4"/>
  <c r="P14" i="4" s="1"/>
  <c r="N18" i="4"/>
  <c r="N15" i="4"/>
  <c r="D13" i="6"/>
  <c r="D19" i="6" s="1"/>
  <c r="D29" i="6" s="1"/>
  <c r="C19" i="6"/>
  <c r="C29" i="6" s="1"/>
  <c r="GH12" i="3"/>
  <c r="FS24" i="3"/>
  <c r="FO37" i="3" s="1"/>
  <c r="FO38" i="3" s="1"/>
  <c r="FP38" i="3" s="1"/>
  <c r="HT19" i="3"/>
  <c r="J17" i="3"/>
  <c r="J31" i="3" s="1"/>
  <c r="L19" i="4"/>
  <c r="L24" i="3"/>
  <c r="U19" i="4"/>
  <c r="X19" i="4" s="1"/>
  <c r="L17" i="3"/>
  <c r="FQ24" i="3"/>
  <c r="N17" i="3"/>
  <c r="GH15" i="3"/>
  <c r="HT17" i="3"/>
  <c r="HV19" i="3" s="1"/>
  <c r="HS11" i="3"/>
  <c r="HV11" i="3"/>
  <c r="HU16" i="3"/>
  <c r="HX16" i="3"/>
  <c r="HW16" i="3" s="1"/>
  <c r="GU15" i="3"/>
  <c r="GP15" i="3"/>
  <c r="GQ11" i="3"/>
  <c r="GL11" i="3"/>
  <c r="HU15" i="3"/>
  <c r="HX15" i="3"/>
  <c r="HW15" i="3" s="1"/>
  <c r="HX13" i="3"/>
  <c r="HW13" i="3" s="1"/>
  <c r="HU13" i="3"/>
  <c r="GU12" i="3"/>
  <c r="GP12" i="3"/>
  <c r="HF22" i="3"/>
  <c r="HI22" i="3" s="1"/>
  <c r="HG24" i="3"/>
  <c r="FI58" i="3"/>
  <c r="FH58" i="3"/>
  <c r="GH13" i="3"/>
  <c r="GM13" i="3"/>
  <c r="FM14" i="3"/>
  <c r="FO17" i="3"/>
  <c r="HU14" i="3"/>
  <c r="HX14" i="3"/>
  <c r="HW14" i="3" s="1"/>
  <c r="HU12" i="3"/>
  <c r="HX12" i="3"/>
  <c r="HW12" i="3" s="1"/>
  <c r="FT11" i="3"/>
  <c r="FT17" i="3" s="1"/>
  <c r="FX11" i="3"/>
  <c r="FY11" i="3" s="1"/>
  <c r="FY17" i="3" s="1"/>
  <c r="V21" i="4"/>
  <c r="Z11" i="4"/>
  <c r="AD21" i="4"/>
  <c r="AC21" i="4"/>
  <c r="AE21" i="4"/>
  <c r="L40" i="3" l="1"/>
  <c r="GU14" i="3"/>
  <c r="GZ14" i="3" s="1"/>
  <c r="M24" i="3"/>
  <c r="M17" i="3"/>
  <c r="IJ26" i="3"/>
  <c r="IK26" i="3" s="1"/>
  <c r="K24" i="3"/>
  <c r="N31" i="3"/>
  <c r="X15" i="4"/>
  <c r="L31" i="3"/>
  <c r="Z21" i="4"/>
  <c r="U17" i="4"/>
  <c r="X17" i="4" s="1"/>
  <c r="AB19" i="4"/>
  <c r="K17" i="3"/>
  <c r="L15" i="4"/>
  <c r="U18" i="4"/>
  <c r="X18" i="4" s="1"/>
  <c r="L17" i="4"/>
  <c r="E17" i="4"/>
  <c r="T15" i="4"/>
  <c r="W15" i="4" s="1"/>
  <c r="P13" i="4"/>
  <c r="T20" i="4"/>
  <c r="W20" i="4" s="1"/>
  <c r="U20" i="4"/>
  <c r="AB20" i="4" s="1"/>
  <c r="N13" i="4"/>
  <c r="E14" i="4"/>
  <c r="L14" i="4"/>
  <c r="D27" i="6"/>
  <c r="C28" i="6"/>
  <c r="J12" i="4"/>
  <c r="N12" i="4"/>
  <c r="E19" i="4"/>
  <c r="I17" i="3"/>
  <c r="FR24" i="3"/>
  <c r="B11" i="4"/>
  <c r="FP35" i="3"/>
  <c r="FN39" i="3"/>
  <c r="HI24" i="3"/>
  <c r="HJ22" i="3"/>
  <c r="HJ24" i="3" s="1"/>
  <c r="GZ12" i="3"/>
  <c r="GT12" i="3"/>
  <c r="GV12" i="3" s="1"/>
  <c r="GT14" i="3"/>
  <c r="GV14" i="3" s="1"/>
  <c r="GU11" i="3"/>
  <c r="GP11" i="3"/>
  <c r="GZ15" i="3"/>
  <c r="GT15" i="3"/>
  <c r="GV15" i="3" s="1"/>
  <c r="GL13" i="3"/>
  <c r="GQ13" i="3"/>
  <c r="HV17" i="3"/>
  <c r="HX19" i="3" s="1"/>
  <c r="HU11" i="3"/>
  <c r="HX11" i="3"/>
  <c r="U14" i="4"/>
  <c r="T14" i="4"/>
  <c r="W14" i="4" s="1"/>
  <c r="E20" i="4"/>
  <c r="E16" i="4"/>
  <c r="U13" i="4" l="1"/>
  <c r="AB13" i="4" s="1"/>
  <c r="T13" i="4"/>
  <c r="W13" i="4" s="1"/>
  <c r="AG21" i="4"/>
  <c r="AF21" i="4"/>
  <c r="AB17" i="4"/>
  <c r="AD17" i="4" s="1"/>
  <c r="X20" i="4"/>
  <c r="AB18" i="4"/>
  <c r="AD18" i="4" s="1"/>
  <c r="E12" i="4"/>
  <c r="E18" i="4"/>
  <c r="L12" i="4"/>
  <c r="P12" i="4"/>
  <c r="I21" i="4"/>
  <c r="J11" i="4"/>
  <c r="P11" i="4" s="1"/>
  <c r="O18" i="4"/>
  <c r="L18" i="4"/>
  <c r="G21" i="4"/>
  <c r="O21" i="4" s="1"/>
  <c r="D21" i="4"/>
  <c r="N11" i="4"/>
  <c r="F21" i="4"/>
  <c r="AD20" i="4"/>
  <c r="E13" i="4"/>
  <c r="E11" i="4"/>
  <c r="B21" i="4"/>
  <c r="N20" i="4"/>
  <c r="L20" i="4"/>
  <c r="C21" i="4"/>
  <c r="D28" i="6"/>
  <c r="AD19" i="4"/>
  <c r="J16" i="4"/>
  <c r="P16" i="4" s="1"/>
  <c r="T16" i="4" s="1"/>
  <c r="W16" i="4" s="1"/>
  <c r="K21" i="4"/>
  <c r="L13" i="4"/>
  <c r="GP13" i="3"/>
  <c r="GU13" i="3"/>
  <c r="FH59" i="3"/>
  <c r="HX17" i="3"/>
  <c r="HW11" i="3"/>
  <c r="HG15" i="3"/>
  <c r="HF15" i="3" s="1"/>
  <c r="GY15" i="3"/>
  <c r="HA15" i="3" s="1"/>
  <c r="GZ11" i="3"/>
  <c r="GT11" i="3"/>
  <c r="HG14" i="3"/>
  <c r="HF14" i="3" s="1"/>
  <c r="GY14" i="3"/>
  <c r="HA14" i="3" s="1"/>
  <c r="HG12" i="3"/>
  <c r="HF12" i="3" s="1"/>
  <c r="GY12" i="3"/>
  <c r="HA12" i="3" s="1"/>
  <c r="X14" i="4"/>
  <c r="AB14" i="4"/>
  <c r="AD14" i="4" s="1"/>
  <c r="U11" i="4" l="1"/>
  <c r="T11" i="4"/>
  <c r="X13" i="4"/>
  <c r="W11" i="4"/>
  <c r="L16" i="4"/>
  <c r="U16" i="4"/>
  <c r="AB16" i="4" s="1"/>
  <c r="AD16" i="4" s="1"/>
  <c r="L11" i="4"/>
  <c r="F27" i="6"/>
  <c r="F28" i="6" s="1"/>
  <c r="F29" i="6" s="1"/>
  <c r="E28" i="6"/>
  <c r="E29" i="6" s="1"/>
  <c r="AD13" i="4"/>
  <c r="N21" i="4"/>
  <c r="H33" i="4"/>
  <c r="J21" i="4"/>
  <c r="P21" i="4" s="1"/>
  <c r="T12" i="4"/>
  <c r="U12" i="4"/>
  <c r="E15" i="4"/>
  <c r="E21" i="4" s="1"/>
  <c r="AD15" i="4"/>
  <c r="HH12" i="3"/>
  <c r="HH14" i="3"/>
  <c r="HG11" i="3"/>
  <c r="HF11" i="3" s="1"/>
  <c r="GY11" i="3"/>
  <c r="HA11" i="3" s="1"/>
  <c r="HH15" i="3"/>
  <c r="GZ13" i="3"/>
  <c r="GT13" i="3"/>
  <c r="GV13" i="3" s="1"/>
  <c r="HB11" i="3"/>
  <c r="GV11" i="3"/>
  <c r="GW11" i="3" s="1"/>
  <c r="X16" i="4" l="1"/>
  <c r="T21" i="4"/>
  <c r="W12" i="4"/>
  <c r="W21" i="4" s="1"/>
  <c r="L21" i="4"/>
  <c r="AA21" i="4" s="1"/>
  <c r="X12" i="4"/>
  <c r="AB12" i="4"/>
  <c r="AD12" i="4" s="1"/>
  <c r="AB11" i="4"/>
  <c r="AD11" i="4" s="1"/>
  <c r="X11" i="4"/>
  <c r="U21" i="4"/>
  <c r="S33" i="4" s="1"/>
  <c r="HH11" i="3"/>
  <c r="HI11" i="3" s="1"/>
  <c r="HG13" i="3"/>
  <c r="HF13" i="3" s="1"/>
  <c r="GY13" i="3"/>
  <c r="HA13" i="3" s="1"/>
  <c r="X21" i="4" l="1"/>
  <c r="HH13" i="3"/>
  <c r="I56" i="1"/>
  <c r="H56" i="1"/>
  <c r="F56" i="1"/>
  <c r="E56" i="1"/>
  <c r="AE9" i="1" l="1"/>
  <c r="Z9" i="1"/>
  <c r="AE22" i="1"/>
  <c r="Z22" i="1"/>
  <c r="AE31" i="1"/>
  <c r="Z31" i="1"/>
  <c r="AE35" i="1"/>
  <c r="Z35" i="1"/>
  <c r="Z111" i="1"/>
  <c r="Z139" i="1"/>
  <c r="Z153" i="1"/>
  <c r="AD229" i="1" l="1"/>
  <c r="Y229" i="1"/>
  <c r="W229" i="1" l="1"/>
  <c r="T229" i="1" s="1"/>
  <c r="AB229" i="1"/>
  <c r="U229" i="1" s="1"/>
  <c r="AB239" i="1"/>
  <c r="U239" i="1" s="1"/>
  <c r="W239" i="1"/>
  <c r="T239" i="1" s="1"/>
  <c r="U189" i="1"/>
  <c r="T189" i="1"/>
  <c r="J189" i="1"/>
  <c r="G189" i="1"/>
  <c r="O189" i="1" s="1"/>
  <c r="N189" i="1" s="1"/>
  <c r="G176" i="1"/>
  <c r="P229" i="1"/>
  <c r="P228" i="1"/>
  <c r="F155" i="1" l="1"/>
  <c r="E155" i="1"/>
  <c r="I113" i="1" l="1"/>
  <c r="H113" i="1"/>
  <c r="F113" i="1"/>
  <c r="E113" i="1"/>
  <c r="G130" i="1" l="1"/>
  <c r="O130" i="1" s="1"/>
  <c r="Z90" i="1"/>
  <c r="Z101" i="1"/>
  <c r="Z142" i="1"/>
  <c r="Z130" i="1"/>
  <c r="AE90" i="1"/>
  <c r="U208" i="1" l="1"/>
  <c r="T208" i="1"/>
  <c r="U209" i="1"/>
  <c r="T209" i="1"/>
  <c r="G153" i="1" l="1"/>
  <c r="G62" i="1"/>
  <c r="G163" i="1" l="1"/>
  <c r="G164" i="1"/>
  <c r="G165" i="1"/>
  <c r="G166" i="1"/>
  <c r="G162" i="1"/>
  <c r="G76" i="1"/>
  <c r="G185" i="1" l="1"/>
  <c r="G192" i="1"/>
  <c r="G196" i="1"/>
  <c r="G184" i="1"/>
  <c r="G180" i="1"/>
  <c r="G171" i="1"/>
  <c r="G195" i="1" l="1"/>
  <c r="G208" i="1"/>
  <c r="G197" i="1"/>
  <c r="K156" i="1" l="1"/>
  <c r="X153" i="1"/>
  <c r="X111" i="1"/>
  <c r="W111" i="1" s="1"/>
  <c r="T111" i="1" s="1"/>
  <c r="P216" i="1"/>
  <c r="AC31" i="1" l="1"/>
  <c r="AB31" i="1" s="1"/>
  <c r="U31" i="1" s="1"/>
  <c r="X31" i="1"/>
  <c r="W31" i="1" s="1"/>
  <c r="T31" i="1" s="1"/>
  <c r="AC35" i="1"/>
  <c r="AB35" i="1" s="1"/>
  <c r="U35" i="1" s="1"/>
  <c r="X35" i="1"/>
  <c r="W35" i="1" s="1"/>
  <c r="T35" i="1" s="1"/>
  <c r="AA153" i="1"/>
  <c r="W153" i="1" s="1"/>
  <c r="T153" i="1" s="1"/>
  <c r="X142" i="1"/>
  <c r="W142" i="1" s="1"/>
  <c r="T142" i="1" s="1"/>
  <c r="X139" i="1"/>
  <c r="W139" i="1" s="1"/>
  <c r="T139" i="1" s="1"/>
  <c r="X130" i="1"/>
  <c r="W130" i="1" s="1"/>
  <c r="T130" i="1" s="1"/>
  <c r="G123" i="1"/>
  <c r="X101" i="1"/>
  <c r="W101" i="1" s="1"/>
  <c r="T101" i="1" s="1"/>
  <c r="AC9" i="1" l="1"/>
  <c r="AB9" i="1" s="1"/>
  <c r="U9" i="1" s="1"/>
  <c r="X9" i="1"/>
  <c r="W9" i="1" s="1"/>
  <c r="T9" i="1" s="1"/>
  <c r="AC22" i="1"/>
  <c r="AB22" i="1" s="1"/>
  <c r="U22" i="1" s="1"/>
  <c r="X22" i="1"/>
  <c r="W22" i="1" s="1"/>
  <c r="T22" i="1" s="1"/>
  <c r="X90" i="1"/>
  <c r="W90" i="1" s="1"/>
  <c r="T90" i="1" s="1"/>
  <c r="AC90" i="1"/>
  <c r="AB90" i="1" s="1"/>
  <c r="U90" i="1" s="1"/>
  <c r="J201" i="1" l="1"/>
  <c r="G254" i="1"/>
  <c r="G236" i="1"/>
  <c r="J219" i="1"/>
  <c r="O219" i="1"/>
  <c r="N219" i="1" s="1"/>
  <c r="P123" i="1"/>
  <c r="N123" i="1" s="1"/>
  <c r="I234" i="1" l="1"/>
  <c r="H234" i="1"/>
  <c r="I232" i="1"/>
  <c r="H232" i="1"/>
  <c r="F232" i="1"/>
  <c r="E232" i="1"/>
  <c r="P116" i="1" l="1"/>
  <c r="P111" i="1"/>
  <c r="P108" i="1"/>
  <c r="P101" i="1"/>
  <c r="P90" i="1"/>
  <c r="P76" i="1"/>
  <c r="P73" i="1"/>
  <c r="P70" i="1"/>
  <c r="P62" i="1"/>
  <c r="P49" i="1"/>
  <c r="P35" i="1"/>
  <c r="P31" i="1"/>
  <c r="P28" i="1"/>
  <c r="P22" i="1"/>
  <c r="P19" i="1"/>
  <c r="P9" i="1"/>
  <c r="P207" i="1"/>
  <c r="C385" i="1" l="1"/>
  <c r="O381" i="1"/>
  <c r="N381" i="1"/>
  <c r="M381" i="1"/>
  <c r="O378" i="1"/>
  <c r="N378" i="1"/>
  <c r="M378" i="1"/>
  <c r="L377" i="1"/>
  <c r="C370" i="1"/>
  <c r="P366" i="1"/>
  <c r="O366" i="1"/>
  <c r="N366" i="1"/>
  <c r="P363" i="1"/>
  <c r="O363" i="1"/>
  <c r="N363" i="1"/>
  <c r="M362" i="1"/>
  <c r="C357" i="1"/>
  <c r="N353" i="1"/>
  <c r="M353" i="1"/>
  <c r="L353" i="1"/>
  <c r="N350" i="1"/>
  <c r="M350" i="1"/>
  <c r="L350" i="1"/>
  <c r="K349" i="1"/>
  <c r="C344" i="1"/>
  <c r="N340" i="1"/>
  <c r="M340" i="1"/>
  <c r="L340" i="1"/>
  <c r="N337" i="1"/>
  <c r="M337" i="1"/>
  <c r="L337" i="1"/>
  <c r="K336" i="1"/>
  <c r="C331" i="1"/>
  <c r="N327" i="1"/>
  <c r="M327" i="1"/>
  <c r="L327" i="1"/>
  <c r="N324" i="1"/>
  <c r="M324" i="1"/>
  <c r="L324" i="1"/>
  <c r="K323" i="1"/>
  <c r="C315" i="1"/>
  <c r="N311" i="1"/>
  <c r="M311" i="1"/>
  <c r="L311" i="1"/>
  <c r="N308" i="1"/>
  <c r="M308" i="1"/>
  <c r="L308" i="1"/>
  <c r="K307" i="1"/>
  <c r="S256" i="1"/>
  <c r="Q256" i="1"/>
  <c r="P255" i="1"/>
  <c r="U254" i="1"/>
  <c r="P254" i="1"/>
  <c r="N254" i="1" s="1"/>
  <c r="T253" i="1"/>
  <c r="U253" i="1" s="1"/>
  <c r="P253" i="1"/>
  <c r="N253" i="1"/>
  <c r="U252" i="1"/>
  <c r="N251" i="1"/>
  <c r="N250" i="1"/>
  <c r="T249" i="1"/>
  <c r="U249" i="1" s="1"/>
  <c r="N249" i="1"/>
  <c r="T248" i="1"/>
  <c r="U248" i="1" s="1"/>
  <c r="N248" i="1"/>
  <c r="R247" i="1"/>
  <c r="P247" i="1"/>
  <c r="M247" i="1"/>
  <c r="I247" i="1"/>
  <c r="H247" i="1"/>
  <c r="F247" i="1"/>
  <c r="E247" i="1"/>
  <c r="J245" i="1"/>
  <c r="G245" i="1"/>
  <c r="O245" i="1" s="1"/>
  <c r="I244" i="1"/>
  <c r="H244" i="1"/>
  <c r="G244" i="1"/>
  <c r="F244" i="1"/>
  <c r="E244" i="1"/>
  <c r="J242" i="1"/>
  <c r="G242" i="1"/>
  <c r="T242" i="1" s="1"/>
  <c r="U242" i="1" s="1"/>
  <c r="J241" i="1"/>
  <c r="G241" i="1"/>
  <c r="T241" i="1" s="1"/>
  <c r="U241" i="1" s="1"/>
  <c r="R244" i="1"/>
  <c r="P244" i="1"/>
  <c r="J237" i="1"/>
  <c r="G237" i="1"/>
  <c r="U236" i="1"/>
  <c r="T236" i="1"/>
  <c r="J236" i="1"/>
  <c r="O236" i="1"/>
  <c r="N236" i="1" s="1"/>
  <c r="P235" i="1"/>
  <c r="U234" i="1"/>
  <c r="T234" i="1"/>
  <c r="J234" i="1"/>
  <c r="O234" i="1"/>
  <c r="N234" i="1" s="1"/>
  <c r="U233" i="1"/>
  <c r="T233" i="1"/>
  <c r="J233" i="1"/>
  <c r="O233" i="1"/>
  <c r="N233" i="1" s="1"/>
  <c r="U232" i="1"/>
  <c r="T232" i="1"/>
  <c r="J232" i="1"/>
  <c r="G232" i="1"/>
  <c r="O232" i="1" s="1"/>
  <c r="N232" i="1" s="1"/>
  <c r="U231" i="1"/>
  <c r="T231" i="1"/>
  <c r="J231" i="1"/>
  <c r="O231" i="1"/>
  <c r="N231" i="1" s="1"/>
  <c r="N229" i="1"/>
  <c r="G226" i="1"/>
  <c r="J225" i="1"/>
  <c r="G225" i="1"/>
  <c r="O225" i="1" s="1"/>
  <c r="N225" i="1" s="1"/>
  <c r="T225" i="1" s="1"/>
  <c r="U225" i="1" s="1"/>
  <c r="J224" i="1"/>
  <c r="G224" i="1"/>
  <c r="R224" i="1" s="1"/>
  <c r="J223" i="1"/>
  <c r="O223" i="1"/>
  <c r="N223" i="1" s="1"/>
  <c r="T223" i="1" s="1"/>
  <c r="U223" i="1" s="1"/>
  <c r="J222" i="1"/>
  <c r="O222" i="1"/>
  <c r="N222" i="1" s="1"/>
  <c r="T222" i="1" s="1"/>
  <c r="U222" i="1" s="1"/>
  <c r="J221" i="1"/>
  <c r="O221" i="1"/>
  <c r="N221" i="1" s="1"/>
  <c r="T221" i="1" s="1"/>
  <c r="U221" i="1" s="1"/>
  <c r="T220" i="1"/>
  <c r="U220" i="1" s="1"/>
  <c r="J220" i="1"/>
  <c r="O220" i="1"/>
  <c r="N220" i="1" s="1"/>
  <c r="N218" i="1"/>
  <c r="T218" i="1" s="1"/>
  <c r="U218" i="1" s="1"/>
  <c r="N217" i="1"/>
  <c r="U214" i="1"/>
  <c r="N214" i="1"/>
  <c r="T213" i="1"/>
  <c r="U213" i="1" s="1"/>
  <c r="N213" i="1"/>
  <c r="U212" i="1"/>
  <c r="N211" i="1"/>
  <c r="N210" i="1"/>
  <c r="T210" i="1" s="1"/>
  <c r="U210" i="1" s="1"/>
  <c r="G209" i="1"/>
  <c r="N209" i="1" s="1"/>
  <c r="P208" i="1"/>
  <c r="M207" i="1"/>
  <c r="I207" i="1"/>
  <c r="H207" i="1"/>
  <c r="F207" i="1"/>
  <c r="E207" i="1"/>
  <c r="R206" i="1"/>
  <c r="R207" i="1" s="1"/>
  <c r="J204" i="1"/>
  <c r="S203" i="1"/>
  <c r="Q203" i="1"/>
  <c r="I203" i="1"/>
  <c r="H203" i="1"/>
  <c r="F203" i="1"/>
  <c r="E203" i="1"/>
  <c r="J202" i="1"/>
  <c r="G202" i="1"/>
  <c r="T201" i="1"/>
  <c r="G201" i="1"/>
  <c r="R201" i="1" s="1"/>
  <c r="U200" i="1"/>
  <c r="T200" i="1"/>
  <c r="J200" i="1"/>
  <c r="G200" i="1"/>
  <c r="O200" i="1" s="1"/>
  <c r="N200" i="1" s="1"/>
  <c r="J197" i="1"/>
  <c r="R197" i="1"/>
  <c r="J196" i="1"/>
  <c r="S195" i="1"/>
  <c r="Q195" i="1"/>
  <c r="I195" i="1"/>
  <c r="E195" i="1"/>
  <c r="J194" i="1"/>
  <c r="G194" i="1"/>
  <c r="J193" i="1"/>
  <c r="U193" i="1" s="1"/>
  <c r="G193" i="1"/>
  <c r="O193" i="1" s="1"/>
  <c r="N193" i="1" s="1"/>
  <c r="R192" i="1"/>
  <c r="J192" i="1"/>
  <c r="U191" i="1"/>
  <c r="T191" i="1"/>
  <c r="J191" i="1"/>
  <c r="G191" i="1"/>
  <c r="O191" i="1" s="1"/>
  <c r="N191" i="1" s="1"/>
  <c r="U190" i="1"/>
  <c r="T190" i="1"/>
  <c r="J190" i="1"/>
  <c r="G190" i="1"/>
  <c r="O190" i="1" s="1"/>
  <c r="N190" i="1" s="1"/>
  <c r="U188" i="1"/>
  <c r="T188" i="1"/>
  <c r="J188" i="1"/>
  <c r="G188" i="1"/>
  <c r="O188" i="1" s="1"/>
  <c r="N188" i="1" s="1"/>
  <c r="U187" i="1"/>
  <c r="T187" i="1"/>
  <c r="J187" i="1"/>
  <c r="O187" i="1"/>
  <c r="N187" i="1" s="1"/>
  <c r="J185" i="1"/>
  <c r="H195" i="1"/>
  <c r="P195" i="1"/>
  <c r="J184" i="1"/>
  <c r="S183" i="1"/>
  <c r="Q183" i="1"/>
  <c r="J182" i="1"/>
  <c r="G182" i="1"/>
  <c r="J181" i="1"/>
  <c r="G181" i="1"/>
  <c r="O181" i="1" s="1"/>
  <c r="N181" i="1" s="1"/>
  <c r="J180" i="1"/>
  <c r="I183" i="1"/>
  <c r="H183" i="1"/>
  <c r="F183" i="1"/>
  <c r="E183" i="1"/>
  <c r="U179" i="1"/>
  <c r="T179" i="1"/>
  <c r="J179" i="1"/>
  <c r="O179" i="1"/>
  <c r="N179" i="1" s="1"/>
  <c r="U178" i="1"/>
  <c r="T178" i="1"/>
  <c r="J178" i="1"/>
  <c r="O178" i="1"/>
  <c r="N178" i="1" s="1"/>
  <c r="U177" i="1"/>
  <c r="T177" i="1"/>
  <c r="J177" i="1"/>
  <c r="O177" i="1"/>
  <c r="N177" i="1" s="1"/>
  <c r="U176" i="1"/>
  <c r="T176" i="1"/>
  <c r="J176" i="1"/>
  <c r="O176" i="1"/>
  <c r="N176" i="1" s="1"/>
  <c r="U175" i="1"/>
  <c r="T175" i="1"/>
  <c r="J175" i="1"/>
  <c r="O175" i="1"/>
  <c r="N175" i="1" s="1"/>
  <c r="U174" i="1"/>
  <c r="T174" i="1"/>
  <c r="J174" i="1"/>
  <c r="G174" i="1"/>
  <c r="O174" i="1" s="1"/>
  <c r="N174" i="1" s="1"/>
  <c r="U173" i="1"/>
  <c r="T173" i="1"/>
  <c r="J173" i="1"/>
  <c r="O173" i="1"/>
  <c r="N173" i="1" s="1"/>
  <c r="J171" i="1"/>
  <c r="U169" i="1"/>
  <c r="N169" i="1"/>
  <c r="T168" i="1"/>
  <c r="U168" i="1" s="1"/>
  <c r="N168" i="1"/>
  <c r="P166" i="1"/>
  <c r="N166" i="1" s="1"/>
  <c r="P165" i="1"/>
  <c r="N165" i="1" s="1"/>
  <c r="T164" i="1"/>
  <c r="U164" i="1" s="1"/>
  <c r="P164" i="1"/>
  <c r="N164" i="1" s="1"/>
  <c r="U163" i="1"/>
  <c r="P163" i="1"/>
  <c r="N163" i="1" s="1"/>
  <c r="P162" i="1"/>
  <c r="N162" i="1" s="1"/>
  <c r="R161" i="1"/>
  <c r="P161" i="1"/>
  <c r="M161" i="1"/>
  <c r="I161" i="1"/>
  <c r="H161" i="1"/>
  <c r="F161" i="1"/>
  <c r="E161" i="1"/>
  <c r="J159" i="1"/>
  <c r="T159" i="1" s="1"/>
  <c r="G159" i="1"/>
  <c r="S158" i="1"/>
  <c r="Q158" i="1"/>
  <c r="F158" i="1"/>
  <c r="E158" i="1"/>
  <c r="J157" i="1"/>
  <c r="G157" i="1"/>
  <c r="J156" i="1"/>
  <c r="U156" i="1" s="1"/>
  <c r="G156" i="1"/>
  <c r="P156" i="1" s="1"/>
  <c r="U155" i="1"/>
  <c r="T155" i="1"/>
  <c r="J155" i="1"/>
  <c r="G155" i="1"/>
  <c r="O155" i="1" s="1"/>
  <c r="N155" i="1" s="1"/>
  <c r="J153" i="1"/>
  <c r="I158" i="1"/>
  <c r="H158" i="1"/>
  <c r="S152" i="1"/>
  <c r="Q152" i="1"/>
  <c r="J151" i="1"/>
  <c r="G151" i="1"/>
  <c r="J150" i="1"/>
  <c r="G150" i="1"/>
  <c r="R150" i="1" s="1"/>
  <c r="U149" i="1"/>
  <c r="T149" i="1"/>
  <c r="J149" i="1"/>
  <c r="G149" i="1"/>
  <c r="O149" i="1" s="1"/>
  <c r="N149" i="1" s="1"/>
  <c r="U148" i="1"/>
  <c r="T148" i="1"/>
  <c r="J148" i="1"/>
  <c r="G148" i="1"/>
  <c r="O148" i="1" s="1"/>
  <c r="N148" i="1" s="1"/>
  <c r="U147" i="1"/>
  <c r="T147" i="1"/>
  <c r="J147" i="1"/>
  <c r="G147" i="1"/>
  <c r="O147" i="1" s="1"/>
  <c r="N147" i="1" s="1"/>
  <c r="U146" i="1"/>
  <c r="T146" i="1"/>
  <c r="J146" i="1"/>
  <c r="G146" i="1"/>
  <c r="O146" i="1" s="1"/>
  <c r="N146" i="1" s="1"/>
  <c r="U145" i="1"/>
  <c r="T145" i="1"/>
  <c r="J145" i="1"/>
  <c r="G145" i="1"/>
  <c r="O145" i="1" s="1"/>
  <c r="N145" i="1" s="1"/>
  <c r="J142" i="1"/>
  <c r="G142" i="1"/>
  <c r="S141" i="1"/>
  <c r="Q141" i="1"/>
  <c r="F141" i="1"/>
  <c r="E141" i="1"/>
  <c r="J140" i="1"/>
  <c r="G140" i="1"/>
  <c r="J139" i="1"/>
  <c r="G139" i="1"/>
  <c r="R139" i="1" s="1"/>
  <c r="U138" i="1"/>
  <c r="T138" i="1"/>
  <c r="J138" i="1"/>
  <c r="G138" i="1"/>
  <c r="O138" i="1" s="1"/>
  <c r="N138" i="1" s="1"/>
  <c r="U137" i="1"/>
  <c r="T137" i="1"/>
  <c r="J137" i="1"/>
  <c r="G137" i="1"/>
  <c r="O137" i="1" s="1"/>
  <c r="N137" i="1" s="1"/>
  <c r="U136" i="1"/>
  <c r="T136" i="1"/>
  <c r="J136" i="1"/>
  <c r="G136" i="1"/>
  <c r="O136" i="1" s="1"/>
  <c r="N136" i="1" s="1"/>
  <c r="U135" i="1"/>
  <c r="T135" i="1"/>
  <c r="J135" i="1"/>
  <c r="O135" i="1"/>
  <c r="N135" i="1" s="1"/>
  <c r="U134" i="1"/>
  <c r="T134" i="1"/>
  <c r="J134" i="1"/>
  <c r="G134" i="1"/>
  <c r="O134" i="1" s="1"/>
  <c r="N134" i="1" s="1"/>
  <c r="U133" i="1"/>
  <c r="T133" i="1"/>
  <c r="J133" i="1"/>
  <c r="G133" i="1"/>
  <c r="O133" i="1" s="1"/>
  <c r="N133" i="1" s="1"/>
  <c r="U132" i="1"/>
  <c r="T132" i="1"/>
  <c r="O132" i="1"/>
  <c r="N132" i="1" s="1"/>
  <c r="J132" i="1"/>
  <c r="P141" i="1"/>
  <c r="J130" i="1"/>
  <c r="I141" i="1"/>
  <c r="H141" i="1"/>
  <c r="U128" i="1"/>
  <c r="N128" i="1"/>
  <c r="T127" i="1"/>
  <c r="U127" i="1" s="1"/>
  <c r="N127" i="1"/>
  <c r="N125" i="1"/>
  <c r="U124" i="1"/>
  <c r="N124" i="1"/>
  <c r="T123" i="1"/>
  <c r="U123" i="1" s="1"/>
  <c r="P122" i="1"/>
  <c r="N122" i="1" s="1"/>
  <c r="G122" i="1"/>
  <c r="R121" i="1"/>
  <c r="P121" i="1"/>
  <c r="M121" i="1"/>
  <c r="I121" i="1"/>
  <c r="H121" i="1"/>
  <c r="F121" i="1"/>
  <c r="E121" i="1"/>
  <c r="J119" i="1"/>
  <c r="G121" i="1"/>
  <c r="S118" i="1"/>
  <c r="Q118" i="1"/>
  <c r="F118" i="1"/>
  <c r="E118" i="1"/>
  <c r="J117" i="1"/>
  <c r="G117" i="1"/>
  <c r="J116" i="1"/>
  <c r="T116" i="1" s="1"/>
  <c r="G116" i="1"/>
  <c r="R116" i="1" s="1"/>
  <c r="U115" i="1"/>
  <c r="T115" i="1"/>
  <c r="J115" i="1"/>
  <c r="G115" i="1"/>
  <c r="O115" i="1" s="1"/>
  <c r="N115" i="1" s="1"/>
  <c r="U114" i="1"/>
  <c r="T114" i="1"/>
  <c r="J114" i="1"/>
  <c r="G114" i="1"/>
  <c r="O114" i="1" s="1"/>
  <c r="N114" i="1" s="1"/>
  <c r="U113" i="1"/>
  <c r="T113" i="1"/>
  <c r="J113" i="1"/>
  <c r="G113" i="1"/>
  <c r="O113" i="1" s="1"/>
  <c r="N113" i="1" s="1"/>
  <c r="J111" i="1"/>
  <c r="I118" i="1"/>
  <c r="H118" i="1"/>
  <c r="G111" i="1"/>
  <c r="S110" i="1"/>
  <c r="Q110" i="1"/>
  <c r="J109" i="1"/>
  <c r="G109" i="1"/>
  <c r="J108" i="1"/>
  <c r="G108" i="1"/>
  <c r="R108" i="1" s="1"/>
  <c r="U107" i="1"/>
  <c r="T107" i="1"/>
  <c r="J107" i="1"/>
  <c r="G107" i="1"/>
  <c r="O107" i="1" s="1"/>
  <c r="N107" i="1" s="1"/>
  <c r="U106" i="1"/>
  <c r="T106" i="1"/>
  <c r="J106" i="1"/>
  <c r="G106" i="1"/>
  <c r="O106" i="1" s="1"/>
  <c r="N106" i="1" s="1"/>
  <c r="U105" i="1"/>
  <c r="T105" i="1"/>
  <c r="J105" i="1"/>
  <c r="G105" i="1"/>
  <c r="O105" i="1" s="1"/>
  <c r="N105" i="1" s="1"/>
  <c r="U104" i="1"/>
  <c r="T104" i="1"/>
  <c r="J104" i="1"/>
  <c r="G104" i="1"/>
  <c r="O104" i="1" s="1"/>
  <c r="N104" i="1" s="1"/>
  <c r="J101" i="1"/>
  <c r="G101" i="1"/>
  <c r="S100" i="1"/>
  <c r="Q100" i="1"/>
  <c r="F100" i="1"/>
  <c r="E100" i="1"/>
  <c r="J99" i="1"/>
  <c r="G99" i="1"/>
  <c r="P98" i="1"/>
  <c r="J98" i="1"/>
  <c r="G98" i="1"/>
  <c r="R98" i="1" s="1"/>
  <c r="U97" i="1"/>
  <c r="T97" i="1"/>
  <c r="J97" i="1"/>
  <c r="G97" i="1"/>
  <c r="O97" i="1" s="1"/>
  <c r="N97" i="1" s="1"/>
  <c r="U96" i="1"/>
  <c r="T96" i="1"/>
  <c r="J96" i="1"/>
  <c r="G96" i="1"/>
  <c r="O96" i="1" s="1"/>
  <c r="N96" i="1" s="1"/>
  <c r="U95" i="1"/>
  <c r="T95" i="1"/>
  <c r="J95" i="1"/>
  <c r="G95" i="1"/>
  <c r="O95" i="1" s="1"/>
  <c r="N95" i="1" s="1"/>
  <c r="U94" i="1"/>
  <c r="T94" i="1"/>
  <c r="J94" i="1"/>
  <c r="G94" i="1"/>
  <c r="O94" i="1" s="1"/>
  <c r="N94" i="1" s="1"/>
  <c r="U93" i="1"/>
  <c r="T93" i="1"/>
  <c r="J93" i="1"/>
  <c r="G93" i="1"/>
  <c r="O93" i="1" s="1"/>
  <c r="N93" i="1" s="1"/>
  <c r="U92" i="1"/>
  <c r="T92" i="1"/>
  <c r="J92" i="1"/>
  <c r="G92" i="1"/>
  <c r="O92" i="1" s="1"/>
  <c r="N92" i="1" s="1"/>
  <c r="J90" i="1"/>
  <c r="I100" i="1"/>
  <c r="H100" i="1"/>
  <c r="G90" i="1"/>
  <c r="U88" i="1"/>
  <c r="N88" i="1"/>
  <c r="T87" i="1"/>
  <c r="U87" i="1" s="1"/>
  <c r="N87" i="1"/>
  <c r="G86" i="1"/>
  <c r="N85" i="1"/>
  <c r="U84" i="1"/>
  <c r="N84" i="1"/>
  <c r="T83" i="1"/>
  <c r="U83" i="1" s="1"/>
  <c r="N83" i="1"/>
  <c r="P82" i="1"/>
  <c r="T82" i="1" s="1"/>
  <c r="U82" i="1" s="1"/>
  <c r="R81" i="1"/>
  <c r="P81" i="1"/>
  <c r="M81" i="1"/>
  <c r="I81" i="1"/>
  <c r="H81" i="1"/>
  <c r="F81" i="1"/>
  <c r="E81" i="1"/>
  <c r="J79" i="1"/>
  <c r="G79" i="1"/>
  <c r="S78" i="1"/>
  <c r="Q78" i="1"/>
  <c r="J77" i="1"/>
  <c r="G77" i="1"/>
  <c r="R76" i="1"/>
  <c r="U76" i="1"/>
  <c r="U75" i="1"/>
  <c r="T75" i="1"/>
  <c r="J75" i="1"/>
  <c r="G75" i="1"/>
  <c r="O75" i="1" s="1"/>
  <c r="N75" i="1" s="1"/>
  <c r="J73" i="1"/>
  <c r="I78" i="1"/>
  <c r="H78" i="1"/>
  <c r="G73" i="1"/>
  <c r="S72" i="1"/>
  <c r="Q72" i="1"/>
  <c r="J71" i="1"/>
  <c r="G71" i="1"/>
  <c r="J70" i="1"/>
  <c r="T70" i="1" s="1"/>
  <c r="U70" i="1" s="1"/>
  <c r="G70" i="1"/>
  <c r="G72" i="1" s="1"/>
  <c r="U69" i="1"/>
  <c r="T69" i="1"/>
  <c r="J69" i="1"/>
  <c r="G69" i="1"/>
  <c r="O69" i="1" s="1"/>
  <c r="N69" i="1" s="1"/>
  <c r="U68" i="1"/>
  <c r="T68" i="1"/>
  <c r="J68" i="1"/>
  <c r="G68" i="1"/>
  <c r="O68" i="1" s="1"/>
  <c r="N68" i="1" s="1"/>
  <c r="U67" i="1"/>
  <c r="T67" i="1"/>
  <c r="J67" i="1"/>
  <c r="G67" i="1"/>
  <c r="O67" i="1" s="1"/>
  <c r="N67" i="1" s="1"/>
  <c r="U66" i="1"/>
  <c r="T66" i="1"/>
  <c r="J66" i="1"/>
  <c r="G66" i="1"/>
  <c r="O66" i="1" s="1"/>
  <c r="N66" i="1" s="1"/>
  <c r="U65" i="1"/>
  <c r="T65" i="1"/>
  <c r="J65" i="1"/>
  <c r="G65" i="1"/>
  <c r="O65" i="1" s="1"/>
  <c r="N65" i="1" s="1"/>
  <c r="P72" i="1"/>
  <c r="J62" i="1"/>
  <c r="S61" i="1"/>
  <c r="Q61" i="1"/>
  <c r="H61" i="1"/>
  <c r="F61" i="1"/>
  <c r="F89" i="1" s="1"/>
  <c r="E61" i="1"/>
  <c r="E89" i="1" s="1"/>
  <c r="J60" i="1"/>
  <c r="G60" i="1"/>
  <c r="P59" i="1"/>
  <c r="P61" i="1" s="1"/>
  <c r="J59" i="1"/>
  <c r="T59" i="1" s="1"/>
  <c r="U59" i="1" s="1"/>
  <c r="G59" i="1"/>
  <c r="G61" i="1" s="1"/>
  <c r="U58" i="1"/>
  <c r="T58" i="1"/>
  <c r="O58" i="1"/>
  <c r="N58" i="1" s="1"/>
  <c r="J58" i="1"/>
  <c r="U57" i="1"/>
  <c r="T57" i="1"/>
  <c r="J57" i="1"/>
  <c r="G57" i="1"/>
  <c r="O57" i="1" s="1"/>
  <c r="N57" i="1" s="1"/>
  <c r="U56" i="1"/>
  <c r="T56" i="1"/>
  <c r="J56" i="1"/>
  <c r="G56" i="1"/>
  <c r="O56" i="1" s="1"/>
  <c r="N56" i="1" s="1"/>
  <c r="U55" i="1"/>
  <c r="T55" i="1"/>
  <c r="J55" i="1"/>
  <c r="G55" i="1"/>
  <c r="O55" i="1" s="1"/>
  <c r="N55" i="1" s="1"/>
  <c r="U54" i="1"/>
  <c r="T54" i="1"/>
  <c r="J54" i="1"/>
  <c r="G54" i="1"/>
  <c r="O54" i="1" s="1"/>
  <c r="N54" i="1" s="1"/>
  <c r="U53" i="1"/>
  <c r="T53" i="1"/>
  <c r="J53" i="1"/>
  <c r="G53" i="1"/>
  <c r="O53" i="1" s="1"/>
  <c r="N53" i="1" s="1"/>
  <c r="U52" i="1"/>
  <c r="T52" i="1"/>
  <c r="J52" i="1"/>
  <c r="G52" i="1"/>
  <c r="O52" i="1" s="1"/>
  <c r="N52" i="1" s="1"/>
  <c r="U51" i="1"/>
  <c r="T51" i="1"/>
  <c r="J51" i="1"/>
  <c r="G51" i="1"/>
  <c r="O51" i="1" s="1"/>
  <c r="N51" i="1" s="1"/>
  <c r="I61" i="1"/>
  <c r="U47" i="1"/>
  <c r="N47" i="1"/>
  <c r="T46" i="1"/>
  <c r="U46" i="1" s="1"/>
  <c r="N46" i="1"/>
  <c r="G45" i="1"/>
  <c r="N44" i="1"/>
  <c r="T43" i="1"/>
  <c r="U43" i="1" s="1"/>
  <c r="T42" i="1"/>
  <c r="U42" i="1" s="1"/>
  <c r="P42" i="1"/>
  <c r="N42" i="1" s="1"/>
  <c r="G42" i="1"/>
  <c r="T41" i="1"/>
  <c r="U41" i="1" s="1"/>
  <c r="N41" i="1"/>
  <c r="R40" i="1"/>
  <c r="P40" i="1"/>
  <c r="M40" i="1"/>
  <c r="I40" i="1"/>
  <c r="H40" i="1"/>
  <c r="F40" i="1"/>
  <c r="E40" i="1"/>
  <c r="J38" i="1"/>
  <c r="G38" i="1"/>
  <c r="S37" i="1"/>
  <c r="Q37" i="1"/>
  <c r="G36" i="1"/>
  <c r="R35" i="1"/>
  <c r="U33" i="1"/>
  <c r="T33" i="1"/>
  <c r="J33" i="1"/>
  <c r="G33" i="1"/>
  <c r="O33" i="1" s="1"/>
  <c r="N33" i="1" s="1"/>
  <c r="J31" i="1"/>
  <c r="G31" i="1"/>
  <c r="G37" i="1" s="1"/>
  <c r="S30" i="1"/>
  <c r="Q30" i="1"/>
  <c r="E30" i="1"/>
  <c r="J29" i="1"/>
  <c r="G29" i="1"/>
  <c r="J28" i="1"/>
  <c r="G28" i="1"/>
  <c r="R28" i="1" s="1"/>
  <c r="U27" i="1"/>
  <c r="T27" i="1"/>
  <c r="J27" i="1"/>
  <c r="G27" i="1"/>
  <c r="O27" i="1" s="1"/>
  <c r="N27" i="1" s="1"/>
  <c r="U26" i="1"/>
  <c r="T26" i="1"/>
  <c r="J26" i="1"/>
  <c r="G26" i="1"/>
  <c r="O26" i="1" s="1"/>
  <c r="N26" i="1" s="1"/>
  <c r="U25" i="1"/>
  <c r="T25" i="1"/>
  <c r="J25" i="1"/>
  <c r="G25" i="1"/>
  <c r="O25" i="1" s="1"/>
  <c r="N25" i="1" s="1"/>
  <c r="U24" i="1"/>
  <c r="T24" i="1"/>
  <c r="J24" i="1"/>
  <c r="G24" i="1"/>
  <c r="O24" i="1" s="1"/>
  <c r="N24" i="1" s="1"/>
  <c r="J22" i="1"/>
  <c r="I30" i="1"/>
  <c r="G22" i="1"/>
  <c r="R22" i="1" s="1"/>
  <c r="S21" i="1"/>
  <c r="Q21" i="1"/>
  <c r="F21" i="1"/>
  <c r="F48" i="1" s="1"/>
  <c r="E21" i="1"/>
  <c r="G20" i="1"/>
  <c r="J19" i="1"/>
  <c r="G19" i="1"/>
  <c r="O19" i="1" s="1"/>
  <c r="U18" i="1"/>
  <c r="T18" i="1"/>
  <c r="J18" i="1"/>
  <c r="G18" i="1"/>
  <c r="O18" i="1" s="1"/>
  <c r="N18" i="1" s="1"/>
  <c r="U17" i="1"/>
  <c r="T17" i="1"/>
  <c r="J17" i="1"/>
  <c r="G17" i="1"/>
  <c r="O17" i="1" s="1"/>
  <c r="N17" i="1" s="1"/>
  <c r="U16" i="1"/>
  <c r="T16" i="1"/>
  <c r="J16" i="1"/>
  <c r="G16" i="1"/>
  <c r="O16" i="1" s="1"/>
  <c r="N16" i="1" s="1"/>
  <c r="U15" i="1"/>
  <c r="T15" i="1"/>
  <c r="J15" i="1"/>
  <c r="G15" i="1"/>
  <c r="O15" i="1" s="1"/>
  <c r="N15" i="1" s="1"/>
  <c r="U14" i="1"/>
  <c r="T14" i="1"/>
  <c r="J14" i="1"/>
  <c r="G14" i="1"/>
  <c r="O14" i="1" s="1"/>
  <c r="N14" i="1" s="1"/>
  <c r="U13" i="1"/>
  <c r="T13" i="1"/>
  <c r="J13" i="1"/>
  <c r="G13" i="1"/>
  <c r="O13" i="1" s="1"/>
  <c r="N13" i="1" s="1"/>
  <c r="U12" i="1"/>
  <c r="T12" i="1"/>
  <c r="J12" i="1"/>
  <c r="G12" i="1"/>
  <c r="O12" i="1" s="1"/>
  <c r="N12" i="1" s="1"/>
  <c r="U11" i="1"/>
  <c r="T11" i="1"/>
  <c r="J11" i="1"/>
  <c r="O11" i="1"/>
  <c r="N11" i="1" s="1"/>
  <c r="P21" i="1"/>
  <c r="J9" i="1"/>
  <c r="I21" i="1"/>
  <c r="H21" i="1"/>
  <c r="G9" i="1"/>
  <c r="R9" i="1" s="1"/>
  <c r="AH16" i="2"/>
  <c r="AC15" i="2"/>
  <c r="AC14" i="2"/>
  <c r="AC12" i="2"/>
  <c r="AC11" i="2"/>
  <c r="AC10" i="2"/>
  <c r="T16" i="2"/>
  <c r="AC13" i="2"/>
  <c r="F16" i="2"/>
  <c r="AG11" i="2"/>
  <c r="AF11" i="2"/>
  <c r="N16" i="2"/>
  <c r="P89" i="1" l="1"/>
  <c r="R142" i="1"/>
  <c r="O142" i="1"/>
  <c r="H89" i="1"/>
  <c r="F170" i="1"/>
  <c r="G110" i="1"/>
  <c r="R30" i="1"/>
  <c r="J226" i="1"/>
  <c r="R152" i="1"/>
  <c r="N99" i="1"/>
  <c r="I129" i="1"/>
  <c r="Q215" i="1"/>
  <c r="N309" i="1"/>
  <c r="N325" i="1"/>
  <c r="M379" i="1"/>
  <c r="O379" i="1"/>
  <c r="T122" i="1"/>
  <c r="U122" i="1" s="1"/>
  <c r="L309" i="1"/>
  <c r="L325" i="1"/>
  <c r="L338" i="1"/>
  <c r="L351" i="1"/>
  <c r="N364" i="1"/>
  <c r="G40" i="1"/>
  <c r="O38" i="1"/>
  <c r="O39" i="1" s="1"/>
  <c r="N82" i="1"/>
  <c r="N202" i="1"/>
  <c r="U246" i="1"/>
  <c r="T246" i="1"/>
  <c r="U247" i="1"/>
  <c r="J36" i="1"/>
  <c r="T79" i="1"/>
  <c r="U79" i="1"/>
  <c r="O247" i="1"/>
  <c r="O246" i="1"/>
  <c r="T38" i="1"/>
  <c r="T39" i="1" s="1"/>
  <c r="U38" i="1"/>
  <c r="U39" i="1" s="1"/>
  <c r="N60" i="1"/>
  <c r="N109" i="1"/>
  <c r="T119" i="1"/>
  <c r="U119" i="1"/>
  <c r="U159" i="1"/>
  <c r="U160" i="1" s="1"/>
  <c r="T160" i="1"/>
  <c r="U161" i="1"/>
  <c r="T204" i="1"/>
  <c r="U204" i="1"/>
  <c r="N338" i="1"/>
  <c r="N351" i="1"/>
  <c r="P364" i="1"/>
  <c r="J20" i="1"/>
  <c r="U45" i="1"/>
  <c r="G247" i="1"/>
  <c r="N20" i="1"/>
  <c r="E129" i="1"/>
  <c r="S129" i="1"/>
  <c r="G141" i="1"/>
  <c r="S170" i="1"/>
  <c r="U19" i="1"/>
  <c r="T19" i="1"/>
  <c r="N255" i="1"/>
  <c r="Q48" i="1"/>
  <c r="P30" i="1"/>
  <c r="O119" i="1"/>
  <c r="N119" i="1" s="1"/>
  <c r="G21" i="1"/>
  <c r="S48" i="1"/>
  <c r="N29" i="1"/>
  <c r="I48" i="1"/>
  <c r="N36" i="1"/>
  <c r="Q89" i="1"/>
  <c r="G78" i="1"/>
  <c r="P100" i="1"/>
  <c r="F129" i="1"/>
  <c r="Q129" i="1"/>
  <c r="N117" i="1"/>
  <c r="N151" i="1"/>
  <c r="T162" i="1"/>
  <c r="U162" i="1" s="1"/>
  <c r="I215" i="1"/>
  <c r="N312" i="1"/>
  <c r="N313" i="1" s="1"/>
  <c r="N317" i="1" s="1"/>
  <c r="N328" i="1"/>
  <c r="N329" i="1" s="1"/>
  <c r="N333" i="1" s="1"/>
  <c r="N341" i="1"/>
  <c r="N342" i="1" s="1"/>
  <c r="N345" i="1" s="1"/>
  <c r="N354" i="1"/>
  <c r="N355" i="1" s="1"/>
  <c r="N360" i="1" s="1"/>
  <c r="P367" i="1"/>
  <c r="P368" i="1" s="1"/>
  <c r="P375" i="1" s="1"/>
  <c r="O382" i="1"/>
  <c r="O383" i="1" s="1"/>
  <c r="O387" i="1" s="1"/>
  <c r="U181" i="1"/>
  <c r="T181" i="1"/>
  <c r="U16" i="2"/>
  <c r="P37" i="1"/>
  <c r="H129" i="1"/>
  <c r="P203" i="1"/>
  <c r="G207" i="1"/>
  <c r="O204" i="1"/>
  <c r="N204" i="1" s="1"/>
  <c r="AE16" i="2"/>
  <c r="H30" i="1"/>
  <c r="P110" i="1"/>
  <c r="N140" i="1"/>
  <c r="Q170" i="1"/>
  <c r="G203" i="1"/>
  <c r="P227" i="1"/>
  <c r="N216" i="1"/>
  <c r="N243" i="1"/>
  <c r="J243" i="1"/>
  <c r="O235" i="1"/>
  <c r="N235" i="1" s="1"/>
  <c r="T235" i="1" s="1"/>
  <c r="U235" i="1" s="1"/>
  <c r="J235" i="1"/>
  <c r="I89" i="1"/>
  <c r="P78" i="1"/>
  <c r="G81" i="1"/>
  <c r="O79" i="1"/>
  <c r="G161" i="1"/>
  <c r="O159" i="1"/>
  <c r="N159" i="1" s="1"/>
  <c r="N239" i="1"/>
  <c r="M312" i="1"/>
  <c r="M313" i="1" s="1"/>
  <c r="M318" i="1" s="1"/>
  <c r="M328" i="1"/>
  <c r="M329" i="1" s="1"/>
  <c r="M330" i="1" s="1"/>
  <c r="M341" i="1"/>
  <c r="M342" i="1" s="1"/>
  <c r="M345" i="1" s="1"/>
  <c r="M354" i="1"/>
  <c r="M355" i="1" s="1"/>
  <c r="M360" i="1" s="1"/>
  <c r="O367" i="1"/>
  <c r="O368" i="1" s="1"/>
  <c r="O375" i="1" s="1"/>
  <c r="N382" i="1"/>
  <c r="N383" i="1" s="1"/>
  <c r="N389" i="1" s="1"/>
  <c r="V16" i="2"/>
  <c r="O49" i="1"/>
  <c r="N49" i="1" s="1"/>
  <c r="J76" i="1"/>
  <c r="T76" i="1"/>
  <c r="E170" i="1"/>
  <c r="S215" i="1"/>
  <c r="N194" i="1"/>
  <c r="P238" i="1"/>
  <c r="E48" i="1"/>
  <c r="S89" i="1"/>
  <c r="N71" i="1"/>
  <c r="N77" i="1"/>
  <c r="P118" i="1"/>
  <c r="G158" i="1"/>
  <c r="P158" i="1"/>
  <c r="O156" i="1"/>
  <c r="N156" i="1" s="1"/>
  <c r="N157" i="1"/>
  <c r="N182" i="1"/>
  <c r="O192" i="1"/>
  <c r="N192" i="1" s="1"/>
  <c r="T192" i="1" s="1"/>
  <c r="U192" i="1" s="1"/>
  <c r="O224" i="1"/>
  <c r="N226" i="1"/>
  <c r="R238" i="1"/>
  <c r="R256" i="1" s="1"/>
  <c r="N237" i="1"/>
  <c r="L312" i="1"/>
  <c r="L313" i="1" s="1"/>
  <c r="L317" i="1" s="1"/>
  <c r="L328" i="1"/>
  <c r="L329" i="1" s="1"/>
  <c r="L333" i="1" s="1"/>
  <c r="L341" i="1"/>
  <c r="L342" i="1" s="1"/>
  <c r="L344" i="1" s="1"/>
  <c r="L354" i="1"/>
  <c r="L355" i="1" s="1"/>
  <c r="L360" i="1" s="1"/>
  <c r="N367" i="1"/>
  <c r="N368" i="1" s="1"/>
  <c r="N373" i="1" s="1"/>
  <c r="M382" i="1"/>
  <c r="M383" i="1" s="1"/>
  <c r="M388" i="1" s="1"/>
  <c r="I170" i="1"/>
  <c r="H215" i="1"/>
  <c r="E215" i="1"/>
  <c r="P152" i="1"/>
  <c r="AC16" i="2"/>
  <c r="T72" i="1"/>
  <c r="U62" i="1"/>
  <c r="U72" i="1" s="1"/>
  <c r="H170" i="1"/>
  <c r="O9" i="1"/>
  <c r="O28" i="1"/>
  <c r="N28" i="1" s="1"/>
  <c r="T28" i="1" s="1"/>
  <c r="U28" i="1" s="1"/>
  <c r="G30" i="1"/>
  <c r="J49" i="1"/>
  <c r="O62" i="1"/>
  <c r="O73" i="1"/>
  <c r="O76" i="1"/>
  <c r="N76" i="1" s="1"/>
  <c r="O98" i="1"/>
  <c r="N98" i="1" s="1"/>
  <c r="T98" i="1" s="1"/>
  <c r="U98" i="1" s="1"/>
  <c r="G100" i="1"/>
  <c r="O108" i="1"/>
  <c r="N108" i="1" s="1"/>
  <c r="T108" i="1" s="1"/>
  <c r="U108" i="1" s="1"/>
  <c r="O116" i="1"/>
  <c r="N116" i="1" s="1"/>
  <c r="U116" i="1"/>
  <c r="G118" i="1"/>
  <c r="R130" i="1"/>
  <c r="R141" i="1" s="1"/>
  <c r="O139" i="1"/>
  <c r="N139" i="1" s="1"/>
  <c r="U139" i="1" s="1"/>
  <c r="O150" i="1"/>
  <c r="N150" i="1" s="1"/>
  <c r="T150" i="1" s="1"/>
  <c r="U150" i="1" s="1"/>
  <c r="T156" i="1"/>
  <c r="R185" i="1"/>
  <c r="O185" i="1"/>
  <c r="L332" i="1"/>
  <c r="M356" i="1"/>
  <c r="N357" i="1"/>
  <c r="N388" i="1"/>
  <c r="M387" i="1"/>
  <c r="R19" i="1"/>
  <c r="R21" i="1" s="1"/>
  <c r="O22" i="1"/>
  <c r="O31" i="1"/>
  <c r="R31" i="1"/>
  <c r="R37" i="1" s="1"/>
  <c r="O35" i="1"/>
  <c r="N35" i="1" s="1"/>
  <c r="O59" i="1"/>
  <c r="R59" i="1"/>
  <c r="O70" i="1"/>
  <c r="R70" i="1"/>
  <c r="O90" i="1"/>
  <c r="O101" i="1"/>
  <c r="O111" i="1"/>
  <c r="O153" i="1"/>
  <c r="R153" i="1"/>
  <c r="R158" i="1" s="1"/>
  <c r="O171" i="1"/>
  <c r="R171" i="1"/>
  <c r="P183" i="1"/>
  <c r="O184" i="1"/>
  <c r="R184" i="1"/>
  <c r="T193" i="1"/>
  <c r="F195" i="1"/>
  <c r="F215" i="1" s="1"/>
  <c r="O196" i="1"/>
  <c r="R196" i="1"/>
  <c r="R203" i="1" s="1"/>
  <c r="O201" i="1"/>
  <c r="N201" i="1" s="1"/>
  <c r="U201" i="1"/>
  <c r="N206" i="1"/>
  <c r="T206" i="1" s="1"/>
  <c r="U206" i="1" s="1"/>
  <c r="N208" i="1"/>
  <c r="N228" i="1"/>
  <c r="T228" i="1" s="1"/>
  <c r="O241" i="1"/>
  <c r="N241" i="1" s="1"/>
  <c r="O242" i="1"/>
  <c r="N242" i="1" s="1"/>
  <c r="N245" i="1"/>
  <c r="O197" i="1"/>
  <c r="N197" i="1" s="1"/>
  <c r="T197" i="1" s="1"/>
  <c r="U197" i="1" s="1"/>
  <c r="O308" i="1"/>
  <c r="M309" i="1"/>
  <c r="O324" i="1"/>
  <c r="M325" i="1"/>
  <c r="O337" i="1"/>
  <c r="M338" i="1"/>
  <c r="O350" i="1"/>
  <c r="M351" i="1"/>
  <c r="Q363" i="1"/>
  <c r="O364" i="1"/>
  <c r="P378" i="1"/>
  <c r="N379" i="1"/>
  <c r="J11" i="2" l="1"/>
  <c r="Q11" i="2" s="1"/>
  <c r="N359" i="1"/>
  <c r="N334" i="1"/>
  <c r="P373" i="1"/>
  <c r="M332" i="1"/>
  <c r="R89" i="1"/>
  <c r="O372" i="1"/>
  <c r="L347" i="1"/>
  <c r="N316" i="1"/>
  <c r="N370" i="1"/>
  <c r="M315" i="1"/>
  <c r="R129" i="1"/>
  <c r="K12" i="2" s="1"/>
  <c r="R12" i="2" s="1"/>
  <c r="M385" i="1"/>
  <c r="M389" i="1"/>
  <c r="P370" i="1"/>
  <c r="O369" i="1"/>
  <c r="L330" i="1"/>
  <c r="L334" i="1"/>
  <c r="N314" i="1"/>
  <c r="N319" i="1"/>
  <c r="M319" i="1"/>
  <c r="P129" i="1"/>
  <c r="J12" i="2" s="1"/>
  <c r="AF12" i="2" s="1"/>
  <c r="O388" i="1"/>
  <c r="P388" i="1" s="1"/>
  <c r="N386" i="1"/>
  <c r="N384" i="1"/>
  <c r="N356" i="1"/>
  <c r="N358" i="1"/>
  <c r="L345" i="1"/>
  <c r="N330" i="1"/>
  <c r="M334" i="1"/>
  <c r="L343" i="1"/>
  <c r="L346" i="1"/>
  <c r="M384" i="1"/>
  <c r="M386" i="1"/>
  <c r="P386" i="1" s="1"/>
  <c r="N385" i="1"/>
  <c r="N387" i="1"/>
  <c r="P387" i="1" s="1"/>
  <c r="P369" i="1"/>
  <c r="P372" i="1"/>
  <c r="P374" i="1"/>
  <c r="N346" i="1"/>
  <c r="L331" i="1"/>
  <c r="M331" i="1"/>
  <c r="M333" i="1"/>
  <c r="N315" i="1"/>
  <c r="N318" i="1"/>
  <c r="K13" i="2"/>
  <c r="G89" i="1"/>
  <c r="P215" i="1"/>
  <c r="J15" i="2" s="1"/>
  <c r="Q15" i="2" s="1"/>
  <c r="P170" i="1"/>
  <c r="J14" i="2" s="1"/>
  <c r="AF14" i="2" s="1"/>
  <c r="G170" i="1"/>
  <c r="O373" i="1"/>
  <c r="M314" i="1"/>
  <c r="N374" i="1"/>
  <c r="N343" i="1"/>
  <c r="N347" i="1"/>
  <c r="M316" i="1"/>
  <c r="N224" i="1"/>
  <c r="T224" i="1" s="1"/>
  <c r="U224" i="1" s="1"/>
  <c r="O370" i="1"/>
  <c r="O374" i="1"/>
  <c r="L357" i="1"/>
  <c r="N344" i="1"/>
  <c r="L314" i="1"/>
  <c r="O314" i="1" s="1"/>
  <c r="M317" i="1"/>
  <c r="O317" i="1" s="1"/>
  <c r="Q257" i="1"/>
  <c r="O384" i="1"/>
  <c r="P371" i="1"/>
  <c r="O371" i="1"/>
  <c r="M357" i="1"/>
  <c r="M346" i="1"/>
  <c r="L318" i="1"/>
  <c r="O318" i="1" s="1"/>
  <c r="O81" i="1"/>
  <c r="O80" i="1"/>
  <c r="O45" i="1"/>
  <c r="O385" i="1"/>
  <c r="O389" i="1"/>
  <c r="L358" i="1"/>
  <c r="M358" i="1"/>
  <c r="N331" i="1"/>
  <c r="U244" i="1"/>
  <c r="O86" i="1"/>
  <c r="L11" i="2" s="1"/>
  <c r="T244" i="1"/>
  <c r="O207" i="1"/>
  <c r="O205" i="1"/>
  <c r="O121" i="1"/>
  <c r="O120" i="1"/>
  <c r="U207" i="1"/>
  <c r="U205" i="1"/>
  <c r="N247" i="1"/>
  <c r="E13" i="2" s="1"/>
  <c r="I13" i="2" s="1"/>
  <c r="P13" i="2" s="1"/>
  <c r="N246" i="1"/>
  <c r="K246" i="1" s="1"/>
  <c r="J246" i="1" s="1"/>
  <c r="T247" i="1"/>
  <c r="O386" i="1"/>
  <c r="L359" i="1"/>
  <c r="M359" i="1"/>
  <c r="N332" i="1"/>
  <c r="O332" i="1" s="1"/>
  <c r="N161" i="1"/>
  <c r="E14" i="2" s="1"/>
  <c r="I14" i="2" s="1"/>
  <c r="P14" i="2" s="1"/>
  <c r="N160" i="1"/>
  <c r="K160" i="1" s="1"/>
  <c r="J160" i="1" s="1"/>
  <c r="T161" i="1"/>
  <c r="N121" i="1"/>
  <c r="E12" i="2" s="1"/>
  <c r="I12" i="2" s="1"/>
  <c r="P12" i="2" s="1"/>
  <c r="N120" i="1"/>
  <c r="K120" i="1" s="1"/>
  <c r="J120" i="1" s="1"/>
  <c r="G48" i="1"/>
  <c r="N38" i="1"/>
  <c r="N40" i="1" s="1"/>
  <c r="E10" i="2" s="1"/>
  <c r="O161" i="1"/>
  <c r="O160" i="1"/>
  <c r="O252" i="1"/>
  <c r="T207" i="1"/>
  <c r="T205" i="1"/>
  <c r="U120" i="1"/>
  <c r="U121" i="1"/>
  <c r="U81" i="1"/>
  <c r="U80" i="1"/>
  <c r="O333" i="1"/>
  <c r="N244" i="1"/>
  <c r="D13" i="2" s="1"/>
  <c r="L356" i="1"/>
  <c r="O40" i="1"/>
  <c r="T121" i="1"/>
  <c r="T120" i="1"/>
  <c r="T80" i="1"/>
  <c r="T81" i="1"/>
  <c r="P256" i="1"/>
  <c r="J13" i="2" s="1"/>
  <c r="P48" i="1"/>
  <c r="J10" i="2" s="1"/>
  <c r="N207" i="1"/>
  <c r="E15" i="2" s="1"/>
  <c r="N205" i="1"/>
  <c r="K205" i="1" s="1"/>
  <c r="J205" i="1" s="1"/>
  <c r="N59" i="1"/>
  <c r="N61" i="1" s="1"/>
  <c r="B11" i="2" s="1"/>
  <c r="H48" i="1"/>
  <c r="S257" i="1"/>
  <c r="N70" i="1"/>
  <c r="N19" i="1"/>
  <c r="N371" i="1"/>
  <c r="N375" i="1"/>
  <c r="Q375" i="1" s="1"/>
  <c r="M347" i="1"/>
  <c r="L315" i="1"/>
  <c r="L319" i="1"/>
  <c r="N79" i="1"/>
  <c r="O238" i="1"/>
  <c r="N238" i="1" s="1"/>
  <c r="C13" i="2" s="1"/>
  <c r="N372" i="1"/>
  <c r="Q372" i="1" s="1"/>
  <c r="M344" i="1"/>
  <c r="M343" i="1"/>
  <c r="L316" i="1"/>
  <c r="O227" i="1"/>
  <c r="N369" i="1"/>
  <c r="O345" i="1"/>
  <c r="O212" i="1"/>
  <c r="O167" i="1"/>
  <c r="R195" i="1"/>
  <c r="R48" i="1"/>
  <c r="T238" i="1"/>
  <c r="U238" i="1" s="1"/>
  <c r="N196" i="1"/>
  <c r="O203" i="1"/>
  <c r="O158" i="1"/>
  <c r="N153" i="1"/>
  <c r="O118" i="1"/>
  <c r="N111" i="1"/>
  <c r="O100" i="1"/>
  <c r="N90" i="1"/>
  <c r="N171" i="1"/>
  <c r="O152" i="1"/>
  <c r="N142" i="1"/>
  <c r="O110" i="1"/>
  <c r="N101" i="1"/>
  <c r="O37" i="1"/>
  <c r="N31" i="1"/>
  <c r="O78" i="1"/>
  <c r="N73" i="1"/>
  <c r="O21" i="1"/>
  <c r="N9" i="1"/>
  <c r="O356" i="1"/>
  <c r="O360" i="1"/>
  <c r="O330" i="1"/>
  <c r="N185" i="1"/>
  <c r="T185" i="1" s="1"/>
  <c r="U185" i="1" s="1"/>
  <c r="R170" i="1"/>
  <c r="G129" i="1"/>
  <c r="T30" i="1"/>
  <c r="R180" i="1"/>
  <c r="R183" i="1" s="1"/>
  <c r="O180" i="1"/>
  <c r="O183" i="1" s="1"/>
  <c r="O195" i="1"/>
  <c r="N184" i="1"/>
  <c r="O30" i="1"/>
  <c r="N22" i="1"/>
  <c r="N30" i="1" s="1"/>
  <c r="C10" i="2" s="1"/>
  <c r="N130" i="1"/>
  <c r="O141" i="1"/>
  <c r="O72" i="1"/>
  <c r="N62" i="1"/>
  <c r="U40" i="1"/>
  <c r="T40" i="1"/>
  <c r="G183" i="1"/>
  <c r="G215" i="1" s="1"/>
  <c r="O244" i="1"/>
  <c r="O61" i="1"/>
  <c r="U30" i="1"/>
  <c r="O89" i="1" l="1"/>
  <c r="N89" i="1" s="1"/>
  <c r="L10" i="2"/>
  <c r="W10" i="2" s="1"/>
  <c r="Y10" i="2" s="1"/>
  <c r="O48" i="1"/>
  <c r="W13" i="2"/>
  <c r="Y13" i="2" s="1"/>
  <c r="AO13" i="2" s="1"/>
  <c r="N86" i="1"/>
  <c r="W11" i="2"/>
  <c r="Y11" i="2" s="1"/>
  <c r="AO11" i="2" s="1"/>
  <c r="Q373" i="1"/>
  <c r="O316" i="1"/>
  <c r="O334" i="1"/>
  <c r="Q370" i="1"/>
  <c r="Q369" i="1"/>
  <c r="O319" i="1"/>
  <c r="O347" i="1"/>
  <c r="Q371" i="1"/>
  <c r="P389" i="1"/>
  <c r="O358" i="1"/>
  <c r="Q374" i="1"/>
  <c r="O315" i="1"/>
  <c r="O346" i="1"/>
  <c r="O344" i="1"/>
  <c r="O331" i="1"/>
  <c r="P385" i="1"/>
  <c r="P384" i="1"/>
  <c r="W14" i="2"/>
  <c r="N167" i="1"/>
  <c r="N126" i="1"/>
  <c r="W15" i="2"/>
  <c r="N212" i="1"/>
  <c r="N45" i="1"/>
  <c r="AG12" i="2"/>
  <c r="T227" i="1"/>
  <c r="T256" i="1" s="1"/>
  <c r="O359" i="1"/>
  <c r="O357" i="1"/>
  <c r="AF15" i="2"/>
  <c r="Q14" i="2"/>
  <c r="U227" i="1"/>
  <c r="U256" i="1" s="1"/>
  <c r="O343" i="1"/>
  <c r="I10" i="2"/>
  <c r="P10" i="2"/>
  <c r="N39" i="1"/>
  <c r="K39" i="1" s="1"/>
  <c r="J39" i="1" s="1"/>
  <c r="N81" i="1"/>
  <c r="E11" i="2" s="1"/>
  <c r="I11" i="2" s="1"/>
  <c r="P11" i="2" s="1"/>
  <c r="N80" i="1"/>
  <c r="K80" i="1" s="1"/>
  <c r="J80" i="1" s="1"/>
  <c r="N227" i="1"/>
  <c r="O256" i="1"/>
  <c r="H13" i="2" s="1"/>
  <c r="O215" i="1"/>
  <c r="O170" i="1"/>
  <c r="N72" i="1"/>
  <c r="C11" i="2" s="1"/>
  <c r="Q10" i="2"/>
  <c r="N48" i="1"/>
  <c r="P257" i="1"/>
  <c r="Q12" i="2"/>
  <c r="I15" i="2"/>
  <c r="P15" i="2" s="1"/>
  <c r="O260" i="1"/>
  <c r="R215" i="1"/>
  <c r="R257" i="1" s="1"/>
  <c r="N141" i="1"/>
  <c r="K14" i="2"/>
  <c r="Z206" i="1"/>
  <c r="N195" i="1"/>
  <c r="C15" i="2" s="1"/>
  <c r="T184" i="1"/>
  <c r="U49" i="1"/>
  <c r="U61" i="1" s="1"/>
  <c r="T61" i="1"/>
  <c r="N21" i="1"/>
  <c r="B10" i="2" s="1"/>
  <c r="T73" i="1"/>
  <c r="N78" i="1"/>
  <c r="D11" i="2" s="1"/>
  <c r="AF13" i="2"/>
  <c r="Q13" i="2"/>
  <c r="J16" i="2"/>
  <c r="Q16" i="2" s="1"/>
  <c r="N37" i="1"/>
  <c r="D10" i="2" s="1"/>
  <c r="N110" i="1"/>
  <c r="C12" i="2" s="1"/>
  <c r="N152" i="1"/>
  <c r="C14" i="2" s="1"/>
  <c r="T171" i="1"/>
  <c r="N100" i="1"/>
  <c r="B12" i="2" s="1"/>
  <c r="N118" i="1"/>
  <c r="D12" i="2" s="1"/>
  <c r="N158" i="1"/>
  <c r="D14" i="2" s="1"/>
  <c r="K11" i="2"/>
  <c r="R11" i="2" s="1"/>
  <c r="K10" i="2"/>
  <c r="O129" i="1"/>
  <c r="N180" i="1"/>
  <c r="T180" i="1" s="1"/>
  <c r="U180" i="1" s="1"/>
  <c r="N203" i="1"/>
  <c r="T196" i="1"/>
  <c r="H10" i="2" l="1"/>
  <c r="AF10" i="2"/>
  <c r="AO10" i="2"/>
  <c r="W12" i="2"/>
  <c r="Y12" i="2" s="1"/>
  <c r="AO12" i="2" s="1"/>
  <c r="Y15" i="2"/>
  <c r="AO15" i="2" s="1"/>
  <c r="Y14" i="2"/>
  <c r="AO14" i="2" s="1"/>
  <c r="L16" i="2"/>
  <c r="W16" i="2"/>
  <c r="Y16" i="2" s="1"/>
  <c r="B13" i="2"/>
  <c r="G13" i="2" s="1"/>
  <c r="S13" i="2" s="1"/>
  <c r="AB13" i="2" s="1"/>
  <c r="AF16" i="2"/>
  <c r="N256" i="1"/>
  <c r="H11" i="2"/>
  <c r="O11" i="2" s="1"/>
  <c r="E16" i="2"/>
  <c r="I16" i="2"/>
  <c r="P16" i="2" s="1"/>
  <c r="AA206" i="1"/>
  <c r="AA207" i="1" s="1"/>
  <c r="N183" i="1"/>
  <c r="B15" i="2" s="1"/>
  <c r="C16" i="2"/>
  <c r="D15" i="2"/>
  <c r="D16" i="2" s="1"/>
  <c r="N129" i="1"/>
  <c r="H12" i="2"/>
  <c r="U153" i="1"/>
  <c r="U158" i="1" s="1"/>
  <c r="T158" i="1"/>
  <c r="T118" i="1"/>
  <c r="U111" i="1"/>
  <c r="U118" i="1" s="1"/>
  <c r="T152" i="1"/>
  <c r="U152" i="1"/>
  <c r="T110" i="1"/>
  <c r="U110" i="1"/>
  <c r="U37" i="1"/>
  <c r="T37" i="1"/>
  <c r="T78" i="1"/>
  <c r="T89" i="1" s="1"/>
  <c r="U73" i="1"/>
  <c r="U78" i="1" s="1"/>
  <c r="U89" i="1" s="1"/>
  <c r="T203" i="1"/>
  <c r="U196" i="1"/>
  <c r="U203" i="1" s="1"/>
  <c r="N170" i="1"/>
  <c r="H14" i="2"/>
  <c r="N215" i="1"/>
  <c r="H15" i="2"/>
  <c r="R10" i="2"/>
  <c r="R13" i="2"/>
  <c r="AG13" i="2"/>
  <c r="T183" i="1"/>
  <c r="U171" i="1"/>
  <c r="U183" i="1" s="1"/>
  <c r="G10" i="2"/>
  <c r="T195" i="1"/>
  <c r="U184" i="1"/>
  <c r="U195" i="1" s="1"/>
  <c r="M13" i="2"/>
  <c r="O13" i="2"/>
  <c r="B14" i="2"/>
  <c r="K15" i="2"/>
  <c r="G12" i="2"/>
  <c r="O257" i="1"/>
  <c r="G11" i="2"/>
  <c r="S11" i="2" s="1"/>
  <c r="Z11" i="2" s="1"/>
  <c r="T100" i="1"/>
  <c r="U100" i="1"/>
  <c r="T21" i="1"/>
  <c r="U21" i="1"/>
  <c r="AG14" i="2"/>
  <c r="R14" i="2"/>
  <c r="T141" i="1"/>
  <c r="U130" i="1"/>
  <c r="U141" i="1" s="1"/>
  <c r="T48" i="1" l="1"/>
  <c r="S12" i="2"/>
  <c r="Z12" i="2" s="1"/>
  <c r="AO16" i="2"/>
  <c r="S10" i="2"/>
  <c r="AL10" i="2" s="1"/>
  <c r="U129" i="1"/>
  <c r="Z13" i="2"/>
  <c r="AA13" i="2"/>
  <c r="T129" i="1"/>
  <c r="N257" i="1"/>
  <c r="M11" i="2"/>
  <c r="T215" i="1"/>
  <c r="U215" i="1"/>
  <c r="U48" i="1"/>
  <c r="G15" i="2"/>
  <c r="S15" i="2" s="1"/>
  <c r="AA15" i="2" s="1"/>
  <c r="T170" i="1"/>
  <c r="U170" i="1"/>
  <c r="AA11" i="2"/>
  <c r="AB11" i="2"/>
  <c r="M10" i="2"/>
  <c r="O10" i="2"/>
  <c r="H16" i="2"/>
  <c r="R15" i="2"/>
  <c r="AG15" i="2"/>
  <c r="G14" i="2"/>
  <c r="S14" i="2" s="1"/>
  <c r="B16" i="2"/>
  <c r="K16" i="2"/>
  <c r="R16" i="2" s="1"/>
  <c r="O15" i="2"/>
  <c r="M15" i="2"/>
  <c r="O14" i="2"/>
  <c r="M14" i="2"/>
  <c r="M12" i="2"/>
  <c r="O12" i="2"/>
  <c r="AA12" i="2" l="1"/>
  <c r="AB12" i="2"/>
  <c r="AA10" i="2"/>
  <c r="Z10" i="2"/>
  <c r="AG10" i="2" s="1"/>
  <c r="AG16" i="2" s="1"/>
  <c r="AB10" i="2"/>
  <c r="AM10" i="2" s="1"/>
  <c r="Z15" i="2"/>
  <c r="AB15" i="2"/>
  <c r="U257" i="1"/>
  <c r="AB14" i="2"/>
  <c r="AA14" i="2"/>
  <c r="Z14" i="2"/>
  <c r="AD13" i="2"/>
  <c r="T257" i="1"/>
  <c r="AD11" i="2"/>
  <c r="G16" i="2"/>
  <c r="S16" i="2" s="1"/>
  <c r="M16" i="2"/>
  <c r="O16" i="2"/>
  <c r="AA16" i="2" l="1"/>
  <c r="Z16" i="2"/>
  <c r="AB16" i="2"/>
  <c r="AD10" i="2"/>
  <c r="AD15" i="2"/>
  <c r="AD14" i="2"/>
  <c r="AD12" i="2"/>
  <c r="AD16" i="2" l="1"/>
</calcChain>
</file>

<file path=xl/sharedStrings.xml><?xml version="1.0" encoding="utf-8"?>
<sst xmlns="http://schemas.openxmlformats.org/spreadsheetml/2006/main" count="2461" uniqueCount="607">
  <si>
    <t>Приложение № 3</t>
  </si>
  <si>
    <t>2. Общеобразовательные учреждения</t>
  </si>
  <si>
    <t>Наименование учреждения</t>
  </si>
  <si>
    <t>Наименование услуги и уникальный номер реестровой записи</t>
  </si>
  <si>
    <t>Форма организации обучения детей</t>
  </si>
  <si>
    <t>Ед. изм. объема услуги</t>
  </si>
  <si>
    <t>Значение объема муниципальной услуги (работы)</t>
  </si>
  <si>
    <t>Базовый норматив затрат на единицу объема</t>
  </si>
  <si>
    <t>Нормативные затраты на оказание муниципальной услуги (работы)</t>
  </si>
  <si>
    <t>2025 год</t>
  </si>
  <si>
    <t>Всего:</t>
  </si>
  <si>
    <t>краевой норматив на общеобразовательные программы</t>
  </si>
  <si>
    <t>краевой норматив на административно-управленч. и учебно-вспомогат.персонал</t>
  </si>
  <si>
    <t>норматив финансирования из местного бюджета, МРОТ</t>
  </si>
  <si>
    <t>в т.ч на  общеобразовательные программы</t>
  </si>
  <si>
    <t>на содержание административно-управленч. и учебно-вспомогат.персонал</t>
  </si>
  <si>
    <t>МРОТ краевой</t>
  </si>
  <si>
    <t>за счет финансирования из местного бюджета</t>
  </si>
  <si>
    <t>МРОТ местный</t>
  </si>
  <si>
    <t>в соответствии с реестром</t>
  </si>
  <si>
    <t>по ОКЕИ</t>
  </si>
  <si>
    <t>в натуральных показателях</t>
  </si>
  <si>
    <t>в рублях</t>
  </si>
  <si>
    <t>МБОУ Школа №2 им.Ю.А.Гагарина</t>
  </si>
  <si>
    <t>Обучение детей  в образовательных организациях, реализующих программы общего образования (k = 1)</t>
  </si>
  <si>
    <t>человек</t>
  </si>
  <si>
    <t>Инклюзивное обучение детей c ограниченными возможностями здоровья в общеобразовательных классах образовательных организаций (k = 9) в т.ч.:</t>
  </si>
  <si>
    <t>х</t>
  </si>
  <si>
    <t>t=4</t>
  </si>
  <si>
    <t>t=5</t>
  </si>
  <si>
    <t>t=6</t>
  </si>
  <si>
    <t>t=7</t>
  </si>
  <si>
    <t>t=8</t>
  </si>
  <si>
    <t>t=9</t>
  </si>
  <si>
    <t>t=10</t>
  </si>
  <si>
    <t>t=12</t>
  </si>
  <si>
    <t>Индивидуальное обучение детей при наличии соответствующего медицинского заключения и детей-инвалидов на дому (k = 10) город</t>
  </si>
  <si>
    <t>Доплата за классное рук</t>
  </si>
  <si>
    <t>кл/комп</t>
  </si>
  <si>
    <t>итого по услуге:</t>
  </si>
  <si>
    <t>Инклюзивное обучение детей c ограниченными возможностями здоровья в общеобразовательных классах образовательных организаций (k = 9)</t>
  </si>
  <si>
    <t>Заочное обучение детей в образовательных организациях, реализующие основные общеобразовательные программы (k =13)</t>
  </si>
  <si>
    <t>Дополнительное образование детей в образовательных организациях, реализующих основные общеобразовательные программы (город)</t>
  </si>
  <si>
    <t xml:space="preserve"> </t>
  </si>
  <si>
    <t>На увелич.оплаты труда отдел.катег.раб.</t>
  </si>
  <si>
    <t>краевой бюджет</t>
  </si>
  <si>
    <t>Обеспечение групп продленного дня</t>
  </si>
  <si>
    <t>кол.</t>
  </si>
  <si>
    <t>Доплата за кл.руководство</t>
  </si>
  <si>
    <t>молодой специалист</t>
  </si>
  <si>
    <t>Повышение 10% АУП</t>
  </si>
  <si>
    <t>Всего по учреждению:</t>
  </si>
  <si>
    <t>МБОУ СОШ №4</t>
  </si>
  <si>
    <t>t=11</t>
  </si>
  <si>
    <t xml:space="preserve">Доплата до МРОТ </t>
  </si>
  <si>
    <t>местный бюджет</t>
  </si>
  <si>
    <t>Доплата до МРОТ(разница)</t>
  </si>
  <si>
    <t>МБОУ СОШ №5</t>
  </si>
  <si>
    <t>t=2</t>
  </si>
  <si>
    <t>Доплата за классное рук.</t>
  </si>
  <si>
    <t>кл./комп</t>
  </si>
  <si>
    <t>МБОУ СОШ № 9</t>
  </si>
  <si>
    <t>МАОУ гимназия №10</t>
  </si>
  <si>
    <t>Обучение детей, находящихся на длительном лечении в медицинских учреждениях (индивидуальное, групповое) (k = 11)</t>
  </si>
  <si>
    <t>Обучение детей  в образовательных организациях, реализующих программы общего образования (k = 1) с углубленным изучением предметов</t>
  </si>
  <si>
    <t>Дополнительное образование детей в образовательных организациях, реализующих основные общеобразовательные программы (город) в т.ч.:</t>
  </si>
  <si>
    <t>Дополнительное образование детей в образовательных организациях, реализующих основные общеобразовательные программы (дети, посещающие бассейн)</t>
  </si>
  <si>
    <t>Ведение бух.учета</t>
  </si>
  <si>
    <t>Доп.на ведение бух.учета</t>
  </si>
  <si>
    <t>МБОУ СОШ № 7</t>
  </si>
  <si>
    <t xml:space="preserve">Обучение детей  в малокомплектных образовательных организациях, расположенных в городских населенных пунктах, и в классах с наполняемостью 20 и более человек, созданных в малокомплектных образовательных организациях, расположенных в сельских населенных </t>
  </si>
  <si>
    <t>класс/человек</t>
  </si>
  <si>
    <t>Обучение детей в классах с наполняемостью менее 20 человек, созданных в малокомплектных образовательных организациях, расположенных в сельских населенных пунктах (за исключением детей с ограниченными возможностями здоровья, обучающихся в отдельных классах) (k = 5)</t>
  </si>
  <si>
    <t>Х</t>
  </si>
  <si>
    <t>Индивидуальное обучение детей при наличии соответствующего медицинского заключения и детей-инвалидов на дому (k = 10) село</t>
  </si>
  <si>
    <t>Обучение детей, находящихся на длительном лечении в медицинских учреждениях (индивидуальное, групповое) (k = 11) село</t>
  </si>
  <si>
    <t>Дополнительное образование детей в образовательных организациях, реализующих основные общеобразовательные программы (село)</t>
  </si>
  <si>
    <t>ВСЕГО:</t>
  </si>
  <si>
    <t>Гайлит Светлана Геннадьевна (39144)3-79-43</t>
  </si>
  <si>
    <t>Мисько Галина Владимировна (39144)3-16-33</t>
  </si>
  <si>
    <t>АУП</t>
  </si>
  <si>
    <t>пед.</t>
  </si>
  <si>
    <t>местн</t>
  </si>
  <si>
    <t>МБОУ №2</t>
  </si>
  <si>
    <t>МБОУ №4</t>
  </si>
  <si>
    <t>МБОУ №5</t>
  </si>
  <si>
    <t>МБОУ №9</t>
  </si>
  <si>
    <t>МАОУ №10</t>
  </si>
  <si>
    <t>МБОУ №7</t>
  </si>
  <si>
    <t>Приложение № 4 к приказу</t>
  </si>
  <si>
    <t>1.  Общеобразовательные учреждения</t>
  </si>
  <si>
    <t>Всего  нормативных затрат на оказание услуг (работ) по учреждению</t>
  </si>
  <si>
    <t>в том числе по источникам финансирования:</t>
  </si>
  <si>
    <t>Объем муниципального задания 2023 год</t>
  </si>
  <si>
    <t xml:space="preserve">Объем финансового обеспечения на выполнение муниципального задания на 2025 год </t>
  </si>
  <si>
    <r>
      <t xml:space="preserve">Реализация </t>
    </r>
    <r>
      <rPr>
        <b/>
        <sz val="10"/>
        <rFont val="Times New Roman"/>
        <family val="1"/>
        <charset val="204"/>
      </rPr>
      <t>дополнительных</t>
    </r>
    <r>
      <rPr>
        <sz val="10"/>
        <rFont val="Times New Roman"/>
        <family val="1"/>
        <charset val="204"/>
      </rPr>
      <t xml:space="preserve"> общеобразовательных общеразвивающих программ</t>
    </r>
  </si>
  <si>
    <t>Доплата за классное руководство</t>
  </si>
  <si>
    <t>краевые субвенции на  общеобразоват-е программы</t>
  </si>
  <si>
    <t>краевые субвенции на  реализацию дополнительных общеобразоват-х программ</t>
  </si>
  <si>
    <t>краевые субвенции на содержание административно-управленч. и учебно-вспомогат.персонал</t>
  </si>
  <si>
    <t>В т.ч. Иные цели за счет краевых средств</t>
  </si>
  <si>
    <t>краевые субвенции на  общеобразовательные программы</t>
  </si>
  <si>
    <t>Реализация дополнительных общеобразовательных общеразвивающих программ</t>
  </si>
  <si>
    <t>краевые субвенции на  общеобразовательные программы  (0702)</t>
  </si>
  <si>
    <t>Реализация дополнительных общеобразовательных общеразвивающих программ  (0703)</t>
  </si>
  <si>
    <t>Ежемесячное вознаграждение за классное руководство</t>
  </si>
  <si>
    <t xml:space="preserve">Всего объем финасового обеспечения муниципального задания </t>
  </si>
  <si>
    <t>МБОУ "Школа №2 им. Ю.А.Гагарина"</t>
  </si>
  <si>
    <t>МБОУ СОШ №7</t>
  </si>
  <si>
    <t>МБОУ СОШ №9</t>
  </si>
  <si>
    <t>Итого по школам</t>
  </si>
  <si>
    <r>
      <t xml:space="preserve">Реализация </t>
    </r>
    <r>
      <rPr>
        <b/>
        <sz val="11"/>
        <rFont val="Times New Roman"/>
        <family val="1"/>
        <charset val="204"/>
      </rPr>
      <t>дополнительных</t>
    </r>
    <r>
      <rPr>
        <sz val="11"/>
        <rFont val="Times New Roman"/>
        <family val="1"/>
        <charset val="204"/>
      </rPr>
      <t xml:space="preserve"> общеобразовательных общеразвивающих программ 801012О.99.0.ББ57АЕ52000; 804200О.99.0.ББ52АЕ76000; 804200О.99.0.ББ52АЕ04000; 804200О.99.0.ББ52АЖ24000  </t>
    </r>
  </si>
  <si>
    <t>Наименование услуги</t>
  </si>
  <si>
    <t>Форма организации обучения. Направленность групп</t>
  </si>
  <si>
    <t>в т.ч. Краевой бюджет пед.персонал</t>
  </si>
  <si>
    <t>в т.ч. Местный бюджет</t>
  </si>
  <si>
    <t>Итого:</t>
  </si>
  <si>
    <t>в соответствии с перечнем</t>
  </si>
  <si>
    <t>в т.ч. Краевой бюджет пед.персонал, руб.</t>
  </si>
  <si>
    <t>в т.ч. Краевой бюджет адм-упр.и уч.-вспом. Персонал,руб.</t>
  </si>
  <si>
    <t>Доплата до МРОТ краевой бюджет</t>
  </si>
  <si>
    <t>в т.ч. Местный бюджет, руб.</t>
  </si>
  <si>
    <t>Доплата до МРОТ местный бюджет</t>
  </si>
  <si>
    <t>в т.ч. ВНЕбюджет, руб.</t>
  </si>
  <si>
    <t>МБДОУ д/с № 4</t>
  </si>
  <si>
    <t>801011О.99.0.БВ24ДП02000; 801011О.99.0.БВ24ДН82000; 801011О.99.0.БВ24ГД82000; 801011О.99.0.БВ24АУ02000; 801011О.99.0.БВ24АВ42000;</t>
  </si>
  <si>
    <t>Реализация основных общеобразовательных программ дошкольного образования</t>
  </si>
  <si>
    <t>до 3 лет (b3)</t>
  </si>
  <si>
    <t>чел.</t>
  </si>
  <si>
    <t>от 3 до 7 лет (b8)</t>
  </si>
  <si>
    <t>дети до 3 лет (b3)</t>
  </si>
  <si>
    <t>853211О.99.0.БВ19АА68000; 853211О.99.0.БВ19АА56000; 853211О.99.0.БВ19АБ82000; 853211О.99.0.БВ19АА20000</t>
  </si>
  <si>
    <r>
      <rPr>
        <b/>
        <sz val="11"/>
        <rFont val="Times New Roman"/>
        <family val="1"/>
        <charset val="204"/>
      </rPr>
      <t>Присмотр и уход</t>
    </r>
  </si>
  <si>
    <t>внебюджет</t>
  </si>
  <si>
    <t>МБДОУ д/с № 7</t>
  </si>
  <si>
    <t>Присмотр и уход</t>
  </si>
  <si>
    <t>Повышение на4,3%</t>
  </si>
  <si>
    <t>Повышение оплаты труда до целевого показателя</t>
  </si>
  <si>
    <t>АУП 4,3%</t>
  </si>
  <si>
    <t>МБДОУ д/с № 9</t>
  </si>
  <si>
    <t>МБДОУ д/с № 10</t>
  </si>
  <si>
    <t>до 3 лет  (b3)</t>
  </si>
  <si>
    <t>МБДОУ д/с № 12</t>
  </si>
  <si>
    <t>до 3 лет (b=3)</t>
  </si>
  <si>
    <t>МБДОУ д/с № 13</t>
  </si>
  <si>
    <t>МБДОУ д/с № 14</t>
  </si>
  <si>
    <t>МБДОУ д/с № 15</t>
  </si>
  <si>
    <t>МБДОУ д/с № 18</t>
  </si>
  <si>
    <t>МАДОУ д/с№ 17</t>
  </si>
  <si>
    <t>ИТОГО</t>
  </si>
  <si>
    <t>Ковалева Лариса Валерьевна (39144)3-79-43</t>
  </si>
  <si>
    <t>2. Дошкольные образовательные учреждения</t>
  </si>
  <si>
    <t>Всего нормативных затрат на оказание услуг (работ) по учреждению</t>
  </si>
  <si>
    <t>в том числе по источникам финансирования</t>
  </si>
  <si>
    <t>Коэффициент выравнивания до предельного объема финансирования в 2017 году к Присмотру и уходу</t>
  </si>
  <si>
    <t>Коэффициент выравнивания до предельного объема финансирования в 2017 году к Реализации основных общеобразовательных программ дошкольного образования</t>
  </si>
  <si>
    <t>Объем финансового обеспечения на выполнение муниципального задания на 2025 год</t>
  </si>
  <si>
    <t>Краевой бюджет</t>
  </si>
  <si>
    <t>Местный бюджет</t>
  </si>
  <si>
    <t>Присмотр и уход (местный бюджет)</t>
  </si>
  <si>
    <t>Присмотр и уход (родительская плата)</t>
  </si>
  <si>
    <t>за счет краевого бюджета на обеспечение учебного процесса</t>
  </si>
  <si>
    <t>За счет краевого бюджета на административно-управленческий и учебно-вспомогательный персонал</t>
  </si>
  <si>
    <t>присмотр и уход за счет местного бюджета</t>
  </si>
  <si>
    <t>в т.ч. за счет краевого бюджета на обеспечение учебного процесса</t>
  </si>
  <si>
    <t>в т.ч.  За счет краевого бюджета на административно-управленческий и учебно-вспомогат-й персонал</t>
  </si>
  <si>
    <t>в т.ч.  За счет местного бюджета</t>
  </si>
  <si>
    <r>
      <t>в т.ч.  За счет местного бюджета</t>
    </r>
    <r>
      <rPr>
        <sz val="8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(с питанием)</t>
    </r>
  </si>
  <si>
    <t xml:space="preserve">Присмотр и уход (за счет родительской платы)  </t>
  </si>
  <si>
    <t>Всего объем финасового обеспечения муниципального задания (за минусом доходов от предпринимательской деятельности)</t>
  </si>
  <si>
    <t>МБДОУ д/с №14</t>
  </si>
  <si>
    <t>МАДОУ д/с № 17</t>
  </si>
  <si>
    <t>3. Учреждения дополнительного образования детей (местный бюджет)</t>
  </si>
  <si>
    <t>Корректировка бюджета 16.02.22г.</t>
  </si>
  <si>
    <t>Базовый норматив затрат на единицу объема, на 16.02.22г.</t>
  </si>
  <si>
    <t>Нормативные затраты на оказание муницп-й услуги, на 16.02.22г.</t>
  </si>
  <si>
    <t>Корректировка бюджета 01.06.22г.</t>
  </si>
  <si>
    <t>Базовый норматив затрат на единицу объема, на 01.06.22г.</t>
  </si>
  <si>
    <t>Нормативные затраты на оказание муницп-й услуги, на 01.06.22г.</t>
  </si>
  <si>
    <t>Корректировка бюджета 27.07.22г.</t>
  </si>
  <si>
    <t>Базовый норматив затрат на единицу объема, на 27.07.22г.</t>
  </si>
  <si>
    <t>Нормативные затраты на оказание муницп-й услуги, на 27.07.22г.</t>
  </si>
  <si>
    <t>Корректировка бюджета 14.09.22г.</t>
  </si>
  <si>
    <t>Базовый норматив затрат на единицу объема, на 14.09.22г.</t>
  </si>
  <si>
    <t>Нормативные затраты на оказание муницп-й услуги, на 14.09.22г.</t>
  </si>
  <si>
    <t>Корректировка бюджета 23.11.22г.</t>
  </si>
  <si>
    <t>Базовый норматив затрат на единицу объема, на 23.11.22г.</t>
  </si>
  <si>
    <t>Нормативные затраты на оказание муницп-й услуги, на 23.11.22г.</t>
  </si>
  <si>
    <t>Корректировка бюджета 21.12.22г.</t>
  </si>
  <si>
    <t>Базовый норматив затрат на единицу объема, на 21.12.22г.</t>
  </si>
  <si>
    <t>Нормативные затраты на оказание муницп-й услуги, на 21.12.22г.</t>
  </si>
  <si>
    <t>Базовый норматив затрат на единицу объема, на 11.01.21г.</t>
  </si>
  <si>
    <t>Нормативные затраты на оказание муницп-й услуги, на 11.01.21г.</t>
  </si>
  <si>
    <t>Базовый норматив затрат на единицу объема, на 17.02.21г.</t>
  </si>
  <si>
    <t>Нормативные затраты на оказание муницп-й услуги, на 17.02.21г.</t>
  </si>
  <si>
    <t>Базовый норматив затрат на единицу объема, на 31.03.21г.</t>
  </si>
  <si>
    <t>Нормативные затраты на оказание муницп-й услуги, на 31.03.21г.</t>
  </si>
  <si>
    <t>Базовый норматив затрат на единицу объема, на 26.05.21г.</t>
  </si>
  <si>
    <t>Нормативные затраты на оказание муницп-й услуги, на 26.05.21г.</t>
  </si>
  <si>
    <t>Базовый норматив затрат на единицу объема, на 01.10.21г.</t>
  </si>
  <si>
    <t>Нормативные затраты на оказание муницп-й услуги, на 01.10.21г.</t>
  </si>
  <si>
    <t>2019 год c 01.09.2019</t>
  </si>
  <si>
    <t>2019 год срзнач.</t>
  </si>
  <si>
    <t>решение №19-118-ГС от 16.02.2022г.</t>
  </si>
  <si>
    <t>решение №23-144-ГС от 01.06.2022г.</t>
  </si>
  <si>
    <t>решение №25-160-ГС от 27.07.2022г.</t>
  </si>
  <si>
    <t>решение №26-161-ГС от 14.09.2022г.</t>
  </si>
  <si>
    <t>решение №…..-ГС от 23.11.2022г.</t>
  </si>
  <si>
    <t>решение №…..-ГС от 21.12.2022г.</t>
  </si>
  <si>
    <t>(чел/час)</t>
  </si>
  <si>
    <t>2023г.</t>
  </si>
  <si>
    <t>2024г.</t>
  </si>
  <si>
    <t>2025г.</t>
  </si>
  <si>
    <t>добавить к з/п в прилож.№2</t>
  </si>
  <si>
    <t>объем, 2021г.</t>
  </si>
  <si>
    <t>2021г.</t>
  </si>
  <si>
    <t>руб.</t>
  </si>
  <si>
    <t>сумма на МЗ (без спорта)</t>
  </si>
  <si>
    <t>33 417 035,12 сумма на МЗ со спортом</t>
  </si>
  <si>
    <t>сумма на МЗ (без работ-спорта)</t>
  </si>
  <si>
    <t>34 422 689,12 сумма на МЗ со спортом</t>
  </si>
  <si>
    <t>34 259 407,28 сумма на МЗ со споортом</t>
  </si>
  <si>
    <t>34 810 160,28 сумма на МЗ со споортом</t>
  </si>
  <si>
    <t>36087914,28 сумма на МЗ со споортом</t>
  </si>
  <si>
    <t>36683062,96 сумма на МЗ со споортом</t>
  </si>
  <si>
    <t>МБОУ ДО "ДДТ"</t>
  </si>
  <si>
    <t>Реализация дополнительных общеразвивающих программ (социально-гуманитарное направление) 804200О.99.0.ББ52АЖ24000</t>
  </si>
  <si>
    <t>чел.-час.</t>
  </si>
  <si>
    <t>Реализация дополнительных общеразвивающих программ (техническое направление) 804200О.99.0.ББ52АЕ04000</t>
  </si>
  <si>
    <t>Реализация дополнительных общеразвивающих программ (туристическо-краеведческое направление) 804200О.99.0.ББ52А368000</t>
  </si>
  <si>
    <t>Реализация дополнительных общеразвивающих программ (физкультурно-спортивная) 804200О.99.0.ББ52АЕ52000</t>
  </si>
  <si>
    <t>Реализация дополнительных общеразвивающих программ (художественное направление) 804200О.99.0.ББ52АЕ76000</t>
  </si>
  <si>
    <t>чел/час</t>
  </si>
  <si>
    <t>Реализация дополнительных общеразвивающих программ (естественно-научное направление) 804200О.99.0.ББ52АЕ28000; 804200О.99.0.ББ52АЕ28000</t>
  </si>
  <si>
    <t>ИТОГО по  услуге :</t>
  </si>
  <si>
    <t>Услуга 1</t>
  </si>
  <si>
    <t>сумма на ПФ</t>
  </si>
  <si>
    <t>Корректировка бюджета 17.02.2021г. (сумма)</t>
  </si>
  <si>
    <t>Корректировка бюджета 28.04.2021г. (сумма)</t>
  </si>
  <si>
    <t>Корректировка бюджета 26.05.2021г. (сумма)</t>
  </si>
  <si>
    <t>Корректировка бюджета 29.09.2021г. (сумма)</t>
  </si>
  <si>
    <t>сумма на МЗ:</t>
  </si>
  <si>
    <t>Реализация дополнительных общеразвивающих программ(Прерсонофицированное финансирование) (техническое направление) 804200О.99.0.ББ52АЕ04000</t>
  </si>
  <si>
    <t>Реализация дополнительных общеразвивающих программ (Персонифицированное финансирование) (туристическо-краеведческое направление) 804200О.99.0.ББ52А368000</t>
  </si>
  <si>
    <t>Реализация дополнительных общеразвивающих программ (Персонифицированное финансирование) (физкультурно-спортивная) 804200О.99.0.ББ52АЕ52000</t>
  </si>
  <si>
    <t>Реализация дополнительных общеразвивающих программ (Персонифицированное финансирование) (художественное направление) 804200О.99.0.ББ52АЕ76000</t>
  </si>
  <si>
    <t>Реализация дополнительных общеразвивающих программ (Персонифицированное финансирование) (естественно-научное направление) 804200О.99.0.ББ52АЕ28000; 804200О.99.0.ББ52АЕ28000</t>
  </si>
  <si>
    <t>Услуга 2</t>
  </si>
  <si>
    <t>Методическое обеспечение образовательной деятельности Р.01.1.0007.0001.002</t>
  </si>
  <si>
    <t xml:space="preserve"> кол-во мероприятий</t>
  </si>
  <si>
    <t>ИТОГО по  работе :</t>
  </si>
  <si>
    <t>Работа 1</t>
  </si>
  <si>
    <t>на 2021г.</t>
  </si>
  <si>
    <t>на 2022-23г.</t>
  </si>
  <si>
    <t>Краевая доплата пед.работ.</t>
  </si>
  <si>
    <t>Повышение на 10%</t>
  </si>
  <si>
    <t>Доплата до МРОТ разница</t>
  </si>
  <si>
    <t>Доплата до МРОТ</t>
  </si>
  <si>
    <t>Итого по учреждению:</t>
  </si>
  <si>
    <t>на 2023г.</t>
  </si>
  <si>
    <t>на 2024-25г.</t>
  </si>
  <si>
    <t>Нормативные затраты на оказание муницп-й услуги, на 11.01.22г.</t>
  </si>
  <si>
    <t>сумма на спорт.объекты</t>
  </si>
  <si>
    <t>без ПФ</t>
  </si>
  <si>
    <t>сумма на МЗ</t>
  </si>
  <si>
    <t>Сумма финансир-я</t>
  </si>
  <si>
    <t>Мисько Галина Владимировна  (39144)3-16-33</t>
  </si>
  <si>
    <t>по бюджетной росписи</t>
  </si>
  <si>
    <t>сумма на объекты спорта и метод.обесп.</t>
  </si>
  <si>
    <t>корректировка 26.05.2021г.</t>
  </si>
  <si>
    <t>разница суммы финансирования м/у 22годом и 23-24годами</t>
  </si>
  <si>
    <t>Нормативные затраты на оказание муницп-й услуги, на 26.01.22г.</t>
  </si>
  <si>
    <t>МЗ + ПФ</t>
  </si>
  <si>
    <t>корректировка 29.09.2021г.</t>
  </si>
  <si>
    <t>МЗ</t>
  </si>
  <si>
    <t>спорт</t>
  </si>
  <si>
    <t>2024-2025гг</t>
  </si>
  <si>
    <t>усл.</t>
  </si>
  <si>
    <t>сумма на м/б по МЗ (усл.1+спорт+метод.обесп)</t>
  </si>
  <si>
    <t>ПФ</t>
  </si>
  <si>
    <t>сумма на услугу1</t>
  </si>
  <si>
    <t>минус с МЗ</t>
  </si>
  <si>
    <t>на эту сумму уменьшить норматив на 24-25гг</t>
  </si>
  <si>
    <t xml:space="preserve">Приложение № 4 к Приказу </t>
  </si>
  <si>
    <t>3. Учреждения дополнительного образования детей</t>
  </si>
  <si>
    <t xml:space="preserve">Реализация дополнительных общеразвивающих программ (учреждения дополнительного образования детей) </t>
  </si>
  <si>
    <t xml:space="preserve">Реализация дополнительных общеразвивающих программ (естественно-научное направление) 804200О.99.0.ББ52АЕ28000 </t>
  </si>
  <si>
    <t>Корректировка бюджета 25.01.23г.</t>
  </si>
  <si>
    <t>решение №30-196-ГС от 25.01.2023г.</t>
  </si>
  <si>
    <t>Базовый норматив затрат на единицу объема, на 25.01.23г.</t>
  </si>
  <si>
    <t>Нормативные затраты на оказание муницп-й услуги, на 25.01.23г.</t>
  </si>
  <si>
    <t>м/б - сумма на МЗ (без спорта)</t>
  </si>
  <si>
    <t>м/б - сумма на МЗ (спорт)</t>
  </si>
  <si>
    <t>м/б - сумма на МЗ (со спортом), по бюджетн.росписи</t>
  </si>
  <si>
    <t>ПФ - сумма без изменений, по бюджетн.росписи</t>
  </si>
  <si>
    <t>реализация основных, общеобразовательных программ (МБ)</t>
  </si>
  <si>
    <t>Всего за счет местного бюджета</t>
  </si>
  <si>
    <t>в том числе:</t>
  </si>
  <si>
    <t>в том числе по услугам:</t>
  </si>
  <si>
    <t>коэф-т объема финансирования к нормативу</t>
  </si>
  <si>
    <t>коэф-т выше 1,0, т.к. в январе 2023г.были выделены доп.суммы на рег.выплаты(9месяцев), т.е. это МРОТ, а в нормативах этой суммы -нет.</t>
  </si>
  <si>
    <t>1. Дошкольные образовательные учреждения</t>
  </si>
  <si>
    <t>К1 Группы общеразвивающей направленности (за исключением малокомплектных образовательных организаций) (1 группа)</t>
  </si>
  <si>
    <t>К2 Группы компенсирующей направленности (за исключением малокомплектных образовательных организаций) (3группы)</t>
  </si>
  <si>
    <t>K1 Группы общеразвивающей направленности (за исключением малокомплектных образовательных организаций) (1 группа)</t>
  </si>
  <si>
    <t>K3 Группы комбинированной направленности (за исключением малокомплектных образовательных организаций), городской населенный пункт (5группы)</t>
  </si>
  <si>
    <t>К9 Группы общеразвив. направленности, в которых воспитанники посещают бассейн (1группа)</t>
  </si>
  <si>
    <t>К9 Группы общеразвивающей направленности, в которых воспитанники посещают бассейн (1группа)</t>
  </si>
  <si>
    <t>К11 Группы комбинированной направленности, в которых воспитанники посещают бассейн (4группы)</t>
  </si>
  <si>
    <t>K3 Группы комбинированной направленности (за исключением малокомплектных образовательных организаций), городской населенный пункт (6групп)</t>
  </si>
  <si>
    <t>К1 Группы общеразвивающей направленности (за исключением малокомплектных образовательных организаций) (1группа)</t>
  </si>
  <si>
    <t>итого:</t>
  </si>
  <si>
    <t xml:space="preserve">Всего объем финасового обеспечения на выполнение МЗ </t>
  </si>
  <si>
    <r>
      <t xml:space="preserve">в т.ч.  За счет краевого бюджета на административно-управленческий и учебно-вспомогательный персонал              </t>
    </r>
    <r>
      <rPr>
        <i/>
        <sz val="5"/>
        <rFont val="Times New Roman"/>
        <family val="1"/>
        <charset val="204"/>
      </rPr>
      <t xml:space="preserve"> </t>
    </r>
  </si>
  <si>
    <r>
      <t>в т.ч. за счет краевого бюджета на обеспечение учебного процесса</t>
    </r>
    <r>
      <rPr>
        <i/>
        <sz val="5"/>
        <rFont val="Times New Roman"/>
        <family val="1"/>
        <charset val="204"/>
      </rPr>
      <t xml:space="preserve"> </t>
    </r>
  </si>
  <si>
    <t>Корректировка бюджета 29.03.23г.</t>
  </si>
  <si>
    <t>решение №...-...-ГС от 29.03.2023г.</t>
  </si>
  <si>
    <t>Базовый норматив затрат на единицу объема, на 29.03.23г.</t>
  </si>
  <si>
    <t>Нормативные затраты на оказание муницп-й услуги, на 29.03.23г.</t>
  </si>
  <si>
    <r>
      <t>Реализация</t>
    </r>
    <r>
      <rPr>
        <b/>
        <sz val="11"/>
        <rFont val="Times New Roman"/>
        <family val="1"/>
        <charset val="204"/>
      </rPr>
      <t xml:space="preserve"> дополнительных</t>
    </r>
    <r>
      <rPr>
        <sz val="11"/>
        <rFont val="Times New Roman"/>
        <family val="1"/>
        <charset val="204"/>
      </rPr>
      <t xml:space="preserve"> общеобразовательных общеразвивающих программ 801012О.99.0.ББ57АЕ52000; 804200О.99.0.ББ52АЕ76000; 804200О.99.0.ББ52АЕ04000; 804200О.99.0.ББ52АЖ24000  </t>
    </r>
  </si>
  <si>
    <t>Очно-заочное образ.+классное рук-во</t>
  </si>
  <si>
    <t>Среднее образ-е</t>
  </si>
  <si>
    <t>решение ГС №34-205-НПА от 24.05.23г.</t>
  </si>
  <si>
    <t>Корректировка бюджета 24.05.23г.</t>
  </si>
  <si>
    <t>Базовый норматив затрат на единицу объема, на 24.05.23г.</t>
  </si>
  <si>
    <t>Нормативные затраты на оказание муницп-й услуги, на 24.05.23г.</t>
  </si>
  <si>
    <t>Реализация дополнительных общеразвивающих программ (Персонифицированное финансирование,  СЗ) (социально-гуманитарное направление) 804200О.99.0.ББ52АЖ24000</t>
  </si>
  <si>
    <t>Реализация дополнительных общеразвивающих программ (Персонифицированное финансиррвание,  СЗ) (социально-гуманитарное направление) 804200О.99.0.ББ52АЖ24000</t>
  </si>
  <si>
    <t>в.т.на гранты в форме субсидий</t>
  </si>
  <si>
    <t>итого доход учреждения по ПФ ДОД</t>
  </si>
  <si>
    <t>объем средств ПФ ДОД</t>
  </si>
  <si>
    <t>чел-час</t>
  </si>
  <si>
    <t>число сертификатов</t>
  </si>
  <si>
    <t>номинал сертификата</t>
  </si>
  <si>
    <t>Заявка на субсидию в 2023г(в.ч.софинансирование МО 43 784,93руб.)</t>
  </si>
  <si>
    <t>разница между доходом по ПФ и заявкой</t>
  </si>
  <si>
    <t>направленность</t>
  </si>
  <si>
    <t>техническая</t>
  </si>
  <si>
    <t>естественно-науч.</t>
  </si>
  <si>
    <t>Бюджетная роспись от 26.07.2023г., добавили краевые субсидии на ПФ СЗ (по заявке)  на доп-х 71 человека, сумма- 4334708,40</t>
  </si>
  <si>
    <t>плюсом- кол-во чел/час (1вар)</t>
  </si>
  <si>
    <t>плюсом- кол-во чел/час (вар.2 с 01.09.23г)</t>
  </si>
  <si>
    <t>сред.норматив</t>
  </si>
  <si>
    <t>итого доход учреждения по ПФ ДОД с учетом суммы заявки на 09.08.23г.</t>
  </si>
  <si>
    <t>сумма краевой субсидии</t>
  </si>
  <si>
    <t>до 3 лет (b3) t1/речь</t>
  </si>
  <si>
    <t>854025,01- на 1 класс+27940,38 на 1 человека</t>
  </si>
  <si>
    <t>275317,13- на 1 класс</t>
  </si>
  <si>
    <t>806713,32- на 1 класс+27940,38 на 1 человека</t>
  </si>
  <si>
    <t>1276686,37- на 1 класс+ 28238,40 на 1 человека</t>
  </si>
  <si>
    <t>1037408- на 1 класс+ 28238,40 на 1 человека</t>
  </si>
  <si>
    <t>1099564,08 на 1 класс+ 28587,53 на 1 человека</t>
  </si>
  <si>
    <t>2026 год</t>
  </si>
  <si>
    <t>2026 год, всего</t>
  </si>
  <si>
    <t>от 3 до 8 лет (b8)</t>
  </si>
  <si>
    <t xml:space="preserve"> от 3 до 8 лет (b8) t1/речь</t>
  </si>
  <si>
    <t>от 3 до 8 лет (b8) t1/речь</t>
  </si>
  <si>
    <t>от 3 до 8 лет(b8) t1/речь</t>
  </si>
  <si>
    <t>от 3 до 8 лет(b8)</t>
  </si>
  <si>
    <t>от 3 до 8 лет (b=8)</t>
  </si>
  <si>
    <t>от 3 до 8 лет (b=8) t1/речь</t>
  </si>
  <si>
    <t>Объем финансового обеспечения на выполнение муниципального задания на 2026 год</t>
  </si>
  <si>
    <t>инвалид по МЗ</t>
  </si>
  <si>
    <t xml:space="preserve">Объем финансового обеспечения на выполнение муниципального задания на 2026 год </t>
  </si>
  <si>
    <t>от 3 до 8 лет (b8) t7/ДЦП</t>
  </si>
  <si>
    <t xml:space="preserve">от 3 до 8 лет </t>
  </si>
  <si>
    <t>дети инвалиды по МЗ</t>
  </si>
  <si>
    <t>ОВЗ</t>
  </si>
  <si>
    <t>сироты по МЗ</t>
  </si>
  <si>
    <t>по Дорожной карте, в расчете сумма:</t>
  </si>
  <si>
    <t>В бюджетной росписи от 23.12.2023г.сумма на МЗ:</t>
  </si>
  <si>
    <t>Краевая Субсидия: 5 418 386,0 руб., из них на МЗ 39%- 2 113 170,35 руб.</t>
  </si>
  <si>
    <t>Итого по бюджетной росписи:</t>
  </si>
  <si>
    <t>норматив уменьшить на</t>
  </si>
  <si>
    <t>В бюджетной росписи от 23.12.2023г.сумма на ПФ:</t>
  </si>
  <si>
    <t>Краевая Субсидия: 5 418 386,0 руб., из них на МЗ 61%- 3 305 215,15 руб.</t>
  </si>
  <si>
    <t>Итого сумма на услугу (без работы "Методич.обеспеч…."), равна:</t>
  </si>
  <si>
    <t>Итого по бюджетной росписи на ПФ:</t>
  </si>
  <si>
    <t>норматив увеличить на</t>
  </si>
  <si>
    <t>2\44</t>
  </si>
  <si>
    <t>2026г</t>
  </si>
  <si>
    <t>м/б</t>
  </si>
  <si>
    <t>Кол-во ОВЗ на 1чел.больше, т.к.он ещё и надомник</t>
  </si>
  <si>
    <t>2025- 2026гг</t>
  </si>
  <si>
    <t xml:space="preserve">от 3 до 8 лет (b8) </t>
  </si>
  <si>
    <t>К3 Группы комбинированной направленности (за исключением малокомплектных образовательных организаций), городской населенный пункт (5группы)</t>
  </si>
  <si>
    <t>от 3 до 8 лет (b8) t8/псих.</t>
  </si>
  <si>
    <t>Численность на м/б, на 2024-2026гг</t>
  </si>
  <si>
    <t>Нормативные затраты на оказание муницп-й услуги, на 11.01.24г.</t>
  </si>
  <si>
    <t>Базовый норматив затрат на единицу объема, на 11.01.24г.</t>
  </si>
  <si>
    <t>Корректировка бюджета 24.04.24г.</t>
  </si>
  <si>
    <t>решение ГС №46-288-НПА от 24.04.24г.</t>
  </si>
  <si>
    <t>Базовый норматив затрат на единицу объема, на 24.04.24г.</t>
  </si>
  <si>
    <t>Нормативные затраты на оказание муницп-й услуги, на 24.04.24г.</t>
  </si>
  <si>
    <t>Бюджетная Роспись от 29.12.2023г.</t>
  </si>
  <si>
    <t>Корректировка бюджета от 20.12.2023г</t>
  </si>
  <si>
    <t>решение ДГС №42-252-ГС от 20.12.23г.</t>
  </si>
  <si>
    <t>м/б - сумма на МЗ (с работой "Метод.обеспеч."), по бюджетн.росписи</t>
  </si>
  <si>
    <t>Комун.усл. …8062Т</t>
  </si>
  <si>
    <t>прочие усл. …80620</t>
  </si>
  <si>
    <t>ЗП … 8062Z</t>
  </si>
  <si>
    <t>м/б - сумма на МЗ (работа "Метод.обеспеч.)</t>
  </si>
  <si>
    <t>м/б - сумма на МЗ (без работы)</t>
  </si>
  <si>
    <t>ПФ СЗ сумма по бюджетн.росписи</t>
  </si>
  <si>
    <t>Бюджетная Роспись от 03.06.2024г.</t>
  </si>
  <si>
    <t>ПФ СЗ, …8065Е  квр 614</t>
  </si>
  <si>
    <t>Субсидия на МЗ,  …7568 D</t>
  </si>
  <si>
    <t>Субсидия на ПФ,  …7568 Е</t>
  </si>
  <si>
    <t>софинансирование из м/б,  …S568Е</t>
  </si>
  <si>
    <t>разница (50 368 974,57 - 45 830 885,50)=</t>
  </si>
  <si>
    <t>разница без софинансир-я (50 368 974,57 - 45 830 885,50 - 59 869,07)=</t>
  </si>
  <si>
    <t>сумма с софинансир-ем</t>
  </si>
  <si>
    <t>сумма на МЗ без субсидии</t>
  </si>
  <si>
    <t>сумма на МЗ с субсидией</t>
  </si>
  <si>
    <t>сумма без работы</t>
  </si>
  <si>
    <t>Сумма по учреждению без софинансирования,  т.к. эти 59 869,07 руб. из м/б.падают на ПФ СЗ</t>
  </si>
  <si>
    <t>сумма на МЗ с субсидией и прибавила софинансир-е 59 869,07 руб.</t>
  </si>
  <si>
    <t>сумма на МЗ с субсидией и прибавила софинансир-е 59 869,07 руб., но без работы</t>
  </si>
  <si>
    <t>Корректировка бюджета 26.06.24г.</t>
  </si>
  <si>
    <t>решение ГС №49-295-НПА от 26.06.24г.</t>
  </si>
  <si>
    <t>Бюджетная Роспись от 27.06.2024г.</t>
  </si>
  <si>
    <t>Базовый норматив затрат на единицу объема, на 28.06.24г.</t>
  </si>
  <si>
    <t>Нормативные затраты на оказание муницп-й услуги, на 28.06.24г.</t>
  </si>
  <si>
    <t>сумма МЗ без работы</t>
  </si>
  <si>
    <t>сумма на МЗ без работы</t>
  </si>
  <si>
    <t>работа "Метод.обеспеч…"</t>
  </si>
  <si>
    <t>субсидия на МЗ увеличилась на 133 651,56 на доп.места</t>
  </si>
  <si>
    <t>субсидия на СЗ увеличилась на 375 000,00 на доп.места</t>
  </si>
  <si>
    <t>Итого на МЗ:</t>
  </si>
  <si>
    <t>Итого на СЗ:</t>
  </si>
  <si>
    <t>Итого на учрежд-е:</t>
  </si>
  <si>
    <t>Итого на МЗ без работы:</t>
  </si>
  <si>
    <t>сумма СЗ, добавили на доп.места и софинансир-е</t>
  </si>
  <si>
    <t>Сумма по учреждению с софинансир-ем (59 869,07 руб.) и увелич.субсидии на доп.места по МЗ и ПФ СЗ</t>
  </si>
  <si>
    <t>Корректировка бюджета 07.08.24г.</t>
  </si>
  <si>
    <t>решение ГС №50-301-НПА от 07.08.24г.</t>
  </si>
  <si>
    <t>Бюджетная Роспись от 08.08.2024г.</t>
  </si>
  <si>
    <t>прибавить к нормативу</t>
  </si>
  <si>
    <t>Базовый норматив затрат на единицу объема, на 08.08.24г.</t>
  </si>
  <si>
    <t>Нормативные затраты на оказание муницп-й услуги, на 08.08.24г.</t>
  </si>
  <si>
    <t>Корректировка бюджета 25.09.24г.</t>
  </si>
  <si>
    <t>решение ГС №  -    -НПА от 25.09.24г.</t>
  </si>
  <si>
    <t>Бюджетная Роспись от 30.09.2024г.</t>
  </si>
  <si>
    <t>Базовый норматив затрат на единицу объема, на 30.09.24г.</t>
  </si>
  <si>
    <t>Нормативные затраты на оказание муницп-й услуги, на 30.09.24г.</t>
  </si>
  <si>
    <t>прибавить к нормативу на ПФ</t>
  </si>
  <si>
    <t>ПФ - сумма, по бюджетн.росписи</t>
  </si>
  <si>
    <t>Корректировка бюджета 13.11.24г.</t>
  </si>
  <si>
    <t>Бюджетная Роспись от 15.11.2024г.</t>
  </si>
  <si>
    <t>решение ГС №52-313-НПА от 13.11.24г.</t>
  </si>
  <si>
    <t>Базовый норматив затрат на единицу объема, на 15.11.24г.</t>
  </si>
  <si>
    <t>Нормативные затраты на оказание муницп-й услуги, на 15.11.24г.</t>
  </si>
  <si>
    <t xml:space="preserve">кр.субсидия на ПФ </t>
  </si>
  <si>
    <t>В Субсидию на МЗ - 2 113 170,35 руб.,  …7568D добавили 133 651,56 руб.(на мат.базу)  их надо перекинуть на ПФ ДО</t>
  </si>
  <si>
    <t>Субсидия на ПФ,  …7568 D</t>
  </si>
  <si>
    <t>отнять от норматива на ПФ</t>
  </si>
  <si>
    <t>прибавить к нормативу на МЗ</t>
  </si>
  <si>
    <t>С СЗ сняли и добавили на ПФ на з/п</t>
  </si>
  <si>
    <t>2025-2026гг., было</t>
  </si>
  <si>
    <t>2025-2026гг., стало</t>
  </si>
  <si>
    <t>объем по ПФ СЗ</t>
  </si>
  <si>
    <r>
      <t xml:space="preserve">ср.Численность на м/б, на 2024-2026гг, </t>
    </r>
    <r>
      <rPr>
        <b/>
        <sz val="9"/>
        <rFont val="Times New Roman"/>
        <family val="1"/>
        <charset val="204"/>
      </rPr>
      <t>по МЗ от 01.10.2024г</t>
    </r>
  </si>
  <si>
    <t>Нормативные затраты на оказание муницп-й услуги, на 15.11.24г. (численность изменилась по МЗ от 01.10.24г)</t>
  </si>
  <si>
    <t>Базовый норматив затрат на единицу объема, 2025-2026гг., на 15.11.24г (численность изменилась по МЗ от 01.10.24г)</t>
  </si>
  <si>
    <t>Базовый норматив затрат на единицу объема, 2025-2026гг    (на 11.01.2024г)</t>
  </si>
  <si>
    <t>27.11.2024г.</t>
  </si>
  <si>
    <t>социально-гуманитарная</t>
  </si>
  <si>
    <t>туристско-краеведческая</t>
  </si>
  <si>
    <t>физкультурно-спортивная</t>
  </si>
  <si>
    <t>художественная</t>
  </si>
  <si>
    <t>естественнонаучная</t>
  </si>
  <si>
    <t>в т.ч. Краевой бюджет адм-упр.и уч-вспом. Персонал с коэффициен-м</t>
  </si>
  <si>
    <t>Нормативные затраты на оказание муниципальных услуг (работ) на 2025-2027 гг.</t>
  </si>
  <si>
    <t>2027 год</t>
  </si>
  <si>
    <t>Расчет финансового обеспечения муниципальных учреждений на выполнение муниципального задания на 2025-2027 годы</t>
  </si>
  <si>
    <t>Объем финансового обеспечения на выполнение муниципального задания на 2027 год</t>
  </si>
  <si>
    <t>Расчет финансового обеспечения муниципальных учреждений на выполнение муниципального задания  на 2025-2027 год</t>
  </si>
  <si>
    <t>Расчет финансового обеспечения муниципальных учреждений на выполнение муниципального задания  на 2025-2027 годы</t>
  </si>
  <si>
    <t xml:space="preserve">2025 год </t>
  </si>
  <si>
    <t>2026год</t>
  </si>
  <si>
    <t>Всего на 2025 год:</t>
  </si>
  <si>
    <t>2027 год, всего</t>
  </si>
  <si>
    <t>2027г</t>
  </si>
  <si>
    <t>Нормативные затраты на оказание муниципальной услуги (работы) на 2025г</t>
  </si>
  <si>
    <t xml:space="preserve">Объем финансового обеспечения на выполнение муниципального задания на 2027 год </t>
  </si>
  <si>
    <t>26-27гг-без клас.рук-ва</t>
  </si>
  <si>
    <t xml:space="preserve">до 3  лет (b3) </t>
  </si>
  <si>
    <t>К3 Группы комбинированной направленности (за исключением малокомплектных образовательных организаций), городской населенный пункт (4групп)</t>
  </si>
  <si>
    <t>K2 Группы компенсирующей направленности (за исключением малокомплектных образовательных организаций) (4группы)</t>
  </si>
  <si>
    <t>K3 Группы комбинированной направленности (за исключением малокомплектных образовательных организаций), городской населенный пункт (3групп)</t>
  </si>
  <si>
    <t>K2 Группы компенсирующей направленности (за исключением малокомплектных образовательных организаций) (2группы)</t>
  </si>
  <si>
    <t>К10 Группы компенсирующей направленности, в которых воспитанники посещают бассейн (2руппы)</t>
  </si>
  <si>
    <t>К11 Группы комбинированной направленности, в которых воспитанники посещают бассейн (3групп)</t>
  </si>
  <si>
    <t>K1 Группы общеразвивающей направленности (за исключением малокомплектных образовательных организаций) (0группа)</t>
  </si>
  <si>
    <t>K2 Группы компенсирующей направленности (за исключением малокомплектных образовательных организаций) (5группы)</t>
  </si>
  <si>
    <t>до 3  лет (b3) t7/ДЦП</t>
  </si>
  <si>
    <t>от 3 до 8 лет (b3) t8/псих.</t>
  </si>
  <si>
    <t>K3 Группы комбинированной направленности (за исключением малокомплектных образовательных организаций), городской населенный пункт (4групп)</t>
  </si>
  <si>
    <t>К9 Группы общеразвив. направленности, в которых воспитанники посещают бассейн (0группа)</t>
  </si>
  <si>
    <t>К10 Группы компенсирующей направленности, в которых воспитанники посещают бассейн (5группы)</t>
  </si>
  <si>
    <t>разновозр, с налич. детей до 3 лет (b3) t7/ДЦП</t>
  </si>
  <si>
    <t>К11 Группы комбинированной направленности, в которых воспитанники посещают бассейн (4групп)</t>
  </si>
  <si>
    <t xml:space="preserve"> до 3 лет (b8)</t>
  </si>
  <si>
    <t xml:space="preserve">Коэффициенты выравнивания на 2025 год  </t>
  </si>
  <si>
    <t>854025,01- на 1 класс+ 2981,82- на 1 человека</t>
  </si>
  <si>
    <t>806713,32- на 1 класс+ 2981,82на 1 человека</t>
  </si>
  <si>
    <t>1276686,37- на 1 класс+ 3966,89 на 1 человека</t>
  </si>
  <si>
    <t>1037408- на 1 класс+3966,89 на 1 человека</t>
  </si>
  <si>
    <t>1099564,08на 1 класс+4107,42 на 1 человека</t>
  </si>
  <si>
    <t>2026-2027гг</t>
  </si>
  <si>
    <r>
      <t xml:space="preserve">Всего объем финасового обеспечения муниципального задания      </t>
    </r>
    <r>
      <rPr>
        <b/>
        <i/>
        <sz val="11"/>
        <rFont val="Times New Roman"/>
        <family val="1"/>
        <charset val="204"/>
      </rPr>
      <t>(Без классного руководства)</t>
    </r>
  </si>
  <si>
    <t>с 1 инвалида и 2 опека</t>
  </si>
  <si>
    <t>Базовый норматив затрат на единицу объема, 2026г</t>
  </si>
  <si>
    <t>Базовый норматив затрат на единицу объема, 2027г</t>
  </si>
  <si>
    <t>1\21</t>
  </si>
  <si>
    <t>4\54</t>
  </si>
  <si>
    <t>5\89</t>
  </si>
  <si>
    <t>5\75</t>
  </si>
  <si>
    <t>5\61</t>
  </si>
  <si>
    <t>2\46</t>
  </si>
  <si>
    <t>6\100</t>
  </si>
  <si>
    <t>6\110</t>
  </si>
  <si>
    <t>4\66</t>
  </si>
  <si>
    <t>6\106</t>
  </si>
  <si>
    <t>4\62</t>
  </si>
  <si>
    <t>2\15</t>
  </si>
  <si>
    <t>2\12</t>
  </si>
  <si>
    <t>дети инвалиды-4 по МЗ</t>
  </si>
  <si>
    <t xml:space="preserve">с 4 инвалидами и 2 опека </t>
  </si>
  <si>
    <t>с  2 инвалидов</t>
  </si>
  <si>
    <t>с 1 инвалидом</t>
  </si>
  <si>
    <t>с 9 инвалидами и 3 сирот (по МЗ на 25-27гг)</t>
  </si>
  <si>
    <t>K1 Группы общеразвивающей направленности (за исключением малокомплектных образовательных организаций)</t>
  </si>
  <si>
    <t>K3 Группы комбинированной направленности (за исключением малокомплектных образовательных организаций), городской населенный пункт (2группы)</t>
  </si>
  <si>
    <t>K3 Группы комбинированной направленности (за исключением малокомплектных образовательных организаций)(3групп)</t>
  </si>
  <si>
    <t>K2 Группы компенсирующей направленности (за исключением малокомплектных образовательных организаций) (1группа)</t>
  </si>
  <si>
    <t>К3 Группы комбинированной направленности (за исключением малокомплектных образовательных организаций), городской населенный пункт (3группы)</t>
  </si>
  <si>
    <t>от 3 до 8 лет (b8) t8/речь</t>
  </si>
  <si>
    <t>разновозр, с налич. детей до 3 лет (b3) t1/речь</t>
  </si>
  <si>
    <t>К3 Группы комбинированной направленности (за исключением малокомплектных образовательных организаций) (6групп)</t>
  </si>
  <si>
    <t>K1 Группы общеразвивающей направленности (за исключением малокомплектных образовательных организаций) (1группа)</t>
  </si>
  <si>
    <t>на 01.01.2025 год</t>
  </si>
  <si>
    <t>2025год c 01.09.2025</t>
  </si>
  <si>
    <t>4\67</t>
  </si>
  <si>
    <t>4\40</t>
  </si>
  <si>
    <t>4\52</t>
  </si>
  <si>
    <t>Техническая помощь инвалидам</t>
  </si>
  <si>
    <t>Базовый норматив затрат на единицу объема, 2025г</t>
  </si>
  <si>
    <t xml:space="preserve"> c 01.09.2025 год</t>
  </si>
  <si>
    <t>Численность на м/б, на 2025г</t>
  </si>
  <si>
    <t>Базовый норматив затрат на единицу объема, на 09.01.25г.</t>
  </si>
  <si>
    <t>Нормативные затраты на оказание муницп-й услуги, на 09.01.25г.</t>
  </si>
  <si>
    <t>Численность на м/б, на 2026г</t>
  </si>
  <si>
    <t>Базовый норматив затрат на единицу объема, на 09.01.26г.</t>
  </si>
  <si>
    <t>Нормативные затраты на оказание муницп-й услуги, на 09.01.26г.</t>
  </si>
  <si>
    <t>Численность на м/б, на 2027г</t>
  </si>
  <si>
    <t>Базовый норматив затрат на единицу объема, на 09.01.27г.</t>
  </si>
  <si>
    <t>Нормативные затраты на оказание муницп-й услуги, на 09.01.27г.</t>
  </si>
  <si>
    <t>2027г.</t>
  </si>
  <si>
    <t>2026г.</t>
  </si>
  <si>
    <t>Корректировка бюджета от 12.02.2025г</t>
  </si>
  <si>
    <t>решение ДГС №54-331-НПА от 12.02.25г.</t>
  </si>
  <si>
    <t>Базовый норматив затрат на единицу объема, на 12.02.25г.</t>
  </si>
  <si>
    <t>Нормативные затраты на оказание муницп-й услуги, на 12.02.25г.</t>
  </si>
  <si>
    <t>Базовый норматив затрат на единицу объема, на 12.02.2026г.</t>
  </si>
  <si>
    <t>Нормативные затраты на оказание муницп-й услуги, на 12.02.2026г.</t>
  </si>
  <si>
    <t>Базовый норматив затрат на единицу объема, на 12.02.2027г.</t>
  </si>
  <si>
    <t>Нормативные затраты на оказание муницп-й услуги, на 12.02.2027г.</t>
  </si>
  <si>
    <t>с 1 инвалидом и 1 сирота (по МЗ на 25-27гг)</t>
  </si>
  <si>
    <t>Базовый норматив затрат на единицу объема, на 26.03.25г.</t>
  </si>
  <si>
    <t>Нормативные затраты на оказание муницп-й услуги, на 26.03.25г.</t>
  </si>
  <si>
    <t>ПФ  МЗ - без изменений</t>
  </si>
  <si>
    <t>ПФ СЗ</t>
  </si>
  <si>
    <t>кр.субсидия + софинансир-е</t>
  </si>
  <si>
    <t>разница</t>
  </si>
  <si>
    <t>добавить к нормативу</t>
  </si>
  <si>
    <t>Корректировка бюджета от 26.03.2025г</t>
  </si>
  <si>
    <t>решение ДГС № 56-341-НПА от 26.03.25г.</t>
  </si>
  <si>
    <t>к Приказу от 02.06.2025г. № 120</t>
  </si>
  <si>
    <t>от 02.06.2025 № 120</t>
  </si>
  <si>
    <t>к Приказу от 02.06.2025 г. № 120</t>
  </si>
  <si>
    <t>Приложение № 4 к приказу от  02.06.2025 № 120</t>
  </si>
  <si>
    <t>Корректировка бюджета от 28.05.2025г</t>
  </si>
  <si>
    <t>решение ДГС № 58-351-НПА от 28.05.25г.</t>
  </si>
  <si>
    <t>ПФ  МЗ - увелич.на</t>
  </si>
  <si>
    <t>ПФ СЗ, без изменений</t>
  </si>
  <si>
    <t>Базовый норматив затрат на единицу объема, на 30.05.25г.,  по БРосп.</t>
  </si>
  <si>
    <t>Нормативные затраты на оказание муницп-й услуги, на 30.05.25г.,  по БРосп.</t>
  </si>
  <si>
    <t>с  2 инвалидами, 0 опека</t>
  </si>
  <si>
    <t>с 1 инвалидом и 0 опека</t>
  </si>
  <si>
    <r>
      <t xml:space="preserve">Реализация основных общеобразовательных программ </t>
    </r>
    <r>
      <rPr>
        <b/>
        <sz val="10"/>
        <rFont val="Times New Roman"/>
        <family val="1"/>
        <charset val="204"/>
      </rPr>
      <t>начального</t>
    </r>
    <r>
      <rPr>
        <sz val="10"/>
        <rFont val="Times New Roman"/>
        <family val="1"/>
        <charset val="204"/>
      </rPr>
      <t xml:space="preserve"> общего образования</t>
    </r>
  </si>
  <si>
    <r>
      <t xml:space="preserve">Реализация основных общеобразовательных программ </t>
    </r>
    <r>
      <rPr>
        <b/>
        <sz val="10"/>
        <rFont val="Times New Roman"/>
        <family val="1"/>
        <charset val="204"/>
      </rPr>
      <t>основного</t>
    </r>
    <r>
      <rPr>
        <sz val="10"/>
        <rFont val="Times New Roman"/>
        <family val="1"/>
        <charset val="204"/>
      </rPr>
      <t xml:space="preserve"> общего образования</t>
    </r>
  </si>
  <si>
    <r>
      <t xml:space="preserve">Реализация основных общеобразовательных программ </t>
    </r>
    <r>
      <rPr>
        <b/>
        <sz val="10"/>
        <rFont val="Times New Roman"/>
        <family val="1"/>
        <charset val="204"/>
      </rPr>
      <t>среднего</t>
    </r>
    <r>
      <rPr>
        <sz val="10"/>
        <rFont val="Times New Roman"/>
        <family val="1"/>
        <charset val="204"/>
      </rPr>
      <t xml:space="preserve"> общего образования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</si>
  <si>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начального</t>
    </r>
    <r>
      <rPr>
        <sz val="11"/>
        <rFont val="Times New Roman"/>
        <family val="1"/>
        <charset val="204"/>
      </rPr>
      <t xml:space="preserve"> общего образования 801012О.99.0.БА81АЭ92001; 801012О.99.0.БА81АА00001; 801012О.99.0.БА81АЮ16001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</si>
  <si>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 xml:space="preserve">основного </t>
    </r>
    <r>
      <rPr>
        <sz val="11"/>
        <rFont val="Times New Roman"/>
        <family val="1"/>
        <charset val="204"/>
      </rPr>
      <t>общего образования 802111О.99.0.БАЮ58001; 802111О.99.0.БА96АА00001; 802111О.99.0.БА96АЮ83001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</si>
  <si>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среднего</t>
    </r>
    <r>
      <rPr>
        <sz val="11"/>
        <rFont val="Times New Roman"/>
        <family val="1"/>
        <charset val="204"/>
      </rPr>
      <t xml:space="preserve"> общего образования 802112О.99.0.ББ11АЮ58001; 802112О.99.0.ББ11АА00001; 802112О.99.0.ББ11АЮ83001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</si>
  <si>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начального общего</t>
    </r>
    <r>
      <rPr>
        <sz val="11"/>
        <rFont val="Times New Roman"/>
        <family val="1"/>
        <charset val="204"/>
      </rPr>
      <t xml:space="preserve"> образования 801012О.99.0.БА81АЭ92001; 801012О.99.0.БА81АА00001; 801012О.99.0.БА81АЮ16001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</si>
  <si>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основного общего</t>
    </r>
    <r>
      <rPr>
        <sz val="11"/>
        <rFont val="Times New Roman"/>
        <family val="1"/>
        <charset val="204"/>
      </rPr>
      <t xml:space="preserve"> образования 802111О.99.0.БАЮ58001; 802111О.99.0.БА96АА00001; 802111О.99.0.БА96АЮ83001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</si>
  <si>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среднего общего</t>
    </r>
    <r>
      <rPr>
        <sz val="11"/>
        <rFont val="Times New Roman"/>
        <family val="1"/>
        <charset val="204"/>
      </rPr>
      <t xml:space="preserve"> образования 802112О.99.0.ББ11АЮ58001; 802112О.99.0.ББ11АА00001; 802112О.99.0.ББ11АЮ83001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</si>
  <si>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основного</t>
    </r>
    <r>
      <rPr>
        <sz val="11"/>
        <rFont val="Times New Roman"/>
        <family val="1"/>
        <charset val="204"/>
      </rPr>
      <t xml:space="preserve"> общего образования 802111О.99.0.БАЮ58001; 802111О.99.0.БА96АА00001; 802111О.99.0.БА96АЮ83001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</si>
  <si>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основного общего образования</t>
    </r>
    <r>
      <rPr>
        <sz val="11"/>
        <rFont val="Times New Roman"/>
        <family val="1"/>
        <charset val="204"/>
      </rPr>
      <t xml:space="preserve"> 802111О.99.0.БАЮ58001; 802111О.99.0.БА96АА00001; 802111О.99.0.БА96АЮ83001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</si>
  <si>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 xml:space="preserve">среднего </t>
    </r>
    <r>
      <rPr>
        <sz val="11"/>
        <rFont val="Times New Roman"/>
        <family val="1"/>
        <charset val="204"/>
      </rPr>
      <t>общего образования 802112О.99.0.ББ11АЮ58001; 802112О.99.0.ББ11АА00001; 802112О.99.0.ББ11АЮ83001</t>
    </r>
  </si>
  <si>
    <r>
      <t xml:space="preserve">Обучение детей  в образовательных организациях, реализующих программы общего образования </t>
    </r>
    <r>
      <rPr>
        <b/>
        <sz val="11"/>
        <rFont val="Times New Roman"/>
        <family val="1"/>
        <charset val="204"/>
      </rPr>
      <t xml:space="preserve">математический класс </t>
    </r>
    <r>
      <rPr>
        <sz val="11"/>
        <rFont val="Times New Roman"/>
        <family val="1"/>
        <charset val="204"/>
      </rPr>
      <t>(k = 1)</t>
    </r>
  </si>
  <si>
    <r>
      <rPr>
        <b/>
        <sz val="11"/>
        <rFont val="Times New Roman"/>
        <family val="1"/>
        <charset val="204"/>
      </rPr>
      <t>39 153,14</t>
    </r>
    <r>
      <rPr>
        <sz val="11"/>
        <rFont val="Times New Roman"/>
        <family val="1"/>
        <charset val="204"/>
      </rPr>
      <t>- на 1 человека</t>
    </r>
  </si>
  <si>
    <t>Услуга сверх МЗ присмотр и уход (за счет родительской платы)</t>
  </si>
  <si>
    <r>
      <t xml:space="preserve">присмотр и уход за счет местного бюджета </t>
    </r>
    <r>
      <rPr>
        <i/>
        <sz val="6"/>
        <rFont val="Times New Roman"/>
        <family val="1"/>
        <charset val="204"/>
      </rPr>
      <t xml:space="preserve"> </t>
    </r>
  </si>
  <si>
    <t>Базовый норматив затрат на единицу объема, на 26.01.22г.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</si>
</sst>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"/>
    <numFmt numFmtId="165" formatCode="0.000000"/>
    <numFmt numFmtId="166" formatCode="#,##0.000000000"/>
    <numFmt numFmtId="167" formatCode="#,##0.0000"/>
    <numFmt numFmtId="168" formatCode="#,##0.00000"/>
    <numFmt numFmtId="169" formatCode="#,##0.000"/>
    <numFmt numFmtId="170" formatCode="#,##0.0000000"/>
    <numFmt numFmtId="171" formatCode="0.0000000000"/>
    <numFmt numFmtId="172" formatCode="0.000000000"/>
    <numFmt numFmtId="173" formatCode="0.0000"/>
    <numFmt numFmtId="174" formatCode="0.00000"/>
    <numFmt numFmtId="175" formatCode="0.00000000000"/>
    <numFmt numFmtId="176" formatCode="#,##0.000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color theme="0"/>
      <name val="Times New Roman"/>
      <family val="1"/>
      <charset val="204"/>
    </font>
    <font>
      <i/>
      <sz val="5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6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14" fillId="0" borderId="0"/>
    <xf numFmtId="0" fontId="26" fillId="4" borderId="0" applyNumberFormat="0" applyBorder="0" applyAlignment="0" applyProtection="0"/>
  </cellStyleXfs>
  <cellXfs count="48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/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/>
    <xf numFmtId="4" fontId="2" fillId="0" borderId="2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0" fontId="2" fillId="0" borderId="6" xfId="0" applyFont="1" applyFill="1" applyBorder="1"/>
    <xf numFmtId="4" fontId="3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2" xfId="0" applyFont="1" applyFill="1" applyBorder="1"/>
    <xf numFmtId="4" fontId="2" fillId="0" borderId="7" xfId="0" applyNumberFormat="1" applyFont="1" applyFill="1" applyBorder="1"/>
    <xf numFmtId="3" fontId="7" fillId="0" borderId="2" xfId="0" applyNumberFormat="1" applyFont="1" applyFill="1" applyBorder="1"/>
    <xf numFmtId="4" fontId="2" fillId="0" borderId="2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 readingOrder="1"/>
    </xf>
    <xf numFmtId="4" fontId="2" fillId="0" borderId="2" xfId="0" applyNumberFormat="1" applyFont="1" applyFill="1" applyBorder="1" applyAlignment="1">
      <alignment horizontal="center" vertical="center" wrapText="1" readingOrder="1"/>
    </xf>
    <xf numFmtId="4" fontId="3" fillId="0" borderId="2" xfId="0" applyNumberFormat="1" applyFont="1" applyFill="1" applyBorder="1" applyAlignment="1">
      <alignment horizontal="center" vertical="center" wrapText="1" readingOrder="1"/>
    </xf>
    <xf numFmtId="4" fontId="5" fillId="0" borderId="0" xfId="0" applyNumberFormat="1" applyFont="1"/>
    <xf numFmtId="0" fontId="13" fillId="0" borderId="0" xfId="0" applyFont="1"/>
    <xf numFmtId="4" fontId="13" fillId="0" borderId="0" xfId="0" applyNumberFormat="1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0" xfId="3" applyFont="1" applyFill="1"/>
    <xf numFmtId="0" fontId="2" fillId="0" borderId="0" xfId="3" applyFont="1" applyFill="1" applyBorder="1" applyAlignment="1">
      <alignment vertical="top"/>
    </xf>
    <xf numFmtId="0" fontId="15" fillId="0" borderId="0" xfId="3" applyFont="1" applyFill="1" applyBorder="1" applyAlignment="1">
      <alignment vertical="top"/>
    </xf>
    <xf numFmtId="0" fontId="3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top"/>
    </xf>
    <xf numFmtId="0" fontId="2" fillId="0" borderId="2" xfId="3" applyFont="1" applyFill="1" applyBorder="1" applyAlignment="1">
      <alignment horizontal="center" vertical="center" wrapText="1"/>
    </xf>
    <xf numFmtId="4" fontId="2" fillId="0" borderId="0" xfId="3" applyNumberFormat="1" applyFont="1" applyFill="1"/>
    <xf numFmtId="0" fontId="2" fillId="0" borderId="2" xfId="3" applyFont="1" applyFill="1" applyBorder="1" applyAlignment="1">
      <alignment horizontal="center" wrapText="1"/>
    </xf>
    <xf numFmtId="0" fontId="3" fillId="0" borderId="2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4" fontId="2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/>
    </xf>
    <xf numFmtId="165" fontId="2" fillId="0" borderId="0" xfId="3" applyNumberFormat="1" applyFont="1" applyFill="1"/>
    <xf numFmtId="3" fontId="2" fillId="0" borderId="2" xfId="3" applyNumberFormat="1" applyFont="1" applyFill="1" applyBorder="1" applyAlignment="1">
      <alignment horizontal="center" vertical="center"/>
    </xf>
    <xf numFmtId="3" fontId="3" fillId="0" borderId="2" xfId="3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0" fontId="3" fillId="0" borderId="0" xfId="3" applyFont="1" applyFill="1"/>
    <xf numFmtId="4" fontId="3" fillId="0" borderId="0" xfId="3" applyNumberFormat="1" applyFont="1" applyFill="1"/>
    <xf numFmtId="0" fontId="2" fillId="0" borderId="0" xfId="3" applyFont="1" applyFill="1" applyBorder="1"/>
    <xf numFmtId="4" fontId="18" fillId="0" borderId="0" xfId="3" applyNumberFormat="1" applyFont="1" applyFill="1" applyBorder="1"/>
    <xf numFmtId="4" fontId="2" fillId="0" borderId="0" xfId="3" applyNumberFormat="1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174" fontId="6" fillId="0" borderId="0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175" fontId="2" fillId="0" borderId="0" xfId="0" applyNumberFormat="1" applyFont="1" applyFill="1" applyBorder="1"/>
    <xf numFmtId="0" fontId="21" fillId="0" borderId="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vertical="center" wrapText="1"/>
    </xf>
    <xf numFmtId="4" fontId="22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2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/>
    </xf>
    <xf numFmtId="0" fontId="23" fillId="0" borderId="2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4" fontId="23" fillId="0" borderId="5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center" vertical="top"/>
    </xf>
    <xf numFmtId="167" fontId="6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wrapText="1"/>
    </xf>
    <xf numFmtId="0" fontId="22" fillId="0" borderId="3" xfId="0" applyFont="1" applyFill="1" applyBorder="1" applyAlignment="1">
      <alignment vertical="center" wrapText="1"/>
    </xf>
    <xf numFmtId="167" fontId="22" fillId="0" borderId="2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right"/>
    </xf>
    <xf numFmtId="4" fontId="22" fillId="0" borderId="2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wrapText="1"/>
    </xf>
    <xf numFmtId="2" fontId="9" fillId="0" borderId="0" xfId="0" applyNumberFormat="1" applyFont="1" applyFill="1" applyAlignment="1">
      <alignment wrapText="1"/>
    </xf>
    <xf numFmtId="0" fontId="3" fillId="0" borderId="4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0" borderId="0" xfId="0" applyFont="1" applyFill="1"/>
    <xf numFmtId="4" fontId="13" fillId="0" borderId="0" xfId="0" applyNumberFormat="1" applyFont="1" applyFill="1"/>
    <xf numFmtId="4" fontId="13" fillId="0" borderId="0" xfId="0" applyNumberFormat="1" applyFont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" fillId="0" borderId="0" xfId="3" applyFont="1" applyFill="1" applyBorder="1" applyAlignment="1">
      <alignment horizontal="center" vertical="top"/>
    </xf>
    <xf numFmtId="0" fontId="11" fillId="0" borderId="2" xfId="3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8" fontId="22" fillId="0" borderId="0" xfId="0" applyNumberFormat="1" applyFont="1" applyFill="1" applyBorder="1" applyAlignment="1">
      <alignment horizontal="center"/>
    </xf>
    <xf numFmtId="168" fontId="22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168" fontId="23" fillId="0" borderId="0" xfId="0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wrapText="1"/>
    </xf>
    <xf numFmtId="4" fontId="22" fillId="0" borderId="0" xfId="0" applyNumberFormat="1" applyFont="1" applyFill="1" applyBorder="1" applyAlignment="1">
      <alignment horizontal="center" wrapText="1"/>
    </xf>
    <xf numFmtId="169" fontId="22" fillId="0" borderId="0" xfId="0" applyNumberFormat="1" applyFont="1" applyFill="1" applyBorder="1"/>
    <xf numFmtId="0" fontId="22" fillId="0" borderId="0" xfId="0" applyFont="1" applyFill="1" applyBorder="1" applyAlignment="1">
      <alignment horizontal="center" wrapText="1"/>
    </xf>
    <xf numFmtId="4" fontId="22" fillId="0" borderId="0" xfId="0" applyNumberFormat="1" applyFont="1" applyFill="1" applyBorder="1"/>
    <xf numFmtId="176" fontId="6" fillId="0" borderId="0" xfId="0" applyNumberFormat="1" applyFont="1" applyFill="1" applyBorder="1"/>
    <xf numFmtId="169" fontId="2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9" fontId="6" fillId="0" borderId="0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2" xfId="0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 applyBorder="1" applyAlignment="1">
      <alignment horizontal="center" vertical="top" wrapText="1"/>
    </xf>
    <xf numFmtId="170" fontId="22" fillId="0" borderId="2" xfId="0" applyNumberFormat="1" applyFont="1" applyFill="1" applyBorder="1" applyAlignment="1">
      <alignment horizontal="center" vertical="center" wrapText="1"/>
    </xf>
    <xf numFmtId="168" fontId="6" fillId="0" borderId="0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left" vertical="center" wrapText="1"/>
    </xf>
    <xf numFmtId="168" fontId="22" fillId="0" borderId="0" xfId="0" applyNumberFormat="1" applyFont="1" applyFill="1" applyBorder="1" applyAlignment="1">
      <alignment horizontal="center" vertical="center" wrapText="1"/>
    </xf>
    <xf numFmtId="168" fontId="6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0" fontId="6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top"/>
    </xf>
    <xf numFmtId="176" fontId="22" fillId="0" borderId="0" xfId="0" applyNumberFormat="1" applyFont="1" applyFill="1" applyBorder="1" applyAlignment="1">
      <alignment horizontal="center" vertical="top" wrapText="1"/>
    </xf>
    <xf numFmtId="170" fontId="22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wrapText="1"/>
    </xf>
    <xf numFmtId="170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3" fillId="0" borderId="7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166" fontId="2" fillId="0" borderId="0" xfId="3" applyNumberFormat="1" applyFont="1" applyFill="1" applyAlignment="1">
      <alignment horizontal="center"/>
    </xf>
    <xf numFmtId="169" fontId="22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169" fontId="6" fillId="0" borderId="0" xfId="0" applyNumberFormat="1" applyFont="1" applyFill="1" applyBorder="1" applyAlignment="1">
      <alignment horizontal="center" vertical="center" wrapText="1"/>
    </xf>
    <xf numFmtId="3" fontId="3" fillId="0" borderId="8" xfId="3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9" fontId="21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 readingOrder="1"/>
    </xf>
    <xf numFmtId="173" fontId="6" fillId="0" borderId="0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8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top"/>
    </xf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2" fontId="9" fillId="0" borderId="0" xfId="0" applyNumberFormat="1" applyFont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center" vertical="center" wrapText="1"/>
    </xf>
    <xf numFmtId="3" fontId="17" fillId="0" borderId="2" xfId="3" applyNumberFormat="1" applyFont="1" applyFill="1" applyBorder="1" applyAlignment="1">
      <alignment horizontal="center" vertical="center"/>
    </xf>
    <xf numFmtId="164" fontId="2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3" fontId="2" fillId="0" borderId="2" xfId="3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3" fontId="12" fillId="0" borderId="0" xfId="3" applyNumberFormat="1" applyFont="1" applyFill="1" applyBorder="1" applyAlignment="1">
      <alignment horizontal="right"/>
    </xf>
    <xf numFmtId="4" fontId="2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2" fontId="7" fillId="0" borderId="0" xfId="0" applyNumberFormat="1" applyFont="1" applyFill="1" applyAlignment="1">
      <alignment horizontal="center" wrapText="1"/>
    </xf>
    <xf numFmtId="2" fontId="7" fillId="0" borderId="0" xfId="0" applyNumberFormat="1" applyFont="1" applyFill="1" applyAlignment="1">
      <alignment horizontal="center" wrapText="1"/>
    </xf>
    <xf numFmtId="2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wrapText="1"/>
    </xf>
    <xf numFmtId="2" fontId="28" fillId="0" borderId="0" xfId="0" applyNumberFormat="1" applyFont="1" applyFill="1" applyAlignment="1">
      <alignment horizontal="center" wrapText="1"/>
    </xf>
    <xf numFmtId="2" fontId="28" fillId="0" borderId="0" xfId="0" applyNumberFormat="1" applyFont="1" applyFill="1" applyAlignment="1">
      <alignment horizontal="center" wrapText="1"/>
    </xf>
    <xf numFmtId="2" fontId="28" fillId="0" borderId="0" xfId="0" applyNumberFormat="1" applyFont="1" applyFill="1" applyAlignment="1">
      <alignment wrapText="1"/>
    </xf>
    <xf numFmtId="0" fontId="16" fillId="0" borderId="0" xfId="0" applyFont="1" applyFill="1"/>
    <xf numFmtId="0" fontId="3" fillId="0" borderId="0" xfId="0" applyFont="1" applyFill="1"/>
    <xf numFmtId="0" fontId="2" fillId="0" borderId="3" xfId="0" applyFont="1" applyFill="1" applyBorder="1" applyAlignment="1">
      <alignment horizontal="center" vertical="center" wrapText="1" readingOrder="1"/>
    </xf>
    <xf numFmtId="49" fontId="2" fillId="0" borderId="7" xfId="0" applyNumberFormat="1" applyFont="1" applyFill="1" applyBorder="1" applyAlignment="1">
      <alignment horizontal="center" vertical="center" wrapText="1" readingOrder="1"/>
    </xf>
    <xf numFmtId="49" fontId="2" fillId="0" borderId="8" xfId="0" applyNumberFormat="1" applyFont="1" applyFill="1" applyBorder="1" applyAlignment="1">
      <alignment horizontal="center" vertical="center" wrapText="1" readingOrder="1"/>
    </xf>
    <xf numFmtId="49" fontId="2" fillId="0" borderId="8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11" fillId="0" borderId="6" xfId="0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0" fontId="11" fillId="0" borderId="5" xfId="0" applyFont="1" applyFill="1" applyBorder="1" applyAlignment="1">
      <alignment horizontal="center" vertical="center" wrapText="1" readingOrder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2" fillId="0" borderId="7" xfId="2" applyFont="1" applyFill="1" applyBorder="1" applyAlignment="1">
      <alignment horizontal="center" vertical="center" wrapText="1" readingOrder="1"/>
    </xf>
    <xf numFmtId="0" fontId="2" fillId="0" borderId="8" xfId="2" applyFont="1" applyFill="1" applyBorder="1" applyAlignment="1">
      <alignment horizontal="center" vertical="center" wrapText="1" readingOrder="1"/>
    </xf>
    <xf numFmtId="0" fontId="2" fillId="0" borderId="6" xfId="2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2" fillId="0" borderId="2" xfId="0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 readingOrder="1"/>
    </xf>
    <xf numFmtId="0" fontId="6" fillId="0" borderId="0" xfId="0" applyFont="1" applyFill="1" applyAlignment="1">
      <alignment vertical="center"/>
    </xf>
    <xf numFmtId="2" fontId="2" fillId="0" borderId="0" xfId="0" applyNumberFormat="1" applyFont="1" applyFill="1"/>
    <xf numFmtId="0" fontId="6" fillId="0" borderId="0" xfId="0" applyFont="1" applyFill="1"/>
    <xf numFmtId="4" fontId="6" fillId="0" borderId="0" xfId="0" applyNumberFormat="1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 readingOrder="1"/>
    </xf>
    <xf numFmtId="3" fontId="2" fillId="0" borderId="2" xfId="0" applyNumberFormat="1" applyFont="1" applyFill="1" applyBorder="1" applyAlignment="1">
      <alignment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wrapText="1"/>
    </xf>
    <xf numFmtId="0" fontId="2" fillId="0" borderId="5" xfId="2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/>
    <xf numFmtId="0" fontId="2" fillId="0" borderId="2" xfId="2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/>
    <xf numFmtId="0" fontId="3" fillId="0" borderId="0" xfId="0" applyFont="1" applyFill="1" applyBorder="1" applyAlignment="1">
      <alignment wrapText="1"/>
    </xf>
    <xf numFmtId="4" fontId="2" fillId="0" borderId="2" xfId="0" applyNumberFormat="1" applyFont="1" applyFill="1" applyBorder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4" fontId="2" fillId="0" borderId="2" xfId="4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4" fontId="6" fillId="0" borderId="2" xfId="4" applyNumberFormat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/>
    </xf>
    <xf numFmtId="4" fontId="22" fillId="0" borderId="2" xfId="4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2" fontId="28" fillId="0" borderId="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/>
    <xf numFmtId="0" fontId="11" fillId="0" borderId="2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vertical="top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horizontal="center" vertical="center"/>
    </xf>
    <xf numFmtId="169" fontId="22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right" vertical="center" wrapText="1"/>
    </xf>
    <xf numFmtId="4" fontId="2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170" fontId="6" fillId="0" borderId="2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/>
    </xf>
    <xf numFmtId="168" fontId="21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 wrapText="1"/>
    </xf>
    <xf numFmtId="168" fontId="22" fillId="0" borderId="2" xfId="0" applyNumberFormat="1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vertical="center" wrapText="1"/>
    </xf>
    <xf numFmtId="3" fontId="22" fillId="0" borderId="2" xfId="0" applyNumberFormat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wrapText="1"/>
    </xf>
    <xf numFmtId="4" fontId="22" fillId="0" borderId="2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76" fontId="22" fillId="0" borderId="0" xfId="0" applyNumberFormat="1" applyFont="1" applyFill="1" applyBorder="1" applyAlignment="1">
      <alignment horizontal="center"/>
    </xf>
    <xf numFmtId="167" fontId="22" fillId="0" borderId="0" xfId="0" applyNumberFormat="1" applyFont="1" applyFill="1" applyBorder="1" applyAlignment="1">
      <alignment horizontal="center" wrapText="1"/>
    </xf>
    <xf numFmtId="168" fontId="6" fillId="0" borderId="0" xfId="0" applyNumberFormat="1" applyFont="1" applyFill="1" applyBorder="1"/>
    <xf numFmtId="176" fontId="22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wrapText="1"/>
    </xf>
    <xf numFmtId="0" fontId="30" fillId="0" borderId="2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171" fontId="30" fillId="0" borderId="2" xfId="0" applyNumberFormat="1" applyFont="1" applyFill="1" applyBorder="1" applyAlignment="1">
      <alignment vertical="center"/>
    </xf>
    <xf numFmtId="172" fontId="30" fillId="0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left" vertical="center" wrapText="1"/>
    </xf>
    <xf numFmtId="168" fontId="22" fillId="0" borderId="0" xfId="0" applyNumberFormat="1" applyFont="1" applyFill="1" applyBorder="1" applyAlignment="1">
      <alignment horizontal="left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4" fontId="31" fillId="0" borderId="3" xfId="0" applyNumberFormat="1" applyFont="1" applyFill="1" applyBorder="1" applyAlignment="1">
      <alignment vertical="center"/>
    </xf>
    <xf numFmtId="4" fontId="31" fillId="0" borderId="3" xfId="0" applyNumberFormat="1" applyFont="1" applyFill="1" applyBorder="1" applyAlignment="1">
      <alignment horizontal="center" vertical="center"/>
    </xf>
    <xf numFmtId="173" fontId="31" fillId="0" borderId="3" xfId="0" applyNumberFormat="1" applyFont="1" applyFill="1" applyBorder="1" applyAlignment="1">
      <alignment horizontal="center" vertical="center"/>
    </xf>
    <xf numFmtId="4" fontId="30" fillId="0" borderId="3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Fill="1" applyBorder="1" applyAlignment="1">
      <alignment horizontal="center" vertical="center"/>
    </xf>
    <xf numFmtId="167" fontId="31" fillId="0" borderId="0" xfId="0" applyNumberFormat="1" applyFont="1" applyFill="1" applyBorder="1" applyAlignment="1">
      <alignment horizontal="center" vertical="center"/>
    </xf>
    <xf numFmtId="168" fontId="31" fillId="0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vertical="center"/>
    </xf>
    <xf numFmtId="176" fontId="31" fillId="0" borderId="0" xfId="0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168" fontId="6" fillId="0" borderId="7" xfId="0" applyNumberFormat="1" applyFont="1" applyFill="1" applyBorder="1" applyAlignment="1">
      <alignment horizontal="center" vertical="center" wrapText="1"/>
    </xf>
    <xf numFmtId="168" fontId="21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left" vertical="center" wrapText="1"/>
    </xf>
  </cellXfs>
  <cellStyles count="5">
    <cellStyle name="Нейтральный" xfId="4" builtinId="28"/>
    <cellStyle name="Обычный" xfId="0" builtinId="0"/>
    <cellStyle name="Обычный 2" xfId="2"/>
    <cellStyle name="Обычный 2 2" xfId="3"/>
    <cellStyle name="Плохой" xfId="1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E393"/>
  <sheetViews>
    <sheetView topLeftCell="A230" zoomScale="70" zoomScaleNormal="70" workbookViewId="0">
      <selection activeCell="C228" sqref="C228"/>
    </sheetView>
  </sheetViews>
  <sheetFormatPr defaultColWidth="9.140625" defaultRowHeight="15" x14ac:dyDescent="0.25"/>
  <cols>
    <col min="1" max="1" width="19.42578125" style="1" customWidth="1"/>
    <col min="2" max="2" width="28.7109375" style="1" customWidth="1"/>
    <col min="3" max="3" width="29.7109375" style="1" customWidth="1"/>
    <col min="4" max="4" width="8.7109375" style="1" customWidth="1"/>
    <col min="5" max="5" width="14.7109375" style="1" hidden="1" customWidth="1"/>
    <col min="6" max="6" width="13.28515625" style="1" hidden="1" customWidth="1"/>
    <col min="7" max="7" width="11.7109375" style="1" customWidth="1"/>
    <col min="8" max="8" width="12.85546875" style="1" bestFit="1" customWidth="1"/>
    <col min="9" max="9" width="12.140625" style="1" bestFit="1" customWidth="1"/>
    <col min="10" max="10" width="15.28515625" style="1" customWidth="1"/>
    <col min="11" max="11" width="16" style="1" customWidth="1"/>
    <col min="12" max="12" width="13.85546875" style="1" customWidth="1"/>
    <col min="13" max="13" width="13.5703125" style="1" customWidth="1"/>
    <col min="14" max="14" width="16.7109375" style="1" customWidth="1"/>
    <col min="15" max="15" width="19.140625" style="1" customWidth="1"/>
    <col min="16" max="16" width="14.7109375" style="1" customWidth="1"/>
    <col min="17" max="17" width="21.85546875" style="1" hidden="1" customWidth="1"/>
    <col min="18" max="18" width="18.140625" style="1" customWidth="1"/>
    <col min="19" max="19" width="18.5703125" style="1" hidden="1" customWidth="1"/>
    <col min="20" max="20" width="16.7109375" style="1" customWidth="1"/>
    <col min="21" max="21" width="19" style="1" customWidth="1"/>
    <col min="22" max="22" width="10.140625" style="1" customWidth="1"/>
    <col min="23" max="23" width="17.7109375" style="1" hidden="1" customWidth="1"/>
    <col min="24" max="24" width="16.140625" style="1" hidden="1" customWidth="1"/>
    <col min="25" max="25" width="12.7109375" style="1" hidden="1" customWidth="1"/>
    <col min="26" max="26" width="14.7109375" style="1" hidden="1" customWidth="1"/>
    <col min="27" max="27" width="6.28515625" style="1" hidden="1" customWidth="1"/>
    <col min="28" max="28" width="13.7109375" style="1" hidden="1" customWidth="1"/>
    <col min="29" max="30" width="14.28515625" style="1" hidden="1" customWidth="1"/>
    <col min="31" max="31" width="14.7109375" style="1" hidden="1" customWidth="1"/>
    <col min="32" max="16384" width="9.140625" style="1"/>
  </cols>
  <sheetData>
    <row r="1" spans="1:31" ht="13.9" x14ac:dyDescent="0.25">
      <c r="T1" s="2"/>
    </row>
    <row r="2" spans="1:31" x14ac:dyDescent="0.25">
      <c r="R2" s="2" t="s">
        <v>0</v>
      </c>
      <c r="S2" s="2"/>
    </row>
    <row r="3" spans="1:31" x14ac:dyDescent="0.25">
      <c r="R3" s="2" t="s">
        <v>578</v>
      </c>
      <c r="S3" s="2"/>
    </row>
    <row r="4" spans="1:31" x14ac:dyDescent="0.25">
      <c r="A4" s="253" t="s">
        <v>472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</row>
    <row r="5" spans="1:31" x14ac:dyDescent="0.25">
      <c r="A5" s="254" t="s">
        <v>1</v>
      </c>
      <c r="B5" s="254"/>
      <c r="C5" s="254"/>
      <c r="D5" s="3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31" ht="27.6" customHeight="1" x14ac:dyDescent="0.25">
      <c r="A6" s="355" t="s">
        <v>2</v>
      </c>
      <c r="B6" s="355" t="s">
        <v>3</v>
      </c>
      <c r="C6" s="329" t="s">
        <v>4</v>
      </c>
      <c r="D6" s="355" t="s">
        <v>5</v>
      </c>
      <c r="E6" s="356" t="s">
        <v>6</v>
      </c>
      <c r="F6" s="356"/>
      <c r="G6" s="356"/>
      <c r="H6" s="356"/>
      <c r="I6" s="356"/>
      <c r="J6" s="357" t="s">
        <v>7</v>
      </c>
      <c r="K6" s="357"/>
      <c r="L6" s="357"/>
      <c r="M6" s="357"/>
      <c r="N6" s="357" t="s">
        <v>8</v>
      </c>
      <c r="O6" s="357"/>
      <c r="P6" s="357"/>
      <c r="Q6" s="357"/>
      <c r="R6" s="357"/>
      <c r="S6" s="357"/>
      <c r="T6" s="357"/>
      <c r="U6" s="357"/>
    </row>
    <row r="7" spans="1:31" ht="120" x14ac:dyDescent="0.25">
      <c r="A7" s="355"/>
      <c r="B7" s="355"/>
      <c r="C7" s="329"/>
      <c r="D7" s="355"/>
      <c r="E7" s="164" t="s">
        <v>541</v>
      </c>
      <c r="F7" s="164" t="s">
        <v>542</v>
      </c>
      <c r="G7" s="164" t="s">
        <v>478</v>
      </c>
      <c r="H7" s="164" t="s">
        <v>352</v>
      </c>
      <c r="I7" s="164" t="s">
        <v>473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480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353</v>
      </c>
      <c r="U7" s="6" t="s">
        <v>481</v>
      </c>
    </row>
    <row r="8" spans="1:31" ht="41.45" customHeight="1" x14ac:dyDescent="0.25">
      <c r="A8" s="358" t="s">
        <v>19</v>
      </c>
      <c r="B8" s="358" t="s">
        <v>19</v>
      </c>
      <c r="C8" s="358"/>
      <c r="D8" s="358" t="s">
        <v>20</v>
      </c>
      <c r="E8" s="359" t="s">
        <v>21</v>
      </c>
      <c r="F8" s="359" t="s">
        <v>21</v>
      </c>
      <c r="G8" s="359"/>
      <c r="H8" s="359" t="s">
        <v>21</v>
      </c>
      <c r="I8" s="359" t="s">
        <v>21</v>
      </c>
      <c r="J8" s="6" t="s">
        <v>22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/>
      <c r="R8" s="6" t="s">
        <v>22</v>
      </c>
      <c r="S8" s="6"/>
      <c r="T8" s="6" t="s">
        <v>22</v>
      </c>
      <c r="U8" s="6" t="s">
        <v>22</v>
      </c>
      <c r="W8" s="161" t="s">
        <v>380</v>
      </c>
      <c r="AB8" s="1" t="s">
        <v>482</v>
      </c>
    </row>
    <row r="9" spans="1:31" ht="76.150000000000006" customHeight="1" x14ac:dyDescent="0.25">
      <c r="A9" s="250" t="s">
        <v>23</v>
      </c>
      <c r="B9" s="360" t="s">
        <v>593</v>
      </c>
      <c r="C9" s="361" t="s">
        <v>24</v>
      </c>
      <c r="D9" s="37" t="s">
        <v>25</v>
      </c>
      <c r="E9" s="164">
        <v>296</v>
      </c>
      <c r="F9" s="164">
        <v>296</v>
      </c>
      <c r="G9" s="164">
        <f>((E9*8)+(F9*4))/12</f>
        <v>296</v>
      </c>
      <c r="H9" s="164">
        <v>292</v>
      </c>
      <c r="I9" s="164">
        <v>295</v>
      </c>
      <c r="J9" s="6">
        <f>SUM(K9:M9)</f>
        <v>63136.43</v>
      </c>
      <c r="K9" s="6">
        <f>28292.04+2981.82</f>
        <v>31273.86</v>
      </c>
      <c r="L9" s="6">
        <v>11092.25</v>
      </c>
      <c r="M9" s="6">
        <v>20770.32</v>
      </c>
      <c r="N9" s="6">
        <f>SUM(O9:R9)</f>
        <v>18688383.280000001</v>
      </c>
      <c r="O9" s="6">
        <f>G9*K9</f>
        <v>9257062.5600000005</v>
      </c>
      <c r="P9" s="6">
        <f>(E9*L9)/12*8+(F9*L9/12*4)</f>
        <v>3283306</v>
      </c>
      <c r="Q9" s="6"/>
      <c r="R9" s="61">
        <f>G9*M9</f>
        <v>6148014.7199999997</v>
      </c>
      <c r="S9" s="61"/>
      <c r="T9" s="61">
        <f>W9</f>
        <v>18435837.560000002</v>
      </c>
      <c r="U9" s="61">
        <f>AB9</f>
        <v>18625246.850000001</v>
      </c>
      <c r="W9" s="61">
        <f>SUM(X9:AA9)</f>
        <v>18435837.560000002</v>
      </c>
      <c r="X9" s="61">
        <f>H9*K9</f>
        <v>9131967.120000001</v>
      </c>
      <c r="Y9" s="6">
        <f>H9*L9</f>
        <v>3238937</v>
      </c>
      <c r="Z9" s="61">
        <f>H9*M9</f>
        <v>6064933.4399999995</v>
      </c>
      <c r="AB9" s="61">
        <f>SUM(AC9:AF9)</f>
        <v>18625246.850000001</v>
      </c>
      <c r="AC9" s="61">
        <f>I9*K9</f>
        <v>9225788.6999999993</v>
      </c>
      <c r="AD9" s="6">
        <f>I9*L9</f>
        <v>3272213.75</v>
      </c>
      <c r="AE9" s="61">
        <f>I9*M9</f>
        <v>6127244.4000000004</v>
      </c>
    </row>
    <row r="10" spans="1:31" ht="90" x14ac:dyDescent="0.25">
      <c r="A10" s="251"/>
      <c r="B10" s="362"/>
      <c r="C10" s="363" t="s">
        <v>26</v>
      </c>
      <c r="D10" s="37" t="s">
        <v>25</v>
      </c>
      <c r="E10" s="164" t="s">
        <v>27</v>
      </c>
      <c r="F10" s="164" t="s">
        <v>27</v>
      </c>
      <c r="G10" s="164"/>
      <c r="H10" s="164" t="s">
        <v>27</v>
      </c>
      <c r="I10" s="164" t="s">
        <v>27</v>
      </c>
      <c r="J10" s="164" t="s">
        <v>27</v>
      </c>
      <c r="K10" s="164" t="s">
        <v>27</v>
      </c>
      <c r="L10" s="61" t="s">
        <v>27</v>
      </c>
      <c r="M10" s="61" t="s">
        <v>27</v>
      </c>
      <c r="N10" s="6"/>
      <c r="O10" s="6"/>
      <c r="P10" s="61" t="s">
        <v>27</v>
      </c>
      <c r="Q10" s="61"/>
      <c r="R10" s="61" t="s">
        <v>27</v>
      </c>
      <c r="S10" s="61"/>
      <c r="T10" s="61"/>
      <c r="U10" s="61"/>
    </row>
    <row r="11" spans="1:31" x14ac:dyDescent="0.25">
      <c r="A11" s="251"/>
      <c r="B11" s="362"/>
      <c r="C11" s="363" t="s">
        <v>28</v>
      </c>
      <c r="D11" s="37"/>
      <c r="E11" s="164"/>
      <c r="F11" s="164"/>
      <c r="G11" s="164"/>
      <c r="H11" s="164"/>
      <c r="I11" s="164"/>
      <c r="J11" s="6">
        <f>K11</f>
        <v>131161.82999999999</v>
      </c>
      <c r="K11" s="61">
        <v>131161.82999999999</v>
      </c>
      <c r="L11" s="61" t="s">
        <v>27</v>
      </c>
      <c r="M11" s="61" t="s">
        <v>27</v>
      </c>
      <c r="N11" s="6">
        <f>O11</f>
        <v>0</v>
      </c>
      <c r="O11" s="6">
        <f>G11*K11</f>
        <v>0</v>
      </c>
      <c r="P11" s="61" t="s">
        <v>27</v>
      </c>
      <c r="Q11" s="61"/>
      <c r="R11" s="61" t="s">
        <v>27</v>
      </c>
      <c r="S11" s="61"/>
      <c r="T11" s="61">
        <f>H11*K11</f>
        <v>0</v>
      </c>
      <c r="U11" s="61">
        <f>I11*K11</f>
        <v>0</v>
      </c>
    </row>
    <row r="12" spans="1:31" x14ac:dyDescent="0.25">
      <c r="A12" s="251"/>
      <c r="B12" s="362"/>
      <c r="C12" s="363" t="s">
        <v>29</v>
      </c>
      <c r="D12" s="37"/>
      <c r="E12" s="164">
        <v>24</v>
      </c>
      <c r="F12" s="164">
        <v>24</v>
      </c>
      <c r="G12" s="164">
        <f t="shared" ref="G12:G31" si="0">((E12*8)+(F12*4))/12</f>
        <v>24</v>
      </c>
      <c r="H12" s="164">
        <v>24</v>
      </c>
      <c r="I12" s="164">
        <v>24</v>
      </c>
      <c r="J12" s="6">
        <f>K12</f>
        <v>148317.25</v>
      </c>
      <c r="K12" s="6">
        <v>148317.25</v>
      </c>
      <c r="L12" s="61" t="s">
        <v>27</v>
      </c>
      <c r="M12" s="61" t="s">
        <v>27</v>
      </c>
      <c r="N12" s="6">
        <f>O12</f>
        <v>3559614</v>
      </c>
      <c r="O12" s="6">
        <f t="shared" ref="O12:O18" si="1">G12*K12</f>
        <v>3559614</v>
      </c>
      <c r="P12" s="61" t="s">
        <v>27</v>
      </c>
      <c r="Q12" s="61"/>
      <c r="R12" s="61" t="s">
        <v>27</v>
      </c>
      <c r="S12" s="61"/>
      <c r="T12" s="61">
        <f>H12*K12</f>
        <v>3559614</v>
      </c>
      <c r="U12" s="61">
        <f>I12*K12</f>
        <v>3559614</v>
      </c>
    </row>
    <row r="13" spans="1:31" x14ac:dyDescent="0.25">
      <c r="A13" s="251"/>
      <c r="B13" s="362"/>
      <c r="C13" s="363" t="s">
        <v>30</v>
      </c>
      <c r="D13" s="37"/>
      <c r="E13" s="164">
        <v>4</v>
      </c>
      <c r="F13" s="164">
        <v>4</v>
      </c>
      <c r="G13" s="164">
        <f t="shared" si="0"/>
        <v>4</v>
      </c>
      <c r="H13" s="164">
        <v>4</v>
      </c>
      <c r="I13" s="164">
        <v>4</v>
      </c>
      <c r="J13" s="6">
        <f t="shared" ref="J13:J18" si="2">K13</f>
        <v>175051.01</v>
      </c>
      <c r="K13" s="61">
        <v>175051.01</v>
      </c>
      <c r="L13" s="61" t="s">
        <v>27</v>
      </c>
      <c r="M13" s="61" t="s">
        <v>27</v>
      </c>
      <c r="N13" s="6">
        <f t="shared" ref="N13:N18" si="3">O13</f>
        <v>700204.04</v>
      </c>
      <c r="O13" s="6">
        <f t="shared" si="1"/>
        <v>700204.04</v>
      </c>
      <c r="P13" s="61" t="s">
        <v>27</v>
      </c>
      <c r="Q13" s="61"/>
      <c r="R13" s="61" t="s">
        <v>27</v>
      </c>
      <c r="S13" s="61"/>
      <c r="T13" s="61">
        <f t="shared" ref="T13:T18" si="4">H13*K13</f>
        <v>700204.04</v>
      </c>
      <c r="U13" s="61">
        <f t="shared" ref="U13:U18" si="5">I13*K13</f>
        <v>700204.04</v>
      </c>
    </row>
    <row r="14" spans="1:31" x14ac:dyDescent="0.25">
      <c r="A14" s="251"/>
      <c r="B14" s="362"/>
      <c r="C14" s="363" t="s">
        <v>31</v>
      </c>
      <c r="D14" s="37"/>
      <c r="E14" s="164">
        <v>31</v>
      </c>
      <c r="F14" s="164">
        <v>31</v>
      </c>
      <c r="G14" s="164">
        <f t="shared" si="0"/>
        <v>31</v>
      </c>
      <c r="H14" s="164">
        <v>34</v>
      </c>
      <c r="I14" s="164">
        <v>37</v>
      </c>
      <c r="J14" s="6">
        <f t="shared" si="2"/>
        <v>146008.26</v>
      </c>
      <c r="K14" s="61">
        <v>146008.26</v>
      </c>
      <c r="L14" s="61" t="s">
        <v>27</v>
      </c>
      <c r="M14" s="61" t="s">
        <v>27</v>
      </c>
      <c r="N14" s="6">
        <f t="shared" si="3"/>
        <v>4526256.0600000005</v>
      </c>
      <c r="O14" s="6">
        <f t="shared" si="1"/>
        <v>4526256.0600000005</v>
      </c>
      <c r="P14" s="61" t="s">
        <v>27</v>
      </c>
      <c r="Q14" s="61"/>
      <c r="R14" s="61" t="s">
        <v>27</v>
      </c>
      <c r="S14" s="61"/>
      <c r="T14" s="61">
        <f t="shared" si="4"/>
        <v>4964280.84</v>
      </c>
      <c r="U14" s="61">
        <f t="shared" si="5"/>
        <v>5402305.6200000001</v>
      </c>
    </row>
    <row r="15" spans="1:31" x14ac:dyDescent="0.25">
      <c r="A15" s="251"/>
      <c r="B15" s="362"/>
      <c r="C15" s="363" t="s">
        <v>32</v>
      </c>
      <c r="D15" s="37"/>
      <c r="E15" s="164"/>
      <c r="F15" s="164">
        <f>2-2</f>
        <v>0</v>
      </c>
      <c r="G15" s="164">
        <f t="shared" si="0"/>
        <v>0</v>
      </c>
      <c r="H15" s="164"/>
      <c r="I15" s="164"/>
      <c r="J15" s="6">
        <f t="shared" si="2"/>
        <v>165472.68</v>
      </c>
      <c r="K15" s="61">
        <v>165472.68</v>
      </c>
      <c r="L15" s="61" t="s">
        <v>27</v>
      </c>
      <c r="M15" s="61" t="s">
        <v>27</v>
      </c>
      <c r="N15" s="6">
        <f t="shared" si="3"/>
        <v>0</v>
      </c>
      <c r="O15" s="6">
        <f t="shared" si="1"/>
        <v>0</v>
      </c>
      <c r="P15" s="61" t="s">
        <v>27</v>
      </c>
      <c r="Q15" s="61"/>
      <c r="R15" s="61" t="s">
        <v>27</v>
      </c>
      <c r="S15" s="61"/>
      <c r="T15" s="61">
        <f t="shared" si="4"/>
        <v>0</v>
      </c>
      <c r="U15" s="61">
        <f t="shared" si="5"/>
        <v>0</v>
      </c>
    </row>
    <row r="16" spans="1:31" x14ac:dyDescent="0.25">
      <c r="A16" s="251"/>
      <c r="B16" s="362"/>
      <c r="C16" s="363" t="s">
        <v>33</v>
      </c>
      <c r="D16" s="37"/>
      <c r="E16" s="164"/>
      <c r="F16" s="164"/>
      <c r="G16" s="164">
        <f t="shared" si="0"/>
        <v>0</v>
      </c>
      <c r="H16" s="164"/>
      <c r="I16" s="164"/>
      <c r="J16" s="6">
        <f t="shared" si="2"/>
        <v>191205.83</v>
      </c>
      <c r="K16" s="61">
        <v>191205.83</v>
      </c>
      <c r="L16" s="61"/>
      <c r="M16" s="61"/>
      <c r="N16" s="6">
        <f t="shared" si="3"/>
        <v>0</v>
      </c>
      <c r="O16" s="6">
        <f t="shared" si="1"/>
        <v>0</v>
      </c>
      <c r="P16" s="61" t="s">
        <v>27</v>
      </c>
      <c r="Q16" s="61"/>
      <c r="R16" s="61" t="s">
        <v>27</v>
      </c>
      <c r="S16" s="61"/>
      <c r="T16" s="61">
        <f t="shared" si="4"/>
        <v>0</v>
      </c>
      <c r="U16" s="61">
        <f t="shared" si="5"/>
        <v>0</v>
      </c>
    </row>
    <row r="17" spans="1:31" x14ac:dyDescent="0.25">
      <c r="A17" s="251"/>
      <c r="B17" s="362"/>
      <c r="C17" s="363" t="s">
        <v>34</v>
      </c>
      <c r="D17" s="37"/>
      <c r="E17" s="164"/>
      <c r="F17" s="164"/>
      <c r="G17" s="164">
        <f t="shared" si="0"/>
        <v>0</v>
      </c>
      <c r="H17" s="164"/>
      <c r="I17" s="164"/>
      <c r="J17" s="6">
        <f t="shared" si="2"/>
        <v>188155.03</v>
      </c>
      <c r="K17" s="61">
        <v>188155.03</v>
      </c>
      <c r="L17" s="61" t="s">
        <v>27</v>
      </c>
      <c r="M17" s="61" t="s">
        <v>27</v>
      </c>
      <c r="N17" s="6">
        <f t="shared" si="3"/>
        <v>0</v>
      </c>
      <c r="O17" s="6">
        <f t="shared" si="1"/>
        <v>0</v>
      </c>
      <c r="P17" s="61" t="s">
        <v>27</v>
      </c>
      <c r="Q17" s="61"/>
      <c r="R17" s="61" t="s">
        <v>27</v>
      </c>
      <c r="S17" s="61"/>
      <c r="T17" s="61">
        <f t="shared" si="4"/>
        <v>0</v>
      </c>
      <c r="U17" s="61">
        <f t="shared" si="5"/>
        <v>0</v>
      </c>
    </row>
    <row r="18" spans="1:31" x14ac:dyDescent="0.25">
      <c r="A18" s="251"/>
      <c r="B18" s="362"/>
      <c r="C18" s="363" t="s">
        <v>35</v>
      </c>
      <c r="D18" s="37"/>
      <c r="E18" s="164"/>
      <c r="F18" s="164"/>
      <c r="G18" s="164">
        <f t="shared" si="0"/>
        <v>0</v>
      </c>
      <c r="H18" s="164"/>
      <c r="I18" s="164"/>
      <c r="J18" s="6">
        <f t="shared" si="2"/>
        <v>129594.64</v>
      </c>
      <c r="K18" s="61">
        <v>129594.64</v>
      </c>
      <c r="L18" s="61" t="s">
        <v>27</v>
      </c>
      <c r="M18" s="61" t="s">
        <v>27</v>
      </c>
      <c r="N18" s="6">
        <f t="shared" si="3"/>
        <v>0</v>
      </c>
      <c r="O18" s="6">
        <f t="shared" si="1"/>
        <v>0</v>
      </c>
      <c r="P18" s="61" t="s">
        <v>27</v>
      </c>
      <c r="Q18" s="61"/>
      <c r="R18" s="61" t="s">
        <v>27</v>
      </c>
      <c r="S18" s="61"/>
      <c r="T18" s="61">
        <f t="shared" si="4"/>
        <v>0</v>
      </c>
      <c r="U18" s="61">
        <f t="shared" si="5"/>
        <v>0</v>
      </c>
    </row>
    <row r="19" spans="1:31" ht="82.9" customHeight="1" x14ac:dyDescent="0.25">
      <c r="A19" s="251"/>
      <c r="B19" s="362"/>
      <c r="C19" s="363" t="s">
        <v>36</v>
      </c>
      <c r="D19" s="37" t="s">
        <v>25</v>
      </c>
      <c r="E19" s="164">
        <v>2</v>
      </c>
      <c r="F19" s="164">
        <v>2</v>
      </c>
      <c r="G19" s="164">
        <f t="shared" si="0"/>
        <v>2</v>
      </c>
      <c r="H19" s="164">
        <v>2</v>
      </c>
      <c r="I19" s="164">
        <v>2</v>
      </c>
      <c r="J19" s="61">
        <f>SUM(K19:M19)</f>
        <v>313647.73000000004</v>
      </c>
      <c r="K19" s="61">
        <f>278803.34+2981.82</f>
        <v>281785.16000000003</v>
      </c>
      <c r="L19" s="6">
        <v>11092.25</v>
      </c>
      <c r="M19" s="6">
        <v>20770.32</v>
      </c>
      <c r="N19" s="6">
        <f>SUM(O19:R19)</f>
        <v>627295.46000000008</v>
      </c>
      <c r="O19" s="6">
        <f>G19*K19</f>
        <v>563570.32000000007</v>
      </c>
      <c r="P19" s="6">
        <f>(E19*L19)/12*8+(F19*L19/12*4)</f>
        <v>22184.5</v>
      </c>
      <c r="Q19" s="6"/>
      <c r="R19" s="61">
        <f>G19*M19</f>
        <v>41540.639999999999</v>
      </c>
      <c r="S19" s="61"/>
      <c r="T19" s="61">
        <f>H19*J19</f>
        <v>627295.46000000008</v>
      </c>
      <c r="U19" s="61">
        <f>I19*J19</f>
        <v>627295.46000000008</v>
      </c>
      <c r="Y19" s="8"/>
    </row>
    <row r="20" spans="1:31" ht="29.25" x14ac:dyDescent="0.25">
      <c r="A20" s="251"/>
      <c r="B20" s="362"/>
      <c r="C20" s="364" t="s">
        <v>37</v>
      </c>
      <c r="D20" s="37" t="s">
        <v>38</v>
      </c>
      <c r="E20" s="164">
        <v>12</v>
      </c>
      <c r="F20" s="164">
        <v>12</v>
      </c>
      <c r="G20" s="164">
        <f t="shared" si="0"/>
        <v>12</v>
      </c>
      <c r="H20" s="164">
        <v>12</v>
      </c>
      <c r="I20" s="164">
        <v>12</v>
      </c>
      <c r="J20" s="61">
        <f>SUM(K20:M20)</f>
        <v>234360</v>
      </c>
      <c r="K20" s="61">
        <f>10000*1.5*1.302*12</f>
        <v>234360</v>
      </c>
      <c r="L20" s="6"/>
      <c r="M20" s="6"/>
      <c r="N20" s="6">
        <f>SUM(O20:R20)</f>
        <v>2812320</v>
      </c>
      <c r="O20" s="6">
        <f>G20*K20</f>
        <v>2812320</v>
      </c>
      <c r="P20" s="6"/>
      <c r="Q20" s="6"/>
      <c r="R20" s="61"/>
      <c r="S20" s="61"/>
      <c r="T20" s="61">
        <f>H20*K20-2812320</f>
        <v>0</v>
      </c>
      <c r="U20" s="61">
        <f>I20*K20-2812320</f>
        <v>0</v>
      </c>
    </row>
    <row r="21" spans="1:31" ht="24" customHeight="1" x14ac:dyDescent="0.25">
      <c r="A21" s="251"/>
      <c r="B21" s="365"/>
      <c r="C21" s="163" t="s">
        <v>39</v>
      </c>
      <c r="D21" s="37"/>
      <c r="E21" s="216">
        <f>E9+E19</f>
        <v>298</v>
      </c>
      <c r="F21" s="216">
        <f>F9+F19</f>
        <v>298</v>
      </c>
      <c r="G21" s="216">
        <f>G9+G19</f>
        <v>298</v>
      </c>
      <c r="H21" s="216">
        <f>H9+H19</f>
        <v>294</v>
      </c>
      <c r="I21" s="216">
        <f>I9+I19</f>
        <v>297</v>
      </c>
      <c r="J21" s="6" t="s">
        <v>27</v>
      </c>
      <c r="K21" s="6" t="s">
        <v>27</v>
      </c>
      <c r="L21" s="6" t="s">
        <v>27</v>
      </c>
      <c r="M21" s="6" t="s">
        <v>27</v>
      </c>
      <c r="N21" s="165">
        <f>SUM(N9:N20)</f>
        <v>30914072.840000004</v>
      </c>
      <c r="O21" s="165">
        <f t="shared" ref="O21:U21" si="6">SUM(O9:O20)</f>
        <v>21419026.980000004</v>
      </c>
      <c r="P21" s="165">
        <f t="shared" si="6"/>
        <v>3305490.5</v>
      </c>
      <c r="Q21" s="165">
        <f t="shared" si="6"/>
        <v>0</v>
      </c>
      <c r="R21" s="165">
        <f t="shared" si="6"/>
        <v>6189555.3599999994</v>
      </c>
      <c r="S21" s="165">
        <f t="shared" si="6"/>
        <v>0</v>
      </c>
      <c r="T21" s="165">
        <f t="shared" si="6"/>
        <v>28287231.900000002</v>
      </c>
      <c r="U21" s="165">
        <f t="shared" si="6"/>
        <v>28914665.970000003</v>
      </c>
      <c r="X21" s="8"/>
    </row>
    <row r="22" spans="1:31" ht="75" customHeight="1" x14ac:dyDescent="0.25">
      <c r="A22" s="251"/>
      <c r="B22" s="366" t="s">
        <v>594</v>
      </c>
      <c r="C22" s="361" t="s">
        <v>24</v>
      </c>
      <c r="D22" s="37" t="s">
        <v>25</v>
      </c>
      <c r="E22" s="164">
        <v>358</v>
      </c>
      <c r="F22" s="164">
        <v>358</v>
      </c>
      <c r="G22" s="164">
        <f t="shared" si="0"/>
        <v>358</v>
      </c>
      <c r="H22" s="164">
        <v>363</v>
      </c>
      <c r="I22" s="164">
        <v>367</v>
      </c>
      <c r="J22" s="6">
        <f>SUM(K22:M22)</f>
        <v>77984.61</v>
      </c>
      <c r="K22" s="6">
        <f>42155.15+3966.89</f>
        <v>46122.04</v>
      </c>
      <c r="L22" s="6">
        <v>11092.25</v>
      </c>
      <c r="M22" s="6">
        <v>20770.32</v>
      </c>
      <c r="N22" s="6">
        <f>SUM(O22:R22)</f>
        <v>27918490.379999999</v>
      </c>
      <c r="O22" s="6">
        <f>G22*K22</f>
        <v>16511690.32</v>
      </c>
      <c r="P22" s="6">
        <f>(E22*L22)/12*8+(F22*L22/12*4)</f>
        <v>3971025.5</v>
      </c>
      <c r="Q22" s="61"/>
      <c r="R22" s="61">
        <f>G22*M22</f>
        <v>7435774.5599999996</v>
      </c>
      <c r="S22" s="61"/>
      <c r="T22" s="61">
        <f>W22</f>
        <v>28308413.43</v>
      </c>
      <c r="U22" s="61">
        <f>AB22</f>
        <v>28620351.869999997</v>
      </c>
      <c r="W22" s="61">
        <f>SUM(X22:AA22)</f>
        <v>28308413.43</v>
      </c>
      <c r="X22" s="61">
        <f>H22*K22</f>
        <v>16742300.52</v>
      </c>
      <c r="Y22" s="6">
        <f>H22*L22</f>
        <v>4026486.75</v>
      </c>
      <c r="Z22" s="61">
        <f>H22*M22</f>
        <v>7539626.1600000001</v>
      </c>
      <c r="AB22" s="61">
        <f>SUM(AC22:AF22)</f>
        <v>28620351.869999997</v>
      </c>
      <c r="AC22" s="61">
        <f>I22*K22</f>
        <v>16926788.68</v>
      </c>
      <c r="AD22" s="6">
        <f>I22*L22</f>
        <v>4070855.75</v>
      </c>
      <c r="AE22" s="61">
        <f>I22*M22</f>
        <v>7622707.4399999995</v>
      </c>
    </row>
    <row r="23" spans="1:31" ht="90" x14ac:dyDescent="0.25">
      <c r="A23" s="251"/>
      <c r="B23" s="367"/>
      <c r="C23" s="361" t="s">
        <v>40</v>
      </c>
      <c r="D23" s="37" t="s">
        <v>25</v>
      </c>
      <c r="E23" s="164" t="s">
        <v>27</v>
      </c>
      <c r="F23" s="164" t="s">
        <v>27</v>
      </c>
      <c r="G23" s="164" t="s">
        <v>27</v>
      </c>
      <c r="H23" s="164" t="s">
        <v>27</v>
      </c>
      <c r="I23" s="164" t="s">
        <v>27</v>
      </c>
      <c r="J23" s="164" t="s">
        <v>27</v>
      </c>
      <c r="K23" s="164" t="s">
        <v>27</v>
      </c>
      <c r="L23" s="164" t="s">
        <v>27</v>
      </c>
      <c r="M23" s="164"/>
      <c r="N23" s="6"/>
      <c r="O23" s="6"/>
      <c r="P23" s="164" t="s">
        <v>27</v>
      </c>
      <c r="Q23" s="164"/>
      <c r="R23" s="164" t="s">
        <v>27</v>
      </c>
      <c r="S23" s="164"/>
      <c r="T23" s="61"/>
      <c r="U23" s="61"/>
    </row>
    <row r="24" spans="1:31" x14ac:dyDescent="0.25">
      <c r="A24" s="251"/>
      <c r="B24" s="367"/>
      <c r="C24" s="361" t="s">
        <v>30</v>
      </c>
      <c r="D24" s="37" t="s">
        <v>25</v>
      </c>
      <c r="E24" s="169">
        <v>4</v>
      </c>
      <c r="F24" s="169">
        <v>4</v>
      </c>
      <c r="G24" s="164">
        <f t="shared" si="0"/>
        <v>4</v>
      </c>
      <c r="H24" s="169">
        <v>4</v>
      </c>
      <c r="I24" s="169">
        <v>4</v>
      </c>
      <c r="J24" s="6">
        <f t="shared" ref="J24:J29" si="7">K24</f>
        <v>113140.45</v>
      </c>
      <c r="K24" s="61">
        <v>113140.45</v>
      </c>
      <c r="L24" s="164" t="s">
        <v>27</v>
      </c>
      <c r="M24" s="164" t="s">
        <v>27</v>
      </c>
      <c r="N24" s="6">
        <f>O24</f>
        <v>452561.8</v>
      </c>
      <c r="O24" s="6">
        <f>G24*K24</f>
        <v>452561.8</v>
      </c>
      <c r="P24" s="164" t="s">
        <v>27</v>
      </c>
      <c r="Q24" s="164"/>
      <c r="R24" s="164" t="s">
        <v>27</v>
      </c>
      <c r="S24" s="164"/>
      <c r="T24" s="61">
        <f>H24*K24</f>
        <v>452561.8</v>
      </c>
      <c r="U24" s="61">
        <f>I24*K24</f>
        <v>452561.8</v>
      </c>
    </row>
    <row r="25" spans="1:31" x14ac:dyDescent="0.25">
      <c r="A25" s="251"/>
      <c r="B25" s="367"/>
      <c r="C25" s="361" t="s">
        <v>32</v>
      </c>
      <c r="D25" s="37" t="s">
        <v>25</v>
      </c>
      <c r="E25" s="169">
        <v>3</v>
      </c>
      <c r="F25" s="169">
        <f>2+1</f>
        <v>3</v>
      </c>
      <c r="G25" s="164">
        <f t="shared" si="0"/>
        <v>3</v>
      </c>
      <c r="H25" s="169">
        <f>2+1</f>
        <v>3</v>
      </c>
      <c r="I25" s="169">
        <f>2+1</f>
        <v>3</v>
      </c>
      <c r="J25" s="6">
        <f t="shared" si="7"/>
        <v>278306.15999999997</v>
      </c>
      <c r="K25" s="61">
        <v>278306.15999999997</v>
      </c>
      <c r="L25" s="164" t="s">
        <v>27</v>
      </c>
      <c r="M25" s="164" t="s">
        <v>27</v>
      </c>
      <c r="N25" s="6">
        <f>O25</f>
        <v>834918.48</v>
      </c>
      <c r="O25" s="6">
        <f t="shared" ref="O25:O27" si="8">G25*K25</f>
        <v>834918.48</v>
      </c>
      <c r="P25" s="164" t="s">
        <v>27</v>
      </c>
      <c r="Q25" s="164"/>
      <c r="R25" s="164" t="s">
        <v>27</v>
      </c>
      <c r="S25" s="164"/>
      <c r="T25" s="61">
        <f>H25*K25</f>
        <v>834918.48</v>
      </c>
      <c r="U25" s="61">
        <f>I25*K25</f>
        <v>834918.48</v>
      </c>
    </row>
    <row r="26" spans="1:31" x14ac:dyDescent="0.25">
      <c r="A26" s="251"/>
      <c r="B26" s="367"/>
      <c r="C26" s="361" t="s">
        <v>34</v>
      </c>
      <c r="D26" s="37" t="s">
        <v>25</v>
      </c>
      <c r="E26" s="169">
        <v>1</v>
      </c>
      <c r="F26" s="169">
        <v>1</v>
      </c>
      <c r="G26" s="164">
        <f t="shared" si="0"/>
        <v>1</v>
      </c>
      <c r="H26" s="169">
        <v>1</v>
      </c>
      <c r="I26" s="169">
        <v>1</v>
      </c>
      <c r="J26" s="6">
        <f t="shared" si="7"/>
        <v>25927.38</v>
      </c>
      <c r="K26" s="61">
        <v>25927.38</v>
      </c>
      <c r="L26" s="164" t="s">
        <v>27</v>
      </c>
      <c r="M26" s="164" t="s">
        <v>27</v>
      </c>
      <c r="N26" s="6">
        <f>O26</f>
        <v>25927.38</v>
      </c>
      <c r="O26" s="6">
        <f t="shared" si="8"/>
        <v>25927.38</v>
      </c>
      <c r="P26" s="164" t="s">
        <v>27</v>
      </c>
      <c r="Q26" s="164"/>
      <c r="R26" s="164" t="s">
        <v>27</v>
      </c>
      <c r="S26" s="164"/>
      <c r="T26" s="61">
        <f>H26*K26</f>
        <v>25927.38</v>
      </c>
      <c r="U26" s="61">
        <f>I26*K26</f>
        <v>25927.38</v>
      </c>
    </row>
    <row r="27" spans="1:31" x14ac:dyDescent="0.25">
      <c r="A27" s="251"/>
      <c r="B27" s="367"/>
      <c r="C27" s="361" t="s">
        <v>35</v>
      </c>
      <c r="D27" s="37" t="s">
        <v>25</v>
      </c>
      <c r="E27" s="169">
        <v>5</v>
      </c>
      <c r="F27" s="169">
        <v>5</v>
      </c>
      <c r="G27" s="164">
        <f t="shared" si="0"/>
        <v>5</v>
      </c>
      <c r="H27" s="169">
        <v>7</v>
      </c>
      <c r="I27" s="169">
        <v>9</v>
      </c>
      <c r="J27" s="6">
        <f t="shared" si="7"/>
        <v>18833.28</v>
      </c>
      <c r="K27" s="61">
        <v>18833.28</v>
      </c>
      <c r="L27" s="164" t="s">
        <v>27</v>
      </c>
      <c r="M27" s="164" t="s">
        <v>27</v>
      </c>
      <c r="N27" s="6">
        <f>O27</f>
        <v>94166.399999999994</v>
      </c>
      <c r="O27" s="6">
        <f t="shared" si="8"/>
        <v>94166.399999999994</v>
      </c>
      <c r="P27" s="164" t="s">
        <v>27</v>
      </c>
      <c r="Q27" s="164"/>
      <c r="R27" s="164" t="s">
        <v>27</v>
      </c>
      <c r="S27" s="164"/>
      <c r="T27" s="61">
        <f>H27*K27</f>
        <v>131832.95999999999</v>
      </c>
      <c r="U27" s="61">
        <f>I27*K27</f>
        <v>169499.51999999999</v>
      </c>
    </row>
    <row r="28" spans="1:31" ht="82.9" customHeight="1" x14ac:dyDescent="0.25">
      <c r="A28" s="251"/>
      <c r="B28" s="368"/>
      <c r="C28" s="361" t="s">
        <v>36</v>
      </c>
      <c r="D28" s="37" t="s">
        <v>25</v>
      </c>
      <c r="E28" s="169">
        <v>4</v>
      </c>
      <c r="F28" s="169">
        <v>4</v>
      </c>
      <c r="G28" s="164">
        <f t="shared" si="0"/>
        <v>4</v>
      </c>
      <c r="H28" s="169">
        <v>5</v>
      </c>
      <c r="I28" s="169">
        <v>2</v>
      </c>
      <c r="J28" s="6">
        <f t="shared" si="7"/>
        <v>317382.05</v>
      </c>
      <c r="K28" s="61">
        <f>313415.16+3966.89</f>
        <v>317382.05</v>
      </c>
      <c r="L28" s="6">
        <v>11092.25</v>
      </c>
      <c r="M28" s="6">
        <v>20770.32</v>
      </c>
      <c r="N28" s="6">
        <f>SUM(O28:R28)</f>
        <v>1396978.48</v>
      </c>
      <c r="O28" s="6">
        <f>G28*K28</f>
        <v>1269528.2</v>
      </c>
      <c r="P28" s="6">
        <f>(E28*L28)/12*8+(F28*L28/12*4)</f>
        <v>44369</v>
      </c>
      <c r="Q28" s="61"/>
      <c r="R28" s="61">
        <f>G28*M28</f>
        <v>83081.279999999999</v>
      </c>
      <c r="S28" s="61"/>
      <c r="T28" s="61">
        <f>N28</f>
        <v>1396978.48</v>
      </c>
      <c r="U28" s="61">
        <f>T28</f>
        <v>1396978.48</v>
      </c>
      <c r="Y28" s="8"/>
    </row>
    <row r="29" spans="1:31" ht="28.5" x14ac:dyDescent="0.25">
      <c r="A29" s="251"/>
      <c r="B29" s="369"/>
      <c r="C29" s="166" t="s">
        <v>37</v>
      </c>
      <c r="D29" s="37" t="s">
        <v>38</v>
      </c>
      <c r="E29" s="169">
        <v>15</v>
      </c>
      <c r="F29" s="169">
        <f>14+1</f>
        <v>15</v>
      </c>
      <c r="G29" s="164">
        <f t="shared" si="0"/>
        <v>15</v>
      </c>
      <c r="H29" s="169">
        <f>14+1</f>
        <v>15</v>
      </c>
      <c r="I29" s="169">
        <f>14+1</f>
        <v>15</v>
      </c>
      <c r="J29" s="6">
        <f t="shared" si="7"/>
        <v>234360</v>
      </c>
      <c r="K29" s="61">
        <f>10000*1.5*1.302*12</f>
        <v>234360</v>
      </c>
      <c r="L29" s="6"/>
      <c r="M29" s="6"/>
      <c r="N29" s="6">
        <f>SUM(O29:R29)</f>
        <v>3515400</v>
      </c>
      <c r="O29" s="6">
        <f>G29*K29</f>
        <v>3515400</v>
      </c>
      <c r="P29" s="6"/>
      <c r="Q29" s="61"/>
      <c r="R29" s="61"/>
      <c r="S29" s="61"/>
      <c r="T29" s="61">
        <f>H29*K29-3515400</f>
        <v>0</v>
      </c>
      <c r="U29" s="61">
        <f>I29*K29-3515400</f>
        <v>0</v>
      </c>
    </row>
    <row r="30" spans="1:31" ht="23.45" customHeight="1" x14ac:dyDescent="0.25">
      <c r="A30" s="251"/>
      <c r="B30" s="369"/>
      <c r="C30" s="166" t="s">
        <v>39</v>
      </c>
      <c r="D30" s="37"/>
      <c r="E30" s="217">
        <f>E22+E28</f>
        <v>362</v>
      </c>
      <c r="F30" s="217">
        <f>F22+F28</f>
        <v>362</v>
      </c>
      <c r="G30" s="217">
        <f>G22+G28</f>
        <v>362</v>
      </c>
      <c r="H30" s="217">
        <f>H22+H28</f>
        <v>368</v>
      </c>
      <c r="I30" s="217">
        <f>I22+I28</f>
        <v>369</v>
      </c>
      <c r="J30" s="164" t="s">
        <v>27</v>
      </c>
      <c r="K30" s="164" t="s">
        <v>27</v>
      </c>
      <c r="L30" s="164" t="s">
        <v>27</v>
      </c>
      <c r="M30" s="164" t="s">
        <v>27</v>
      </c>
      <c r="N30" s="62">
        <f>SUM(N22:N29)</f>
        <v>34238442.920000002</v>
      </c>
      <c r="O30" s="62">
        <f t="shared" ref="O30:U30" si="9">SUM(O22:O29)</f>
        <v>22704192.579999998</v>
      </c>
      <c r="P30" s="62">
        <f t="shared" si="9"/>
        <v>4015394.5</v>
      </c>
      <c r="Q30" s="62">
        <f t="shared" si="9"/>
        <v>0</v>
      </c>
      <c r="R30" s="62">
        <f t="shared" si="9"/>
        <v>7518855.8399999999</v>
      </c>
      <c r="S30" s="62">
        <f t="shared" si="9"/>
        <v>0</v>
      </c>
      <c r="T30" s="62">
        <f t="shared" si="9"/>
        <v>31150632.530000001</v>
      </c>
      <c r="U30" s="62">
        <f t="shared" si="9"/>
        <v>31500237.529999997</v>
      </c>
    </row>
    <row r="31" spans="1:31" ht="74.45" customHeight="1" x14ac:dyDescent="0.25">
      <c r="A31" s="251"/>
      <c r="B31" s="366" t="s">
        <v>595</v>
      </c>
      <c r="C31" s="361" t="s">
        <v>24</v>
      </c>
      <c r="D31" s="37" t="s">
        <v>25</v>
      </c>
      <c r="E31" s="169">
        <v>47</v>
      </c>
      <c r="F31" s="169">
        <v>47</v>
      </c>
      <c r="G31" s="164">
        <f t="shared" si="0"/>
        <v>47</v>
      </c>
      <c r="H31" s="169">
        <v>47</v>
      </c>
      <c r="I31" s="169">
        <v>50</v>
      </c>
      <c r="J31" s="6">
        <f>SUM(K31:M31)</f>
        <v>85527.17</v>
      </c>
      <c r="K31" s="6">
        <f>49557.18+4107.42</f>
        <v>53664.6</v>
      </c>
      <c r="L31" s="6">
        <v>11092.25</v>
      </c>
      <c r="M31" s="6">
        <v>20770.32</v>
      </c>
      <c r="N31" s="61">
        <f>SUM(O31:R31)</f>
        <v>4019776.9899999998</v>
      </c>
      <c r="O31" s="61">
        <f>G31*K31</f>
        <v>2522236.1999999997</v>
      </c>
      <c r="P31" s="6">
        <f>(E31*L31)/12*8+(F31*L31/12*4)</f>
        <v>521335.75</v>
      </c>
      <c r="Q31" s="61"/>
      <c r="R31" s="61">
        <f>G31*M31</f>
        <v>976205.04</v>
      </c>
      <c r="S31" s="61"/>
      <c r="T31" s="61">
        <f>W31</f>
        <v>4019776.9899999998</v>
      </c>
      <c r="U31" s="61">
        <f>AB31</f>
        <v>4276358.5</v>
      </c>
      <c r="W31" s="61">
        <f>SUM(X31:AA31)</f>
        <v>4019776.9899999998</v>
      </c>
      <c r="X31" s="61">
        <f>H31*K31</f>
        <v>2522236.1999999997</v>
      </c>
      <c r="Y31" s="6">
        <f>H31*L31</f>
        <v>521335.75</v>
      </c>
      <c r="Z31" s="61">
        <f>H31*M31</f>
        <v>976205.04</v>
      </c>
      <c r="AB31" s="61">
        <f>SUM(AC31:AF31)</f>
        <v>4276358.5</v>
      </c>
      <c r="AC31" s="61">
        <f>I31*K31</f>
        <v>2683230</v>
      </c>
      <c r="AD31" s="6">
        <f>I31*L31</f>
        <v>554612.5</v>
      </c>
      <c r="AE31" s="61">
        <f>I31*M31</f>
        <v>1038516</v>
      </c>
    </row>
    <row r="32" spans="1:31" ht="90" x14ac:dyDescent="0.25">
      <c r="A32" s="251"/>
      <c r="B32" s="367"/>
      <c r="C32" s="363" t="s">
        <v>40</v>
      </c>
      <c r="D32" s="37" t="s">
        <v>25</v>
      </c>
      <c r="E32" s="164" t="s">
        <v>27</v>
      </c>
      <c r="F32" s="164" t="s">
        <v>27</v>
      </c>
      <c r="G32" s="164" t="s">
        <v>27</v>
      </c>
      <c r="H32" s="164" t="s">
        <v>27</v>
      </c>
      <c r="I32" s="164" t="s">
        <v>27</v>
      </c>
      <c r="J32" s="164" t="s">
        <v>27</v>
      </c>
      <c r="K32" s="164" t="s">
        <v>27</v>
      </c>
      <c r="L32" s="164" t="s">
        <v>27</v>
      </c>
      <c r="M32" s="164" t="s">
        <v>27</v>
      </c>
      <c r="N32" s="6"/>
      <c r="O32" s="6"/>
      <c r="P32" s="164" t="s">
        <v>27</v>
      </c>
      <c r="Q32" s="164"/>
      <c r="R32" s="164" t="s">
        <v>27</v>
      </c>
      <c r="S32" s="164"/>
      <c r="T32" s="61"/>
      <c r="U32" s="61"/>
    </row>
    <row r="33" spans="1:31" x14ac:dyDescent="0.25">
      <c r="A33" s="251"/>
      <c r="B33" s="367"/>
      <c r="C33" s="363" t="s">
        <v>30</v>
      </c>
      <c r="D33" s="37" t="s">
        <v>25</v>
      </c>
      <c r="E33" s="164">
        <v>1</v>
      </c>
      <c r="F33" s="164">
        <v>1</v>
      </c>
      <c r="G33" s="164">
        <f>((E33*8)+(F33*4))/12</f>
        <v>1</v>
      </c>
      <c r="H33" s="164">
        <v>0</v>
      </c>
      <c r="I33" s="164">
        <v>0</v>
      </c>
      <c r="J33" s="6">
        <f>K33</f>
        <v>115351.56</v>
      </c>
      <c r="K33" s="61">
        <v>115351.56</v>
      </c>
      <c r="L33" s="164" t="s">
        <v>27</v>
      </c>
      <c r="M33" s="164" t="s">
        <v>27</v>
      </c>
      <c r="N33" s="6">
        <f>O33</f>
        <v>115351.56</v>
      </c>
      <c r="O33" s="6">
        <f>G33*K33</f>
        <v>115351.56</v>
      </c>
      <c r="P33" s="164" t="s">
        <v>27</v>
      </c>
      <c r="Q33" s="164"/>
      <c r="R33" s="164" t="s">
        <v>27</v>
      </c>
      <c r="S33" s="164"/>
      <c r="T33" s="61">
        <f>H33*K33</f>
        <v>0</v>
      </c>
      <c r="U33" s="61">
        <f>I33*K33</f>
        <v>0</v>
      </c>
    </row>
    <row r="34" spans="1:31" ht="82.9" customHeight="1" x14ac:dyDescent="0.25">
      <c r="A34" s="251"/>
      <c r="B34" s="367"/>
      <c r="C34" s="363" t="s">
        <v>36</v>
      </c>
      <c r="D34" s="37" t="s">
        <v>25</v>
      </c>
      <c r="E34" s="169">
        <v>1</v>
      </c>
      <c r="F34" s="169">
        <v>1</v>
      </c>
      <c r="G34" s="164">
        <f>((E34*8)+(F34*4))/12</f>
        <v>1</v>
      </c>
      <c r="H34" s="169">
        <v>0</v>
      </c>
      <c r="I34" s="169">
        <v>0</v>
      </c>
      <c r="J34" s="6">
        <f>SUM(K34:M34)</f>
        <v>383996.98</v>
      </c>
      <c r="K34" s="61">
        <f>348026.99+4107.42</f>
        <v>352134.41</v>
      </c>
      <c r="L34" s="6">
        <v>11092.25</v>
      </c>
      <c r="M34" s="6">
        <v>20770.32</v>
      </c>
      <c r="N34" s="6">
        <f>SUM(O34:R34)</f>
        <v>383996.98</v>
      </c>
      <c r="O34" s="6">
        <f>G34*K34</f>
        <v>352134.41</v>
      </c>
      <c r="P34" s="6">
        <f>(E34*L34)/12*8+(F34*L34/12*4)</f>
        <v>11092.25</v>
      </c>
      <c r="Q34" s="61"/>
      <c r="R34" s="61">
        <f>G34*M34</f>
        <v>20770.32</v>
      </c>
      <c r="S34" s="61"/>
      <c r="T34" s="61">
        <f>H34*J34</f>
        <v>0</v>
      </c>
      <c r="U34" s="61">
        <f>T34</f>
        <v>0</v>
      </c>
      <c r="X34" s="8"/>
    </row>
    <row r="35" spans="1:31" ht="90" x14ac:dyDescent="0.25">
      <c r="A35" s="251"/>
      <c r="B35" s="368"/>
      <c r="C35" s="363" t="s">
        <v>41</v>
      </c>
      <c r="D35" s="37" t="s">
        <v>25</v>
      </c>
      <c r="E35" s="169">
        <v>28</v>
      </c>
      <c r="F35" s="169">
        <v>28</v>
      </c>
      <c r="G35" s="164">
        <f t="shared" ref="G35" si="10">((E35*8)+(F35*4))/12</f>
        <v>28</v>
      </c>
      <c r="H35" s="169">
        <v>28</v>
      </c>
      <c r="I35" s="169">
        <v>25</v>
      </c>
      <c r="J35" s="6">
        <f>SUM(K35:M35)</f>
        <v>79062.53</v>
      </c>
      <c r="K35" s="61">
        <f>43092.54+4107.42</f>
        <v>47199.96</v>
      </c>
      <c r="L35" s="6">
        <v>11092.25</v>
      </c>
      <c r="M35" s="6">
        <v>20770.32</v>
      </c>
      <c r="N35" s="61">
        <f>SUM(O35:R35)</f>
        <v>2213750.84</v>
      </c>
      <c r="O35" s="61">
        <f>G35*K35</f>
        <v>1321598.8799999999</v>
      </c>
      <c r="P35" s="6">
        <f>(E35*L35)/12*8+(F35*L35/12*4)</f>
        <v>310583</v>
      </c>
      <c r="Q35" s="164" t="s">
        <v>27</v>
      </c>
      <c r="R35" s="6">
        <f>G35*M35</f>
        <v>581568.96</v>
      </c>
      <c r="S35" s="164" t="s">
        <v>27</v>
      </c>
      <c r="T35" s="61">
        <f>W35</f>
        <v>2213750.84</v>
      </c>
      <c r="U35" s="61">
        <f>AB35</f>
        <v>1976563.25</v>
      </c>
      <c r="W35" s="61">
        <f>SUM(X35:AA35)</f>
        <v>2213750.84</v>
      </c>
      <c r="X35" s="61">
        <f>H35*K35</f>
        <v>1321598.8799999999</v>
      </c>
      <c r="Y35" s="6">
        <f>H35*L35</f>
        <v>310583</v>
      </c>
      <c r="Z35" s="61">
        <f>H35*M35</f>
        <v>581568.96</v>
      </c>
      <c r="AB35" s="61">
        <f>SUM(AC35:AF35)</f>
        <v>1976563.25</v>
      </c>
      <c r="AC35" s="61">
        <f>I35*K35</f>
        <v>1179999</v>
      </c>
      <c r="AD35" s="6">
        <f>I35*L35</f>
        <v>277306.25</v>
      </c>
      <c r="AE35" s="61">
        <f>I35*M35</f>
        <v>519258</v>
      </c>
    </row>
    <row r="36" spans="1:31" ht="29.25" x14ac:dyDescent="0.25">
      <c r="A36" s="251"/>
      <c r="B36" s="370"/>
      <c r="C36" s="163" t="s">
        <v>37</v>
      </c>
      <c r="D36" s="37" t="s">
        <v>38</v>
      </c>
      <c r="E36" s="169">
        <v>4</v>
      </c>
      <c r="F36" s="169">
        <v>4</v>
      </c>
      <c r="G36" s="164">
        <f>((E36*8)+(F36*4))/12</f>
        <v>4</v>
      </c>
      <c r="H36" s="169">
        <v>4</v>
      </c>
      <c r="I36" s="169">
        <v>4</v>
      </c>
      <c r="J36" s="61">
        <f>K36+L36</f>
        <v>234360</v>
      </c>
      <c r="K36" s="61">
        <f>10000*1.5*1.302*12</f>
        <v>234360</v>
      </c>
      <c r="L36" s="6"/>
      <c r="M36" s="6"/>
      <c r="N36" s="61">
        <f>SUM(O36:R36)</f>
        <v>937440</v>
      </c>
      <c r="O36" s="61">
        <f>G36*K36</f>
        <v>937440</v>
      </c>
      <c r="P36" s="6"/>
      <c r="Q36" s="164"/>
      <c r="R36" s="6"/>
      <c r="S36" s="164"/>
      <c r="T36" s="61">
        <f>H36*K36-937440</f>
        <v>0</v>
      </c>
      <c r="U36" s="61">
        <f>I36*K36-937440</f>
        <v>0</v>
      </c>
    </row>
    <row r="37" spans="1:31" ht="25.9" customHeight="1" x14ac:dyDescent="0.25">
      <c r="A37" s="251"/>
      <c r="B37" s="369"/>
      <c r="C37" s="163" t="s">
        <v>39</v>
      </c>
      <c r="D37" s="37"/>
      <c r="E37" s="217">
        <f>E31+E34+E35</f>
        <v>76</v>
      </c>
      <c r="F37" s="217">
        <f t="shared" ref="F37:I37" si="11">F31+F34+F35</f>
        <v>76</v>
      </c>
      <c r="G37" s="217">
        <f t="shared" si="11"/>
        <v>76</v>
      </c>
      <c r="H37" s="217">
        <f t="shared" si="11"/>
        <v>75</v>
      </c>
      <c r="I37" s="217">
        <f t="shared" si="11"/>
        <v>75</v>
      </c>
      <c r="J37" s="61" t="s">
        <v>27</v>
      </c>
      <c r="K37" s="61" t="s">
        <v>27</v>
      </c>
      <c r="L37" s="61" t="s">
        <v>27</v>
      </c>
      <c r="M37" s="61" t="s">
        <v>27</v>
      </c>
      <c r="N37" s="62">
        <f>SUM(N31:N36)</f>
        <v>7670316.3699999992</v>
      </c>
      <c r="O37" s="62">
        <f t="shared" ref="O37:U37" si="12">SUM(O31:O36)</f>
        <v>5248761.05</v>
      </c>
      <c r="P37" s="62">
        <f t="shared" si="12"/>
        <v>843011</v>
      </c>
      <c r="Q37" s="62">
        <f t="shared" si="12"/>
        <v>0</v>
      </c>
      <c r="R37" s="62">
        <f t="shared" si="12"/>
        <v>1578544.3199999998</v>
      </c>
      <c r="S37" s="62">
        <f t="shared" si="12"/>
        <v>0</v>
      </c>
      <c r="T37" s="62">
        <f t="shared" si="12"/>
        <v>6233527.8300000001</v>
      </c>
      <c r="U37" s="62">
        <f t="shared" si="12"/>
        <v>6252921.75</v>
      </c>
    </row>
    <row r="38" spans="1:31" ht="52.15" customHeight="1" x14ac:dyDescent="0.25">
      <c r="A38" s="251"/>
      <c r="B38" s="247" t="s">
        <v>111</v>
      </c>
      <c r="C38" s="371" t="s">
        <v>42</v>
      </c>
      <c r="D38" s="37" t="s">
        <v>25</v>
      </c>
      <c r="E38" s="169">
        <f>1250+225</f>
        <v>1475</v>
      </c>
      <c r="F38" s="169">
        <f>1250+225</f>
        <v>1475</v>
      </c>
      <c r="G38" s="164">
        <f>((E38*8)+(F38*4))/12</f>
        <v>1475</v>
      </c>
      <c r="H38" s="169">
        <f>1250+225</f>
        <v>1475</v>
      </c>
      <c r="I38" s="169">
        <f>1250+225</f>
        <v>1475</v>
      </c>
      <c r="J38" s="61">
        <f>K38</f>
        <v>4592.9799999999996</v>
      </c>
      <c r="K38" s="61">
        <v>4592.9799999999996</v>
      </c>
      <c r="L38" s="61" t="s">
        <v>27</v>
      </c>
      <c r="M38" s="61" t="s">
        <v>27</v>
      </c>
      <c r="N38" s="61">
        <f>SUM(O38:R38)</f>
        <v>6774645.4999999991</v>
      </c>
      <c r="O38" s="61">
        <f>G38*K38</f>
        <v>6774645.4999999991</v>
      </c>
      <c r="P38" s="61" t="s">
        <v>27</v>
      </c>
      <c r="Q38" s="61"/>
      <c r="R38" s="61" t="s">
        <v>27</v>
      </c>
      <c r="S38" s="61"/>
      <c r="T38" s="61">
        <f>H38*J38</f>
        <v>6774645.4999999991</v>
      </c>
      <c r="U38" s="61">
        <f>I38*J38</f>
        <v>6774645.4999999991</v>
      </c>
      <c r="AC38" s="1" t="s">
        <v>43</v>
      </c>
    </row>
    <row r="39" spans="1:31" ht="52.9" customHeight="1" x14ac:dyDescent="0.25">
      <c r="A39" s="251"/>
      <c r="B39" s="248"/>
      <c r="C39" s="372"/>
      <c r="D39" s="345" t="s">
        <v>232</v>
      </c>
      <c r="E39" s="169">
        <v>159907</v>
      </c>
      <c r="F39" s="169">
        <v>159907</v>
      </c>
      <c r="G39" s="164">
        <f>((E39*8)+(F39*4))/12</f>
        <v>159907</v>
      </c>
      <c r="H39" s="169">
        <v>162164</v>
      </c>
      <c r="I39" s="169">
        <v>162100</v>
      </c>
      <c r="J39" s="61">
        <f>K39</f>
        <v>42.36615970532872</v>
      </c>
      <c r="K39" s="61">
        <f>N39/G39</f>
        <v>42.36615970532872</v>
      </c>
      <c r="L39" s="61" t="s">
        <v>27</v>
      </c>
      <c r="M39" s="61" t="s">
        <v>27</v>
      </c>
      <c r="N39" s="61">
        <f>N38</f>
        <v>6774645.4999999991</v>
      </c>
      <c r="O39" s="61">
        <f>O38</f>
        <v>6774645.4999999991</v>
      </c>
      <c r="P39" s="61" t="s">
        <v>27</v>
      </c>
      <c r="Q39" s="61"/>
      <c r="R39" s="61" t="s">
        <v>27</v>
      </c>
      <c r="S39" s="61"/>
      <c r="T39" s="61">
        <f>(T38/G39)*H39</f>
        <v>6870265.9224549262</v>
      </c>
      <c r="U39" s="61">
        <f>U38/G39*I39</f>
        <v>6867554.4882337851</v>
      </c>
    </row>
    <row r="40" spans="1:31" ht="24" customHeight="1" x14ac:dyDescent="0.25">
      <c r="A40" s="251"/>
      <c r="B40" s="232"/>
      <c r="C40" s="166" t="s">
        <v>39</v>
      </c>
      <c r="D40" s="37" t="s">
        <v>25</v>
      </c>
      <c r="E40" s="169">
        <f>SUM(E38:E38)</f>
        <v>1475</v>
      </c>
      <c r="F40" s="169">
        <f>SUM(F38:F38)</f>
        <v>1475</v>
      </c>
      <c r="G40" s="164">
        <f>G38</f>
        <v>1475</v>
      </c>
      <c r="H40" s="169">
        <f>SUM(H38:H38)</f>
        <v>1475</v>
      </c>
      <c r="I40" s="169">
        <f>SUM(I38:I38)</f>
        <v>1475</v>
      </c>
      <c r="J40" s="61" t="s">
        <v>27</v>
      </c>
      <c r="K40" s="61" t="s">
        <v>27</v>
      </c>
      <c r="L40" s="61" t="s">
        <v>27</v>
      </c>
      <c r="M40" s="61">
        <f t="shared" ref="M40:U40" si="13">SUM(M38:M38)</f>
        <v>0</v>
      </c>
      <c r="N40" s="62">
        <f t="shared" si="13"/>
        <v>6774645.4999999991</v>
      </c>
      <c r="O40" s="61">
        <f t="shared" si="13"/>
        <v>6774645.4999999991</v>
      </c>
      <c r="P40" s="61">
        <f t="shared" si="13"/>
        <v>0</v>
      </c>
      <c r="Q40" s="61"/>
      <c r="R40" s="61">
        <f t="shared" si="13"/>
        <v>0</v>
      </c>
      <c r="S40" s="61"/>
      <c r="T40" s="61">
        <f t="shared" si="13"/>
        <v>6774645.4999999991</v>
      </c>
      <c r="U40" s="61">
        <f t="shared" si="13"/>
        <v>6774645.4999999991</v>
      </c>
    </row>
    <row r="41" spans="1:31" ht="29.25" x14ac:dyDescent="0.25">
      <c r="A41" s="251"/>
      <c r="B41" s="163" t="s">
        <v>546</v>
      </c>
      <c r="C41" s="9" t="s">
        <v>45</v>
      </c>
      <c r="D41" s="37" t="s">
        <v>25</v>
      </c>
      <c r="E41" s="169">
        <v>1</v>
      </c>
      <c r="F41" s="169">
        <v>1</v>
      </c>
      <c r="G41" s="164">
        <f>((E41*8)+(F41*4))/12</f>
        <v>1</v>
      </c>
      <c r="H41" s="169">
        <v>0</v>
      </c>
      <c r="I41" s="169">
        <v>0</v>
      </c>
      <c r="J41" s="61">
        <f>K41+L41+M41</f>
        <v>203012.01</v>
      </c>
      <c r="K41" s="61"/>
      <c r="L41" s="61">
        <v>203012.01</v>
      </c>
      <c r="M41" s="61"/>
      <c r="N41" s="61">
        <f>P41</f>
        <v>203012.01</v>
      </c>
      <c r="O41" s="61"/>
      <c r="P41" s="61">
        <f>G41*L41</f>
        <v>203012.01</v>
      </c>
      <c r="Q41" s="61"/>
      <c r="R41" s="61"/>
      <c r="S41" s="61"/>
      <c r="T41" s="61">
        <f>P41</f>
        <v>203012.01</v>
      </c>
      <c r="U41" s="61">
        <f>T41</f>
        <v>203012.01</v>
      </c>
    </row>
    <row r="42" spans="1:31" ht="29.25" x14ac:dyDescent="0.25">
      <c r="A42" s="251"/>
      <c r="B42" s="163" t="s">
        <v>46</v>
      </c>
      <c r="C42" s="9" t="s">
        <v>45</v>
      </c>
      <c r="D42" s="37" t="s">
        <v>47</v>
      </c>
      <c r="E42" s="169">
        <v>14</v>
      </c>
      <c r="F42" s="169">
        <v>14</v>
      </c>
      <c r="G42" s="164">
        <f>((E42*8)+(F42*4))/12</f>
        <v>14</v>
      </c>
      <c r="H42" s="169">
        <v>14</v>
      </c>
      <c r="I42" s="169">
        <v>14</v>
      </c>
      <c r="J42" s="61" t="s">
        <v>27</v>
      </c>
      <c r="K42" s="61" t="s">
        <v>27</v>
      </c>
      <c r="L42" s="61">
        <v>294556.87</v>
      </c>
      <c r="M42" s="61"/>
      <c r="N42" s="61">
        <f>P42</f>
        <v>4123796.1799999997</v>
      </c>
      <c r="O42" s="61"/>
      <c r="P42" s="61">
        <f>E42*L42/12*8+(F42*L42/12*4)</f>
        <v>4123796.1799999997</v>
      </c>
      <c r="Q42" s="61"/>
      <c r="R42" s="61"/>
      <c r="S42" s="61"/>
      <c r="T42" s="61">
        <f>S42</f>
        <v>0</v>
      </c>
      <c r="U42" s="61">
        <f>T42</f>
        <v>0</v>
      </c>
    </row>
    <row r="43" spans="1:31" ht="13.9" hidden="1" customHeight="1" x14ac:dyDescent="0.25">
      <c r="A43" s="251"/>
      <c r="B43" s="162"/>
      <c r="C43" s="9"/>
      <c r="D43" s="37"/>
      <c r="E43" s="169"/>
      <c r="F43" s="169"/>
      <c r="G43" s="164"/>
      <c r="H43" s="169"/>
      <c r="I43" s="169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>
        <f>Q43</f>
        <v>0</v>
      </c>
      <c r="U43" s="61">
        <f>T43</f>
        <v>0</v>
      </c>
    </row>
    <row r="44" spans="1:31" ht="13.9" hidden="1" customHeight="1" x14ac:dyDescent="0.25">
      <c r="A44" s="251"/>
      <c r="B44" s="162"/>
      <c r="C44" s="9"/>
      <c r="D44" s="37"/>
      <c r="E44" s="169"/>
      <c r="F44" s="169"/>
      <c r="G44" s="164"/>
      <c r="H44" s="164"/>
      <c r="I44" s="164"/>
      <c r="J44" s="61"/>
      <c r="K44" s="61"/>
      <c r="L44" s="61"/>
      <c r="M44" s="61"/>
      <c r="N44" s="61">
        <f>S44</f>
        <v>0</v>
      </c>
      <c r="O44" s="61"/>
      <c r="P44" s="61"/>
      <c r="Q44" s="61"/>
      <c r="R44" s="61"/>
      <c r="S44" s="61"/>
      <c r="T44" s="61"/>
      <c r="U44" s="61"/>
    </row>
    <row r="45" spans="1:31" ht="19.149999999999999" customHeight="1" x14ac:dyDescent="0.25">
      <c r="A45" s="251"/>
      <c r="B45" s="162" t="s">
        <v>48</v>
      </c>
      <c r="C45" s="9" t="s">
        <v>45</v>
      </c>
      <c r="D45" s="37"/>
      <c r="E45" s="169">
        <v>31</v>
      </c>
      <c r="F45" s="169">
        <v>31</v>
      </c>
      <c r="G45" s="164">
        <f>((E45*8)+(F45*4))/12</f>
        <v>31</v>
      </c>
      <c r="H45" s="164">
        <v>31</v>
      </c>
      <c r="I45" s="164">
        <v>31</v>
      </c>
      <c r="J45" s="61"/>
      <c r="K45" s="61"/>
      <c r="L45" s="61"/>
      <c r="M45" s="61"/>
      <c r="N45" s="61">
        <f>SUM(O45:R45)</f>
        <v>7265160</v>
      </c>
      <c r="O45" s="61">
        <f>O20+O29+O36</f>
        <v>7265160</v>
      </c>
      <c r="P45" s="61"/>
      <c r="Q45" s="61"/>
      <c r="R45" s="61"/>
      <c r="S45" s="61"/>
      <c r="T45" s="61">
        <f>T20+T29+T36</f>
        <v>0</v>
      </c>
      <c r="U45" s="61">
        <f>U20+U29+U36</f>
        <v>0</v>
      </c>
    </row>
    <row r="46" spans="1:31" hidden="1" x14ac:dyDescent="0.25">
      <c r="A46" s="251"/>
      <c r="B46" s="162" t="s">
        <v>49</v>
      </c>
      <c r="C46" s="9" t="s">
        <v>45</v>
      </c>
      <c r="D46" s="37"/>
      <c r="E46" s="169"/>
      <c r="F46" s="169"/>
      <c r="G46" s="164"/>
      <c r="H46" s="169"/>
      <c r="I46" s="169"/>
      <c r="J46" s="61"/>
      <c r="K46" s="61"/>
      <c r="L46" s="61"/>
      <c r="M46" s="61"/>
      <c r="N46" s="61">
        <f>O46</f>
        <v>0</v>
      </c>
      <c r="O46" s="61"/>
      <c r="P46" s="61"/>
      <c r="Q46" s="61"/>
      <c r="R46" s="61"/>
      <c r="S46" s="61"/>
      <c r="T46" s="61">
        <f>O46</f>
        <v>0</v>
      </c>
      <c r="U46" s="61">
        <f>T46</f>
        <v>0</v>
      </c>
    </row>
    <row r="47" spans="1:31" hidden="1" x14ac:dyDescent="0.25">
      <c r="A47" s="251"/>
      <c r="B47" s="162" t="s">
        <v>50</v>
      </c>
      <c r="C47" s="9" t="s">
        <v>45</v>
      </c>
      <c r="D47" s="37"/>
      <c r="E47" s="169"/>
      <c r="F47" s="169"/>
      <c r="G47" s="164"/>
      <c r="H47" s="169"/>
      <c r="I47" s="169"/>
      <c r="J47" s="61"/>
      <c r="K47" s="61"/>
      <c r="L47" s="61"/>
      <c r="M47" s="61"/>
      <c r="N47" s="61">
        <f>P47</f>
        <v>0</v>
      </c>
      <c r="O47" s="61"/>
      <c r="P47" s="61"/>
      <c r="Q47" s="61"/>
      <c r="R47" s="61"/>
      <c r="S47" s="61"/>
      <c r="T47" s="61"/>
      <c r="U47" s="61">
        <f>T47</f>
        <v>0</v>
      </c>
    </row>
    <row r="48" spans="1:31" ht="19.149999999999999" customHeight="1" x14ac:dyDescent="0.25">
      <c r="A48" s="252"/>
      <c r="B48" s="162" t="s">
        <v>51</v>
      </c>
      <c r="C48" s="9"/>
      <c r="D48" s="10"/>
      <c r="E48" s="217">
        <f>E21+E30+E37</f>
        <v>736</v>
      </c>
      <c r="F48" s="217">
        <f>F21+F30+F37</f>
        <v>736</v>
      </c>
      <c r="G48" s="217">
        <f>G21+G30+G37</f>
        <v>736</v>
      </c>
      <c r="H48" s="217">
        <f>H21+H30+H37</f>
        <v>737</v>
      </c>
      <c r="I48" s="217">
        <f>I21+I30+I37</f>
        <v>741</v>
      </c>
      <c r="J48" s="62"/>
      <c r="K48" s="62"/>
      <c r="L48" s="62"/>
      <c r="M48" s="62"/>
      <c r="N48" s="62">
        <f>SUM(O48:S48)</f>
        <v>83924285.819999993</v>
      </c>
      <c r="O48" s="62">
        <f>O21+O30+O37+O40+O46</f>
        <v>56146626.109999999</v>
      </c>
      <c r="P48" s="62">
        <f>P21+P30+P37+P40+P41+P42+P43+P47</f>
        <v>12490704.189999999</v>
      </c>
      <c r="Q48" s="62">
        <f>Q21+Q30+Q37+Q40+Q41+Q42+Q43</f>
        <v>0</v>
      </c>
      <c r="R48" s="62">
        <f>R21+R30+R37+R40+R41+R42+R43+R44</f>
        <v>15286955.52</v>
      </c>
      <c r="S48" s="62">
        <f>S21+S30+S37+S40+S41+S42+S43+S44</f>
        <v>0</v>
      </c>
      <c r="T48" s="62">
        <f>T21+T30+T37+T40+T41+T42+T43+T44+T46+T47+0.01</f>
        <v>72649049.780000016</v>
      </c>
      <c r="U48" s="62">
        <f>U21+U30+U37+U40+U41+U42+U43+U44+U46+U47+0.01</f>
        <v>73645482.770000011</v>
      </c>
      <c r="X48" s="8"/>
      <c r="Y48" s="8"/>
      <c r="AB48" s="8"/>
    </row>
    <row r="49" spans="1:31" ht="75" customHeight="1" x14ac:dyDescent="0.25">
      <c r="A49" s="250" t="s">
        <v>52</v>
      </c>
      <c r="B49" s="366" t="s">
        <v>596</v>
      </c>
      <c r="C49" s="361" t="s">
        <v>24</v>
      </c>
      <c r="D49" s="207" t="s">
        <v>25</v>
      </c>
      <c r="E49" s="164">
        <v>232</v>
      </c>
      <c r="F49" s="164">
        <v>232</v>
      </c>
      <c r="G49" s="164">
        <f t="shared" ref="G49" si="14">((E49*8)+(F49*4))/12</f>
        <v>232</v>
      </c>
      <c r="H49" s="164">
        <v>245</v>
      </c>
      <c r="I49" s="164">
        <v>245</v>
      </c>
      <c r="J49" s="6">
        <f>SUM(K49:M49)</f>
        <v>63678.400000000001</v>
      </c>
      <c r="K49" s="6">
        <f>28292.04+2981.82</f>
        <v>31273.86</v>
      </c>
      <c r="L49" s="6">
        <v>11634.22</v>
      </c>
      <c r="M49" s="6">
        <v>20770.32</v>
      </c>
      <c r="N49" s="6">
        <f>SUM(O49:R49)</f>
        <v>14773388.800000001</v>
      </c>
      <c r="O49" s="6">
        <f>G49*K49</f>
        <v>7255535.5200000005</v>
      </c>
      <c r="P49" s="6">
        <f>(E49*L49)/12*8+(F49*L49)/12*4</f>
        <v>2699139.04</v>
      </c>
      <c r="Q49" s="6"/>
      <c r="R49" s="61">
        <f>G49*M49</f>
        <v>4818714.24</v>
      </c>
      <c r="S49" s="61"/>
      <c r="T49" s="61">
        <f>W49</f>
        <v>15601208</v>
      </c>
      <c r="U49" s="61">
        <f>T49</f>
        <v>15601208</v>
      </c>
      <c r="W49" s="61">
        <f>SUM(X49:AA49)</f>
        <v>15601208</v>
      </c>
      <c r="X49" s="61">
        <f>H49*K49</f>
        <v>7662095.7000000002</v>
      </c>
      <c r="Y49" s="6">
        <f>H49*L49</f>
        <v>2850383.9</v>
      </c>
      <c r="Z49" s="61">
        <f>H49*M49</f>
        <v>5088728.4000000004</v>
      </c>
      <c r="AB49" s="61">
        <f>SUM(AC49:AF49)</f>
        <v>15601208</v>
      </c>
      <c r="AC49" s="61">
        <f>I49*K49</f>
        <v>7662095.7000000002</v>
      </c>
      <c r="AD49" s="6">
        <f>I49*L49</f>
        <v>2850383.9</v>
      </c>
      <c r="AE49" s="61">
        <f>I49*M49</f>
        <v>5088728.4000000004</v>
      </c>
    </row>
    <row r="50" spans="1:31" ht="90" x14ac:dyDescent="0.25">
      <c r="A50" s="251"/>
      <c r="B50" s="367"/>
      <c r="C50" s="363" t="s">
        <v>26</v>
      </c>
      <c r="D50" s="207" t="s">
        <v>25</v>
      </c>
      <c r="E50" s="164" t="s">
        <v>27</v>
      </c>
      <c r="F50" s="164" t="s">
        <v>27</v>
      </c>
      <c r="G50" s="164" t="s">
        <v>27</v>
      </c>
      <c r="H50" s="164" t="s">
        <v>27</v>
      </c>
      <c r="I50" s="164" t="s">
        <v>27</v>
      </c>
      <c r="J50" s="164" t="s">
        <v>27</v>
      </c>
      <c r="K50" s="164" t="s">
        <v>27</v>
      </c>
      <c r="L50" s="164" t="s">
        <v>27</v>
      </c>
      <c r="M50" s="164" t="s">
        <v>27</v>
      </c>
      <c r="N50" s="6"/>
      <c r="O50" s="6"/>
      <c r="P50" s="164" t="s">
        <v>27</v>
      </c>
      <c r="Q50" s="164"/>
      <c r="R50" s="164" t="s">
        <v>27</v>
      </c>
      <c r="S50" s="164"/>
      <c r="T50" s="61"/>
      <c r="U50" s="61"/>
    </row>
    <row r="51" spans="1:31" x14ac:dyDescent="0.25">
      <c r="A51" s="251"/>
      <c r="B51" s="367"/>
      <c r="C51" s="363" t="s">
        <v>28</v>
      </c>
      <c r="D51" s="207" t="s">
        <v>25</v>
      </c>
      <c r="E51" s="164">
        <v>1</v>
      </c>
      <c r="F51" s="164">
        <v>1</v>
      </c>
      <c r="G51" s="164">
        <f>((E51*8)+(F51*4))/12</f>
        <v>1</v>
      </c>
      <c r="H51" s="164">
        <v>1</v>
      </c>
      <c r="I51" s="164">
        <v>1</v>
      </c>
      <c r="J51" s="61">
        <f t="shared" ref="J51:J58" si="15">K51</f>
        <v>131161.82999999999</v>
      </c>
      <c r="K51" s="6">
        <v>131161.82999999999</v>
      </c>
      <c r="L51" s="164" t="s">
        <v>27</v>
      </c>
      <c r="M51" s="164" t="s">
        <v>27</v>
      </c>
      <c r="N51" s="6">
        <f t="shared" ref="N51:N58" si="16">O51</f>
        <v>131161.82999999999</v>
      </c>
      <c r="O51" s="6">
        <f>G51*K51</f>
        <v>131161.82999999999</v>
      </c>
      <c r="P51" s="164" t="s">
        <v>27</v>
      </c>
      <c r="Q51" s="164"/>
      <c r="R51" s="164" t="s">
        <v>27</v>
      </c>
      <c r="S51" s="164"/>
      <c r="T51" s="61">
        <f t="shared" ref="T51:T58" si="17">H51*K51</f>
        <v>131161.82999999999</v>
      </c>
      <c r="U51" s="61">
        <f t="shared" ref="U51:U58" si="18">I51*K51</f>
        <v>131161.82999999999</v>
      </c>
    </row>
    <row r="52" spans="1:31" x14ac:dyDescent="0.25">
      <c r="A52" s="251"/>
      <c r="B52" s="367"/>
      <c r="C52" s="363" t="s">
        <v>29</v>
      </c>
      <c r="D52" s="207" t="s">
        <v>25</v>
      </c>
      <c r="E52" s="164">
        <v>15</v>
      </c>
      <c r="F52" s="164">
        <v>15</v>
      </c>
      <c r="G52" s="164">
        <f>((E52*8)+(F52*4))/12</f>
        <v>15</v>
      </c>
      <c r="H52" s="164">
        <f>20</f>
        <v>20</v>
      </c>
      <c r="I52" s="164">
        <f>20</f>
        <v>20</v>
      </c>
      <c r="J52" s="61">
        <f t="shared" si="15"/>
        <v>148317.25</v>
      </c>
      <c r="K52" s="6">
        <v>148317.25</v>
      </c>
      <c r="L52" s="164" t="s">
        <v>27</v>
      </c>
      <c r="M52" s="164" t="s">
        <v>27</v>
      </c>
      <c r="N52" s="6">
        <f t="shared" si="16"/>
        <v>2224758.75</v>
      </c>
      <c r="O52" s="6">
        <f>G52*K52</f>
        <v>2224758.75</v>
      </c>
      <c r="P52" s="164" t="s">
        <v>27</v>
      </c>
      <c r="Q52" s="164"/>
      <c r="R52" s="164" t="s">
        <v>27</v>
      </c>
      <c r="S52" s="164"/>
      <c r="T52" s="61">
        <f t="shared" si="17"/>
        <v>2966345</v>
      </c>
      <c r="U52" s="61">
        <f t="shared" si="18"/>
        <v>2966345</v>
      </c>
    </row>
    <row r="53" spans="1:31" x14ac:dyDescent="0.25">
      <c r="A53" s="251"/>
      <c r="B53" s="367"/>
      <c r="C53" s="363" t="s">
        <v>30</v>
      </c>
      <c r="D53" s="207" t="s">
        <v>25</v>
      </c>
      <c r="E53" s="164">
        <v>1</v>
      </c>
      <c r="F53" s="164">
        <v>1</v>
      </c>
      <c r="G53" s="164">
        <f>((E53*8)+(F53*4))/12</f>
        <v>1</v>
      </c>
      <c r="H53" s="164">
        <v>1</v>
      </c>
      <c r="I53" s="164">
        <v>1</v>
      </c>
      <c r="J53" s="61">
        <f t="shared" si="15"/>
        <v>175051.01</v>
      </c>
      <c r="K53" s="6">
        <v>175051.01</v>
      </c>
      <c r="L53" s="164" t="s">
        <v>27</v>
      </c>
      <c r="M53" s="164" t="s">
        <v>27</v>
      </c>
      <c r="N53" s="6">
        <f t="shared" si="16"/>
        <v>175051.01</v>
      </c>
      <c r="O53" s="6">
        <f>G53*K53</f>
        <v>175051.01</v>
      </c>
      <c r="P53" s="164" t="s">
        <v>27</v>
      </c>
      <c r="Q53" s="164"/>
      <c r="R53" s="164" t="s">
        <v>27</v>
      </c>
      <c r="S53" s="164"/>
      <c r="T53" s="61">
        <f t="shared" si="17"/>
        <v>175051.01</v>
      </c>
      <c r="U53" s="61">
        <f t="shared" si="18"/>
        <v>175051.01</v>
      </c>
    </row>
    <row r="54" spans="1:31" x14ac:dyDescent="0.25">
      <c r="A54" s="251"/>
      <c r="B54" s="367"/>
      <c r="C54" s="363" t="s">
        <v>31</v>
      </c>
      <c r="D54" s="207" t="s">
        <v>25</v>
      </c>
      <c r="E54" s="164">
        <v>15</v>
      </c>
      <c r="F54" s="164">
        <v>15</v>
      </c>
      <c r="G54" s="164">
        <f t="shared" ref="G54:G77" si="19">((E54*8)+(F54*4))/12</f>
        <v>15</v>
      </c>
      <c r="H54" s="164">
        <v>15</v>
      </c>
      <c r="I54" s="164">
        <v>15</v>
      </c>
      <c r="J54" s="61">
        <f t="shared" si="15"/>
        <v>146008.26</v>
      </c>
      <c r="K54" s="61">
        <v>146008.26</v>
      </c>
      <c r="L54" s="164" t="s">
        <v>27</v>
      </c>
      <c r="M54" s="164" t="s">
        <v>27</v>
      </c>
      <c r="N54" s="6">
        <f>O54</f>
        <v>2190123.9000000004</v>
      </c>
      <c r="O54" s="6">
        <f t="shared" ref="O54:O58" si="20">G54*K54</f>
        <v>2190123.9000000004</v>
      </c>
      <c r="P54" s="164" t="s">
        <v>27</v>
      </c>
      <c r="Q54" s="164"/>
      <c r="R54" s="164" t="s">
        <v>27</v>
      </c>
      <c r="S54" s="164"/>
      <c r="T54" s="61">
        <f t="shared" si="17"/>
        <v>2190123.9000000004</v>
      </c>
      <c r="U54" s="61">
        <f t="shared" si="18"/>
        <v>2190123.9000000004</v>
      </c>
    </row>
    <row r="55" spans="1:31" x14ac:dyDescent="0.25">
      <c r="A55" s="251"/>
      <c r="B55" s="367"/>
      <c r="C55" s="363" t="s">
        <v>32</v>
      </c>
      <c r="D55" s="207" t="s">
        <v>25</v>
      </c>
      <c r="E55" s="164">
        <v>0</v>
      </c>
      <c r="F55" s="164">
        <v>0</v>
      </c>
      <c r="G55" s="352">
        <f t="shared" si="19"/>
        <v>0</v>
      </c>
      <c r="H55" s="164">
        <v>0</v>
      </c>
      <c r="I55" s="164">
        <v>0</v>
      </c>
      <c r="J55" s="61">
        <f t="shared" si="15"/>
        <v>165472.68</v>
      </c>
      <c r="K55" s="61">
        <v>165472.68</v>
      </c>
      <c r="L55" s="164" t="s">
        <v>27</v>
      </c>
      <c r="M55" s="164" t="s">
        <v>27</v>
      </c>
      <c r="N55" s="6">
        <f t="shared" si="16"/>
        <v>0</v>
      </c>
      <c r="O55" s="6">
        <f t="shared" si="20"/>
        <v>0</v>
      </c>
      <c r="P55" s="164" t="s">
        <v>27</v>
      </c>
      <c r="Q55" s="164"/>
      <c r="R55" s="164" t="s">
        <v>27</v>
      </c>
      <c r="S55" s="164"/>
      <c r="T55" s="61">
        <f t="shared" si="17"/>
        <v>0</v>
      </c>
      <c r="U55" s="61">
        <f t="shared" si="18"/>
        <v>0</v>
      </c>
    </row>
    <row r="56" spans="1:31" x14ac:dyDescent="0.25">
      <c r="A56" s="251"/>
      <c r="B56" s="367"/>
      <c r="C56" s="363" t="s">
        <v>34</v>
      </c>
      <c r="D56" s="207" t="s">
        <v>25</v>
      </c>
      <c r="E56" s="164">
        <f>0</f>
        <v>0</v>
      </c>
      <c r="F56" s="164">
        <f>0</f>
        <v>0</v>
      </c>
      <c r="G56" s="164">
        <f t="shared" si="19"/>
        <v>0</v>
      </c>
      <c r="H56" s="164">
        <f>0</f>
        <v>0</v>
      </c>
      <c r="I56" s="164">
        <f>0</f>
        <v>0</v>
      </c>
      <c r="J56" s="61">
        <f t="shared" si="15"/>
        <v>188155.03</v>
      </c>
      <c r="K56" s="61">
        <v>188155.03</v>
      </c>
      <c r="L56" s="164" t="s">
        <v>27</v>
      </c>
      <c r="M56" s="164" t="s">
        <v>27</v>
      </c>
      <c r="N56" s="6">
        <f t="shared" si="16"/>
        <v>0</v>
      </c>
      <c r="O56" s="6">
        <f t="shared" si="20"/>
        <v>0</v>
      </c>
      <c r="P56" s="164" t="s">
        <v>27</v>
      </c>
      <c r="Q56" s="164"/>
      <c r="R56" s="164" t="s">
        <v>27</v>
      </c>
      <c r="S56" s="164"/>
      <c r="T56" s="61">
        <f t="shared" si="17"/>
        <v>0</v>
      </c>
      <c r="U56" s="61">
        <f t="shared" si="18"/>
        <v>0</v>
      </c>
    </row>
    <row r="57" spans="1:31" x14ac:dyDescent="0.25">
      <c r="A57" s="251"/>
      <c r="B57" s="367"/>
      <c r="C57" s="363" t="s">
        <v>53</v>
      </c>
      <c r="D57" s="207" t="s">
        <v>25</v>
      </c>
      <c r="E57" s="164">
        <v>8</v>
      </c>
      <c r="F57" s="164">
        <v>8</v>
      </c>
      <c r="G57" s="164">
        <f t="shared" si="19"/>
        <v>8</v>
      </c>
      <c r="H57" s="164">
        <v>8</v>
      </c>
      <c r="I57" s="164">
        <v>8</v>
      </c>
      <c r="J57" s="61">
        <f t="shared" si="15"/>
        <v>340458.04</v>
      </c>
      <c r="K57" s="61">
        <v>340458.04</v>
      </c>
      <c r="L57" s="164" t="s">
        <v>27</v>
      </c>
      <c r="M57" s="164" t="s">
        <v>27</v>
      </c>
      <c r="N57" s="6">
        <f t="shared" si="16"/>
        <v>2723664.32</v>
      </c>
      <c r="O57" s="6">
        <f t="shared" si="20"/>
        <v>2723664.32</v>
      </c>
      <c r="P57" s="164"/>
      <c r="Q57" s="164"/>
      <c r="R57" s="164"/>
      <c r="S57" s="164"/>
      <c r="T57" s="61">
        <f t="shared" si="17"/>
        <v>2723664.32</v>
      </c>
      <c r="U57" s="61">
        <f t="shared" si="18"/>
        <v>2723664.32</v>
      </c>
    </row>
    <row r="58" spans="1:31" x14ac:dyDescent="0.25">
      <c r="A58" s="251"/>
      <c r="B58" s="367"/>
      <c r="C58" s="363" t="s">
        <v>35</v>
      </c>
      <c r="D58" s="207" t="s">
        <v>25</v>
      </c>
      <c r="E58" s="164"/>
      <c r="F58" s="164"/>
      <c r="G58" s="164"/>
      <c r="H58" s="164"/>
      <c r="I58" s="164"/>
      <c r="J58" s="61">
        <f t="shared" si="15"/>
        <v>129594.64</v>
      </c>
      <c r="K58" s="61">
        <v>129594.64</v>
      </c>
      <c r="L58" s="164" t="s">
        <v>27</v>
      </c>
      <c r="M58" s="164" t="s">
        <v>27</v>
      </c>
      <c r="N58" s="6">
        <f t="shared" si="16"/>
        <v>0</v>
      </c>
      <c r="O58" s="6">
        <f t="shared" si="20"/>
        <v>0</v>
      </c>
      <c r="P58" s="164" t="s">
        <v>27</v>
      </c>
      <c r="Q58" s="164"/>
      <c r="R58" s="164" t="s">
        <v>27</v>
      </c>
      <c r="S58" s="164"/>
      <c r="T58" s="61">
        <f t="shared" si="17"/>
        <v>0</v>
      </c>
      <c r="U58" s="61">
        <f t="shared" si="18"/>
        <v>0</v>
      </c>
    </row>
    <row r="59" spans="1:31" ht="82.9" customHeight="1" x14ac:dyDescent="0.25">
      <c r="A59" s="251"/>
      <c r="B59" s="367"/>
      <c r="C59" s="363" t="s">
        <v>36</v>
      </c>
      <c r="D59" s="37" t="s">
        <v>25</v>
      </c>
      <c r="E59" s="164">
        <v>2</v>
      </c>
      <c r="F59" s="164">
        <v>2</v>
      </c>
      <c r="G59" s="164">
        <f t="shared" si="19"/>
        <v>2</v>
      </c>
      <c r="H59" s="164">
        <v>3</v>
      </c>
      <c r="I59" s="164">
        <v>3</v>
      </c>
      <c r="J59" s="61">
        <f>SUM(K59:M59)</f>
        <v>314189.7</v>
      </c>
      <c r="K59" s="61">
        <f>278803.34+2981.82</f>
        <v>281785.16000000003</v>
      </c>
      <c r="L59" s="6">
        <v>11634.22</v>
      </c>
      <c r="M59" s="6">
        <v>20770.32</v>
      </c>
      <c r="N59" s="6">
        <f>SUM(O59:R59)</f>
        <v>628379.4</v>
      </c>
      <c r="O59" s="6">
        <f>G59*K59</f>
        <v>563570.32000000007</v>
      </c>
      <c r="P59" s="6">
        <f>(E59*L59)/12*8+(F59*L59)/12*4</f>
        <v>23268.44</v>
      </c>
      <c r="Q59" s="6"/>
      <c r="R59" s="61">
        <f>G59*M59</f>
        <v>41540.639999999999</v>
      </c>
      <c r="S59" s="61"/>
      <c r="T59" s="61">
        <f>H59*J59</f>
        <v>942569.10000000009</v>
      </c>
      <c r="U59" s="61">
        <f>T59</f>
        <v>942569.10000000009</v>
      </c>
    </row>
    <row r="60" spans="1:31" ht="29.25" x14ac:dyDescent="0.25">
      <c r="A60" s="251"/>
      <c r="B60" s="367"/>
      <c r="C60" s="163" t="s">
        <v>37</v>
      </c>
      <c r="D60" s="207" t="s">
        <v>38</v>
      </c>
      <c r="E60" s="164">
        <v>11</v>
      </c>
      <c r="F60" s="164">
        <v>11</v>
      </c>
      <c r="G60" s="164">
        <f t="shared" si="19"/>
        <v>11</v>
      </c>
      <c r="H60" s="164">
        <v>11</v>
      </c>
      <c r="I60" s="164">
        <v>11</v>
      </c>
      <c r="J60" s="61">
        <f>SUM(K60:M60)</f>
        <v>234360</v>
      </c>
      <c r="K60" s="61">
        <f>10000*1.5*1.302*12</f>
        <v>234360</v>
      </c>
      <c r="L60" s="6"/>
      <c r="M60" s="6"/>
      <c r="N60" s="6">
        <f>SUM(O60:R60)</f>
        <v>2577960</v>
      </c>
      <c r="O60" s="6">
        <f>G60*K60</f>
        <v>2577960</v>
      </c>
      <c r="P60" s="6"/>
      <c r="Q60" s="6"/>
      <c r="R60" s="61"/>
      <c r="S60" s="61"/>
      <c r="T60" s="61">
        <f>H60*K60-2577960</f>
        <v>0</v>
      </c>
      <c r="U60" s="61">
        <f>I60*K60-2577960</f>
        <v>0</v>
      </c>
    </row>
    <row r="61" spans="1:31" ht="24" customHeight="1" x14ac:dyDescent="0.25">
      <c r="A61" s="251"/>
      <c r="B61" s="368"/>
      <c r="C61" s="163" t="s">
        <v>39</v>
      </c>
      <c r="D61" s="207"/>
      <c r="E61" s="216">
        <f>E49+E59</f>
        <v>234</v>
      </c>
      <c r="F61" s="216">
        <f>F49+F59</f>
        <v>234</v>
      </c>
      <c r="G61" s="216">
        <f>G49+G59</f>
        <v>234</v>
      </c>
      <c r="H61" s="216">
        <f>H49+H59</f>
        <v>248</v>
      </c>
      <c r="I61" s="216">
        <f>I49+I59</f>
        <v>248</v>
      </c>
      <c r="J61" s="6" t="s">
        <v>27</v>
      </c>
      <c r="K61" s="6" t="s">
        <v>27</v>
      </c>
      <c r="L61" s="6" t="s">
        <v>27</v>
      </c>
      <c r="M61" s="6" t="s">
        <v>27</v>
      </c>
      <c r="N61" s="165">
        <f>SUM(N49:N60)</f>
        <v>25424488.010000005</v>
      </c>
      <c r="O61" s="165">
        <f t="shared" ref="O61:U61" si="21">SUM(O49:O60)</f>
        <v>17841825.650000002</v>
      </c>
      <c r="P61" s="165">
        <f t="shared" si="21"/>
        <v>2722407.48</v>
      </c>
      <c r="Q61" s="165">
        <f t="shared" si="21"/>
        <v>0</v>
      </c>
      <c r="R61" s="165">
        <f>SUM(R49:R60)</f>
        <v>4860254.88</v>
      </c>
      <c r="S61" s="165">
        <f t="shared" si="21"/>
        <v>0</v>
      </c>
      <c r="T61" s="165">
        <f t="shared" si="21"/>
        <v>24730123.160000004</v>
      </c>
      <c r="U61" s="165">
        <f t="shared" si="21"/>
        <v>24730123.160000004</v>
      </c>
    </row>
    <row r="62" spans="1:31" ht="76.900000000000006" customHeight="1" x14ac:dyDescent="0.25">
      <c r="A62" s="251"/>
      <c r="B62" s="366" t="s">
        <v>597</v>
      </c>
      <c r="C62" s="361" t="s">
        <v>24</v>
      </c>
      <c r="D62" s="37" t="s">
        <v>25</v>
      </c>
      <c r="E62" s="164">
        <v>209</v>
      </c>
      <c r="F62" s="164">
        <v>209</v>
      </c>
      <c r="G62" s="164">
        <f>((E62*8)+(F62*4))/12</f>
        <v>209</v>
      </c>
      <c r="H62" s="164">
        <v>287</v>
      </c>
      <c r="I62" s="164">
        <v>287</v>
      </c>
      <c r="J62" s="6">
        <f>SUM(K62:M62)</f>
        <v>78526.58</v>
      </c>
      <c r="K62" s="6">
        <f>42155.15+3966.89</f>
        <v>46122.04</v>
      </c>
      <c r="L62" s="6">
        <v>11634.22</v>
      </c>
      <c r="M62" s="6">
        <v>20770.32</v>
      </c>
      <c r="N62" s="6">
        <f>SUM(O62:R62)</f>
        <v>16412055.219999999</v>
      </c>
      <c r="O62" s="6">
        <f>G62*K62</f>
        <v>9639506.3599999994</v>
      </c>
      <c r="P62" s="6">
        <f>(E62*L62)/12*8+(F62*L62)/12*4</f>
        <v>2431551.98</v>
      </c>
      <c r="Q62" s="6"/>
      <c r="R62" s="61">
        <f>G62*M62</f>
        <v>4340996.88</v>
      </c>
      <c r="S62" s="61"/>
      <c r="T62" s="61">
        <f>W62</f>
        <v>22537128.460000001</v>
      </c>
      <c r="U62" s="61">
        <f>T62</f>
        <v>22537128.460000001</v>
      </c>
      <c r="W62" s="61">
        <f>SUM(X62:AA62)</f>
        <v>22537128.460000001</v>
      </c>
      <c r="X62" s="61">
        <f>H62*K62</f>
        <v>13237025.48</v>
      </c>
      <c r="Y62" s="6">
        <f>H62*L62</f>
        <v>3339021.1399999997</v>
      </c>
      <c r="Z62" s="61">
        <f>H62*M62</f>
        <v>5961081.8399999999</v>
      </c>
      <c r="AB62" s="61">
        <f>SUM(AC62:AF62)</f>
        <v>22537128.460000001</v>
      </c>
      <c r="AC62" s="61">
        <f>I62*K62</f>
        <v>13237025.48</v>
      </c>
      <c r="AD62" s="6">
        <f>I62*L62</f>
        <v>3339021.1399999997</v>
      </c>
      <c r="AE62" s="61">
        <f>I62*M62</f>
        <v>5961081.8399999999</v>
      </c>
    </row>
    <row r="63" spans="1:31" ht="94.9" customHeight="1" x14ac:dyDescent="0.25">
      <c r="A63" s="251"/>
      <c r="B63" s="367"/>
      <c r="C63" s="361" t="s">
        <v>64</v>
      </c>
      <c r="D63" s="37" t="s">
        <v>25</v>
      </c>
      <c r="E63" s="164">
        <v>44</v>
      </c>
      <c r="F63" s="164">
        <v>44</v>
      </c>
      <c r="G63" s="164">
        <f>((E63*8)+(F63*4))/12</f>
        <v>44</v>
      </c>
      <c r="H63" s="164">
        <v>89</v>
      </c>
      <c r="I63" s="164">
        <v>130</v>
      </c>
      <c r="J63" s="6">
        <f>SUM(K63:M63)</f>
        <v>82290.320000000007</v>
      </c>
      <c r="K63" s="6">
        <f>45918.89+3966.89</f>
        <v>49885.78</v>
      </c>
      <c r="L63" s="6">
        <v>11634.22</v>
      </c>
      <c r="M63" s="6">
        <v>20770.32</v>
      </c>
      <c r="N63" s="6">
        <f>SUM(O63:R63)</f>
        <v>3620774.08</v>
      </c>
      <c r="O63" s="6">
        <f>G63*K63</f>
        <v>2194974.3199999998</v>
      </c>
      <c r="P63" s="6">
        <f>(E63*L63/12*8)+(F63*L63/12*4)</f>
        <v>511905.67999999993</v>
      </c>
      <c r="Q63" s="6"/>
      <c r="R63" s="61">
        <f>G63*M63</f>
        <v>913894.08</v>
      </c>
      <c r="S63" s="61"/>
      <c r="T63" s="61">
        <f>N63</f>
        <v>3620774.08</v>
      </c>
      <c r="U63" s="61">
        <f>T63</f>
        <v>3620774.08</v>
      </c>
      <c r="Y63" s="8"/>
    </row>
    <row r="64" spans="1:31" ht="90" x14ac:dyDescent="0.25">
      <c r="A64" s="251"/>
      <c r="B64" s="367"/>
      <c r="C64" s="363" t="s">
        <v>40</v>
      </c>
      <c r="D64" s="37" t="s">
        <v>25</v>
      </c>
      <c r="E64" s="164" t="s">
        <v>27</v>
      </c>
      <c r="F64" s="164" t="s">
        <v>27</v>
      </c>
      <c r="G64" s="164" t="s">
        <v>27</v>
      </c>
      <c r="H64" s="164" t="s">
        <v>27</v>
      </c>
      <c r="I64" s="164" t="s">
        <v>27</v>
      </c>
      <c r="J64" s="164" t="s">
        <v>27</v>
      </c>
      <c r="K64" s="164"/>
      <c r="L64" s="164" t="s">
        <v>27</v>
      </c>
      <c r="M64" s="164" t="s">
        <v>27</v>
      </c>
      <c r="N64" s="6"/>
      <c r="O64" s="6"/>
      <c r="P64" s="164" t="s">
        <v>27</v>
      </c>
      <c r="Q64" s="164"/>
      <c r="R64" s="164" t="s">
        <v>27</v>
      </c>
      <c r="S64" s="164"/>
      <c r="T64" s="61"/>
      <c r="U64" s="61"/>
    </row>
    <row r="65" spans="1:25" x14ac:dyDescent="0.25">
      <c r="A65" s="251"/>
      <c r="B65" s="367"/>
      <c r="C65" s="207" t="s">
        <v>30</v>
      </c>
      <c r="D65" s="37" t="s">
        <v>25</v>
      </c>
      <c r="E65" s="164">
        <v>1</v>
      </c>
      <c r="F65" s="164">
        <v>1</v>
      </c>
      <c r="G65" s="164">
        <f t="shared" si="19"/>
        <v>1</v>
      </c>
      <c r="H65" s="164">
        <v>1</v>
      </c>
      <c r="I65" s="164">
        <v>1</v>
      </c>
      <c r="J65" s="61">
        <f>K65</f>
        <v>113140.45</v>
      </c>
      <c r="K65" s="6">
        <v>113140.45</v>
      </c>
      <c r="L65" s="164" t="s">
        <v>27</v>
      </c>
      <c r="M65" s="164" t="s">
        <v>27</v>
      </c>
      <c r="N65" s="6">
        <f>O65</f>
        <v>113140.45</v>
      </c>
      <c r="O65" s="6">
        <f>G65*K65</f>
        <v>113140.45</v>
      </c>
      <c r="P65" s="164"/>
      <c r="Q65" s="164"/>
      <c r="R65" s="164"/>
      <c r="S65" s="164"/>
      <c r="T65" s="61">
        <f>H65*K65</f>
        <v>113140.45</v>
      </c>
      <c r="U65" s="61">
        <f>I65*K65</f>
        <v>113140.45</v>
      </c>
    </row>
    <row r="66" spans="1:25" x14ac:dyDescent="0.25">
      <c r="A66" s="251"/>
      <c r="B66" s="367"/>
      <c r="C66" s="207" t="s">
        <v>32</v>
      </c>
      <c r="D66" s="37" t="s">
        <v>25</v>
      </c>
      <c r="E66" s="164">
        <v>1</v>
      </c>
      <c r="F66" s="164">
        <v>1</v>
      </c>
      <c r="G66" s="164">
        <f t="shared" si="19"/>
        <v>1</v>
      </c>
      <c r="H66" s="164">
        <v>1</v>
      </c>
      <c r="I66" s="164">
        <v>1</v>
      </c>
      <c r="J66" s="61">
        <f>K66</f>
        <v>278306.15999999997</v>
      </c>
      <c r="K66" s="6">
        <v>278306.15999999997</v>
      </c>
      <c r="L66" s="164" t="s">
        <v>27</v>
      </c>
      <c r="M66" s="164" t="s">
        <v>27</v>
      </c>
      <c r="N66" s="6">
        <f>O66</f>
        <v>278306.15999999997</v>
      </c>
      <c r="O66" s="6">
        <f t="shared" ref="O66:O69" si="22">G66*K66</f>
        <v>278306.15999999997</v>
      </c>
      <c r="P66" s="164"/>
      <c r="Q66" s="164"/>
      <c r="R66" s="164"/>
      <c r="S66" s="164"/>
      <c r="T66" s="61">
        <f>H66*K66</f>
        <v>278306.15999999997</v>
      </c>
      <c r="U66" s="61">
        <f>I66*K66</f>
        <v>278306.15999999997</v>
      </c>
    </row>
    <row r="67" spans="1:25" x14ac:dyDescent="0.25">
      <c r="A67" s="251"/>
      <c r="B67" s="367"/>
      <c r="C67" s="207" t="s">
        <v>33</v>
      </c>
      <c r="D67" s="37" t="s">
        <v>25</v>
      </c>
      <c r="E67" s="169"/>
      <c r="F67" s="169"/>
      <c r="G67" s="164">
        <f t="shared" si="19"/>
        <v>0</v>
      </c>
      <c r="H67" s="169"/>
      <c r="I67" s="169"/>
      <c r="J67" s="61">
        <f>K67</f>
        <v>204780.39</v>
      </c>
      <c r="K67" s="61">
        <v>204780.39</v>
      </c>
      <c r="L67" s="164" t="s">
        <v>27</v>
      </c>
      <c r="M67" s="164" t="s">
        <v>27</v>
      </c>
      <c r="N67" s="6">
        <f>O67</f>
        <v>0</v>
      </c>
      <c r="O67" s="6">
        <f t="shared" si="22"/>
        <v>0</v>
      </c>
      <c r="P67" s="164" t="s">
        <v>27</v>
      </c>
      <c r="Q67" s="164"/>
      <c r="R67" s="164" t="s">
        <v>27</v>
      </c>
      <c r="S67" s="164"/>
      <c r="T67" s="61">
        <f>H67*K67</f>
        <v>0</v>
      </c>
      <c r="U67" s="61">
        <f>I67*K67</f>
        <v>0</v>
      </c>
    </row>
    <row r="68" spans="1:25" x14ac:dyDescent="0.25">
      <c r="A68" s="251"/>
      <c r="B68" s="367"/>
      <c r="C68" s="207" t="s">
        <v>34</v>
      </c>
      <c r="D68" s="37" t="s">
        <v>25</v>
      </c>
      <c r="E68" s="169">
        <v>2</v>
      </c>
      <c r="F68" s="169">
        <v>2</v>
      </c>
      <c r="G68" s="164">
        <f t="shared" si="19"/>
        <v>2</v>
      </c>
      <c r="H68" s="169">
        <v>2</v>
      </c>
      <c r="I68" s="169">
        <v>2</v>
      </c>
      <c r="J68" s="61">
        <f>K68</f>
        <v>25927.38</v>
      </c>
      <c r="K68" s="61">
        <v>25927.38</v>
      </c>
      <c r="L68" s="164" t="s">
        <v>27</v>
      </c>
      <c r="M68" s="164" t="s">
        <v>27</v>
      </c>
      <c r="N68" s="6">
        <f>O68</f>
        <v>51854.76</v>
      </c>
      <c r="O68" s="6">
        <f t="shared" si="22"/>
        <v>51854.76</v>
      </c>
      <c r="P68" s="164" t="s">
        <v>27</v>
      </c>
      <c r="Q68" s="164"/>
      <c r="R68" s="164" t="s">
        <v>27</v>
      </c>
      <c r="S68" s="164"/>
      <c r="T68" s="61">
        <f>H68*K68</f>
        <v>51854.76</v>
      </c>
      <c r="U68" s="61">
        <f>I68*K68</f>
        <v>51854.76</v>
      </c>
    </row>
    <row r="69" spans="1:25" x14ac:dyDescent="0.25">
      <c r="A69" s="251"/>
      <c r="B69" s="367"/>
      <c r="C69" s="207" t="s">
        <v>35</v>
      </c>
      <c r="D69" s="37" t="s">
        <v>25</v>
      </c>
      <c r="E69" s="169">
        <v>2</v>
      </c>
      <c r="F69" s="169">
        <v>2</v>
      </c>
      <c r="G69" s="164">
        <f t="shared" si="19"/>
        <v>2</v>
      </c>
      <c r="H69" s="169">
        <v>3</v>
      </c>
      <c r="I69" s="169">
        <v>3</v>
      </c>
      <c r="J69" s="61">
        <f>K69</f>
        <v>18833.28</v>
      </c>
      <c r="K69" s="61">
        <v>18833.28</v>
      </c>
      <c r="L69" s="164" t="s">
        <v>27</v>
      </c>
      <c r="M69" s="164" t="s">
        <v>27</v>
      </c>
      <c r="N69" s="6">
        <f>O69</f>
        <v>37666.559999999998</v>
      </c>
      <c r="O69" s="6">
        <f t="shared" si="22"/>
        <v>37666.559999999998</v>
      </c>
      <c r="P69" s="164" t="s">
        <v>27</v>
      </c>
      <c r="Q69" s="164"/>
      <c r="R69" s="164" t="s">
        <v>27</v>
      </c>
      <c r="S69" s="164"/>
      <c r="T69" s="61">
        <f>H69*K69</f>
        <v>56499.839999999997</v>
      </c>
      <c r="U69" s="61">
        <f>I69*K69</f>
        <v>56499.839999999997</v>
      </c>
    </row>
    <row r="70" spans="1:25" ht="82.9" customHeight="1" x14ac:dyDescent="0.25">
      <c r="A70" s="251"/>
      <c r="B70" s="368"/>
      <c r="C70" s="76" t="s">
        <v>36</v>
      </c>
      <c r="D70" s="37" t="s">
        <v>25</v>
      </c>
      <c r="E70" s="169">
        <v>3</v>
      </c>
      <c r="F70" s="169">
        <v>3</v>
      </c>
      <c r="G70" s="164">
        <f t="shared" si="19"/>
        <v>3</v>
      </c>
      <c r="H70" s="169">
        <v>1</v>
      </c>
      <c r="I70" s="169">
        <v>1</v>
      </c>
      <c r="J70" s="61">
        <f>SUM(K70:M70)</f>
        <v>349786.58999999997</v>
      </c>
      <c r="K70" s="61">
        <f>313415.16+3966.89</f>
        <v>317382.05</v>
      </c>
      <c r="L70" s="6">
        <v>11634.22</v>
      </c>
      <c r="M70" s="6">
        <v>20770.32</v>
      </c>
      <c r="N70" s="6">
        <f>SUM(O70:R70)</f>
        <v>1049359.77</v>
      </c>
      <c r="O70" s="6">
        <f>G70*K70</f>
        <v>952146.14999999991</v>
      </c>
      <c r="P70" s="6">
        <f>(E70*L70)/12*8+(F70*L70)/12*4</f>
        <v>34902.659999999996</v>
      </c>
      <c r="Q70" s="61"/>
      <c r="R70" s="61">
        <f>G70*M70</f>
        <v>62310.96</v>
      </c>
      <c r="S70" s="61"/>
      <c r="T70" s="61">
        <f>H70*J70</f>
        <v>349786.58999999997</v>
      </c>
      <c r="U70" s="61">
        <f>T70</f>
        <v>349786.58999999997</v>
      </c>
      <c r="Y70" s="8"/>
    </row>
    <row r="71" spans="1:25" ht="17.45" customHeight="1" x14ac:dyDescent="0.25">
      <c r="A71" s="251"/>
      <c r="B71" s="369"/>
      <c r="C71" s="373" t="s">
        <v>37</v>
      </c>
      <c r="D71" s="37" t="s">
        <v>38</v>
      </c>
      <c r="E71" s="169">
        <v>12</v>
      </c>
      <c r="F71" s="169">
        <v>12</v>
      </c>
      <c r="G71" s="164">
        <f t="shared" si="19"/>
        <v>12</v>
      </c>
      <c r="H71" s="169">
        <v>12</v>
      </c>
      <c r="I71" s="169">
        <v>12</v>
      </c>
      <c r="J71" s="61">
        <f>SUM(K71:M71)</f>
        <v>234360</v>
      </c>
      <c r="K71" s="61">
        <f>10000*1.5*1.302*12</f>
        <v>234360</v>
      </c>
      <c r="L71" s="6"/>
      <c r="M71" s="6"/>
      <c r="N71" s="6">
        <f>SUM(O71:R71)</f>
        <v>2812360</v>
      </c>
      <c r="O71" s="6">
        <f>G71*K71+40</f>
        <v>2812360</v>
      </c>
      <c r="P71" s="6"/>
      <c r="Q71" s="61"/>
      <c r="R71" s="61"/>
      <c r="S71" s="61"/>
      <c r="T71" s="61">
        <f>H71*K71-2812320</f>
        <v>0</v>
      </c>
      <c r="U71" s="61">
        <f>I71*K71-2812320</f>
        <v>0</v>
      </c>
    </row>
    <row r="72" spans="1:25" ht="24" customHeight="1" x14ac:dyDescent="0.25">
      <c r="A72" s="251"/>
      <c r="B72" s="369"/>
      <c r="C72" s="373" t="s">
        <v>39</v>
      </c>
      <c r="D72" s="37"/>
      <c r="E72" s="217">
        <f>E62+E63+E70</f>
        <v>256</v>
      </c>
      <c r="F72" s="217">
        <f>F62+F63+F70</f>
        <v>256</v>
      </c>
      <c r="G72" s="217">
        <f>G62+G63+G70</f>
        <v>256</v>
      </c>
      <c r="H72" s="217">
        <f>H62+H63+H70</f>
        <v>377</v>
      </c>
      <c r="I72" s="217">
        <f>I62+I63+I70</f>
        <v>418</v>
      </c>
      <c r="J72" s="61" t="s">
        <v>27</v>
      </c>
      <c r="K72" s="61" t="s">
        <v>27</v>
      </c>
      <c r="L72" s="61" t="s">
        <v>27</v>
      </c>
      <c r="M72" s="61" t="s">
        <v>27</v>
      </c>
      <c r="N72" s="62">
        <f>SUM(N62:N71)</f>
        <v>24375516.999999996</v>
      </c>
      <c r="O72" s="62">
        <f t="shared" ref="O72:U72" si="23">SUM(O62:O71)</f>
        <v>16079954.76</v>
      </c>
      <c r="P72" s="62">
        <f t="shared" si="23"/>
        <v>2978360.3200000003</v>
      </c>
      <c r="Q72" s="62">
        <f t="shared" si="23"/>
        <v>0</v>
      </c>
      <c r="R72" s="62">
        <f>SUM(R62:R71)</f>
        <v>5317201.9199999999</v>
      </c>
      <c r="S72" s="62">
        <f t="shared" si="23"/>
        <v>0</v>
      </c>
      <c r="T72" s="62">
        <f t="shared" si="23"/>
        <v>27007490.34</v>
      </c>
      <c r="U72" s="62">
        <f t="shared" si="23"/>
        <v>27007490.34</v>
      </c>
    </row>
    <row r="73" spans="1:25" ht="90" x14ac:dyDescent="0.25">
      <c r="A73" s="251"/>
      <c r="B73" s="366" t="s">
        <v>598</v>
      </c>
      <c r="C73" s="361" t="s">
        <v>24</v>
      </c>
      <c r="D73" s="37" t="s">
        <v>25</v>
      </c>
      <c r="E73" s="169">
        <v>37</v>
      </c>
      <c r="F73" s="169">
        <v>37</v>
      </c>
      <c r="G73" s="164">
        <f t="shared" si="19"/>
        <v>37</v>
      </c>
      <c r="H73" s="169">
        <v>41</v>
      </c>
      <c r="I73" s="169">
        <v>41</v>
      </c>
      <c r="J73" s="6">
        <f>SUM(K73:M73)</f>
        <v>86069.14</v>
      </c>
      <c r="K73" s="6">
        <f>49557.18+4107.42</f>
        <v>53664.6</v>
      </c>
      <c r="L73" s="6">
        <v>11634.22</v>
      </c>
      <c r="M73" s="6">
        <v>20770.32</v>
      </c>
      <c r="N73" s="61">
        <f>SUM(O73:R73)</f>
        <v>3184558.1799999997</v>
      </c>
      <c r="O73" s="61">
        <f>G73*K73</f>
        <v>1985590.2</v>
      </c>
      <c r="P73" s="6">
        <f>(E73*L73)/12*8+(F73*L73)/12*4</f>
        <v>430466.13999999996</v>
      </c>
      <c r="Q73" s="61"/>
      <c r="R73" s="61">
        <f>G73*M73</f>
        <v>768501.84</v>
      </c>
      <c r="S73" s="61"/>
      <c r="T73" s="61">
        <f>N73</f>
        <v>3184558.1799999997</v>
      </c>
      <c r="U73" s="61">
        <f>T73</f>
        <v>3184558.1799999997</v>
      </c>
      <c r="Y73" s="8"/>
    </row>
    <row r="74" spans="1:25" ht="90" x14ac:dyDescent="0.25">
      <c r="A74" s="251"/>
      <c r="B74" s="367"/>
      <c r="C74" s="363" t="s">
        <v>40</v>
      </c>
      <c r="D74" s="37" t="s">
        <v>25</v>
      </c>
      <c r="E74" s="164" t="s">
        <v>27</v>
      </c>
      <c r="F74" s="164" t="s">
        <v>27</v>
      </c>
      <c r="G74" s="164" t="s">
        <v>27</v>
      </c>
      <c r="H74" s="164" t="s">
        <v>27</v>
      </c>
      <c r="I74" s="164" t="s">
        <v>27</v>
      </c>
      <c r="J74" s="164" t="s">
        <v>27</v>
      </c>
      <c r="K74" s="164" t="s">
        <v>27</v>
      </c>
      <c r="L74" s="164" t="s">
        <v>27</v>
      </c>
      <c r="M74" s="164" t="s">
        <v>27</v>
      </c>
      <c r="N74" s="6"/>
      <c r="O74" s="6"/>
      <c r="P74" s="164" t="s">
        <v>27</v>
      </c>
      <c r="Q74" s="164"/>
      <c r="R74" s="164" t="s">
        <v>27</v>
      </c>
      <c r="S74" s="164"/>
      <c r="T74" s="61"/>
      <c r="U74" s="61"/>
    </row>
    <row r="75" spans="1:25" x14ac:dyDescent="0.25">
      <c r="A75" s="251"/>
      <c r="B75" s="367"/>
      <c r="C75" s="363" t="s">
        <v>35</v>
      </c>
      <c r="D75" s="37" t="s">
        <v>25</v>
      </c>
      <c r="E75" s="169"/>
      <c r="F75" s="169"/>
      <c r="G75" s="164">
        <f t="shared" si="19"/>
        <v>0</v>
      </c>
      <c r="H75" s="169"/>
      <c r="I75" s="169"/>
      <c r="J75" s="61">
        <f>K75</f>
        <v>17664.61</v>
      </c>
      <c r="K75" s="61">
        <v>17664.61</v>
      </c>
      <c r="L75" s="164" t="s">
        <v>27</v>
      </c>
      <c r="M75" s="164" t="s">
        <v>27</v>
      </c>
      <c r="N75" s="6">
        <f>O75</f>
        <v>0</v>
      </c>
      <c r="O75" s="6">
        <f>G75*K75</f>
        <v>0</v>
      </c>
      <c r="P75" s="164" t="s">
        <v>27</v>
      </c>
      <c r="Q75" s="164"/>
      <c r="R75" s="164" t="s">
        <v>27</v>
      </c>
      <c r="S75" s="164"/>
      <c r="T75" s="61">
        <f>H75*K75</f>
        <v>0</v>
      </c>
      <c r="U75" s="61">
        <f>I75*K75</f>
        <v>0</v>
      </c>
    </row>
    <row r="76" spans="1:25" ht="82.9" customHeight="1" x14ac:dyDescent="0.25">
      <c r="A76" s="251"/>
      <c r="B76" s="368"/>
      <c r="C76" s="363" t="s">
        <v>36</v>
      </c>
      <c r="D76" s="37" t="s">
        <v>25</v>
      </c>
      <c r="E76" s="169">
        <v>0</v>
      </c>
      <c r="F76" s="169">
        <v>0</v>
      </c>
      <c r="G76" s="164">
        <f t="shared" si="19"/>
        <v>0</v>
      </c>
      <c r="H76" s="169">
        <v>1</v>
      </c>
      <c r="I76" s="169">
        <v>1</v>
      </c>
      <c r="J76" s="61">
        <f>K76</f>
        <v>352134.41</v>
      </c>
      <c r="K76" s="61">
        <f>348026.99+4107.42</f>
        <v>352134.41</v>
      </c>
      <c r="L76" s="6">
        <v>11634.22</v>
      </c>
      <c r="M76" s="6">
        <v>20770.32</v>
      </c>
      <c r="N76" s="6">
        <f>SUM(O76:R76)</f>
        <v>0</v>
      </c>
      <c r="O76" s="61">
        <f>G76*K76</f>
        <v>0</v>
      </c>
      <c r="P76" s="61">
        <f>E76*L76</f>
        <v>0</v>
      </c>
      <c r="Q76" s="61"/>
      <c r="R76" s="61">
        <f>G76*M76</f>
        <v>0</v>
      </c>
      <c r="S76" s="61"/>
      <c r="T76" s="61">
        <f>H76*K76</f>
        <v>352134.41</v>
      </c>
      <c r="U76" s="61">
        <f>I76*K76</f>
        <v>352134.41</v>
      </c>
      <c r="X76" s="8"/>
    </row>
    <row r="77" spans="1:25" ht="17.45" customHeight="1" x14ac:dyDescent="0.25">
      <c r="A77" s="251"/>
      <c r="B77" s="369"/>
      <c r="C77" s="364" t="s">
        <v>37</v>
      </c>
      <c r="D77" s="37" t="s">
        <v>38</v>
      </c>
      <c r="E77" s="169">
        <v>2</v>
      </c>
      <c r="F77" s="169">
        <v>2</v>
      </c>
      <c r="G77" s="164">
        <f t="shared" si="19"/>
        <v>2</v>
      </c>
      <c r="H77" s="169">
        <v>2</v>
      </c>
      <c r="I77" s="169">
        <v>2</v>
      </c>
      <c r="J77" s="61">
        <f>K77</f>
        <v>234360</v>
      </c>
      <c r="K77" s="61">
        <f>10000*1.5*1.302*12</f>
        <v>234360</v>
      </c>
      <c r="L77" s="6"/>
      <c r="M77" s="6"/>
      <c r="N77" s="6">
        <f>SUM(O77:R77)</f>
        <v>468720</v>
      </c>
      <c r="O77" s="61">
        <f>G77*K77</f>
        <v>468720</v>
      </c>
      <c r="P77" s="61"/>
      <c r="Q77" s="61"/>
      <c r="R77" s="61"/>
      <c r="S77" s="61"/>
      <c r="T77" s="61">
        <f>H77*K77-468720</f>
        <v>0</v>
      </c>
      <c r="U77" s="61">
        <f>I77*K77-468720</f>
        <v>0</v>
      </c>
      <c r="X77" s="8"/>
    </row>
    <row r="78" spans="1:25" ht="29.45" customHeight="1" x14ac:dyDescent="0.25">
      <c r="A78" s="251"/>
      <c r="B78" s="369"/>
      <c r="C78" s="364" t="s">
        <v>39</v>
      </c>
      <c r="D78" s="37"/>
      <c r="E78" s="217">
        <f>E73+E76</f>
        <v>37</v>
      </c>
      <c r="F78" s="217">
        <f>F73+F76</f>
        <v>37</v>
      </c>
      <c r="G78" s="217">
        <f>G73+G76</f>
        <v>37</v>
      </c>
      <c r="H78" s="217">
        <f>H73+H76</f>
        <v>42</v>
      </c>
      <c r="I78" s="217">
        <f>I73+I76</f>
        <v>42</v>
      </c>
      <c r="J78" s="61" t="s">
        <v>27</v>
      </c>
      <c r="K78" s="61" t="s">
        <v>27</v>
      </c>
      <c r="L78" s="61" t="s">
        <v>27</v>
      </c>
      <c r="M78" s="61" t="s">
        <v>27</v>
      </c>
      <c r="N78" s="62">
        <f t="shared" ref="N78:U78" si="24">SUM(N73:N77)</f>
        <v>3653278.1799999997</v>
      </c>
      <c r="O78" s="62">
        <f t="shared" si="24"/>
        <v>2454310.2000000002</v>
      </c>
      <c r="P78" s="62">
        <f t="shared" si="24"/>
        <v>430466.13999999996</v>
      </c>
      <c r="Q78" s="62">
        <f t="shared" si="24"/>
        <v>0</v>
      </c>
      <c r="R78" s="62">
        <f>SUM(R73:R77)</f>
        <v>768501.84</v>
      </c>
      <c r="S78" s="62">
        <f t="shared" si="24"/>
        <v>0</v>
      </c>
      <c r="T78" s="62">
        <f t="shared" si="24"/>
        <v>3536692.59</v>
      </c>
      <c r="U78" s="62">
        <f t="shared" si="24"/>
        <v>3536692.59</v>
      </c>
    </row>
    <row r="79" spans="1:25" ht="58.15" customHeight="1" x14ac:dyDescent="0.25">
      <c r="A79" s="251"/>
      <c r="B79" s="247" t="s">
        <v>111</v>
      </c>
      <c r="C79" s="371" t="s">
        <v>42</v>
      </c>
      <c r="D79" s="37" t="s">
        <v>25</v>
      </c>
      <c r="E79" s="169">
        <f>1252+176</f>
        <v>1428</v>
      </c>
      <c r="F79" s="169">
        <f>1252+176</f>
        <v>1428</v>
      </c>
      <c r="G79" s="164">
        <f>((E79*8)+(F79*4))/12</f>
        <v>1428</v>
      </c>
      <c r="H79" s="169">
        <f>1252+176</f>
        <v>1428</v>
      </c>
      <c r="I79" s="169">
        <f>1252+176</f>
        <v>1428</v>
      </c>
      <c r="J79" s="61">
        <f>K79</f>
        <v>4592.9799999999996</v>
      </c>
      <c r="K79" s="61">
        <v>4592.9799999999996</v>
      </c>
      <c r="L79" s="61" t="s">
        <v>27</v>
      </c>
      <c r="M79" s="61" t="s">
        <v>27</v>
      </c>
      <c r="N79" s="61">
        <f>SUM(O79:R79)</f>
        <v>6558775.4399999995</v>
      </c>
      <c r="O79" s="61">
        <f>K79*G79</f>
        <v>6558775.4399999995</v>
      </c>
      <c r="P79" s="61" t="s">
        <v>27</v>
      </c>
      <c r="Q79" s="61"/>
      <c r="R79" s="61" t="s">
        <v>27</v>
      </c>
      <c r="S79" s="61"/>
      <c r="T79" s="61">
        <f>H79*J79</f>
        <v>6558775.4399999995</v>
      </c>
      <c r="U79" s="61">
        <f>I79*J79</f>
        <v>6558775.4399999995</v>
      </c>
    </row>
    <row r="80" spans="1:25" ht="47.45" customHeight="1" x14ac:dyDescent="0.25">
      <c r="A80" s="251"/>
      <c r="B80" s="248"/>
      <c r="C80" s="372"/>
      <c r="D80" s="345" t="s">
        <v>232</v>
      </c>
      <c r="E80" s="169">
        <f>58786-663</f>
        <v>58123</v>
      </c>
      <c r="F80" s="169">
        <f>58786-663</f>
        <v>58123</v>
      </c>
      <c r="G80" s="164">
        <f>((E80*8)+(F80*4))/12</f>
        <v>58123</v>
      </c>
      <c r="H80" s="169">
        <f>58786-663</f>
        <v>58123</v>
      </c>
      <c r="I80" s="169">
        <f>58786-663</f>
        <v>58123</v>
      </c>
      <c r="J80" s="61">
        <f>K80</f>
        <v>112.84303012576775</v>
      </c>
      <c r="K80" s="61">
        <f>N80/G80</f>
        <v>112.84303012576775</v>
      </c>
      <c r="L80" s="61" t="s">
        <v>27</v>
      </c>
      <c r="M80" s="61" t="s">
        <v>27</v>
      </c>
      <c r="N80" s="61">
        <f>N79</f>
        <v>6558775.4399999995</v>
      </c>
      <c r="O80" s="61">
        <f>O79</f>
        <v>6558775.4399999995</v>
      </c>
      <c r="P80" s="61" t="s">
        <v>27</v>
      </c>
      <c r="Q80" s="61"/>
      <c r="R80" s="61" t="s">
        <v>27</v>
      </c>
      <c r="S80" s="61"/>
      <c r="T80" s="61">
        <f>T79/G80*H80</f>
        <v>6558775.4399999995</v>
      </c>
      <c r="U80" s="61">
        <f>U79/G80*I80</f>
        <v>6558775.4399999995</v>
      </c>
    </row>
    <row r="81" spans="1:31" ht="19.149999999999999" customHeight="1" x14ac:dyDescent="0.25">
      <c r="A81" s="251"/>
      <c r="B81" s="232"/>
      <c r="C81" s="373" t="s">
        <v>39</v>
      </c>
      <c r="D81" s="10"/>
      <c r="E81" s="169">
        <f>SUM(E79:E79)</f>
        <v>1428</v>
      </c>
      <c r="F81" s="169">
        <f>SUM(F79:F79)</f>
        <v>1428</v>
      </c>
      <c r="G81" s="169">
        <f>SUM(G79:G79)</f>
        <v>1428</v>
      </c>
      <c r="H81" s="169">
        <f>SUM(H79:H79)</f>
        <v>1428</v>
      </c>
      <c r="I81" s="169">
        <f>SUM(I79:I79)</f>
        <v>1428</v>
      </c>
      <c r="J81" s="61" t="s">
        <v>27</v>
      </c>
      <c r="K81" s="61" t="s">
        <v>27</v>
      </c>
      <c r="L81" s="61" t="s">
        <v>27</v>
      </c>
      <c r="M81" s="61">
        <f t="shared" ref="M81:R81" si="25">SUM(M79:M79)</f>
        <v>0</v>
      </c>
      <c r="N81" s="62">
        <f t="shared" si="25"/>
        <v>6558775.4399999995</v>
      </c>
      <c r="O81" s="61">
        <f>SUM(O79:O79)</f>
        <v>6558775.4399999995</v>
      </c>
      <c r="P81" s="61">
        <f t="shared" si="25"/>
        <v>0</v>
      </c>
      <c r="Q81" s="61"/>
      <c r="R81" s="61">
        <f t="shared" si="25"/>
        <v>0</v>
      </c>
      <c r="S81" s="61"/>
      <c r="T81" s="61">
        <f>T79</f>
        <v>6558775.4399999995</v>
      </c>
      <c r="U81" s="61">
        <f>U79</f>
        <v>6558775.4399999995</v>
      </c>
    </row>
    <row r="82" spans="1:31" ht="28.5" x14ac:dyDescent="0.25">
      <c r="A82" s="251"/>
      <c r="B82" s="63" t="s">
        <v>46</v>
      </c>
      <c r="C82" s="10" t="s">
        <v>45</v>
      </c>
      <c r="D82" s="345" t="s">
        <v>47</v>
      </c>
      <c r="E82" s="169">
        <v>10</v>
      </c>
      <c r="F82" s="169">
        <v>10</v>
      </c>
      <c r="G82" s="164">
        <v>10</v>
      </c>
      <c r="H82" s="169">
        <v>10</v>
      </c>
      <c r="I82" s="169">
        <v>10</v>
      </c>
      <c r="J82" s="61"/>
      <c r="K82" s="61"/>
      <c r="L82" s="61">
        <v>294556.87</v>
      </c>
      <c r="M82" s="61"/>
      <c r="N82" s="61">
        <f>P82</f>
        <v>2945568.7</v>
      </c>
      <c r="O82" s="61"/>
      <c r="P82" s="61">
        <f>E82*L82/12*8+(F82*L82/12*4)</f>
        <v>2945568.7</v>
      </c>
      <c r="Q82" s="61"/>
      <c r="R82" s="61"/>
      <c r="S82" s="61"/>
      <c r="T82" s="61">
        <f>P82</f>
        <v>2945568.7</v>
      </c>
      <c r="U82" s="61">
        <f t="shared" ref="U82:U87" si="26">T82</f>
        <v>2945568.7</v>
      </c>
    </row>
    <row r="83" spans="1:31" hidden="1" x14ac:dyDescent="0.25">
      <c r="A83" s="251"/>
      <c r="B83" s="10" t="s">
        <v>54</v>
      </c>
      <c r="C83" s="10" t="s">
        <v>55</v>
      </c>
      <c r="D83" s="37" t="s">
        <v>25</v>
      </c>
      <c r="E83" s="169">
        <v>19</v>
      </c>
      <c r="F83" s="169">
        <v>19</v>
      </c>
      <c r="G83" s="169">
        <v>19</v>
      </c>
      <c r="H83" s="169">
        <v>19</v>
      </c>
      <c r="I83" s="169">
        <v>19</v>
      </c>
      <c r="J83" s="61"/>
      <c r="K83" s="61"/>
      <c r="L83" s="61"/>
      <c r="M83" s="61"/>
      <c r="N83" s="61">
        <f>S83</f>
        <v>0</v>
      </c>
      <c r="O83" s="61"/>
      <c r="P83" s="61"/>
      <c r="Q83" s="61"/>
      <c r="R83" s="61"/>
      <c r="S83" s="61"/>
      <c r="T83" s="61">
        <f>S83</f>
        <v>0</v>
      </c>
      <c r="U83" s="61">
        <f t="shared" si="26"/>
        <v>0</v>
      </c>
    </row>
    <row r="84" spans="1:31" hidden="1" x14ac:dyDescent="0.25">
      <c r="A84" s="251"/>
      <c r="B84" s="10" t="s">
        <v>54</v>
      </c>
      <c r="C84" s="10" t="s">
        <v>45</v>
      </c>
      <c r="D84" s="37" t="s">
        <v>25</v>
      </c>
      <c r="E84" s="169">
        <v>4</v>
      </c>
      <c r="F84" s="169">
        <v>4</v>
      </c>
      <c r="G84" s="169">
        <v>4</v>
      </c>
      <c r="H84" s="169">
        <v>4</v>
      </c>
      <c r="I84" s="169">
        <v>4</v>
      </c>
      <c r="J84" s="61"/>
      <c r="K84" s="61"/>
      <c r="L84" s="61"/>
      <c r="M84" s="61"/>
      <c r="N84" s="61">
        <f>Q84</f>
        <v>0</v>
      </c>
      <c r="O84" s="61"/>
      <c r="P84" s="61"/>
      <c r="Q84" s="61"/>
      <c r="R84" s="61"/>
      <c r="S84" s="61"/>
      <c r="T84" s="61"/>
      <c r="U84" s="61">
        <f t="shared" si="26"/>
        <v>0</v>
      </c>
      <c r="V84" s="8"/>
      <c r="W84" s="8"/>
    </row>
    <row r="85" spans="1:31" hidden="1" x14ac:dyDescent="0.25">
      <c r="A85" s="251"/>
      <c r="B85" s="10" t="s">
        <v>56</v>
      </c>
      <c r="C85" s="10" t="s">
        <v>55</v>
      </c>
      <c r="D85" s="37"/>
      <c r="E85" s="169"/>
      <c r="F85" s="169"/>
      <c r="G85" s="169"/>
      <c r="H85" s="169"/>
      <c r="I85" s="169"/>
      <c r="J85" s="61"/>
      <c r="K85" s="61"/>
      <c r="L85" s="61"/>
      <c r="M85" s="61"/>
      <c r="N85" s="61">
        <f>S85</f>
        <v>0</v>
      </c>
      <c r="O85" s="61"/>
      <c r="P85" s="61"/>
      <c r="Q85" s="61"/>
      <c r="R85" s="61"/>
      <c r="S85" s="61"/>
      <c r="T85" s="61"/>
      <c r="U85" s="61"/>
    </row>
    <row r="86" spans="1:31" ht="17.45" customHeight="1" x14ac:dyDescent="0.25">
      <c r="A86" s="251"/>
      <c r="B86" s="10" t="s">
        <v>48</v>
      </c>
      <c r="C86" s="10" t="s">
        <v>45</v>
      </c>
      <c r="D86" s="37"/>
      <c r="E86" s="169">
        <v>25</v>
      </c>
      <c r="F86" s="169">
        <v>25</v>
      </c>
      <c r="G86" s="164">
        <f>((E86*8)+(F86*4))/12</f>
        <v>25</v>
      </c>
      <c r="H86" s="169">
        <v>25</v>
      </c>
      <c r="I86" s="169">
        <v>25</v>
      </c>
      <c r="J86" s="61"/>
      <c r="K86" s="61"/>
      <c r="L86" s="61"/>
      <c r="M86" s="61"/>
      <c r="N86" s="6">
        <f>SUM(O86:R86)</f>
        <v>5859040</v>
      </c>
      <c r="O86" s="61">
        <f>O77+O71+O60</f>
        <v>5859040</v>
      </c>
      <c r="P86" s="61"/>
      <c r="Q86" s="61"/>
      <c r="R86" s="61"/>
      <c r="S86" s="61"/>
      <c r="T86" s="61">
        <f>T77+T71+T60</f>
        <v>0</v>
      </c>
      <c r="U86" s="61">
        <f>U77+U71+U60</f>
        <v>0</v>
      </c>
    </row>
    <row r="87" spans="1:31" ht="13.9" hidden="1" customHeight="1" x14ac:dyDescent="0.25">
      <c r="A87" s="251"/>
      <c r="B87" s="10" t="s">
        <v>49</v>
      </c>
      <c r="C87" s="10" t="s">
        <v>45</v>
      </c>
      <c r="D87" s="37"/>
      <c r="E87" s="169"/>
      <c r="F87" s="169"/>
      <c r="G87" s="169"/>
      <c r="H87" s="169"/>
      <c r="I87" s="169"/>
      <c r="J87" s="61"/>
      <c r="K87" s="61"/>
      <c r="L87" s="61"/>
      <c r="M87" s="61"/>
      <c r="N87" s="61">
        <f>O87</f>
        <v>0</v>
      </c>
      <c r="O87" s="61"/>
      <c r="P87" s="61"/>
      <c r="Q87" s="61"/>
      <c r="R87" s="61"/>
      <c r="S87" s="61"/>
      <c r="T87" s="61">
        <f>O87</f>
        <v>0</v>
      </c>
      <c r="U87" s="61">
        <f t="shared" si="26"/>
        <v>0</v>
      </c>
    </row>
    <row r="88" spans="1:31" ht="13.9" hidden="1" customHeight="1" x14ac:dyDescent="0.25">
      <c r="A88" s="251"/>
      <c r="B88" s="10" t="s">
        <v>50</v>
      </c>
      <c r="C88" s="10" t="s">
        <v>45</v>
      </c>
      <c r="D88" s="37"/>
      <c r="E88" s="169"/>
      <c r="F88" s="169"/>
      <c r="G88" s="169"/>
      <c r="H88" s="169"/>
      <c r="I88" s="169"/>
      <c r="J88" s="61"/>
      <c r="K88" s="61"/>
      <c r="L88" s="61"/>
      <c r="M88" s="61"/>
      <c r="N88" s="61">
        <f>P88</f>
        <v>0</v>
      </c>
      <c r="O88" s="61"/>
      <c r="P88" s="61"/>
      <c r="Q88" s="61"/>
      <c r="R88" s="61"/>
      <c r="S88" s="61"/>
      <c r="T88" s="61"/>
      <c r="U88" s="61">
        <f>T88</f>
        <v>0</v>
      </c>
    </row>
    <row r="89" spans="1:31" ht="27.6" customHeight="1" x14ac:dyDescent="0.25">
      <c r="A89" s="252"/>
      <c r="B89" s="10" t="s">
        <v>51</v>
      </c>
      <c r="C89" s="10"/>
      <c r="D89" s="10"/>
      <c r="E89" s="217">
        <f>E61+E72+E78</f>
        <v>527</v>
      </c>
      <c r="F89" s="217">
        <f>F61+F72+F78</f>
        <v>527</v>
      </c>
      <c r="G89" s="217">
        <f>G61+G72+G78</f>
        <v>527</v>
      </c>
      <c r="H89" s="217">
        <f>H61+H72+H78</f>
        <v>667</v>
      </c>
      <c r="I89" s="217">
        <f>I61+I72+I78</f>
        <v>708</v>
      </c>
      <c r="J89" s="62"/>
      <c r="K89" s="62"/>
      <c r="L89" s="62"/>
      <c r="M89" s="62"/>
      <c r="N89" s="62">
        <f>SUM(O89:S89)</f>
        <v>62957627.330000006</v>
      </c>
      <c r="O89" s="62">
        <f>O61+O72+O78+O81+O87</f>
        <v>42934866.050000004</v>
      </c>
      <c r="P89" s="62">
        <f>P61+P72+P78+P81+P82+P83+P84+P88</f>
        <v>9076802.6400000006</v>
      </c>
      <c r="Q89" s="62">
        <f>Q61+Q72+Q78+Q81+Q82+Q83+Q84</f>
        <v>0</v>
      </c>
      <c r="R89" s="62">
        <f>R61+R72+R78+R81+R82+R83+R84+R85</f>
        <v>10945958.640000001</v>
      </c>
      <c r="S89" s="62">
        <f>S61+S72+S78+S81+S82+S83+S84+S85</f>
        <v>0</v>
      </c>
      <c r="T89" s="62">
        <f>T61+T72+T78+T81+T82+T83+T84+T85+T87+T88</f>
        <v>64778650.230000004</v>
      </c>
      <c r="U89" s="62">
        <f>U61+U72+U78+U81+U82+U83+U84+U85+U87+U88</f>
        <v>64778650.230000004</v>
      </c>
      <c r="V89" s="8"/>
      <c r="W89" s="1" t="s">
        <v>380</v>
      </c>
      <c r="AB89" s="1" t="s">
        <v>482</v>
      </c>
    </row>
    <row r="90" spans="1:31" ht="76.150000000000006" customHeight="1" x14ac:dyDescent="0.25">
      <c r="A90" s="374" t="s">
        <v>57</v>
      </c>
      <c r="B90" s="366" t="s">
        <v>593</v>
      </c>
      <c r="C90" s="361" t="s">
        <v>24</v>
      </c>
      <c r="D90" s="37" t="s">
        <v>25</v>
      </c>
      <c r="E90" s="164">
        <v>220</v>
      </c>
      <c r="F90" s="164">
        <v>220</v>
      </c>
      <c r="G90" s="164">
        <f t="shared" ref="G90:G123" si="27">((E90*8)+(F90*4))/12</f>
        <v>220</v>
      </c>
      <c r="H90" s="164">
        <v>220</v>
      </c>
      <c r="I90" s="164">
        <v>220</v>
      </c>
      <c r="J90" s="6">
        <f>SUM(K90:M90)</f>
        <v>63466.909999999996</v>
      </c>
      <c r="K90" s="6">
        <f>28292.04+2981.82</f>
        <v>31273.86</v>
      </c>
      <c r="L90" s="6">
        <v>11422.73</v>
      </c>
      <c r="M90" s="6">
        <v>20770.32</v>
      </c>
      <c r="N90" s="6">
        <f>SUM(O90:R90)</f>
        <v>13962720.200000001</v>
      </c>
      <c r="O90" s="6">
        <f>G90*K90</f>
        <v>6880249.2000000002</v>
      </c>
      <c r="P90" s="6">
        <f>(E90*L90/12*8)+(F90*L90/12*4)</f>
        <v>2513000.6</v>
      </c>
      <c r="Q90" s="6"/>
      <c r="R90" s="61">
        <f>G90*M90</f>
        <v>4569470.4000000004</v>
      </c>
      <c r="S90" s="61"/>
      <c r="T90" s="61">
        <f>W90</f>
        <v>13962720.200000001</v>
      </c>
      <c r="U90" s="61">
        <f>AB90</f>
        <v>13962720.200000001</v>
      </c>
      <c r="W90" s="61">
        <f>SUM(X90:AA90)</f>
        <v>13962720.200000001</v>
      </c>
      <c r="X90" s="61">
        <f>H90*K90</f>
        <v>6880249.2000000002</v>
      </c>
      <c r="Y90" s="6">
        <f>H90*L90</f>
        <v>2513000.6</v>
      </c>
      <c r="Z90" s="61">
        <f>H90*M90</f>
        <v>4569470.4000000004</v>
      </c>
      <c r="AB90" s="61">
        <f>SUM(AC90:AF90)</f>
        <v>13962720.200000001</v>
      </c>
      <c r="AC90" s="61">
        <f>I90*K90</f>
        <v>6880249.2000000002</v>
      </c>
      <c r="AD90" s="6">
        <f>I90*L90</f>
        <v>2513000.6</v>
      </c>
      <c r="AE90" s="61">
        <f>I90*M90</f>
        <v>4569470.4000000004</v>
      </c>
    </row>
    <row r="91" spans="1:31" ht="90" x14ac:dyDescent="0.25">
      <c r="A91" s="374"/>
      <c r="B91" s="367"/>
      <c r="C91" s="363" t="s">
        <v>26</v>
      </c>
      <c r="D91" s="37" t="s">
        <v>25</v>
      </c>
      <c r="E91" s="164" t="s">
        <v>27</v>
      </c>
      <c r="F91" s="164" t="s">
        <v>27</v>
      </c>
      <c r="G91" s="164" t="s">
        <v>27</v>
      </c>
      <c r="H91" s="164" t="s">
        <v>27</v>
      </c>
      <c r="I91" s="164" t="s">
        <v>27</v>
      </c>
      <c r="J91" s="164" t="s">
        <v>27</v>
      </c>
      <c r="K91" s="164" t="s">
        <v>27</v>
      </c>
      <c r="L91" s="164" t="s">
        <v>27</v>
      </c>
      <c r="M91" s="164" t="s">
        <v>27</v>
      </c>
      <c r="N91" s="164"/>
      <c r="O91" s="164"/>
      <c r="P91" s="164" t="s">
        <v>27</v>
      </c>
      <c r="Q91" s="164"/>
      <c r="R91" s="164" t="s">
        <v>27</v>
      </c>
      <c r="S91" s="164"/>
      <c r="T91" s="61"/>
      <c r="U91" s="61"/>
    </row>
    <row r="92" spans="1:31" x14ac:dyDescent="0.25">
      <c r="A92" s="374"/>
      <c r="B92" s="367"/>
      <c r="C92" s="363" t="s">
        <v>58</v>
      </c>
      <c r="D92" s="37" t="s">
        <v>25</v>
      </c>
      <c r="E92" s="164">
        <v>1</v>
      </c>
      <c r="F92" s="164">
        <v>1</v>
      </c>
      <c r="G92" s="164">
        <f t="shared" si="27"/>
        <v>1</v>
      </c>
      <c r="H92" s="164">
        <v>1</v>
      </c>
      <c r="I92" s="164">
        <v>1</v>
      </c>
      <c r="J92" s="61">
        <f t="shared" ref="J92:J97" si="28">K92</f>
        <v>148317.25</v>
      </c>
      <c r="K92" s="61">
        <v>148317.25</v>
      </c>
      <c r="L92" s="164" t="s">
        <v>27</v>
      </c>
      <c r="M92" s="164" t="s">
        <v>27</v>
      </c>
      <c r="N92" s="6">
        <f t="shared" ref="N92:N97" si="29">O92</f>
        <v>148317.25</v>
      </c>
      <c r="O92" s="6">
        <f>G92*K92</f>
        <v>148317.25</v>
      </c>
      <c r="P92" s="164" t="s">
        <v>27</v>
      </c>
      <c r="Q92" s="164"/>
      <c r="R92" s="164" t="s">
        <v>27</v>
      </c>
      <c r="S92" s="164"/>
      <c r="T92" s="61">
        <f t="shared" ref="T92:T97" si="30">H92*K92</f>
        <v>148317.25</v>
      </c>
      <c r="U92" s="61">
        <f t="shared" ref="U92:U97" si="31">I92*K92</f>
        <v>148317.25</v>
      </c>
    </row>
    <row r="93" spans="1:31" x14ac:dyDescent="0.25">
      <c r="A93" s="374"/>
      <c r="B93" s="367"/>
      <c r="C93" s="363" t="s">
        <v>28</v>
      </c>
      <c r="D93" s="37" t="s">
        <v>25</v>
      </c>
      <c r="E93" s="164"/>
      <c r="F93" s="164"/>
      <c r="G93" s="164">
        <f t="shared" si="27"/>
        <v>0</v>
      </c>
      <c r="H93" s="164"/>
      <c r="I93" s="164"/>
      <c r="J93" s="61">
        <f t="shared" si="28"/>
        <v>131161.82999999999</v>
      </c>
      <c r="K93" s="61">
        <v>131161.82999999999</v>
      </c>
      <c r="L93" s="164" t="s">
        <v>27</v>
      </c>
      <c r="M93" s="164" t="s">
        <v>27</v>
      </c>
      <c r="N93" s="6">
        <f t="shared" si="29"/>
        <v>0</v>
      </c>
      <c r="O93" s="6">
        <f t="shared" ref="O93:O97" si="32">G93*K93</f>
        <v>0</v>
      </c>
      <c r="P93" s="164" t="s">
        <v>27</v>
      </c>
      <c r="Q93" s="164"/>
      <c r="R93" s="164" t="s">
        <v>27</v>
      </c>
      <c r="S93" s="164"/>
      <c r="T93" s="61">
        <f t="shared" si="30"/>
        <v>0</v>
      </c>
      <c r="U93" s="61">
        <f t="shared" si="31"/>
        <v>0</v>
      </c>
    </row>
    <row r="94" spans="1:31" x14ac:dyDescent="0.25">
      <c r="A94" s="374"/>
      <c r="B94" s="367"/>
      <c r="C94" s="363" t="s">
        <v>29</v>
      </c>
      <c r="D94" s="37" t="s">
        <v>25</v>
      </c>
      <c r="E94" s="164">
        <v>24</v>
      </c>
      <c r="F94" s="164">
        <v>24</v>
      </c>
      <c r="G94" s="164">
        <f t="shared" si="27"/>
        <v>24</v>
      </c>
      <c r="H94" s="164">
        <v>23</v>
      </c>
      <c r="I94" s="164">
        <v>23</v>
      </c>
      <c r="J94" s="61">
        <f t="shared" si="28"/>
        <v>148317.25</v>
      </c>
      <c r="K94" s="61">
        <v>148317.25</v>
      </c>
      <c r="L94" s="164" t="s">
        <v>27</v>
      </c>
      <c r="M94" s="164" t="s">
        <v>27</v>
      </c>
      <c r="N94" s="6">
        <f t="shared" si="29"/>
        <v>3559614</v>
      </c>
      <c r="O94" s="6">
        <f t="shared" si="32"/>
        <v>3559614</v>
      </c>
      <c r="P94" s="164" t="s">
        <v>27</v>
      </c>
      <c r="Q94" s="164"/>
      <c r="R94" s="164" t="s">
        <v>27</v>
      </c>
      <c r="S94" s="164"/>
      <c r="T94" s="61">
        <f t="shared" si="30"/>
        <v>3411296.75</v>
      </c>
      <c r="U94" s="61">
        <f t="shared" si="31"/>
        <v>3411296.75</v>
      </c>
    </row>
    <row r="95" spans="1:31" x14ac:dyDescent="0.25">
      <c r="A95" s="374"/>
      <c r="B95" s="367"/>
      <c r="C95" s="363" t="s">
        <v>30</v>
      </c>
      <c r="D95" s="37" t="s">
        <v>25</v>
      </c>
      <c r="E95" s="164">
        <v>1</v>
      </c>
      <c r="F95" s="164">
        <v>1</v>
      </c>
      <c r="G95" s="164">
        <f t="shared" si="27"/>
        <v>1</v>
      </c>
      <c r="H95" s="164">
        <v>1</v>
      </c>
      <c r="I95" s="164">
        <v>1</v>
      </c>
      <c r="J95" s="61">
        <f t="shared" si="28"/>
        <v>175051.01</v>
      </c>
      <c r="K95" s="61">
        <v>175051.01</v>
      </c>
      <c r="L95" s="164" t="s">
        <v>27</v>
      </c>
      <c r="M95" s="164" t="s">
        <v>27</v>
      </c>
      <c r="N95" s="6">
        <f t="shared" si="29"/>
        <v>175051.01</v>
      </c>
      <c r="O95" s="6">
        <f t="shared" si="32"/>
        <v>175051.01</v>
      </c>
      <c r="P95" s="164" t="s">
        <v>27</v>
      </c>
      <c r="Q95" s="164"/>
      <c r="R95" s="164" t="s">
        <v>27</v>
      </c>
      <c r="S95" s="164"/>
      <c r="T95" s="61">
        <f t="shared" si="30"/>
        <v>175051.01</v>
      </c>
      <c r="U95" s="61">
        <f t="shared" si="31"/>
        <v>175051.01</v>
      </c>
    </row>
    <row r="96" spans="1:31" x14ac:dyDescent="0.25">
      <c r="A96" s="374"/>
      <c r="B96" s="367"/>
      <c r="C96" s="363" t="s">
        <v>31</v>
      </c>
      <c r="D96" s="37" t="s">
        <v>25</v>
      </c>
      <c r="E96" s="164">
        <v>15</v>
      </c>
      <c r="F96" s="164">
        <v>15</v>
      </c>
      <c r="G96" s="164">
        <f t="shared" si="27"/>
        <v>15</v>
      </c>
      <c r="H96" s="164">
        <v>15</v>
      </c>
      <c r="I96" s="164">
        <v>15</v>
      </c>
      <c r="J96" s="61">
        <f t="shared" si="28"/>
        <v>146008.26</v>
      </c>
      <c r="K96" s="61">
        <v>146008.26</v>
      </c>
      <c r="L96" s="164" t="s">
        <v>27</v>
      </c>
      <c r="M96" s="164" t="s">
        <v>27</v>
      </c>
      <c r="N96" s="6">
        <f t="shared" si="29"/>
        <v>2190123.9000000004</v>
      </c>
      <c r="O96" s="6">
        <f t="shared" si="32"/>
        <v>2190123.9000000004</v>
      </c>
      <c r="P96" s="164" t="s">
        <v>27</v>
      </c>
      <c r="Q96" s="164"/>
      <c r="R96" s="164" t="s">
        <v>27</v>
      </c>
      <c r="S96" s="164"/>
      <c r="T96" s="61">
        <f t="shared" si="30"/>
        <v>2190123.9000000004</v>
      </c>
      <c r="U96" s="61">
        <f t="shared" si="31"/>
        <v>2190123.9000000004</v>
      </c>
    </row>
    <row r="97" spans="1:31" x14ac:dyDescent="0.25">
      <c r="A97" s="374"/>
      <c r="B97" s="367"/>
      <c r="C97" s="363" t="s">
        <v>35</v>
      </c>
      <c r="D97" s="37" t="s">
        <v>25</v>
      </c>
      <c r="E97" s="164"/>
      <c r="F97" s="164"/>
      <c r="G97" s="164">
        <f t="shared" si="27"/>
        <v>0</v>
      </c>
      <c r="H97" s="164"/>
      <c r="I97" s="164"/>
      <c r="J97" s="61">
        <f t="shared" si="28"/>
        <v>129594.64</v>
      </c>
      <c r="K97" s="61">
        <v>129594.64</v>
      </c>
      <c r="L97" s="164" t="s">
        <v>27</v>
      </c>
      <c r="M97" s="164" t="s">
        <v>27</v>
      </c>
      <c r="N97" s="6">
        <f t="shared" si="29"/>
        <v>0</v>
      </c>
      <c r="O97" s="6">
        <f t="shared" si="32"/>
        <v>0</v>
      </c>
      <c r="P97" s="164" t="s">
        <v>27</v>
      </c>
      <c r="Q97" s="164"/>
      <c r="R97" s="164" t="s">
        <v>27</v>
      </c>
      <c r="S97" s="164"/>
      <c r="T97" s="61">
        <f t="shared" si="30"/>
        <v>0</v>
      </c>
      <c r="U97" s="61">
        <f t="shared" si="31"/>
        <v>0</v>
      </c>
      <c r="W97" s="1" t="s">
        <v>382</v>
      </c>
    </row>
    <row r="98" spans="1:31" ht="82.9" customHeight="1" x14ac:dyDescent="0.25">
      <c r="A98" s="374"/>
      <c r="B98" s="367"/>
      <c r="C98" s="363" t="s">
        <v>36</v>
      </c>
      <c r="D98" s="37" t="s">
        <v>25</v>
      </c>
      <c r="E98" s="164">
        <v>2</v>
      </c>
      <c r="F98" s="164">
        <v>2</v>
      </c>
      <c r="G98" s="164">
        <f t="shared" si="27"/>
        <v>2</v>
      </c>
      <c r="H98" s="164">
        <v>1</v>
      </c>
      <c r="I98" s="164">
        <v>1</v>
      </c>
      <c r="J98" s="61">
        <f>SUM(K98:M98)</f>
        <v>313978.21000000002</v>
      </c>
      <c r="K98" s="61">
        <f>278803.34+2981.82</f>
        <v>281785.16000000003</v>
      </c>
      <c r="L98" s="6">
        <v>11422.73</v>
      </c>
      <c r="M98" s="6">
        <v>20770.32</v>
      </c>
      <c r="N98" s="6">
        <f>SUM(O98:R98)</f>
        <v>627956.42000000004</v>
      </c>
      <c r="O98" s="6">
        <f>G98*K98</f>
        <v>563570.32000000007</v>
      </c>
      <c r="P98" s="6">
        <f>(E98*L98/12*8)+(F98*L98/12*4)</f>
        <v>22845.46</v>
      </c>
      <c r="Q98" s="6"/>
      <c r="R98" s="61">
        <f>G98*M98</f>
        <v>41540.639999999999</v>
      </c>
      <c r="S98" s="61"/>
      <c r="T98" s="61">
        <f>N98</f>
        <v>627956.42000000004</v>
      </c>
      <c r="U98" s="61">
        <f>T98</f>
        <v>627956.42000000004</v>
      </c>
    </row>
    <row r="99" spans="1:31" ht="13.9" customHeight="1" x14ac:dyDescent="0.25">
      <c r="A99" s="374"/>
      <c r="B99" s="367"/>
      <c r="C99" s="166" t="s">
        <v>59</v>
      </c>
      <c r="D99" s="37" t="s">
        <v>60</v>
      </c>
      <c r="E99" s="164">
        <v>8</v>
      </c>
      <c r="F99" s="164">
        <v>8</v>
      </c>
      <c r="G99" s="164">
        <f t="shared" si="27"/>
        <v>8</v>
      </c>
      <c r="H99" s="164">
        <v>8</v>
      </c>
      <c r="I99" s="164">
        <v>8</v>
      </c>
      <c r="J99" s="61">
        <f>SUM(K99:M99)</f>
        <v>234360</v>
      </c>
      <c r="K99" s="61">
        <f>10000*1.5*1.302*12</f>
        <v>234360</v>
      </c>
      <c r="L99" s="6"/>
      <c r="M99" s="6"/>
      <c r="N99" s="6">
        <f>SUM(O99:R99)</f>
        <v>1874880</v>
      </c>
      <c r="O99" s="6">
        <f>G99*K99</f>
        <v>1874880</v>
      </c>
      <c r="P99" s="6"/>
      <c r="Q99" s="6"/>
      <c r="R99" s="61"/>
      <c r="S99" s="61"/>
      <c r="T99" s="61">
        <f>H99*K99-1874880</f>
        <v>0</v>
      </c>
      <c r="U99" s="61">
        <f>I99*K99-1874880</f>
        <v>0</v>
      </c>
    </row>
    <row r="100" spans="1:31" ht="27.6" customHeight="1" x14ac:dyDescent="0.25">
      <c r="A100" s="374"/>
      <c r="B100" s="368"/>
      <c r="C100" s="166" t="s">
        <v>39</v>
      </c>
      <c r="D100" s="37"/>
      <c r="E100" s="216">
        <f>E90+E98</f>
        <v>222</v>
      </c>
      <c r="F100" s="216">
        <f>F90+F98</f>
        <v>222</v>
      </c>
      <c r="G100" s="216">
        <f>G90+G98</f>
        <v>222</v>
      </c>
      <c r="H100" s="216">
        <f>H90+H98</f>
        <v>221</v>
      </c>
      <c r="I100" s="216">
        <f>I90+I98</f>
        <v>221</v>
      </c>
      <c r="J100" s="6" t="s">
        <v>27</v>
      </c>
      <c r="K100" s="6" t="s">
        <v>27</v>
      </c>
      <c r="L100" s="6" t="s">
        <v>27</v>
      </c>
      <c r="M100" s="6" t="s">
        <v>27</v>
      </c>
      <c r="N100" s="165">
        <f t="shared" ref="N100:U100" si="33">SUM(N90:N99)</f>
        <v>22538662.780000009</v>
      </c>
      <c r="O100" s="165">
        <f t="shared" si="33"/>
        <v>15391805.68</v>
      </c>
      <c r="P100" s="165">
        <f t="shared" si="33"/>
        <v>2535846.06</v>
      </c>
      <c r="Q100" s="165">
        <f t="shared" si="33"/>
        <v>0</v>
      </c>
      <c r="R100" s="165">
        <f t="shared" si="33"/>
        <v>4611011.04</v>
      </c>
      <c r="S100" s="165">
        <f t="shared" si="33"/>
        <v>0</v>
      </c>
      <c r="T100" s="165">
        <f t="shared" si="33"/>
        <v>20515465.530000009</v>
      </c>
      <c r="U100" s="165">
        <f t="shared" si="33"/>
        <v>20515465.530000009</v>
      </c>
      <c r="W100" s="1" t="s">
        <v>380</v>
      </c>
      <c r="AB100" s="1" t="s">
        <v>482</v>
      </c>
    </row>
    <row r="101" spans="1:31" ht="72.599999999999994" customHeight="1" x14ac:dyDescent="0.25">
      <c r="A101" s="374"/>
      <c r="B101" s="366" t="s">
        <v>599</v>
      </c>
      <c r="C101" s="361" t="s">
        <v>24</v>
      </c>
      <c r="D101" s="37" t="s">
        <v>25</v>
      </c>
      <c r="E101" s="164">
        <v>230</v>
      </c>
      <c r="F101" s="164">
        <v>230</v>
      </c>
      <c r="G101" s="164">
        <f t="shared" si="27"/>
        <v>230</v>
      </c>
      <c r="H101" s="164">
        <v>230</v>
      </c>
      <c r="I101" s="164">
        <v>230</v>
      </c>
      <c r="J101" s="6">
        <f>SUM(K101:M101)</f>
        <v>78315.09</v>
      </c>
      <c r="K101" s="6">
        <f>42155.15+3966.89</f>
        <v>46122.04</v>
      </c>
      <c r="L101" s="6">
        <v>11422.73</v>
      </c>
      <c r="M101" s="6">
        <v>20770.32</v>
      </c>
      <c r="N101" s="6">
        <f>SUM(O101:R101)</f>
        <v>18012470.700000003</v>
      </c>
      <c r="O101" s="6">
        <f>G101*K101</f>
        <v>10608069.200000001</v>
      </c>
      <c r="P101" s="6">
        <f>(E101*L101/12*8)+(F101*L101/12*4)</f>
        <v>2627227.9</v>
      </c>
      <c r="Q101" s="6"/>
      <c r="R101" s="61">
        <f>G101*M101</f>
        <v>4777173.5999999996</v>
      </c>
      <c r="S101" s="61"/>
      <c r="T101" s="61">
        <f>W101</f>
        <v>18012470.700000003</v>
      </c>
      <c r="U101" s="61">
        <f>AB101</f>
        <v>18012470.700000003</v>
      </c>
      <c r="W101" s="61">
        <f>SUM(X101:AA101)</f>
        <v>18012470.700000003</v>
      </c>
      <c r="X101" s="61">
        <f>H101*K101</f>
        <v>10608069.200000001</v>
      </c>
      <c r="Y101" s="6">
        <f>H101*L101</f>
        <v>2627227.9</v>
      </c>
      <c r="Z101" s="61">
        <f>H101*M101</f>
        <v>4777173.5999999996</v>
      </c>
      <c r="AB101" s="61">
        <f>SUM(AC101:AF101)</f>
        <v>18012470.700000003</v>
      </c>
      <c r="AC101" s="61">
        <f>I101*K101</f>
        <v>10608069.200000001</v>
      </c>
      <c r="AD101" s="6">
        <f>I101*L101</f>
        <v>2627227.9</v>
      </c>
      <c r="AE101" s="61">
        <f>I101*M101</f>
        <v>4777173.5999999996</v>
      </c>
    </row>
    <row r="102" spans="1:31" ht="105" x14ac:dyDescent="0.25">
      <c r="A102" s="374"/>
      <c r="B102" s="367"/>
      <c r="C102" s="361" t="s">
        <v>64</v>
      </c>
      <c r="D102" s="37" t="s">
        <v>25</v>
      </c>
      <c r="E102" s="164">
        <v>69</v>
      </c>
      <c r="F102" s="164">
        <v>69</v>
      </c>
      <c r="G102" s="164">
        <f>((E102*8)+(F102*4))/12</f>
        <v>69</v>
      </c>
      <c r="H102" s="164">
        <v>69</v>
      </c>
      <c r="I102" s="164">
        <v>69</v>
      </c>
      <c r="J102" s="6">
        <f>SUM(K102:M102)</f>
        <v>82078.829999999987</v>
      </c>
      <c r="K102" s="6">
        <f>45918.89+3966.89</f>
        <v>49885.78</v>
      </c>
      <c r="L102" s="6">
        <v>11422.73</v>
      </c>
      <c r="M102" s="6">
        <v>20770.32</v>
      </c>
      <c r="N102" s="6">
        <f>SUM(O102:R102)</f>
        <v>5663439.2699999996</v>
      </c>
      <c r="O102" s="6">
        <f>G102*K102</f>
        <v>3442118.82</v>
      </c>
      <c r="P102" s="6">
        <f>(E102*L102/12*8)+(F102*L102/12*4)</f>
        <v>788168.36999999988</v>
      </c>
      <c r="Q102" s="6"/>
      <c r="R102" s="61">
        <f>G102*M102</f>
        <v>1433152.08</v>
      </c>
      <c r="S102" s="61"/>
      <c r="T102" s="61">
        <f>N102</f>
        <v>5663439.2699999996</v>
      </c>
      <c r="U102" s="61">
        <f>T102</f>
        <v>5663439.2699999996</v>
      </c>
    </row>
    <row r="103" spans="1:31" ht="90" x14ac:dyDescent="0.25">
      <c r="A103" s="374"/>
      <c r="B103" s="367"/>
      <c r="C103" s="363" t="s">
        <v>26</v>
      </c>
      <c r="D103" s="37" t="s">
        <v>25</v>
      </c>
      <c r="E103" s="164" t="s">
        <v>27</v>
      </c>
      <c r="F103" s="164" t="s">
        <v>27</v>
      </c>
      <c r="G103" s="164" t="s">
        <v>27</v>
      </c>
      <c r="H103" s="164" t="s">
        <v>27</v>
      </c>
      <c r="I103" s="164" t="s">
        <v>27</v>
      </c>
      <c r="J103" s="164" t="s">
        <v>27</v>
      </c>
      <c r="K103" s="164" t="s">
        <v>27</v>
      </c>
      <c r="L103" s="164" t="s">
        <v>27</v>
      </c>
      <c r="M103" s="164" t="s">
        <v>27</v>
      </c>
      <c r="N103" s="6"/>
      <c r="O103" s="6"/>
      <c r="P103" s="164" t="s">
        <v>27</v>
      </c>
      <c r="Q103" s="164"/>
      <c r="R103" s="164" t="s">
        <v>27</v>
      </c>
      <c r="S103" s="164"/>
      <c r="T103" s="61"/>
      <c r="U103" s="61"/>
    </row>
    <row r="104" spans="1:31" x14ac:dyDescent="0.25">
      <c r="A104" s="374"/>
      <c r="B104" s="367"/>
      <c r="C104" s="363" t="s">
        <v>58</v>
      </c>
      <c r="D104" s="37" t="s">
        <v>25</v>
      </c>
      <c r="E104" s="169">
        <f>1-1</f>
        <v>0</v>
      </c>
      <c r="F104" s="169">
        <f>1-1</f>
        <v>0</v>
      </c>
      <c r="G104" s="164">
        <f t="shared" si="27"/>
        <v>0</v>
      </c>
      <c r="H104" s="169">
        <v>0</v>
      </c>
      <c r="I104" s="169">
        <v>0</v>
      </c>
      <c r="J104" s="61">
        <f>K104</f>
        <v>81860.44</v>
      </c>
      <c r="K104" s="61">
        <v>81860.44</v>
      </c>
      <c r="L104" s="164" t="s">
        <v>27</v>
      </c>
      <c r="M104" s="164" t="s">
        <v>27</v>
      </c>
      <c r="N104" s="6">
        <f>O104</f>
        <v>0</v>
      </c>
      <c r="O104" s="6">
        <f>G104*K104</f>
        <v>0</v>
      </c>
      <c r="P104" s="164" t="s">
        <v>27</v>
      </c>
      <c r="Q104" s="164"/>
      <c r="R104" s="164" t="s">
        <v>27</v>
      </c>
      <c r="S104" s="164"/>
      <c r="T104" s="61">
        <f>H104*K104</f>
        <v>0</v>
      </c>
      <c r="U104" s="61">
        <f>I104*K104</f>
        <v>0</v>
      </c>
    </row>
    <row r="105" spans="1:31" x14ac:dyDescent="0.25">
      <c r="A105" s="374"/>
      <c r="B105" s="367"/>
      <c r="C105" s="363" t="s">
        <v>28</v>
      </c>
      <c r="D105" s="37" t="s">
        <v>25</v>
      </c>
      <c r="E105" s="169">
        <f>1-1</f>
        <v>0</v>
      </c>
      <c r="F105" s="169">
        <f>1-1</f>
        <v>0</v>
      </c>
      <c r="G105" s="164">
        <f t="shared" si="27"/>
        <v>0</v>
      </c>
      <c r="H105" s="169">
        <v>0</v>
      </c>
      <c r="I105" s="169">
        <v>0</v>
      </c>
      <c r="J105" s="61">
        <f>K105</f>
        <v>56253.14</v>
      </c>
      <c r="K105" s="61">
        <v>56253.14</v>
      </c>
      <c r="L105" s="164" t="s">
        <v>27</v>
      </c>
      <c r="M105" s="164" t="s">
        <v>27</v>
      </c>
      <c r="N105" s="6">
        <f>O105</f>
        <v>0</v>
      </c>
      <c r="O105" s="6">
        <f>G105*K105</f>
        <v>0</v>
      </c>
      <c r="P105" s="164" t="s">
        <v>27</v>
      </c>
      <c r="Q105" s="164"/>
      <c r="R105" s="164" t="s">
        <v>27</v>
      </c>
      <c r="S105" s="164"/>
      <c r="T105" s="61">
        <f>H105*K105</f>
        <v>0</v>
      </c>
      <c r="U105" s="61">
        <f>I105*K105</f>
        <v>0</v>
      </c>
    </row>
    <row r="106" spans="1:31" x14ac:dyDescent="0.25">
      <c r="A106" s="374"/>
      <c r="B106" s="367"/>
      <c r="C106" s="363" t="s">
        <v>30</v>
      </c>
      <c r="D106" s="37" t="s">
        <v>25</v>
      </c>
      <c r="E106" s="169"/>
      <c r="F106" s="169"/>
      <c r="G106" s="164">
        <f t="shared" si="27"/>
        <v>0</v>
      </c>
      <c r="H106" s="169"/>
      <c r="I106" s="169"/>
      <c r="J106" s="61">
        <f>K106</f>
        <v>113140.45</v>
      </c>
      <c r="K106" s="61">
        <v>113140.45</v>
      </c>
      <c r="L106" s="164" t="s">
        <v>27</v>
      </c>
      <c r="M106" s="164" t="s">
        <v>27</v>
      </c>
      <c r="N106" s="6">
        <f>O106</f>
        <v>0</v>
      </c>
      <c r="O106" s="6">
        <f t="shared" ref="O106" si="34">G106*K106</f>
        <v>0</v>
      </c>
      <c r="P106" s="164" t="s">
        <v>27</v>
      </c>
      <c r="Q106" s="164"/>
      <c r="R106" s="164" t="s">
        <v>27</v>
      </c>
      <c r="S106" s="164"/>
      <c r="T106" s="61">
        <f>H106*K106</f>
        <v>0</v>
      </c>
      <c r="U106" s="61">
        <f>I106*K106</f>
        <v>0</v>
      </c>
    </row>
    <row r="107" spans="1:31" x14ac:dyDescent="0.25">
      <c r="A107" s="374"/>
      <c r="B107" s="367"/>
      <c r="C107" s="363" t="s">
        <v>35</v>
      </c>
      <c r="D107" s="37" t="s">
        <v>25</v>
      </c>
      <c r="E107" s="169">
        <f>2</f>
        <v>2</v>
      </c>
      <c r="F107" s="169">
        <f>2</f>
        <v>2</v>
      </c>
      <c r="G107" s="164">
        <f t="shared" si="27"/>
        <v>2</v>
      </c>
      <c r="H107" s="169">
        <v>2</v>
      </c>
      <c r="I107" s="169">
        <v>2</v>
      </c>
      <c r="J107" s="61">
        <f>K107</f>
        <v>18833.28</v>
      </c>
      <c r="K107" s="61">
        <v>18833.28</v>
      </c>
      <c r="L107" s="164" t="s">
        <v>27</v>
      </c>
      <c r="M107" s="164" t="s">
        <v>27</v>
      </c>
      <c r="N107" s="6">
        <f>O107</f>
        <v>37666.559999999998</v>
      </c>
      <c r="O107" s="6">
        <f>G107*K107</f>
        <v>37666.559999999998</v>
      </c>
      <c r="P107" s="164" t="s">
        <v>27</v>
      </c>
      <c r="Q107" s="164"/>
      <c r="R107" s="164" t="s">
        <v>27</v>
      </c>
      <c r="S107" s="164"/>
      <c r="T107" s="61">
        <f>H107*K107</f>
        <v>37666.559999999998</v>
      </c>
      <c r="U107" s="61">
        <f>I107*K107</f>
        <v>37666.559999999998</v>
      </c>
    </row>
    <row r="108" spans="1:31" ht="82.9" customHeight="1" x14ac:dyDescent="0.25">
      <c r="A108" s="374"/>
      <c r="B108" s="368"/>
      <c r="C108" s="363" t="s">
        <v>36</v>
      </c>
      <c r="D108" s="37" t="s">
        <v>25</v>
      </c>
      <c r="E108" s="169">
        <v>1</v>
      </c>
      <c r="F108" s="169">
        <v>1</v>
      </c>
      <c r="G108" s="164">
        <f t="shared" si="27"/>
        <v>1</v>
      </c>
      <c r="H108" s="169">
        <v>1</v>
      </c>
      <c r="I108" s="169">
        <v>1</v>
      </c>
      <c r="J108" s="61">
        <f>SUM(K108:M108)</f>
        <v>328804.77999999997</v>
      </c>
      <c r="K108" s="61">
        <f>313415.16+3966.89</f>
        <v>317382.05</v>
      </c>
      <c r="L108" s="6">
        <v>11422.73</v>
      </c>
      <c r="M108" s="6">
        <v>0</v>
      </c>
      <c r="N108" s="61">
        <f>SUM(O108:R108)</f>
        <v>328804.77999999997</v>
      </c>
      <c r="O108" s="6">
        <f>G108*K108</f>
        <v>317382.05</v>
      </c>
      <c r="P108" s="6">
        <f>(E108*L108/12*8)+(F108*L108/12*4)</f>
        <v>11422.73</v>
      </c>
      <c r="Q108" s="61"/>
      <c r="R108" s="61">
        <f>G108*M108</f>
        <v>0</v>
      </c>
      <c r="S108" s="61"/>
      <c r="T108" s="61">
        <f>N108</f>
        <v>328804.77999999997</v>
      </c>
      <c r="U108" s="61">
        <f>T108</f>
        <v>328804.77999999997</v>
      </c>
    </row>
    <row r="109" spans="1:31" ht="13.9" customHeight="1" x14ac:dyDescent="0.25">
      <c r="A109" s="374"/>
      <c r="B109" s="369"/>
      <c r="C109" s="166" t="s">
        <v>59</v>
      </c>
      <c r="D109" s="37" t="s">
        <v>60</v>
      </c>
      <c r="E109" s="169">
        <v>11</v>
      </c>
      <c r="F109" s="169">
        <v>11</v>
      </c>
      <c r="G109" s="164">
        <f t="shared" si="27"/>
        <v>11</v>
      </c>
      <c r="H109" s="169">
        <v>11</v>
      </c>
      <c r="I109" s="169">
        <v>11</v>
      </c>
      <c r="J109" s="61">
        <f>SUM(K109:M109)</f>
        <v>234360</v>
      </c>
      <c r="K109" s="61">
        <f>10000*1.5*1.302*12</f>
        <v>234360</v>
      </c>
      <c r="L109" s="6"/>
      <c r="M109" s="6"/>
      <c r="N109" s="61">
        <f>SUM(O109:R109)</f>
        <v>2577960</v>
      </c>
      <c r="O109" s="6">
        <f>G109*K109</f>
        <v>2577960</v>
      </c>
      <c r="P109" s="6"/>
      <c r="Q109" s="61"/>
      <c r="R109" s="61"/>
      <c r="S109" s="61"/>
      <c r="T109" s="61">
        <f>H109*K109-2577960</f>
        <v>0</v>
      </c>
      <c r="U109" s="61">
        <f>I109*K109-2577960</f>
        <v>0</v>
      </c>
    </row>
    <row r="110" spans="1:31" ht="18" customHeight="1" x14ac:dyDescent="0.25">
      <c r="A110" s="374"/>
      <c r="B110" s="369"/>
      <c r="C110" s="166" t="s">
        <v>39</v>
      </c>
      <c r="D110" s="37"/>
      <c r="E110" s="217">
        <f>E101+E102+E108</f>
        <v>300</v>
      </c>
      <c r="F110" s="217">
        <f>F101+F102+F108</f>
        <v>300</v>
      </c>
      <c r="G110" s="217">
        <f>G101+G102+G108</f>
        <v>300</v>
      </c>
      <c r="H110" s="217">
        <f>H101+H102+H108</f>
        <v>300</v>
      </c>
      <c r="I110" s="217">
        <f>I101+I102+I108</f>
        <v>300</v>
      </c>
      <c r="J110" s="61" t="s">
        <v>27</v>
      </c>
      <c r="K110" s="61" t="s">
        <v>27</v>
      </c>
      <c r="L110" s="61" t="s">
        <v>27</v>
      </c>
      <c r="M110" s="61" t="s">
        <v>27</v>
      </c>
      <c r="N110" s="62">
        <f t="shared" ref="N110:U110" si="35">SUM(N101:N109)</f>
        <v>26620341.310000002</v>
      </c>
      <c r="O110" s="62">
        <f t="shared" si="35"/>
        <v>16983196.630000003</v>
      </c>
      <c r="P110" s="62">
        <f t="shared" si="35"/>
        <v>3426818.9999999995</v>
      </c>
      <c r="Q110" s="62">
        <f t="shared" si="35"/>
        <v>0</v>
      </c>
      <c r="R110" s="62">
        <f t="shared" si="35"/>
        <v>6210325.6799999997</v>
      </c>
      <c r="S110" s="62">
        <f t="shared" si="35"/>
        <v>0</v>
      </c>
      <c r="T110" s="62">
        <f t="shared" si="35"/>
        <v>24042381.310000002</v>
      </c>
      <c r="U110" s="62">
        <f t="shared" si="35"/>
        <v>24042381.310000002</v>
      </c>
      <c r="W110" s="1" t="s">
        <v>509</v>
      </c>
    </row>
    <row r="111" spans="1:31" ht="73.150000000000006" customHeight="1" x14ac:dyDescent="0.25">
      <c r="A111" s="374"/>
      <c r="B111" s="366" t="s">
        <v>595</v>
      </c>
      <c r="C111" s="361" t="s">
        <v>24</v>
      </c>
      <c r="D111" s="37" t="s">
        <v>25</v>
      </c>
      <c r="E111" s="169">
        <v>51</v>
      </c>
      <c r="F111" s="169">
        <v>51</v>
      </c>
      <c r="G111" s="164">
        <f t="shared" si="27"/>
        <v>51</v>
      </c>
      <c r="H111" s="169">
        <v>52</v>
      </c>
      <c r="I111" s="169">
        <v>52</v>
      </c>
      <c r="J111" s="6">
        <f>SUM(K111:M111)</f>
        <v>85857.65</v>
      </c>
      <c r="K111" s="6">
        <f>49557.18+4107.42</f>
        <v>53664.6</v>
      </c>
      <c r="L111" s="6">
        <v>11422.73</v>
      </c>
      <c r="M111" s="6">
        <v>20770.32</v>
      </c>
      <c r="N111" s="61">
        <f>SUM(O111:R111)</f>
        <v>4378740.1500000004</v>
      </c>
      <c r="O111" s="61">
        <f>G111*K111</f>
        <v>2736894.6</v>
      </c>
      <c r="P111" s="6">
        <f>(E111*L111/12*8)+(F111*L111/12*4)</f>
        <v>582559.23</v>
      </c>
      <c r="Q111" s="61"/>
      <c r="R111" s="61">
        <f>G111*M111</f>
        <v>1059286.32</v>
      </c>
      <c r="S111" s="61"/>
      <c r="T111" s="61">
        <f>W111</f>
        <v>4464597.8</v>
      </c>
      <c r="U111" s="61">
        <f>T111</f>
        <v>4464597.8</v>
      </c>
      <c r="W111" s="61">
        <f>SUM(X111:AA111)</f>
        <v>4464597.8</v>
      </c>
      <c r="X111" s="61">
        <f>H111*K111</f>
        <v>2790559.1999999997</v>
      </c>
      <c r="Y111" s="6">
        <f>H111*L111</f>
        <v>593981.96</v>
      </c>
      <c r="Z111" s="61">
        <f>H111*M111</f>
        <v>1080056.6399999999</v>
      </c>
    </row>
    <row r="112" spans="1:31" ht="90" x14ac:dyDescent="0.25">
      <c r="A112" s="374"/>
      <c r="B112" s="367"/>
      <c r="C112" s="363" t="s">
        <v>26</v>
      </c>
      <c r="D112" s="37" t="s">
        <v>25</v>
      </c>
      <c r="E112" s="164" t="s">
        <v>27</v>
      </c>
      <c r="F112" s="164" t="s">
        <v>27</v>
      </c>
      <c r="G112" s="164" t="s">
        <v>27</v>
      </c>
      <c r="H112" s="164" t="s">
        <v>27</v>
      </c>
      <c r="I112" s="164" t="s">
        <v>27</v>
      </c>
      <c r="J112" s="164" t="s">
        <v>27</v>
      </c>
      <c r="K112" s="164" t="s">
        <v>27</v>
      </c>
      <c r="L112" s="164" t="s">
        <v>27</v>
      </c>
      <c r="M112" s="164" t="s">
        <v>27</v>
      </c>
      <c r="N112" s="6"/>
      <c r="O112" s="6"/>
      <c r="P112" s="164" t="s">
        <v>27</v>
      </c>
      <c r="Q112" s="164"/>
      <c r="R112" s="164" t="s">
        <v>27</v>
      </c>
      <c r="S112" s="164"/>
      <c r="T112" s="61"/>
      <c r="U112" s="61"/>
    </row>
    <row r="113" spans="1:24" x14ac:dyDescent="0.25">
      <c r="A113" s="374"/>
      <c r="B113" s="367"/>
      <c r="C113" s="363" t="s">
        <v>58</v>
      </c>
      <c r="D113" s="37" t="s">
        <v>25</v>
      </c>
      <c r="E113" s="164">
        <f>1-1</f>
        <v>0</v>
      </c>
      <c r="F113" s="164">
        <f>1-1</f>
        <v>0</v>
      </c>
      <c r="G113" s="352">
        <f t="shared" si="27"/>
        <v>0</v>
      </c>
      <c r="H113" s="164">
        <f>1-1</f>
        <v>0</v>
      </c>
      <c r="I113" s="164">
        <f>1-1</f>
        <v>0</v>
      </c>
      <c r="J113" s="61">
        <f>K113</f>
        <v>84233.89</v>
      </c>
      <c r="K113" s="6">
        <v>84233.89</v>
      </c>
      <c r="L113" s="164" t="s">
        <v>27</v>
      </c>
      <c r="M113" s="164" t="s">
        <v>27</v>
      </c>
      <c r="N113" s="6">
        <f>O113</f>
        <v>0</v>
      </c>
      <c r="O113" s="6">
        <f>G113*K113</f>
        <v>0</v>
      </c>
      <c r="P113" s="164" t="s">
        <v>27</v>
      </c>
      <c r="Q113" s="164"/>
      <c r="R113" s="164" t="s">
        <v>27</v>
      </c>
      <c r="S113" s="164"/>
      <c r="T113" s="61">
        <f>H113*K113</f>
        <v>0</v>
      </c>
      <c r="U113" s="61">
        <f>I113*K113</f>
        <v>0</v>
      </c>
    </row>
    <row r="114" spans="1:24" x14ac:dyDescent="0.25">
      <c r="A114" s="374"/>
      <c r="B114" s="367"/>
      <c r="C114" s="363" t="s">
        <v>30</v>
      </c>
      <c r="D114" s="37" t="s">
        <v>25</v>
      </c>
      <c r="E114" s="169"/>
      <c r="F114" s="169"/>
      <c r="G114" s="164">
        <f t="shared" si="27"/>
        <v>0</v>
      </c>
      <c r="H114" s="169">
        <v>0</v>
      </c>
      <c r="I114" s="169">
        <v>0</v>
      </c>
      <c r="J114" s="61">
        <f>K114</f>
        <v>115351.56</v>
      </c>
      <c r="K114" s="61">
        <v>115351.56</v>
      </c>
      <c r="L114" s="164" t="s">
        <v>27</v>
      </c>
      <c r="M114" s="164" t="s">
        <v>27</v>
      </c>
      <c r="N114" s="6">
        <f>O114</f>
        <v>0</v>
      </c>
      <c r="O114" s="6">
        <f>G114*K114</f>
        <v>0</v>
      </c>
      <c r="P114" s="164" t="s">
        <v>27</v>
      </c>
      <c r="Q114" s="164" t="s">
        <v>27</v>
      </c>
      <c r="R114" s="164" t="s">
        <v>27</v>
      </c>
      <c r="S114" s="164"/>
      <c r="T114" s="61">
        <f>H114*K114</f>
        <v>0</v>
      </c>
      <c r="U114" s="61">
        <f>I114*K114</f>
        <v>0</v>
      </c>
    </row>
    <row r="115" spans="1:24" x14ac:dyDescent="0.25">
      <c r="A115" s="374"/>
      <c r="B115" s="367"/>
      <c r="C115" s="363" t="s">
        <v>35</v>
      </c>
      <c r="D115" s="37" t="s">
        <v>25</v>
      </c>
      <c r="E115" s="169"/>
      <c r="F115" s="169"/>
      <c r="G115" s="164">
        <f t="shared" si="27"/>
        <v>0</v>
      </c>
      <c r="H115" s="169"/>
      <c r="I115" s="169"/>
      <c r="J115" s="61">
        <f>K115</f>
        <v>18833.28</v>
      </c>
      <c r="K115" s="61">
        <v>18833.28</v>
      </c>
      <c r="L115" s="164" t="s">
        <v>27</v>
      </c>
      <c r="M115" s="165">
        <v>20770.32</v>
      </c>
      <c r="N115" s="6">
        <f>O115</f>
        <v>0</v>
      </c>
      <c r="O115" s="6">
        <f>G115*K115</f>
        <v>0</v>
      </c>
      <c r="P115" s="164" t="s">
        <v>27</v>
      </c>
      <c r="Q115" s="164"/>
      <c r="R115" s="164" t="s">
        <v>27</v>
      </c>
      <c r="S115" s="164"/>
      <c r="T115" s="61">
        <f>H115*K115</f>
        <v>0</v>
      </c>
      <c r="U115" s="61">
        <f>I115*K115</f>
        <v>0</v>
      </c>
    </row>
    <row r="116" spans="1:24" ht="82.9" customHeight="1" x14ac:dyDescent="0.25">
      <c r="A116" s="374"/>
      <c r="B116" s="368"/>
      <c r="C116" s="363" t="s">
        <v>36</v>
      </c>
      <c r="D116" s="37" t="s">
        <v>25</v>
      </c>
      <c r="E116" s="169"/>
      <c r="F116" s="169"/>
      <c r="G116" s="164">
        <f t="shared" si="27"/>
        <v>0</v>
      </c>
      <c r="H116" s="169"/>
      <c r="I116" s="169"/>
      <c r="J116" s="61">
        <f>SUM(K116:M116)</f>
        <v>384150.20999999996</v>
      </c>
      <c r="K116" s="61">
        <f>348026.99+3930.17</f>
        <v>351957.16</v>
      </c>
      <c r="L116" s="6">
        <v>11422.73</v>
      </c>
      <c r="M116" s="165">
        <v>20770.32</v>
      </c>
      <c r="N116" s="61">
        <f>SUM(O116:R116)</f>
        <v>0</v>
      </c>
      <c r="O116" s="6">
        <f>G116*K116</f>
        <v>0</v>
      </c>
      <c r="P116" s="6">
        <f>(E116*L116/12*8)+(F116*L116/12*4)</f>
        <v>0</v>
      </c>
      <c r="Q116" s="61"/>
      <c r="R116" s="61">
        <f>G116*M116</f>
        <v>0</v>
      </c>
      <c r="S116" s="61"/>
      <c r="T116" s="61">
        <f>H116*J116</f>
        <v>0</v>
      </c>
      <c r="U116" s="61">
        <f>I116*J116</f>
        <v>0</v>
      </c>
    </row>
    <row r="117" spans="1:24" ht="13.9" customHeight="1" x14ac:dyDescent="0.25">
      <c r="A117" s="374"/>
      <c r="B117" s="369"/>
      <c r="C117" s="166" t="s">
        <v>59</v>
      </c>
      <c r="D117" s="37" t="s">
        <v>60</v>
      </c>
      <c r="E117" s="169">
        <v>2</v>
      </c>
      <c r="F117" s="169">
        <v>2</v>
      </c>
      <c r="G117" s="164">
        <f t="shared" si="27"/>
        <v>2</v>
      </c>
      <c r="H117" s="169">
        <v>2</v>
      </c>
      <c r="I117" s="169">
        <v>2</v>
      </c>
      <c r="J117" s="61">
        <f>SUM(K117:M117)</f>
        <v>234360</v>
      </c>
      <c r="K117" s="61">
        <f>10000*1.5*1.302*12</f>
        <v>234360</v>
      </c>
      <c r="L117" s="6"/>
      <c r="M117" s="6"/>
      <c r="N117" s="61">
        <f>SUM(O117:R117)</f>
        <v>468720</v>
      </c>
      <c r="O117" s="6">
        <f>G117*K117</f>
        <v>468720</v>
      </c>
      <c r="P117" s="6"/>
      <c r="Q117" s="61"/>
      <c r="R117" s="61"/>
      <c r="S117" s="61"/>
      <c r="T117" s="61">
        <f>H117*K117-468720</f>
        <v>0</v>
      </c>
      <c r="U117" s="61">
        <f>I117*K117-468720</f>
        <v>0</v>
      </c>
    </row>
    <row r="118" spans="1:24" ht="22.15" customHeight="1" x14ac:dyDescent="0.25">
      <c r="A118" s="374"/>
      <c r="B118" s="369"/>
      <c r="C118" s="166" t="s">
        <v>39</v>
      </c>
      <c r="D118" s="37"/>
      <c r="E118" s="169">
        <f>E111+E116</f>
        <v>51</v>
      </c>
      <c r="F118" s="217">
        <f>F111+F116</f>
        <v>51</v>
      </c>
      <c r="G118" s="217">
        <f>G111+G116</f>
        <v>51</v>
      </c>
      <c r="H118" s="217">
        <f>H111+H116</f>
        <v>52</v>
      </c>
      <c r="I118" s="217">
        <f>I111+I116</f>
        <v>52</v>
      </c>
      <c r="J118" s="61" t="s">
        <v>27</v>
      </c>
      <c r="K118" s="61" t="s">
        <v>27</v>
      </c>
      <c r="L118" s="61" t="s">
        <v>27</v>
      </c>
      <c r="M118" s="61" t="s">
        <v>27</v>
      </c>
      <c r="N118" s="62">
        <f>SUM(N111:N117)</f>
        <v>4847460.1500000004</v>
      </c>
      <c r="O118" s="62">
        <f t="shared" ref="O118:U118" si="36">SUM(O111:O117)</f>
        <v>3205614.6</v>
      </c>
      <c r="P118" s="62">
        <f t="shared" si="36"/>
        <v>582559.23</v>
      </c>
      <c r="Q118" s="62">
        <f t="shared" si="36"/>
        <v>0</v>
      </c>
      <c r="R118" s="62">
        <f>SUM(R111:R117)</f>
        <v>1059286.32</v>
      </c>
      <c r="S118" s="62">
        <f t="shared" si="36"/>
        <v>0</v>
      </c>
      <c r="T118" s="62">
        <f t="shared" si="36"/>
        <v>4464597.8</v>
      </c>
      <c r="U118" s="62">
        <f t="shared" si="36"/>
        <v>4464597.8</v>
      </c>
      <c r="X118" s="8"/>
    </row>
    <row r="119" spans="1:24" ht="56.45" customHeight="1" x14ac:dyDescent="0.25">
      <c r="A119" s="374"/>
      <c r="B119" s="247" t="s">
        <v>111</v>
      </c>
      <c r="C119" s="371" t="s">
        <v>42</v>
      </c>
      <c r="D119" s="37" t="s">
        <v>25</v>
      </c>
      <c r="E119" s="169">
        <f>1554+194</f>
        <v>1748</v>
      </c>
      <c r="F119" s="169">
        <f>1554+194</f>
        <v>1748</v>
      </c>
      <c r="G119" s="164">
        <f>((E119*8)+(F119*4))/12</f>
        <v>1748</v>
      </c>
      <c r="H119" s="169">
        <f>1554+194</f>
        <v>1748</v>
      </c>
      <c r="I119" s="169">
        <f>1554+194</f>
        <v>1748</v>
      </c>
      <c r="J119" s="61">
        <f>K119</f>
        <v>4592.9799999999996</v>
      </c>
      <c r="K119" s="61">
        <v>4592.9799999999996</v>
      </c>
      <c r="L119" s="61" t="s">
        <v>27</v>
      </c>
      <c r="M119" s="61" t="s">
        <v>27</v>
      </c>
      <c r="N119" s="61">
        <f>SUM(O119:R119)</f>
        <v>8028529.0399999991</v>
      </c>
      <c r="O119" s="61">
        <f>K119*G119</f>
        <v>8028529.0399999991</v>
      </c>
      <c r="P119" s="61" t="s">
        <v>27</v>
      </c>
      <c r="Q119" s="61"/>
      <c r="R119" s="61" t="s">
        <v>27</v>
      </c>
      <c r="S119" s="61"/>
      <c r="T119" s="61">
        <f>H119*J119</f>
        <v>8028529.0399999991</v>
      </c>
      <c r="U119" s="61">
        <f>I119*J119</f>
        <v>8028529.0399999991</v>
      </c>
    </row>
    <row r="120" spans="1:24" ht="43.15" customHeight="1" x14ac:dyDescent="0.25">
      <c r="A120" s="374"/>
      <c r="B120" s="248"/>
      <c r="C120" s="372"/>
      <c r="D120" s="37" t="s">
        <v>232</v>
      </c>
      <c r="E120" s="169">
        <v>95983</v>
      </c>
      <c r="F120" s="169">
        <v>95983</v>
      </c>
      <c r="G120" s="164">
        <f t="shared" si="27"/>
        <v>95983</v>
      </c>
      <c r="H120" s="169">
        <f>83068+12915</f>
        <v>95983</v>
      </c>
      <c r="I120" s="169">
        <f>83068+12915</f>
        <v>95983</v>
      </c>
      <c r="J120" s="61">
        <f>K120</f>
        <v>83.645323025952507</v>
      </c>
      <c r="K120" s="61">
        <f>N120/G120</f>
        <v>83.645323025952507</v>
      </c>
      <c r="L120" s="61" t="s">
        <v>27</v>
      </c>
      <c r="M120" s="61" t="s">
        <v>27</v>
      </c>
      <c r="N120" s="61">
        <f>N119</f>
        <v>8028529.0399999991</v>
      </c>
      <c r="O120" s="61">
        <f>O119</f>
        <v>8028529.0399999991</v>
      </c>
      <c r="P120" s="61" t="s">
        <v>27</v>
      </c>
      <c r="Q120" s="61"/>
      <c r="R120" s="61" t="s">
        <v>27</v>
      </c>
      <c r="S120" s="61"/>
      <c r="T120" s="61">
        <f>T119/G120*H120</f>
        <v>8028529.0399999991</v>
      </c>
      <c r="U120" s="61">
        <f>U119/G120*I120</f>
        <v>8028529.0399999991</v>
      </c>
    </row>
    <row r="121" spans="1:24" ht="20.45" customHeight="1" x14ac:dyDescent="0.25">
      <c r="A121" s="374"/>
      <c r="B121" s="232"/>
      <c r="C121" s="166" t="s">
        <v>39</v>
      </c>
      <c r="D121" s="10"/>
      <c r="E121" s="169">
        <f>SUM(E119:E119)</f>
        <v>1748</v>
      </c>
      <c r="F121" s="169">
        <f>SUM(F119:F119)</f>
        <v>1748</v>
      </c>
      <c r="G121" s="169">
        <f>SUM(G119:G119)</f>
        <v>1748</v>
      </c>
      <c r="H121" s="169">
        <f>SUM(H119:H119)</f>
        <v>1748</v>
      </c>
      <c r="I121" s="169">
        <f>SUM(I119:I119)</f>
        <v>1748</v>
      </c>
      <c r="J121" s="61" t="s">
        <v>27</v>
      </c>
      <c r="K121" s="61" t="s">
        <v>27</v>
      </c>
      <c r="L121" s="61" t="s">
        <v>27</v>
      </c>
      <c r="M121" s="61">
        <f t="shared" ref="M121:R121" si="37">SUM(M119:M119)</f>
        <v>0</v>
      </c>
      <c r="N121" s="62">
        <f t="shared" si="37"/>
        <v>8028529.0399999991</v>
      </c>
      <c r="O121" s="61">
        <f>SUM(O119:O119)</f>
        <v>8028529.0399999991</v>
      </c>
      <c r="P121" s="61">
        <f t="shared" si="37"/>
        <v>0</v>
      </c>
      <c r="Q121" s="61"/>
      <c r="R121" s="61">
        <f t="shared" si="37"/>
        <v>0</v>
      </c>
      <c r="S121" s="61"/>
      <c r="T121" s="61">
        <f>T119</f>
        <v>8028529.0399999991</v>
      </c>
      <c r="U121" s="61">
        <f>U119</f>
        <v>8028529.0399999991</v>
      </c>
    </row>
    <row r="122" spans="1:24" ht="29.25" x14ac:dyDescent="0.25">
      <c r="A122" s="374"/>
      <c r="B122" s="163" t="s">
        <v>46</v>
      </c>
      <c r="C122" s="9" t="s">
        <v>45</v>
      </c>
      <c r="D122" s="345" t="s">
        <v>47</v>
      </c>
      <c r="E122" s="169">
        <v>8</v>
      </c>
      <c r="F122" s="169">
        <v>8</v>
      </c>
      <c r="G122" s="164">
        <f t="shared" si="27"/>
        <v>8</v>
      </c>
      <c r="H122" s="169">
        <v>8</v>
      </c>
      <c r="I122" s="169">
        <v>8</v>
      </c>
      <c r="J122" s="61"/>
      <c r="K122" s="61"/>
      <c r="L122" s="61">
        <v>294556.87</v>
      </c>
      <c r="M122" s="61"/>
      <c r="N122" s="61">
        <f>P122</f>
        <v>2356454.96</v>
      </c>
      <c r="O122" s="61"/>
      <c r="P122" s="61">
        <f>(E122*L122/12*8)+(F122*L122/12*4)</f>
        <v>2356454.96</v>
      </c>
      <c r="Q122" s="61"/>
      <c r="R122" s="61"/>
      <c r="S122" s="61"/>
      <c r="T122" s="61">
        <f>P122</f>
        <v>2356454.96</v>
      </c>
      <c r="U122" s="61">
        <f t="shared" ref="U122:U127" si="38">T122</f>
        <v>2356454.96</v>
      </c>
    </row>
    <row r="123" spans="1:24" ht="29.25" x14ac:dyDescent="0.25">
      <c r="A123" s="374"/>
      <c r="B123" s="163" t="s">
        <v>46</v>
      </c>
      <c r="C123" s="9" t="s">
        <v>45</v>
      </c>
      <c r="D123" s="345" t="s">
        <v>47</v>
      </c>
      <c r="E123" s="169">
        <v>1</v>
      </c>
      <c r="F123" s="169">
        <v>1</v>
      </c>
      <c r="G123" s="164">
        <f t="shared" si="27"/>
        <v>1</v>
      </c>
      <c r="H123" s="169">
        <v>1</v>
      </c>
      <c r="I123" s="169">
        <v>1</v>
      </c>
      <c r="J123" s="61"/>
      <c r="K123" s="61"/>
      <c r="L123" s="61">
        <v>233978.27</v>
      </c>
      <c r="M123" s="61"/>
      <c r="N123" s="61">
        <f>P123</f>
        <v>233978.27000000002</v>
      </c>
      <c r="O123" s="61"/>
      <c r="P123" s="61">
        <f>(E123*L123/12*8)+(F123*L123/12*4)</f>
        <v>233978.27000000002</v>
      </c>
      <c r="Q123" s="61"/>
      <c r="R123" s="61"/>
      <c r="S123" s="61"/>
      <c r="T123" s="61">
        <f>S123</f>
        <v>0</v>
      </c>
      <c r="U123" s="61">
        <f t="shared" si="38"/>
        <v>0</v>
      </c>
    </row>
    <row r="124" spans="1:24" hidden="1" x14ac:dyDescent="0.25">
      <c r="A124" s="374"/>
      <c r="B124" s="162" t="s">
        <v>54</v>
      </c>
      <c r="C124" s="9" t="s">
        <v>45</v>
      </c>
      <c r="D124" s="37" t="s">
        <v>25</v>
      </c>
      <c r="E124" s="169">
        <v>1</v>
      </c>
      <c r="F124" s="169">
        <v>1</v>
      </c>
      <c r="G124" s="169">
        <v>1</v>
      </c>
      <c r="H124" s="169">
        <v>1</v>
      </c>
      <c r="I124" s="169">
        <v>1</v>
      </c>
      <c r="J124" s="61"/>
      <c r="K124" s="61"/>
      <c r="L124" s="61"/>
      <c r="M124" s="61"/>
      <c r="N124" s="61">
        <f>Q124</f>
        <v>0</v>
      </c>
      <c r="O124" s="61"/>
      <c r="P124" s="61"/>
      <c r="Q124" s="61"/>
      <c r="R124" s="61"/>
      <c r="S124" s="61"/>
      <c r="T124" s="61"/>
      <c r="U124" s="61">
        <f t="shared" si="38"/>
        <v>0</v>
      </c>
      <c r="V124" s="8"/>
      <c r="W124" s="8"/>
    </row>
    <row r="125" spans="1:24" ht="13.9" hidden="1" customHeight="1" x14ac:dyDescent="0.25">
      <c r="A125" s="374"/>
      <c r="B125" s="162" t="s">
        <v>56</v>
      </c>
      <c r="C125" s="9" t="s">
        <v>55</v>
      </c>
      <c r="D125" s="37"/>
      <c r="E125" s="169"/>
      <c r="F125" s="169"/>
      <c r="G125" s="169"/>
      <c r="H125" s="169"/>
      <c r="I125" s="169"/>
      <c r="J125" s="61"/>
      <c r="K125" s="61"/>
      <c r="L125" s="61"/>
      <c r="M125" s="61"/>
      <c r="N125" s="61">
        <f>O125+P125+Q125+R125+S125</f>
        <v>0</v>
      </c>
      <c r="O125" s="61"/>
      <c r="P125" s="61"/>
      <c r="Q125" s="61"/>
      <c r="R125" s="61"/>
      <c r="S125" s="61"/>
      <c r="T125" s="61"/>
      <c r="U125" s="61"/>
    </row>
    <row r="126" spans="1:24" ht="19.149999999999999" customHeight="1" x14ac:dyDescent="0.25">
      <c r="A126" s="374"/>
      <c r="B126" s="162" t="s">
        <v>48</v>
      </c>
      <c r="C126" s="9" t="s">
        <v>45</v>
      </c>
      <c r="D126" s="37"/>
      <c r="E126" s="169">
        <v>21</v>
      </c>
      <c r="F126" s="169">
        <v>21</v>
      </c>
      <c r="G126" s="169">
        <v>21</v>
      </c>
      <c r="H126" s="169">
        <v>21</v>
      </c>
      <c r="I126" s="169">
        <v>21</v>
      </c>
      <c r="J126" s="61"/>
      <c r="K126" s="61"/>
      <c r="L126" s="61"/>
      <c r="M126" s="61"/>
      <c r="N126" s="61">
        <f>SUM(O126:R126)</f>
        <v>4921560</v>
      </c>
      <c r="O126" s="61">
        <f>O117+O109+O99</f>
        <v>4921560</v>
      </c>
      <c r="P126" s="61"/>
      <c r="Q126" s="61"/>
      <c r="R126" s="61"/>
      <c r="S126" s="61"/>
      <c r="T126" s="61">
        <f>T117+T109+T99</f>
        <v>0</v>
      </c>
      <c r="U126" s="61">
        <f>U117+U109+U99</f>
        <v>0</v>
      </c>
    </row>
    <row r="127" spans="1:24" ht="13.9" hidden="1" customHeight="1" x14ac:dyDescent="0.25">
      <c r="A127" s="374"/>
      <c r="B127" s="162" t="s">
        <v>49</v>
      </c>
      <c r="C127" s="10" t="s">
        <v>45</v>
      </c>
      <c r="D127" s="37"/>
      <c r="E127" s="169"/>
      <c r="F127" s="169"/>
      <c r="G127" s="169"/>
      <c r="H127" s="169"/>
      <c r="I127" s="169"/>
      <c r="J127" s="61"/>
      <c r="K127" s="61"/>
      <c r="L127" s="61"/>
      <c r="M127" s="61"/>
      <c r="N127" s="61">
        <f>O127+P127+Q127+R127+S127</f>
        <v>0</v>
      </c>
      <c r="O127" s="61"/>
      <c r="P127" s="61"/>
      <c r="Q127" s="61"/>
      <c r="R127" s="61"/>
      <c r="S127" s="61"/>
      <c r="T127" s="61">
        <f>O127</f>
        <v>0</v>
      </c>
      <c r="U127" s="61">
        <f t="shared" si="38"/>
        <v>0</v>
      </c>
    </row>
    <row r="128" spans="1:24" ht="13.9" hidden="1" customHeight="1" x14ac:dyDescent="0.25">
      <c r="A128" s="374"/>
      <c r="B128" s="162" t="s">
        <v>50</v>
      </c>
      <c r="C128" s="10" t="s">
        <v>45</v>
      </c>
      <c r="D128" s="37"/>
      <c r="E128" s="169"/>
      <c r="F128" s="169"/>
      <c r="G128" s="169"/>
      <c r="H128" s="169"/>
      <c r="I128" s="169"/>
      <c r="J128" s="61"/>
      <c r="K128" s="61"/>
      <c r="L128" s="61"/>
      <c r="M128" s="61"/>
      <c r="N128" s="61">
        <f>P128</f>
        <v>0</v>
      </c>
      <c r="O128" s="61"/>
      <c r="P128" s="61"/>
      <c r="Q128" s="61"/>
      <c r="R128" s="61"/>
      <c r="S128" s="61"/>
      <c r="T128" s="61"/>
      <c r="U128" s="61">
        <f>T128</f>
        <v>0</v>
      </c>
    </row>
    <row r="129" spans="1:31" ht="23.45" customHeight="1" x14ac:dyDescent="0.25">
      <c r="A129" s="374"/>
      <c r="B129" s="9" t="s">
        <v>51</v>
      </c>
      <c r="C129" s="10"/>
      <c r="D129" s="10"/>
      <c r="E129" s="217">
        <f>E100+E110+E118</f>
        <v>573</v>
      </c>
      <c r="F129" s="217">
        <f>F100+F110+F118</f>
        <v>573</v>
      </c>
      <c r="G129" s="217">
        <f>G100+G110+G118</f>
        <v>573</v>
      </c>
      <c r="H129" s="217">
        <f>H100+H110+H118</f>
        <v>573</v>
      </c>
      <c r="I129" s="217">
        <f>I100+I110+I118</f>
        <v>573</v>
      </c>
      <c r="J129" s="62"/>
      <c r="K129" s="62"/>
      <c r="L129" s="62"/>
      <c r="M129" s="62"/>
      <c r="N129" s="62">
        <f>SUM(O129:S129)</f>
        <v>64625426.509999998</v>
      </c>
      <c r="O129" s="62">
        <f>O100+O110+O118+O121+O127</f>
        <v>43609145.950000003</v>
      </c>
      <c r="P129" s="62">
        <f>P100+P110+P118+P121+P122+P123+P124+P128</f>
        <v>9135657.5199999996</v>
      </c>
      <c r="Q129" s="62">
        <f>Q100+Q110+Q118+Q121+Q122+Q123+Q124</f>
        <v>0</v>
      </c>
      <c r="R129" s="62">
        <f>R100+R110+R118+R121+R122+R123+R124+R125</f>
        <v>11880623.039999999</v>
      </c>
      <c r="S129" s="62">
        <f>S100+S110+S118+S121+S122+S123+S124+S125</f>
        <v>0</v>
      </c>
      <c r="T129" s="62">
        <f>T100+T110+T118+T121+T122+T123+T124+T125+T127+T128</f>
        <v>59407428.640000008</v>
      </c>
      <c r="U129" s="62">
        <f>U100+U110+U118+U121+U122+U123+U124+U125+U127+U128</f>
        <v>59407428.640000008</v>
      </c>
      <c r="V129" s="8"/>
      <c r="W129" s="1" t="s">
        <v>509</v>
      </c>
      <c r="AA129" s="8"/>
      <c r="AB129" s="8"/>
    </row>
    <row r="130" spans="1:31" ht="75" customHeight="1" x14ac:dyDescent="0.25">
      <c r="A130" s="250" t="s">
        <v>61</v>
      </c>
      <c r="B130" s="366" t="s">
        <v>593</v>
      </c>
      <c r="C130" s="361" t="s">
        <v>24</v>
      </c>
      <c r="D130" s="37" t="s">
        <v>25</v>
      </c>
      <c r="E130" s="164">
        <v>206</v>
      </c>
      <c r="F130" s="164">
        <v>206</v>
      </c>
      <c r="G130" s="164">
        <f>((E130*8)+(F130*4))/12</f>
        <v>206</v>
      </c>
      <c r="H130" s="164">
        <v>206</v>
      </c>
      <c r="I130" s="164">
        <v>206</v>
      </c>
      <c r="J130" s="6">
        <f>SUM(K130:M130)</f>
        <v>63984.88</v>
      </c>
      <c r="K130" s="6">
        <f>28292.04+2981.82</f>
        <v>31273.86</v>
      </c>
      <c r="L130" s="6">
        <v>11940.7</v>
      </c>
      <c r="M130" s="165">
        <v>20770.32</v>
      </c>
      <c r="N130" s="6">
        <f>SUM(O130:R130)</f>
        <v>13126929.76</v>
      </c>
      <c r="O130" s="6">
        <f>G130*K130</f>
        <v>6442415.1600000001</v>
      </c>
      <c r="P130" s="6">
        <f>(E130*11678.78/12*8)+(F130*11678.78/12*4)</f>
        <v>2405828.6800000002</v>
      </c>
      <c r="Q130" s="6"/>
      <c r="R130" s="61">
        <f>G130*M130</f>
        <v>4278685.92</v>
      </c>
      <c r="S130" s="61"/>
      <c r="T130" s="61">
        <f>W130</f>
        <v>13180885.279999999</v>
      </c>
      <c r="U130" s="61">
        <f>T130</f>
        <v>13180885.279999999</v>
      </c>
      <c r="W130" s="61">
        <f>SUM(X130:AA130)</f>
        <v>13180885.279999999</v>
      </c>
      <c r="X130" s="61">
        <f>H130*K130</f>
        <v>6442415.1600000001</v>
      </c>
      <c r="Y130" s="6">
        <f>H130*L130</f>
        <v>2459784.2000000002</v>
      </c>
      <c r="Z130" s="61">
        <f>H130*M130</f>
        <v>4278685.92</v>
      </c>
    </row>
    <row r="131" spans="1:31" ht="90" x14ac:dyDescent="0.25">
      <c r="A131" s="251"/>
      <c r="B131" s="367"/>
      <c r="C131" s="363" t="s">
        <v>26</v>
      </c>
      <c r="D131" s="37" t="s">
        <v>25</v>
      </c>
      <c r="E131" s="164" t="s">
        <v>27</v>
      </c>
      <c r="F131" s="164" t="s">
        <v>27</v>
      </c>
      <c r="G131" s="164" t="s">
        <v>27</v>
      </c>
      <c r="H131" s="164" t="s">
        <v>27</v>
      </c>
      <c r="I131" s="164" t="s">
        <v>27</v>
      </c>
      <c r="J131" s="164" t="s">
        <v>27</v>
      </c>
      <c r="K131" s="164" t="s">
        <v>27</v>
      </c>
      <c r="L131" s="164" t="s">
        <v>27</v>
      </c>
      <c r="M131" s="164" t="s">
        <v>27</v>
      </c>
      <c r="N131" s="6"/>
      <c r="O131" s="6"/>
      <c r="P131" s="164" t="s">
        <v>27</v>
      </c>
      <c r="Q131" s="164"/>
      <c r="R131" s="164" t="s">
        <v>27</v>
      </c>
      <c r="S131" s="164"/>
      <c r="T131" s="61"/>
      <c r="U131" s="61"/>
    </row>
    <row r="132" spans="1:31" x14ac:dyDescent="0.25">
      <c r="A132" s="251"/>
      <c r="B132" s="367"/>
      <c r="C132" s="207" t="s">
        <v>28</v>
      </c>
      <c r="D132" s="37" t="s">
        <v>25</v>
      </c>
      <c r="E132" s="164"/>
      <c r="F132" s="164"/>
      <c r="G132" s="164"/>
      <c r="H132" s="164"/>
      <c r="I132" s="164"/>
      <c r="J132" s="61">
        <f t="shared" ref="J132:J138" si="39">K132</f>
        <v>131161.82999999999</v>
      </c>
      <c r="K132" s="6">
        <v>131161.82999999999</v>
      </c>
      <c r="L132" s="164" t="s">
        <v>27</v>
      </c>
      <c r="M132" s="164" t="s">
        <v>27</v>
      </c>
      <c r="N132" s="6">
        <f t="shared" ref="N132:N138" si="40">O132</f>
        <v>0</v>
      </c>
      <c r="O132" s="6">
        <f>G132*K132</f>
        <v>0</v>
      </c>
      <c r="P132" s="164" t="s">
        <v>27</v>
      </c>
      <c r="Q132" s="164"/>
      <c r="R132" s="164" t="s">
        <v>27</v>
      </c>
      <c r="S132" s="164"/>
      <c r="T132" s="61">
        <f t="shared" ref="T132:T138" si="41">H132*K132</f>
        <v>0</v>
      </c>
      <c r="U132" s="61">
        <f t="shared" ref="U132:U138" si="42">I132*K132</f>
        <v>0</v>
      </c>
    </row>
    <row r="133" spans="1:31" x14ac:dyDescent="0.25">
      <c r="A133" s="251"/>
      <c r="B133" s="367"/>
      <c r="C133" s="207" t="s">
        <v>29</v>
      </c>
      <c r="D133" s="37" t="s">
        <v>25</v>
      </c>
      <c r="E133" s="164">
        <v>19</v>
      </c>
      <c r="F133" s="164">
        <v>19</v>
      </c>
      <c r="G133" s="164">
        <f t="shared" ref="G133:G151" si="43">((E133*8)+(F133*4))/12</f>
        <v>19</v>
      </c>
      <c r="H133" s="164">
        <v>19</v>
      </c>
      <c r="I133" s="164">
        <v>19</v>
      </c>
      <c r="J133" s="61">
        <f t="shared" si="39"/>
        <v>148317.25</v>
      </c>
      <c r="K133" s="6">
        <v>148317.25</v>
      </c>
      <c r="L133" s="164" t="s">
        <v>27</v>
      </c>
      <c r="M133" s="164" t="s">
        <v>27</v>
      </c>
      <c r="N133" s="6">
        <f t="shared" si="40"/>
        <v>2818027.75</v>
      </c>
      <c r="O133" s="6">
        <f t="shared" ref="O133:O138" si="44">G133*K133</f>
        <v>2818027.75</v>
      </c>
      <c r="P133" s="164" t="s">
        <v>27</v>
      </c>
      <c r="Q133" s="164"/>
      <c r="R133" s="164" t="s">
        <v>27</v>
      </c>
      <c r="S133" s="164"/>
      <c r="T133" s="61">
        <f t="shared" si="41"/>
        <v>2818027.75</v>
      </c>
      <c r="U133" s="61">
        <f t="shared" si="42"/>
        <v>2818027.75</v>
      </c>
    </row>
    <row r="134" spans="1:31" x14ac:dyDescent="0.25">
      <c r="A134" s="251"/>
      <c r="B134" s="367"/>
      <c r="C134" s="207" t="s">
        <v>30</v>
      </c>
      <c r="D134" s="37" t="s">
        <v>25</v>
      </c>
      <c r="E134" s="164">
        <v>1</v>
      </c>
      <c r="F134" s="164">
        <v>1</v>
      </c>
      <c r="G134" s="164">
        <f t="shared" si="43"/>
        <v>1</v>
      </c>
      <c r="H134" s="164">
        <v>1</v>
      </c>
      <c r="I134" s="164">
        <v>1</v>
      </c>
      <c r="J134" s="61">
        <f t="shared" si="39"/>
        <v>175051.01</v>
      </c>
      <c r="K134" s="6">
        <v>175051.01</v>
      </c>
      <c r="L134" s="164" t="s">
        <v>27</v>
      </c>
      <c r="M134" s="164" t="s">
        <v>27</v>
      </c>
      <c r="N134" s="6">
        <f t="shared" si="40"/>
        <v>175051.01</v>
      </c>
      <c r="O134" s="6">
        <f t="shared" si="44"/>
        <v>175051.01</v>
      </c>
      <c r="P134" s="164" t="s">
        <v>27</v>
      </c>
      <c r="Q134" s="164"/>
      <c r="R134" s="164" t="s">
        <v>27</v>
      </c>
      <c r="S134" s="164"/>
      <c r="T134" s="61">
        <f t="shared" si="41"/>
        <v>175051.01</v>
      </c>
      <c r="U134" s="61">
        <f t="shared" si="42"/>
        <v>175051.01</v>
      </c>
    </row>
    <row r="135" spans="1:31" x14ac:dyDescent="0.25">
      <c r="A135" s="251"/>
      <c r="B135" s="367"/>
      <c r="C135" s="207" t="s">
        <v>31</v>
      </c>
      <c r="D135" s="37" t="s">
        <v>25</v>
      </c>
      <c r="E135" s="164">
        <v>27</v>
      </c>
      <c r="F135" s="164">
        <v>27</v>
      </c>
      <c r="G135" s="164">
        <v>27</v>
      </c>
      <c r="H135" s="164">
        <v>27</v>
      </c>
      <c r="I135" s="164">
        <v>27</v>
      </c>
      <c r="J135" s="61">
        <f t="shared" si="39"/>
        <v>146008.26</v>
      </c>
      <c r="K135" s="61">
        <v>146008.26</v>
      </c>
      <c r="L135" s="164" t="s">
        <v>27</v>
      </c>
      <c r="M135" s="164" t="s">
        <v>27</v>
      </c>
      <c r="N135" s="6">
        <f t="shared" si="40"/>
        <v>3942223.0200000005</v>
      </c>
      <c r="O135" s="6">
        <f t="shared" si="44"/>
        <v>3942223.0200000005</v>
      </c>
      <c r="P135" s="164" t="s">
        <v>27</v>
      </c>
      <c r="Q135" s="164"/>
      <c r="R135" s="164" t="s">
        <v>27</v>
      </c>
      <c r="S135" s="164"/>
      <c r="T135" s="61">
        <f t="shared" si="41"/>
        <v>3942223.0200000005</v>
      </c>
      <c r="U135" s="61">
        <f t="shared" si="42"/>
        <v>3942223.0200000005</v>
      </c>
    </row>
    <row r="136" spans="1:31" x14ac:dyDescent="0.25">
      <c r="A136" s="251"/>
      <c r="B136" s="367"/>
      <c r="C136" s="207" t="s">
        <v>32</v>
      </c>
      <c r="D136" s="37" t="s">
        <v>25</v>
      </c>
      <c r="E136" s="164">
        <v>1</v>
      </c>
      <c r="F136" s="164">
        <v>1</v>
      </c>
      <c r="G136" s="164">
        <f t="shared" si="43"/>
        <v>1</v>
      </c>
      <c r="H136" s="164">
        <v>1</v>
      </c>
      <c r="I136" s="164">
        <v>1</v>
      </c>
      <c r="J136" s="61">
        <f t="shared" si="39"/>
        <v>165472.68</v>
      </c>
      <c r="K136" s="61">
        <v>165472.68</v>
      </c>
      <c r="L136" s="164" t="s">
        <v>27</v>
      </c>
      <c r="M136" s="164" t="s">
        <v>27</v>
      </c>
      <c r="N136" s="6">
        <f t="shared" si="40"/>
        <v>165472.68</v>
      </c>
      <c r="O136" s="6">
        <f t="shared" si="44"/>
        <v>165472.68</v>
      </c>
      <c r="P136" s="164" t="s">
        <v>27</v>
      </c>
      <c r="Q136" s="164"/>
      <c r="R136" s="164" t="s">
        <v>27</v>
      </c>
      <c r="S136" s="164"/>
      <c r="T136" s="61">
        <f t="shared" si="41"/>
        <v>165472.68</v>
      </c>
      <c r="U136" s="61">
        <f t="shared" si="42"/>
        <v>165472.68</v>
      </c>
    </row>
    <row r="137" spans="1:31" x14ac:dyDescent="0.25">
      <c r="A137" s="251"/>
      <c r="B137" s="367"/>
      <c r="C137" s="207" t="s">
        <v>53</v>
      </c>
      <c r="D137" s="37" t="s">
        <v>25</v>
      </c>
      <c r="E137" s="164">
        <v>1</v>
      </c>
      <c r="F137" s="164">
        <v>1</v>
      </c>
      <c r="G137" s="164">
        <f t="shared" si="43"/>
        <v>1</v>
      </c>
      <c r="H137" s="164">
        <v>1</v>
      </c>
      <c r="I137" s="164">
        <v>1</v>
      </c>
      <c r="J137" s="61">
        <f t="shared" si="39"/>
        <v>340458.04</v>
      </c>
      <c r="K137" s="61">
        <v>340458.04</v>
      </c>
      <c r="L137" s="164" t="s">
        <v>27</v>
      </c>
      <c r="M137" s="164" t="s">
        <v>27</v>
      </c>
      <c r="N137" s="6">
        <f t="shared" si="40"/>
        <v>340458.04</v>
      </c>
      <c r="O137" s="6">
        <f t="shared" si="44"/>
        <v>340458.04</v>
      </c>
      <c r="P137" s="164" t="s">
        <v>27</v>
      </c>
      <c r="Q137" s="164"/>
      <c r="R137" s="164" t="s">
        <v>27</v>
      </c>
      <c r="S137" s="164"/>
      <c r="T137" s="61">
        <f t="shared" si="41"/>
        <v>340458.04</v>
      </c>
      <c r="U137" s="61">
        <f t="shared" si="42"/>
        <v>340458.04</v>
      </c>
    </row>
    <row r="138" spans="1:31" x14ac:dyDescent="0.25">
      <c r="A138" s="251"/>
      <c r="B138" s="367"/>
      <c r="C138" s="207" t="s">
        <v>35</v>
      </c>
      <c r="D138" s="37" t="s">
        <v>25</v>
      </c>
      <c r="E138" s="164"/>
      <c r="F138" s="164"/>
      <c r="G138" s="164">
        <f t="shared" si="43"/>
        <v>0</v>
      </c>
      <c r="H138" s="164"/>
      <c r="I138" s="164"/>
      <c r="J138" s="61">
        <f t="shared" si="39"/>
        <v>129594.64</v>
      </c>
      <c r="K138" s="61">
        <v>129594.64</v>
      </c>
      <c r="L138" s="164" t="s">
        <v>27</v>
      </c>
      <c r="M138" s="164" t="s">
        <v>27</v>
      </c>
      <c r="N138" s="6">
        <f t="shared" si="40"/>
        <v>0</v>
      </c>
      <c r="O138" s="6">
        <f t="shared" si="44"/>
        <v>0</v>
      </c>
      <c r="P138" s="164" t="s">
        <v>27</v>
      </c>
      <c r="Q138" s="164"/>
      <c r="R138" s="164" t="s">
        <v>27</v>
      </c>
      <c r="S138" s="164"/>
      <c r="T138" s="61">
        <f t="shared" si="41"/>
        <v>0</v>
      </c>
      <c r="U138" s="61">
        <f t="shared" si="42"/>
        <v>0</v>
      </c>
      <c r="W138" s="1" t="s">
        <v>509</v>
      </c>
    </row>
    <row r="139" spans="1:31" ht="82.9" customHeight="1" x14ac:dyDescent="0.25">
      <c r="A139" s="251"/>
      <c r="B139" s="367"/>
      <c r="C139" s="363" t="s">
        <v>36</v>
      </c>
      <c r="D139" s="37" t="s">
        <v>25</v>
      </c>
      <c r="E139" s="164">
        <v>5</v>
      </c>
      <c r="F139" s="164">
        <v>5</v>
      </c>
      <c r="G139" s="164">
        <f t="shared" si="43"/>
        <v>5</v>
      </c>
      <c r="H139" s="164">
        <v>5</v>
      </c>
      <c r="I139" s="164">
        <v>5</v>
      </c>
      <c r="J139" s="61">
        <f>SUM(K139:M139)</f>
        <v>314496.18000000005</v>
      </c>
      <c r="K139" s="61">
        <f>278803.34+2981.82</f>
        <v>281785.16000000003</v>
      </c>
      <c r="L139" s="6">
        <v>11940.7</v>
      </c>
      <c r="M139" s="165">
        <v>20770.32</v>
      </c>
      <c r="N139" s="6">
        <f>SUM(O139:R139)</f>
        <v>1571171.3000000003</v>
      </c>
      <c r="O139" s="6">
        <f>G139*K139</f>
        <v>1408925.8000000003</v>
      </c>
      <c r="P139" s="6">
        <f>(E139*11678.78/12*8)+(F139*11678.78/12*4)</f>
        <v>58393.900000000009</v>
      </c>
      <c r="Q139" s="6"/>
      <c r="R139" s="61">
        <f>G139*M139</f>
        <v>103851.6</v>
      </c>
      <c r="S139" s="61"/>
      <c r="T139" s="61">
        <f>W139</f>
        <v>1572480.9000000004</v>
      </c>
      <c r="U139" s="61">
        <f>T139</f>
        <v>1572480.9000000004</v>
      </c>
      <c r="W139" s="61">
        <f>SUM(X139:AA139)</f>
        <v>1572480.9000000004</v>
      </c>
      <c r="X139" s="61">
        <f>H139*K139</f>
        <v>1408925.8000000003</v>
      </c>
      <c r="Y139" s="6">
        <f>H139*L139</f>
        <v>59703.5</v>
      </c>
      <c r="Z139" s="61">
        <f>H139*M139</f>
        <v>103851.6</v>
      </c>
    </row>
    <row r="140" spans="1:31" ht="16.149999999999999" customHeight="1" x14ac:dyDescent="0.25">
      <c r="A140" s="251"/>
      <c r="B140" s="367"/>
      <c r="C140" s="163" t="s">
        <v>59</v>
      </c>
      <c r="D140" s="37" t="s">
        <v>60</v>
      </c>
      <c r="E140" s="164">
        <v>8</v>
      </c>
      <c r="F140" s="164">
        <v>8</v>
      </c>
      <c r="G140" s="164">
        <f t="shared" si="43"/>
        <v>8</v>
      </c>
      <c r="H140" s="164">
        <v>8</v>
      </c>
      <c r="I140" s="164">
        <v>8</v>
      </c>
      <c r="J140" s="61">
        <f>SUM(K140:M140)</f>
        <v>234360</v>
      </c>
      <c r="K140" s="61">
        <f>10000*1.5*1.302*12</f>
        <v>234360</v>
      </c>
      <c r="L140" s="6"/>
      <c r="M140" s="6"/>
      <c r="N140" s="6">
        <f>SUM(O140:R140)</f>
        <v>1874880</v>
      </c>
      <c r="O140" s="6">
        <f>G140*K140</f>
        <v>1874880</v>
      </c>
      <c r="P140" s="6"/>
      <c r="Q140" s="6"/>
      <c r="R140" s="61"/>
      <c r="S140" s="61"/>
      <c r="T140" s="61">
        <f>H140*K140-1874880</f>
        <v>0</v>
      </c>
      <c r="U140" s="61">
        <f>I140*K140-1874880</f>
        <v>0</v>
      </c>
    </row>
    <row r="141" spans="1:31" ht="27" customHeight="1" x14ac:dyDescent="0.25">
      <c r="A141" s="251"/>
      <c r="B141" s="368"/>
      <c r="C141" s="163" t="s">
        <v>39</v>
      </c>
      <c r="D141" s="37"/>
      <c r="E141" s="216">
        <f>E130+E139</f>
        <v>211</v>
      </c>
      <c r="F141" s="216">
        <f>F130+F139</f>
        <v>211</v>
      </c>
      <c r="G141" s="216">
        <f>G130+G139</f>
        <v>211</v>
      </c>
      <c r="H141" s="216">
        <f>H130+H139</f>
        <v>211</v>
      </c>
      <c r="I141" s="216">
        <f>I130+I139</f>
        <v>211</v>
      </c>
      <c r="J141" s="6" t="s">
        <v>27</v>
      </c>
      <c r="K141" s="6" t="s">
        <v>27</v>
      </c>
      <c r="L141" s="6" t="s">
        <v>27</v>
      </c>
      <c r="M141" s="6" t="s">
        <v>27</v>
      </c>
      <c r="N141" s="165">
        <f>SUM(N130:N140)</f>
        <v>24014213.559999999</v>
      </c>
      <c r="O141" s="165">
        <f t="shared" ref="O141:U141" si="45">SUM(O130:O140)</f>
        <v>17167453.460000001</v>
      </c>
      <c r="P141" s="165">
        <f t="shared" si="45"/>
        <v>2464222.58</v>
      </c>
      <c r="Q141" s="165">
        <f t="shared" si="45"/>
        <v>0</v>
      </c>
      <c r="R141" s="165">
        <f t="shared" si="45"/>
        <v>4382537.5199999996</v>
      </c>
      <c r="S141" s="165">
        <f t="shared" si="45"/>
        <v>0</v>
      </c>
      <c r="T141" s="165">
        <f t="shared" si="45"/>
        <v>22194598.68</v>
      </c>
      <c r="U141" s="165">
        <f t="shared" si="45"/>
        <v>22194598.68</v>
      </c>
      <c r="W141" s="1" t="s">
        <v>380</v>
      </c>
      <c r="AB141" s="1" t="s">
        <v>482</v>
      </c>
    </row>
    <row r="142" spans="1:31" ht="75" customHeight="1" x14ac:dyDescent="0.25">
      <c r="A142" s="251"/>
      <c r="B142" s="366" t="s">
        <v>599</v>
      </c>
      <c r="C142" s="361" t="s">
        <v>24</v>
      </c>
      <c r="D142" s="37" t="s">
        <v>25</v>
      </c>
      <c r="E142" s="164">
        <f>261-50</f>
        <v>211</v>
      </c>
      <c r="F142" s="164">
        <f>261-50</f>
        <v>211</v>
      </c>
      <c r="G142" s="164">
        <f t="shared" si="43"/>
        <v>211</v>
      </c>
      <c r="H142" s="164">
        <f>261-50</f>
        <v>211</v>
      </c>
      <c r="I142" s="164">
        <v>211</v>
      </c>
      <c r="J142" s="6">
        <f>SUM(K142:M142)</f>
        <v>78833.06</v>
      </c>
      <c r="K142" s="6">
        <f>42155.15+3966.89</f>
        <v>46122.04</v>
      </c>
      <c r="L142" s="6">
        <v>11940.7</v>
      </c>
      <c r="M142" s="165">
        <v>20770.32</v>
      </c>
      <c r="N142" s="6">
        <f>SUM(O142:R142)</f>
        <v>16578510.539999999</v>
      </c>
      <c r="O142" s="6">
        <f>G142*K142</f>
        <v>9731750.4399999995</v>
      </c>
      <c r="P142" s="6">
        <f>(E142*11678.78/12*8)+(F142*11678.78/12*4)</f>
        <v>2464222.58</v>
      </c>
      <c r="Q142" s="6"/>
      <c r="R142" s="61">
        <f>G142*M142</f>
        <v>4382537.5199999996</v>
      </c>
      <c r="S142" s="61"/>
      <c r="T142" s="61">
        <f>W142</f>
        <v>16633775.66</v>
      </c>
      <c r="U142" s="61">
        <f>AB142</f>
        <v>16633775.66</v>
      </c>
      <c r="W142" s="61">
        <f>SUM(X142:AA142)</f>
        <v>16633775.66</v>
      </c>
      <c r="X142" s="61">
        <f>H142*K142</f>
        <v>9731750.4399999995</v>
      </c>
      <c r="Y142" s="6">
        <f>H142*L142</f>
        <v>2519487.7000000002</v>
      </c>
      <c r="Z142" s="61">
        <f>H142*M142</f>
        <v>4382537.5199999996</v>
      </c>
      <c r="AB142" s="61">
        <f>SUM(AC142:AF142)</f>
        <v>16633775.66</v>
      </c>
      <c r="AC142" s="61">
        <f>I142*K142</f>
        <v>9731750.4399999995</v>
      </c>
      <c r="AD142" s="6">
        <f>I142*L142</f>
        <v>2519487.7000000002</v>
      </c>
      <c r="AE142" s="61">
        <f>I142*M142</f>
        <v>4382537.5199999996</v>
      </c>
    </row>
    <row r="143" spans="1:31" ht="105" x14ac:dyDescent="0.25">
      <c r="A143" s="251"/>
      <c r="B143" s="367"/>
      <c r="C143" s="361" t="s">
        <v>64</v>
      </c>
      <c r="D143" s="37" t="s">
        <v>25</v>
      </c>
      <c r="E143" s="164">
        <v>54</v>
      </c>
      <c r="F143" s="164">
        <v>54</v>
      </c>
      <c r="G143" s="164">
        <f>((E143*8)+(F143*4))/12</f>
        <v>54</v>
      </c>
      <c r="H143" s="164">
        <v>54</v>
      </c>
      <c r="I143" s="164">
        <v>54</v>
      </c>
      <c r="J143" s="6">
        <f>SUM(K143:M143)</f>
        <v>82596.799999999988</v>
      </c>
      <c r="K143" s="6">
        <f>45918.89+3966.89</f>
        <v>49885.78</v>
      </c>
      <c r="L143" s="6">
        <v>11940.7</v>
      </c>
      <c r="M143" s="165">
        <v>20770.32</v>
      </c>
      <c r="N143" s="6">
        <f>SUM(O143:R143)</f>
        <v>4446083.5200000005</v>
      </c>
      <c r="O143" s="6">
        <f>G143*K143</f>
        <v>2693832.12</v>
      </c>
      <c r="P143" s="6">
        <f>(E143*11678.78/12*8)+(F143*11678.78/12*4)</f>
        <v>630654.12</v>
      </c>
      <c r="Q143" s="6"/>
      <c r="R143" s="61">
        <f>G143*M143</f>
        <v>1121597.28</v>
      </c>
      <c r="S143" s="61"/>
      <c r="T143" s="61">
        <f>N143</f>
        <v>4446083.5200000005</v>
      </c>
      <c r="U143" s="61">
        <f>T143</f>
        <v>4446083.5200000005</v>
      </c>
    </row>
    <row r="144" spans="1:31" ht="90" x14ac:dyDescent="0.25">
      <c r="A144" s="251"/>
      <c r="B144" s="367"/>
      <c r="C144" s="363" t="s">
        <v>26</v>
      </c>
      <c r="D144" s="37" t="s">
        <v>25</v>
      </c>
      <c r="E144" s="164" t="s">
        <v>27</v>
      </c>
      <c r="F144" s="164" t="s">
        <v>27</v>
      </c>
      <c r="G144" s="164" t="s">
        <v>27</v>
      </c>
      <c r="H144" s="164" t="s">
        <v>27</v>
      </c>
      <c r="I144" s="164" t="s">
        <v>27</v>
      </c>
      <c r="J144" s="164" t="s">
        <v>27</v>
      </c>
      <c r="K144" s="164" t="s">
        <v>27</v>
      </c>
      <c r="L144" s="164" t="s">
        <v>27</v>
      </c>
      <c r="M144" s="164" t="s">
        <v>27</v>
      </c>
      <c r="N144" s="6"/>
      <c r="O144" s="6"/>
      <c r="P144" s="164" t="s">
        <v>27</v>
      </c>
      <c r="Q144" s="164"/>
      <c r="R144" s="164" t="s">
        <v>27</v>
      </c>
      <c r="S144" s="164"/>
      <c r="T144" s="61"/>
      <c r="U144" s="61"/>
    </row>
    <row r="145" spans="1:27" x14ac:dyDescent="0.25">
      <c r="A145" s="251"/>
      <c r="B145" s="367"/>
      <c r="C145" s="207" t="s">
        <v>28</v>
      </c>
      <c r="D145" s="37" t="s">
        <v>25</v>
      </c>
      <c r="E145" s="169"/>
      <c r="F145" s="169"/>
      <c r="G145" s="164">
        <f t="shared" si="43"/>
        <v>0</v>
      </c>
      <c r="H145" s="169"/>
      <c r="I145" s="169"/>
      <c r="J145" s="61">
        <f>K145</f>
        <v>56253.14</v>
      </c>
      <c r="K145" s="61">
        <v>56253.14</v>
      </c>
      <c r="L145" s="164" t="s">
        <v>27</v>
      </c>
      <c r="M145" s="164" t="s">
        <v>27</v>
      </c>
      <c r="N145" s="6">
        <f>O145</f>
        <v>0</v>
      </c>
      <c r="O145" s="6">
        <f>G145*K145</f>
        <v>0</v>
      </c>
      <c r="P145" s="164" t="s">
        <v>27</v>
      </c>
      <c r="Q145" s="164"/>
      <c r="R145" s="164" t="s">
        <v>27</v>
      </c>
      <c r="S145" s="164"/>
      <c r="T145" s="61">
        <f>H145*K145</f>
        <v>0</v>
      </c>
      <c r="U145" s="61">
        <f>I145*K145</f>
        <v>0</v>
      </c>
    </row>
    <row r="146" spans="1:27" x14ac:dyDescent="0.25">
      <c r="A146" s="251"/>
      <c r="B146" s="367"/>
      <c r="C146" s="207" t="s">
        <v>30</v>
      </c>
      <c r="D146" s="37" t="s">
        <v>25</v>
      </c>
      <c r="E146" s="169">
        <f>2+1</f>
        <v>3</v>
      </c>
      <c r="F146" s="169">
        <v>3</v>
      </c>
      <c r="G146" s="164">
        <f t="shared" si="43"/>
        <v>3</v>
      </c>
      <c r="H146" s="169">
        <v>3</v>
      </c>
      <c r="I146" s="169">
        <v>3</v>
      </c>
      <c r="J146" s="61">
        <f>K146</f>
        <v>113140.45</v>
      </c>
      <c r="K146" s="61">
        <v>113140.45</v>
      </c>
      <c r="L146" s="164" t="s">
        <v>27</v>
      </c>
      <c r="M146" s="164" t="s">
        <v>27</v>
      </c>
      <c r="N146" s="6">
        <f>O146</f>
        <v>339421.35</v>
      </c>
      <c r="O146" s="6">
        <f t="shared" ref="O146:O149" si="46">G146*K146</f>
        <v>339421.35</v>
      </c>
      <c r="P146" s="164" t="s">
        <v>27</v>
      </c>
      <c r="Q146" s="164"/>
      <c r="R146" s="164" t="s">
        <v>27</v>
      </c>
      <c r="S146" s="164"/>
      <c r="T146" s="61">
        <f>H146*K146</f>
        <v>339421.35</v>
      </c>
      <c r="U146" s="61">
        <f>I146*K146</f>
        <v>339421.35</v>
      </c>
    </row>
    <row r="147" spans="1:27" x14ac:dyDescent="0.25">
      <c r="A147" s="251"/>
      <c r="B147" s="367"/>
      <c r="C147" s="207" t="s">
        <v>32</v>
      </c>
      <c r="D147" s="37" t="s">
        <v>25</v>
      </c>
      <c r="E147" s="169">
        <v>3</v>
      </c>
      <c r="F147" s="169">
        <v>3</v>
      </c>
      <c r="G147" s="164">
        <f t="shared" si="43"/>
        <v>3</v>
      </c>
      <c r="H147" s="169">
        <v>3</v>
      </c>
      <c r="I147" s="169">
        <v>3</v>
      </c>
      <c r="J147" s="61">
        <f>K147</f>
        <v>278306.15999999997</v>
      </c>
      <c r="K147" s="61">
        <v>278306.15999999997</v>
      </c>
      <c r="L147" s="164" t="s">
        <v>27</v>
      </c>
      <c r="M147" s="164" t="s">
        <v>27</v>
      </c>
      <c r="N147" s="6">
        <f>O147</f>
        <v>834918.48</v>
      </c>
      <c r="O147" s="6">
        <f t="shared" si="46"/>
        <v>834918.48</v>
      </c>
      <c r="P147" s="164" t="s">
        <v>27</v>
      </c>
      <c r="Q147" s="164"/>
      <c r="R147" s="164"/>
      <c r="S147" s="164"/>
      <c r="T147" s="61">
        <f>H147*K147</f>
        <v>834918.48</v>
      </c>
      <c r="U147" s="61">
        <f>I147*K147</f>
        <v>834918.48</v>
      </c>
    </row>
    <row r="148" spans="1:27" x14ac:dyDescent="0.25">
      <c r="A148" s="251"/>
      <c r="B148" s="367"/>
      <c r="C148" s="207" t="s">
        <v>34</v>
      </c>
      <c r="D148" s="37" t="s">
        <v>25</v>
      </c>
      <c r="E148" s="169">
        <v>1</v>
      </c>
      <c r="F148" s="169">
        <v>1</v>
      </c>
      <c r="G148" s="164">
        <f t="shared" si="43"/>
        <v>1</v>
      </c>
      <c r="H148" s="169">
        <v>1</v>
      </c>
      <c r="I148" s="169">
        <v>1</v>
      </c>
      <c r="J148" s="61">
        <f>K148</f>
        <v>25927.38</v>
      </c>
      <c r="K148" s="61">
        <v>25927.38</v>
      </c>
      <c r="L148" s="164" t="s">
        <v>27</v>
      </c>
      <c r="M148" s="164" t="s">
        <v>27</v>
      </c>
      <c r="N148" s="6">
        <f>O148</f>
        <v>25927.38</v>
      </c>
      <c r="O148" s="6">
        <f t="shared" si="46"/>
        <v>25927.38</v>
      </c>
      <c r="P148" s="164" t="s">
        <v>27</v>
      </c>
      <c r="Q148" s="164"/>
      <c r="R148" s="164"/>
      <c r="S148" s="164"/>
      <c r="T148" s="61">
        <f>H148*K148</f>
        <v>25927.38</v>
      </c>
      <c r="U148" s="61">
        <f>I148*K148</f>
        <v>25927.38</v>
      </c>
    </row>
    <row r="149" spans="1:27" x14ac:dyDescent="0.25">
      <c r="A149" s="251"/>
      <c r="B149" s="367"/>
      <c r="C149" s="207" t="s">
        <v>35</v>
      </c>
      <c r="D149" s="37" t="s">
        <v>25</v>
      </c>
      <c r="E149" s="169">
        <v>6</v>
      </c>
      <c r="F149" s="169">
        <v>6</v>
      </c>
      <c r="G149" s="164">
        <f t="shared" si="43"/>
        <v>6</v>
      </c>
      <c r="H149" s="169">
        <v>6</v>
      </c>
      <c r="I149" s="169">
        <v>6</v>
      </c>
      <c r="J149" s="61">
        <f>K149</f>
        <v>18833.28</v>
      </c>
      <c r="K149" s="61">
        <v>18833.28</v>
      </c>
      <c r="L149" s="164" t="s">
        <v>27</v>
      </c>
      <c r="M149" s="164" t="s">
        <v>27</v>
      </c>
      <c r="N149" s="6">
        <f>O149</f>
        <v>112999.67999999999</v>
      </c>
      <c r="O149" s="6">
        <f t="shared" si="46"/>
        <v>112999.67999999999</v>
      </c>
      <c r="P149" s="164" t="s">
        <v>27</v>
      </c>
      <c r="Q149" s="164"/>
      <c r="R149" s="164" t="s">
        <v>27</v>
      </c>
      <c r="S149" s="164"/>
      <c r="T149" s="61">
        <f>H149*K149</f>
        <v>112999.67999999999</v>
      </c>
      <c r="U149" s="61">
        <f>I149*K149</f>
        <v>112999.67999999999</v>
      </c>
    </row>
    <row r="150" spans="1:27" ht="82.9" customHeight="1" x14ac:dyDescent="0.25">
      <c r="A150" s="251"/>
      <c r="B150" s="368"/>
      <c r="C150" s="207" t="s">
        <v>36</v>
      </c>
      <c r="D150" s="37" t="s">
        <v>25</v>
      </c>
      <c r="E150" s="169">
        <v>3</v>
      </c>
      <c r="F150" s="169">
        <v>3</v>
      </c>
      <c r="G150" s="164">
        <f t="shared" si="43"/>
        <v>3</v>
      </c>
      <c r="H150" s="169">
        <v>3</v>
      </c>
      <c r="I150" s="169">
        <v>3</v>
      </c>
      <c r="J150" s="61">
        <f>SUM(K150:M150)</f>
        <v>350093.07</v>
      </c>
      <c r="K150" s="61">
        <f>313415.16+3966.89</f>
        <v>317382.05</v>
      </c>
      <c r="L150" s="6">
        <v>11940.7</v>
      </c>
      <c r="M150" s="165">
        <v>20770.32</v>
      </c>
      <c r="N150" s="61">
        <f>SUM(O150:R150)</f>
        <v>1049493.45</v>
      </c>
      <c r="O150" s="6">
        <f>G150*K150</f>
        <v>952146.14999999991</v>
      </c>
      <c r="P150" s="6">
        <f>(E150*11678.78/12*8)+(F150*11678.78/12*4)</f>
        <v>35036.340000000004</v>
      </c>
      <c r="Q150" s="61"/>
      <c r="R150" s="61">
        <f>G150*M150</f>
        <v>62310.96</v>
      </c>
      <c r="S150" s="61"/>
      <c r="T150" s="61">
        <f>N150</f>
        <v>1049493.45</v>
      </c>
      <c r="U150" s="61">
        <f>T150</f>
        <v>1049493.45</v>
      </c>
    </row>
    <row r="151" spans="1:27" ht="18.600000000000001" customHeight="1" x14ac:dyDescent="0.25">
      <c r="A151" s="251"/>
      <c r="B151" s="369"/>
      <c r="C151" s="373" t="s">
        <v>59</v>
      </c>
      <c r="D151" s="207" t="s">
        <v>60</v>
      </c>
      <c r="E151" s="4">
        <v>10</v>
      </c>
      <c r="F151" s="4">
        <v>10</v>
      </c>
      <c r="G151" s="353">
        <f t="shared" si="43"/>
        <v>10</v>
      </c>
      <c r="H151" s="4">
        <v>10</v>
      </c>
      <c r="I151" s="4">
        <v>10</v>
      </c>
      <c r="J151" s="12">
        <f>SUM(K151:M151)</f>
        <v>234360</v>
      </c>
      <c r="K151" s="12">
        <f>10000*1.5*1.302*12</f>
        <v>234360</v>
      </c>
      <c r="L151" s="7"/>
      <c r="M151" s="7"/>
      <c r="N151" s="12">
        <f>SUM(O151:R151)</f>
        <v>2343600</v>
      </c>
      <c r="O151" s="7">
        <f>G151*K151</f>
        <v>2343600</v>
      </c>
      <c r="P151" s="7"/>
      <c r="Q151" s="12"/>
      <c r="R151" s="12"/>
      <c r="S151" s="12"/>
      <c r="T151" s="12">
        <f>H151*K151-2343600</f>
        <v>0</v>
      </c>
      <c r="U151" s="12">
        <f>I151*K151-2343600</f>
        <v>0</v>
      </c>
    </row>
    <row r="152" spans="1:27" ht="25.9" customHeight="1" x14ac:dyDescent="0.25">
      <c r="A152" s="251"/>
      <c r="B152" s="369"/>
      <c r="C152" s="373" t="s">
        <v>39</v>
      </c>
      <c r="D152" s="207"/>
      <c r="E152" s="218">
        <f>E142+E143+E150</f>
        <v>268</v>
      </c>
      <c r="F152" s="218">
        <f>F142+F143+F150</f>
        <v>268</v>
      </c>
      <c r="G152" s="218">
        <f>G142+G143+G150</f>
        <v>268</v>
      </c>
      <c r="H152" s="218">
        <f>H142+H143+H150</f>
        <v>268</v>
      </c>
      <c r="I152" s="218">
        <f>I142+I143+I150</f>
        <v>268</v>
      </c>
      <c r="J152" s="12" t="s">
        <v>27</v>
      </c>
      <c r="K152" s="12" t="s">
        <v>27</v>
      </c>
      <c r="L152" s="12" t="s">
        <v>27</v>
      </c>
      <c r="M152" s="12" t="s">
        <v>27</v>
      </c>
      <c r="N152" s="160">
        <f>SUM(N142:N151)</f>
        <v>25730954.399999999</v>
      </c>
      <c r="O152" s="160">
        <f t="shared" ref="O152:U152" si="47">SUM(O142:O151)</f>
        <v>17034595.600000001</v>
      </c>
      <c r="P152" s="160">
        <f t="shared" si="47"/>
        <v>3129913.04</v>
      </c>
      <c r="Q152" s="160">
        <f t="shared" si="47"/>
        <v>0</v>
      </c>
      <c r="R152" s="160">
        <f t="shared" si="47"/>
        <v>5566445.7599999998</v>
      </c>
      <c r="S152" s="160">
        <f t="shared" si="47"/>
        <v>0</v>
      </c>
      <c r="T152" s="160">
        <f t="shared" si="47"/>
        <v>23442619.52</v>
      </c>
      <c r="U152" s="160">
        <f t="shared" si="47"/>
        <v>23442619.52</v>
      </c>
      <c r="W152" s="1" t="s">
        <v>383</v>
      </c>
    </row>
    <row r="153" spans="1:27" ht="73.150000000000006" customHeight="1" x14ac:dyDescent="0.25">
      <c r="A153" s="251"/>
      <c r="B153" s="366" t="s">
        <v>595</v>
      </c>
      <c r="C153" s="361" t="s">
        <v>24</v>
      </c>
      <c r="D153" s="37" t="s">
        <v>25</v>
      </c>
      <c r="E153" s="169">
        <v>43</v>
      </c>
      <c r="F153" s="169">
        <v>43</v>
      </c>
      <c r="G153" s="164">
        <f>((E153*8)+(F153*4))/12</f>
        <v>43</v>
      </c>
      <c r="H153" s="169">
        <v>43</v>
      </c>
      <c r="I153" s="169">
        <v>43</v>
      </c>
      <c r="J153" s="6">
        <f>SUM(K153:M153)</f>
        <v>86375.62</v>
      </c>
      <c r="K153" s="6">
        <f>49557.18+4107.42</f>
        <v>53664.6</v>
      </c>
      <c r="L153" s="6">
        <v>11940.7</v>
      </c>
      <c r="M153" s="165">
        <v>20770.32</v>
      </c>
      <c r="N153" s="61">
        <f>SUM(O153:R153)</f>
        <v>3702889.0999999996</v>
      </c>
      <c r="O153" s="61">
        <f>G153*K153</f>
        <v>2307577.7999999998</v>
      </c>
      <c r="P153" s="6">
        <f>(E153*11678.78/12*8)+(F153*11678.78/12*4)</f>
        <v>502187.54000000004</v>
      </c>
      <c r="Q153" s="61"/>
      <c r="R153" s="61">
        <f>G153*M153</f>
        <v>893123.76</v>
      </c>
      <c r="S153" s="61"/>
      <c r="T153" s="61">
        <f>W153</f>
        <v>3714151.66</v>
      </c>
      <c r="U153" s="61">
        <f>T153</f>
        <v>3714151.66</v>
      </c>
      <c r="W153" s="61">
        <f>SUM(X153:AA153)</f>
        <v>3714151.66</v>
      </c>
      <c r="X153" s="61">
        <f>H153*K153</f>
        <v>2307577.7999999998</v>
      </c>
      <c r="Y153" s="6">
        <f>H153*L153</f>
        <v>513450.10000000003</v>
      </c>
      <c r="Z153" s="61">
        <f>H153*M153</f>
        <v>893123.76</v>
      </c>
      <c r="AA153" s="61">
        <f>P153*V153</f>
        <v>0</v>
      </c>
    </row>
    <row r="154" spans="1:27" ht="90" x14ac:dyDescent="0.25">
      <c r="A154" s="251"/>
      <c r="B154" s="367"/>
      <c r="C154" s="363" t="s">
        <v>26</v>
      </c>
      <c r="D154" s="37" t="s">
        <v>25</v>
      </c>
      <c r="E154" s="164" t="s">
        <v>27</v>
      </c>
      <c r="F154" s="164" t="s">
        <v>27</v>
      </c>
      <c r="G154" s="164" t="s">
        <v>27</v>
      </c>
      <c r="H154" s="164" t="s">
        <v>27</v>
      </c>
      <c r="I154" s="164" t="s">
        <v>27</v>
      </c>
      <c r="J154" s="164" t="s">
        <v>27</v>
      </c>
      <c r="K154" s="164" t="s">
        <v>27</v>
      </c>
      <c r="L154" s="164" t="s">
        <v>27</v>
      </c>
      <c r="M154" s="164" t="s">
        <v>27</v>
      </c>
      <c r="N154" s="6"/>
      <c r="O154" s="6"/>
      <c r="P154" s="164" t="s">
        <v>27</v>
      </c>
      <c r="Q154" s="164"/>
      <c r="R154" s="164" t="s">
        <v>27</v>
      </c>
      <c r="S154" s="164"/>
      <c r="T154" s="61"/>
      <c r="U154" s="61"/>
    </row>
    <row r="155" spans="1:27" x14ac:dyDescent="0.25">
      <c r="A155" s="251"/>
      <c r="B155" s="367"/>
      <c r="C155" s="363" t="s">
        <v>30</v>
      </c>
      <c r="D155" s="37" t="s">
        <v>25</v>
      </c>
      <c r="E155" s="169">
        <f>1-1</f>
        <v>0</v>
      </c>
      <c r="F155" s="169">
        <f>1-1</f>
        <v>0</v>
      </c>
      <c r="G155" s="164">
        <f>((E155*8)+(F155*4))/12</f>
        <v>0</v>
      </c>
      <c r="H155" s="169">
        <v>0</v>
      </c>
      <c r="I155" s="169">
        <v>0</v>
      </c>
      <c r="J155" s="61">
        <f>K155</f>
        <v>115351.56</v>
      </c>
      <c r="K155" s="61">
        <v>115351.56</v>
      </c>
      <c r="L155" s="164" t="s">
        <v>27</v>
      </c>
      <c r="M155" s="164" t="s">
        <v>27</v>
      </c>
      <c r="N155" s="6">
        <f>O155</f>
        <v>0</v>
      </c>
      <c r="O155" s="6">
        <f>G155*K155</f>
        <v>0</v>
      </c>
      <c r="P155" s="164" t="s">
        <v>27</v>
      </c>
      <c r="Q155" s="164"/>
      <c r="R155" s="164" t="s">
        <v>27</v>
      </c>
      <c r="S155" s="164"/>
      <c r="T155" s="61">
        <f>H155*K155</f>
        <v>0</v>
      </c>
      <c r="U155" s="61">
        <f>I155*K155</f>
        <v>0</v>
      </c>
    </row>
    <row r="156" spans="1:27" ht="82.9" customHeight="1" x14ac:dyDescent="0.25">
      <c r="A156" s="251"/>
      <c r="B156" s="368"/>
      <c r="C156" s="363" t="s">
        <v>36</v>
      </c>
      <c r="D156" s="37" t="s">
        <v>25</v>
      </c>
      <c r="E156" s="169"/>
      <c r="F156" s="169">
        <v>0</v>
      </c>
      <c r="G156" s="352">
        <f>((E156*8)+(F156*4))/12</f>
        <v>0</v>
      </c>
      <c r="H156" s="169">
        <v>0</v>
      </c>
      <c r="I156" s="169">
        <v>0</v>
      </c>
      <c r="J156" s="61">
        <f>SUM(K156:M156)</f>
        <v>363638.88</v>
      </c>
      <c r="K156" s="61">
        <f>348026.99+3671.19</f>
        <v>351698.18</v>
      </c>
      <c r="L156" s="6">
        <v>11940.7</v>
      </c>
      <c r="M156" s="6">
        <v>0</v>
      </c>
      <c r="N156" s="61">
        <f>SUM(O156:R156)</f>
        <v>0</v>
      </c>
      <c r="O156" s="61">
        <f>K156*G156</f>
        <v>0</v>
      </c>
      <c r="P156" s="61">
        <f>L156*G156</f>
        <v>0</v>
      </c>
      <c r="Q156" s="61"/>
      <c r="R156" s="61"/>
      <c r="S156" s="61"/>
      <c r="T156" s="61">
        <f>H156*J156</f>
        <v>0</v>
      </c>
      <c r="U156" s="61">
        <f>I156*J156</f>
        <v>0</v>
      </c>
    </row>
    <row r="157" spans="1:27" ht="17.45" customHeight="1" x14ac:dyDescent="0.25">
      <c r="A157" s="251"/>
      <c r="B157" s="369"/>
      <c r="C157" s="163" t="s">
        <v>59</v>
      </c>
      <c r="D157" s="37" t="s">
        <v>60</v>
      </c>
      <c r="E157" s="169">
        <v>2</v>
      </c>
      <c r="F157" s="169">
        <v>2</v>
      </c>
      <c r="G157" s="352">
        <f>((E157*8)+(F157*4))/12</f>
        <v>2</v>
      </c>
      <c r="H157" s="169">
        <v>2</v>
      </c>
      <c r="I157" s="169">
        <v>2</v>
      </c>
      <c r="J157" s="61">
        <f>SUM(K157:M157)</f>
        <v>234360</v>
      </c>
      <c r="K157" s="61">
        <f>10000*1.5*1.302*12</f>
        <v>234360</v>
      </c>
      <c r="L157" s="6"/>
      <c r="M157" s="6"/>
      <c r="N157" s="61">
        <f>SUM(O157:R157)</f>
        <v>468720</v>
      </c>
      <c r="O157" s="61">
        <f>K157*G157</f>
        <v>468720</v>
      </c>
      <c r="P157" s="61"/>
      <c r="Q157" s="61"/>
      <c r="R157" s="61"/>
      <c r="S157" s="61"/>
      <c r="T157" s="61">
        <f>H157*K157-468720</f>
        <v>0</v>
      </c>
      <c r="U157" s="61">
        <f>I157*K157-468720</f>
        <v>0</v>
      </c>
    </row>
    <row r="158" spans="1:27" ht="27.6" customHeight="1" x14ac:dyDescent="0.25">
      <c r="A158" s="251"/>
      <c r="B158" s="369"/>
      <c r="C158" s="163" t="s">
        <v>39</v>
      </c>
      <c r="D158" s="37"/>
      <c r="E158" s="217">
        <f>E153+E156</f>
        <v>43</v>
      </c>
      <c r="F158" s="217">
        <f>F153+F156</f>
        <v>43</v>
      </c>
      <c r="G158" s="217">
        <f>G153+G156</f>
        <v>43</v>
      </c>
      <c r="H158" s="217">
        <f>H153+H156</f>
        <v>43</v>
      </c>
      <c r="I158" s="217">
        <f>I153+I156</f>
        <v>43</v>
      </c>
      <c r="J158" s="61" t="s">
        <v>27</v>
      </c>
      <c r="K158" s="61" t="s">
        <v>27</v>
      </c>
      <c r="L158" s="61" t="s">
        <v>27</v>
      </c>
      <c r="M158" s="61" t="s">
        <v>27</v>
      </c>
      <c r="N158" s="62">
        <f>SUM(N153:N157)</f>
        <v>4171609.0999999996</v>
      </c>
      <c r="O158" s="62">
        <f t="shared" ref="O158:U158" si="48">SUM(O153:O157)</f>
        <v>2776297.8</v>
      </c>
      <c r="P158" s="62">
        <f t="shared" si="48"/>
        <v>502187.54000000004</v>
      </c>
      <c r="Q158" s="62">
        <f t="shared" si="48"/>
        <v>0</v>
      </c>
      <c r="R158" s="62">
        <f t="shared" si="48"/>
        <v>893123.76</v>
      </c>
      <c r="S158" s="62">
        <f t="shared" si="48"/>
        <v>0</v>
      </c>
      <c r="T158" s="62">
        <f t="shared" si="48"/>
        <v>3714151.66</v>
      </c>
      <c r="U158" s="62">
        <f t="shared" si="48"/>
        <v>3714151.66</v>
      </c>
    </row>
    <row r="159" spans="1:27" ht="52.9" customHeight="1" x14ac:dyDescent="0.25">
      <c r="A159" s="251"/>
      <c r="B159" s="247" t="s">
        <v>319</v>
      </c>
      <c r="C159" s="375" t="s">
        <v>42</v>
      </c>
      <c r="D159" s="37" t="s">
        <v>25</v>
      </c>
      <c r="E159" s="169">
        <f>884+263</f>
        <v>1147</v>
      </c>
      <c r="F159" s="169">
        <f>884+263</f>
        <v>1147</v>
      </c>
      <c r="G159" s="164">
        <f>((E159*8)+(F159*4))/12</f>
        <v>1147</v>
      </c>
      <c r="H159" s="169">
        <f>884+263</f>
        <v>1147</v>
      </c>
      <c r="I159" s="169">
        <f>884+263</f>
        <v>1147</v>
      </c>
      <c r="J159" s="61">
        <f>K159</f>
        <v>4592.9799999999996</v>
      </c>
      <c r="K159" s="61">
        <v>4592.9799999999996</v>
      </c>
      <c r="L159" s="61" t="s">
        <v>27</v>
      </c>
      <c r="M159" s="61" t="s">
        <v>27</v>
      </c>
      <c r="N159" s="61">
        <f>SUM(O159:R159)</f>
        <v>5268148.0599999996</v>
      </c>
      <c r="O159" s="61">
        <f>G159*K159</f>
        <v>5268148.0599999996</v>
      </c>
      <c r="P159" s="61" t="s">
        <v>27</v>
      </c>
      <c r="Q159" s="61"/>
      <c r="R159" s="61" t="s">
        <v>27</v>
      </c>
      <c r="S159" s="61"/>
      <c r="T159" s="61">
        <f>H159*J159</f>
        <v>5268148.0599999996</v>
      </c>
      <c r="U159" s="61">
        <f t="shared" ref="U159:U168" si="49">T159</f>
        <v>5268148.0599999996</v>
      </c>
    </row>
    <row r="160" spans="1:27" ht="48" customHeight="1" x14ac:dyDescent="0.25">
      <c r="A160" s="251"/>
      <c r="B160" s="248"/>
      <c r="C160" s="376"/>
      <c r="D160" s="37" t="s">
        <v>232</v>
      </c>
      <c r="E160" s="61">
        <v>46667</v>
      </c>
      <c r="F160" s="61">
        <v>46667</v>
      </c>
      <c r="G160" s="164">
        <f>((E160*8)+(F160*4))/12</f>
        <v>46667</v>
      </c>
      <c r="H160" s="61">
        <v>46667</v>
      </c>
      <c r="I160" s="61">
        <v>46667</v>
      </c>
      <c r="J160" s="61">
        <f>K160</f>
        <v>112.88808065656673</v>
      </c>
      <c r="K160" s="61">
        <f>N160/G160</f>
        <v>112.88808065656673</v>
      </c>
      <c r="L160" s="61" t="s">
        <v>27</v>
      </c>
      <c r="M160" s="61" t="s">
        <v>27</v>
      </c>
      <c r="N160" s="61">
        <f>N159</f>
        <v>5268148.0599999996</v>
      </c>
      <c r="O160" s="61">
        <f>O159</f>
        <v>5268148.0599999996</v>
      </c>
      <c r="P160" s="61" t="s">
        <v>27</v>
      </c>
      <c r="Q160" s="61"/>
      <c r="R160" s="61" t="s">
        <v>27</v>
      </c>
      <c r="S160" s="61"/>
      <c r="T160" s="61">
        <f>T159/G160*H160</f>
        <v>5268148.0599999996</v>
      </c>
      <c r="U160" s="61">
        <f>U159/G160*I160</f>
        <v>5268148.0599999996</v>
      </c>
    </row>
    <row r="161" spans="1:28" ht="18.600000000000001" customHeight="1" x14ac:dyDescent="0.25">
      <c r="A161" s="251"/>
      <c r="B161" s="232"/>
      <c r="C161" s="373" t="s">
        <v>39</v>
      </c>
      <c r="D161" s="10"/>
      <c r="E161" s="169">
        <f>SUM(E159:E159)</f>
        <v>1147</v>
      </c>
      <c r="F161" s="169">
        <f>SUM(F159:F159)</f>
        <v>1147</v>
      </c>
      <c r="G161" s="169">
        <f>SUM(G159:G159)</f>
        <v>1147</v>
      </c>
      <c r="H161" s="169">
        <f>SUM(H159:H159)</f>
        <v>1147</v>
      </c>
      <c r="I161" s="169">
        <f>SUM(I159:I159)</f>
        <v>1147</v>
      </c>
      <c r="J161" s="61" t="s">
        <v>27</v>
      </c>
      <c r="K161" s="61" t="s">
        <v>27</v>
      </c>
      <c r="L161" s="61" t="s">
        <v>27</v>
      </c>
      <c r="M161" s="61">
        <f t="shared" ref="M161:R161" si="50">SUM(M159:M159)</f>
        <v>0</v>
      </c>
      <c r="N161" s="62">
        <f>SUM(N159:N159)</f>
        <v>5268148.0599999996</v>
      </c>
      <c r="O161" s="61">
        <f t="shared" si="50"/>
        <v>5268148.0599999996</v>
      </c>
      <c r="P161" s="61">
        <f t="shared" si="50"/>
        <v>0</v>
      </c>
      <c r="Q161" s="61"/>
      <c r="R161" s="61">
        <f t="shared" si="50"/>
        <v>0</v>
      </c>
      <c r="S161" s="61"/>
      <c r="T161" s="61">
        <f>N159</f>
        <v>5268148.0599999996</v>
      </c>
      <c r="U161" s="61">
        <f>T159</f>
        <v>5268148.0599999996</v>
      </c>
      <c r="V161" s="8"/>
      <c r="W161" s="8"/>
      <c r="X161" s="8"/>
    </row>
    <row r="162" spans="1:28" ht="28.5" x14ac:dyDescent="0.25">
      <c r="A162" s="251"/>
      <c r="B162" s="166" t="s">
        <v>46</v>
      </c>
      <c r="C162" s="9" t="s">
        <v>45</v>
      </c>
      <c r="D162" s="345" t="s">
        <v>47</v>
      </c>
      <c r="E162" s="169"/>
      <c r="F162" s="169"/>
      <c r="G162" s="164">
        <f>((E162*8)+(F162*4))/12</f>
        <v>0</v>
      </c>
      <c r="H162" s="169"/>
      <c r="I162" s="169"/>
      <c r="J162" s="61"/>
      <c r="K162" s="61"/>
      <c r="L162" s="61">
        <v>233978.27</v>
      </c>
      <c r="M162" s="61"/>
      <c r="N162" s="61">
        <f>P162</f>
        <v>0</v>
      </c>
      <c r="O162" s="61"/>
      <c r="P162" s="61">
        <f>G162*L162</f>
        <v>0</v>
      </c>
      <c r="Q162" s="61"/>
      <c r="R162" s="61"/>
      <c r="S162" s="61"/>
      <c r="T162" s="61">
        <f>P162</f>
        <v>0</v>
      </c>
      <c r="U162" s="61">
        <f t="shared" si="49"/>
        <v>0</v>
      </c>
      <c r="V162" s="8"/>
      <c r="W162" s="8"/>
    </row>
    <row r="163" spans="1:28" ht="28.5" hidden="1" x14ac:dyDescent="0.25">
      <c r="A163" s="251"/>
      <c r="B163" s="166" t="s">
        <v>46</v>
      </c>
      <c r="C163" s="9" t="s">
        <v>45</v>
      </c>
      <c r="D163" s="345" t="s">
        <v>47</v>
      </c>
      <c r="E163" s="169"/>
      <c r="F163" s="169"/>
      <c r="G163" s="164">
        <f t="shared" ref="G163:G166" si="51">((E163*8)+(F163*4))/12</f>
        <v>0</v>
      </c>
      <c r="H163" s="169">
        <v>14</v>
      </c>
      <c r="I163" s="169">
        <v>14</v>
      </c>
      <c r="J163" s="61"/>
      <c r="K163" s="61"/>
      <c r="L163" s="61"/>
      <c r="M163" s="61"/>
      <c r="N163" s="61">
        <f t="shared" ref="N163:N166" si="52">P163</f>
        <v>0</v>
      </c>
      <c r="O163" s="61"/>
      <c r="P163" s="61">
        <f t="shared" ref="P163:P166" si="53">G163*L163</f>
        <v>0</v>
      </c>
      <c r="Q163" s="61"/>
      <c r="R163" s="61"/>
      <c r="S163" s="61"/>
      <c r="T163" s="61"/>
      <c r="U163" s="61">
        <f t="shared" si="49"/>
        <v>0</v>
      </c>
    </row>
    <row r="164" spans="1:28" ht="28.5" hidden="1" x14ac:dyDescent="0.25">
      <c r="A164" s="251"/>
      <c r="B164" s="166" t="s">
        <v>46</v>
      </c>
      <c r="C164" s="9" t="s">
        <v>45</v>
      </c>
      <c r="D164" s="345" t="s">
        <v>47</v>
      </c>
      <c r="E164" s="169"/>
      <c r="F164" s="169"/>
      <c r="G164" s="164">
        <f t="shared" si="51"/>
        <v>0</v>
      </c>
      <c r="H164" s="169"/>
      <c r="I164" s="169"/>
      <c r="J164" s="61"/>
      <c r="K164" s="61"/>
      <c r="L164" s="61"/>
      <c r="M164" s="61"/>
      <c r="N164" s="61">
        <f t="shared" si="52"/>
        <v>0</v>
      </c>
      <c r="O164" s="61"/>
      <c r="P164" s="61">
        <f t="shared" si="53"/>
        <v>0</v>
      </c>
      <c r="Q164" s="61"/>
      <c r="R164" s="61"/>
      <c r="S164" s="61"/>
      <c r="T164" s="61">
        <f>Q164</f>
        <v>0</v>
      </c>
      <c r="U164" s="61">
        <f t="shared" si="49"/>
        <v>0</v>
      </c>
    </row>
    <row r="165" spans="1:28" ht="28.5" hidden="1" x14ac:dyDescent="0.25">
      <c r="A165" s="251"/>
      <c r="B165" s="166" t="s">
        <v>46</v>
      </c>
      <c r="C165" s="9" t="s">
        <v>45</v>
      </c>
      <c r="D165" s="345" t="s">
        <v>47</v>
      </c>
      <c r="E165" s="169"/>
      <c r="F165" s="169"/>
      <c r="G165" s="164">
        <f t="shared" si="51"/>
        <v>0</v>
      </c>
      <c r="H165" s="169">
        <v>14</v>
      </c>
      <c r="I165" s="169">
        <v>14</v>
      </c>
      <c r="J165" s="61"/>
      <c r="K165" s="61"/>
      <c r="L165" s="61"/>
      <c r="M165" s="61"/>
      <c r="N165" s="61">
        <f t="shared" si="52"/>
        <v>0</v>
      </c>
      <c r="O165" s="61"/>
      <c r="P165" s="61">
        <f t="shared" si="53"/>
        <v>0</v>
      </c>
      <c r="Q165" s="61"/>
      <c r="R165" s="61"/>
      <c r="S165" s="61"/>
      <c r="T165" s="61"/>
      <c r="U165" s="61"/>
    </row>
    <row r="166" spans="1:28" ht="28.5" x14ac:dyDescent="0.25">
      <c r="A166" s="251"/>
      <c r="B166" s="166" t="s">
        <v>46</v>
      </c>
      <c r="C166" s="9" t="s">
        <v>45</v>
      </c>
      <c r="D166" s="345" t="s">
        <v>47</v>
      </c>
      <c r="E166" s="169">
        <v>9</v>
      </c>
      <c r="F166" s="169">
        <v>9</v>
      </c>
      <c r="G166" s="164">
        <f t="shared" si="51"/>
        <v>9</v>
      </c>
      <c r="H166" s="169">
        <v>9</v>
      </c>
      <c r="I166" s="169">
        <v>9</v>
      </c>
      <c r="J166" s="61"/>
      <c r="K166" s="61"/>
      <c r="L166" s="61">
        <v>294556.87</v>
      </c>
      <c r="M166" s="61"/>
      <c r="N166" s="61">
        <f t="shared" si="52"/>
        <v>2651011.83</v>
      </c>
      <c r="O166" s="61"/>
      <c r="P166" s="61">
        <f t="shared" si="53"/>
        <v>2651011.83</v>
      </c>
      <c r="Q166" s="61"/>
      <c r="R166" s="61"/>
      <c r="S166" s="61"/>
      <c r="T166" s="61"/>
      <c r="U166" s="61"/>
    </row>
    <row r="167" spans="1:28" ht="14.45" customHeight="1" x14ac:dyDescent="0.25">
      <c r="A167" s="251"/>
      <c r="B167" s="9" t="s">
        <v>48</v>
      </c>
      <c r="C167" s="9" t="s">
        <v>45</v>
      </c>
      <c r="D167" s="37"/>
      <c r="E167" s="169">
        <v>20</v>
      </c>
      <c r="F167" s="169">
        <v>20</v>
      </c>
      <c r="G167" s="169">
        <v>20</v>
      </c>
      <c r="H167" s="169">
        <v>20</v>
      </c>
      <c r="I167" s="169">
        <v>20</v>
      </c>
      <c r="J167" s="61"/>
      <c r="K167" s="61"/>
      <c r="L167" s="61"/>
      <c r="M167" s="61"/>
      <c r="N167" s="61">
        <f>SUM(O167:R167)</f>
        <v>4687200</v>
      </c>
      <c r="O167" s="61">
        <f>O157+O151+O140</f>
        <v>4687200</v>
      </c>
      <c r="P167" s="61"/>
      <c r="Q167" s="61"/>
      <c r="R167" s="61"/>
      <c r="S167" s="61"/>
      <c r="T167" s="61">
        <f>T157+T151+T140</f>
        <v>0</v>
      </c>
      <c r="U167" s="61">
        <f>U157+U151+U140</f>
        <v>0</v>
      </c>
    </row>
    <row r="168" spans="1:28" hidden="1" x14ac:dyDescent="0.25">
      <c r="A168" s="251"/>
      <c r="B168" s="9" t="s">
        <v>49</v>
      </c>
      <c r="C168" s="9" t="s">
        <v>45</v>
      </c>
      <c r="D168" s="37"/>
      <c r="E168" s="169"/>
      <c r="F168" s="169"/>
      <c r="G168" s="169"/>
      <c r="H168" s="169"/>
      <c r="I168" s="169"/>
      <c r="J168" s="61"/>
      <c r="K168" s="61"/>
      <c r="L168" s="61"/>
      <c r="M168" s="61"/>
      <c r="N168" s="61">
        <f>O168</f>
        <v>0</v>
      </c>
      <c r="O168" s="61"/>
      <c r="P168" s="61"/>
      <c r="Q168" s="61"/>
      <c r="R168" s="61"/>
      <c r="S168" s="61"/>
      <c r="T168" s="61">
        <f>O168</f>
        <v>0</v>
      </c>
      <c r="U168" s="61">
        <f t="shared" si="49"/>
        <v>0</v>
      </c>
    </row>
    <row r="169" spans="1:28" hidden="1" x14ac:dyDescent="0.25">
      <c r="A169" s="251"/>
      <c r="B169" s="9" t="s">
        <v>50</v>
      </c>
      <c r="C169" s="9" t="s">
        <v>45</v>
      </c>
      <c r="D169" s="37"/>
      <c r="E169" s="169"/>
      <c r="F169" s="169"/>
      <c r="G169" s="169"/>
      <c r="H169" s="169"/>
      <c r="I169" s="169"/>
      <c r="J169" s="61"/>
      <c r="K169" s="61"/>
      <c r="L169" s="61"/>
      <c r="M169" s="61"/>
      <c r="N169" s="61">
        <f>P169</f>
        <v>0</v>
      </c>
      <c r="O169" s="61"/>
      <c r="P169" s="61"/>
      <c r="Q169" s="61"/>
      <c r="R169" s="61"/>
      <c r="S169" s="61"/>
      <c r="T169" s="61"/>
      <c r="U169" s="61">
        <f>T169</f>
        <v>0</v>
      </c>
    </row>
    <row r="170" spans="1:28" ht="26.45" customHeight="1" x14ac:dyDescent="0.25">
      <c r="A170" s="252"/>
      <c r="B170" s="9" t="s">
        <v>51</v>
      </c>
      <c r="C170" s="9"/>
      <c r="D170" s="10"/>
      <c r="E170" s="217">
        <f>E141+E152+E158</f>
        <v>522</v>
      </c>
      <c r="F170" s="217">
        <f>F141+F152+F158</f>
        <v>522</v>
      </c>
      <c r="G170" s="217">
        <f>G141+G152+G158</f>
        <v>522</v>
      </c>
      <c r="H170" s="217">
        <f>H141+H152+H158</f>
        <v>522</v>
      </c>
      <c r="I170" s="217">
        <f>I141+I152+I158</f>
        <v>522</v>
      </c>
      <c r="J170" s="62"/>
      <c r="K170" s="62"/>
      <c r="L170" s="62"/>
      <c r="M170" s="62"/>
      <c r="N170" s="62">
        <f>SUM(O170:S170)</f>
        <v>61835936.950000003</v>
      </c>
      <c r="O170" s="62">
        <f>O141+O152+O158+O161+O168</f>
        <v>42246494.920000002</v>
      </c>
      <c r="P170" s="62">
        <f>P141+P152+P158+P161+P162+P163+P164+P166+P169</f>
        <v>8747334.9900000002</v>
      </c>
      <c r="Q170" s="62">
        <f>Q141+Q152+Q158+Q161+Q162+Q163+Q164</f>
        <v>0</v>
      </c>
      <c r="R170" s="62">
        <f>R141+R152+R158+R161+R162+R163+R164+R165</f>
        <v>10842107.039999999</v>
      </c>
      <c r="S170" s="62">
        <f>S141+S152+S158+S161+S162+S163+S164+S165</f>
        <v>0</v>
      </c>
      <c r="T170" s="62">
        <f>T141+T152+T158+T161+T162+T163+T164+T165+T167+T168+T169</f>
        <v>54619517.920000002</v>
      </c>
      <c r="U170" s="62">
        <f>U141+U152+U158+U161+U162+U163+U164+U165+U167+U168+U169</f>
        <v>54619517.920000002</v>
      </c>
      <c r="X170" s="8"/>
      <c r="AB170" s="8"/>
    </row>
    <row r="171" spans="1:28" ht="73.150000000000006" customHeight="1" x14ac:dyDescent="0.25">
      <c r="A171" s="250" t="s">
        <v>62</v>
      </c>
      <c r="B171" s="366" t="s">
        <v>593</v>
      </c>
      <c r="C171" s="361" t="s">
        <v>24</v>
      </c>
      <c r="D171" s="37" t="s">
        <v>25</v>
      </c>
      <c r="E171" s="164">
        <v>309</v>
      </c>
      <c r="F171" s="164">
        <v>309</v>
      </c>
      <c r="G171" s="164">
        <f>((E171*8)+(F171*4))/12</f>
        <v>309</v>
      </c>
      <c r="H171" s="164">
        <v>309</v>
      </c>
      <c r="I171" s="164">
        <v>309</v>
      </c>
      <c r="J171" s="6">
        <f>SUM(K171:M171)</f>
        <v>63736.14</v>
      </c>
      <c r="K171" s="6">
        <f>28292.04+2981.82</f>
        <v>31273.86</v>
      </c>
      <c r="L171" s="6">
        <v>11691.96</v>
      </c>
      <c r="M171" s="165">
        <v>20770.32</v>
      </c>
      <c r="N171" s="6">
        <f>SUM(O171:R171)</f>
        <v>19694467.259999998</v>
      </c>
      <c r="O171" s="6">
        <f>G171*K171</f>
        <v>9663622.7400000002</v>
      </c>
      <c r="P171" s="6">
        <f>(E171*L171/12*8)+(F171*L171/12*4)</f>
        <v>3612815.6399999997</v>
      </c>
      <c r="Q171" s="6"/>
      <c r="R171" s="61">
        <f>G171*M171</f>
        <v>6418028.8799999999</v>
      </c>
      <c r="S171" s="61"/>
      <c r="T171" s="61">
        <f>N171</f>
        <v>19694467.259999998</v>
      </c>
      <c r="U171" s="61">
        <f>T171</f>
        <v>19694467.259999998</v>
      </c>
      <c r="AB171" s="8"/>
    </row>
    <row r="172" spans="1:28" ht="86.45" customHeight="1" x14ac:dyDescent="0.25">
      <c r="A172" s="251"/>
      <c r="B172" s="367"/>
      <c r="C172" s="361" t="s">
        <v>26</v>
      </c>
      <c r="D172" s="207" t="s">
        <v>25</v>
      </c>
      <c r="E172" s="164" t="s">
        <v>27</v>
      </c>
      <c r="F172" s="164" t="s">
        <v>27</v>
      </c>
      <c r="G172" s="164" t="s">
        <v>27</v>
      </c>
      <c r="H172" s="164" t="s">
        <v>27</v>
      </c>
      <c r="I172" s="164" t="s">
        <v>27</v>
      </c>
      <c r="J172" s="164" t="s">
        <v>27</v>
      </c>
      <c r="K172" s="164" t="s">
        <v>27</v>
      </c>
      <c r="L172" s="164" t="s">
        <v>27</v>
      </c>
      <c r="M172" s="164" t="s">
        <v>27</v>
      </c>
      <c r="N172" s="6"/>
      <c r="O172" s="6"/>
      <c r="P172" s="164" t="s">
        <v>27</v>
      </c>
      <c r="Q172" s="164"/>
      <c r="R172" s="164" t="s">
        <v>27</v>
      </c>
      <c r="S172" s="164"/>
      <c r="T172" s="61"/>
      <c r="U172" s="61"/>
      <c r="AB172" s="8"/>
    </row>
    <row r="173" spans="1:28" x14ac:dyDescent="0.25">
      <c r="A173" s="251"/>
      <c r="B173" s="367"/>
      <c r="C173" s="207" t="s">
        <v>28</v>
      </c>
      <c r="D173" s="207" t="s">
        <v>25</v>
      </c>
      <c r="E173" s="164"/>
      <c r="F173" s="164"/>
      <c r="G173" s="164"/>
      <c r="H173" s="164"/>
      <c r="I173" s="164"/>
      <c r="J173" s="61">
        <f t="shared" ref="J173:J179" si="54">K173</f>
        <v>131161.82999999999</v>
      </c>
      <c r="K173" s="6">
        <v>131161.82999999999</v>
      </c>
      <c r="L173" s="164" t="s">
        <v>27</v>
      </c>
      <c r="M173" s="164" t="s">
        <v>27</v>
      </c>
      <c r="N173" s="6">
        <f t="shared" ref="N173:N179" si="55">O173</f>
        <v>0</v>
      </c>
      <c r="O173" s="6">
        <f>G173*K173</f>
        <v>0</v>
      </c>
      <c r="P173" s="164" t="s">
        <v>27</v>
      </c>
      <c r="Q173" s="164"/>
      <c r="R173" s="164"/>
      <c r="S173" s="164"/>
      <c r="T173" s="61">
        <f t="shared" ref="T173:T179" si="56">H173*K173</f>
        <v>0</v>
      </c>
      <c r="U173" s="61">
        <f t="shared" ref="U173:U179" si="57">I173*K173</f>
        <v>0</v>
      </c>
      <c r="AB173" s="8"/>
    </row>
    <row r="174" spans="1:28" x14ac:dyDescent="0.25">
      <c r="A174" s="251"/>
      <c r="B174" s="367"/>
      <c r="C174" s="207" t="s">
        <v>29</v>
      </c>
      <c r="D174" s="207" t="s">
        <v>25</v>
      </c>
      <c r="E174" s="164">
        <v>16</v>
      </c>
      <c r="F174" s="164">
        <v>16</v>
      </c>
      <c r="G174" s="164">
        <f t="shared" ref="G174:G194" si="58">((E174*8)+(F174*4))/12</f>
        <v>16</v>
      </c>
      <c r="H174" s="164">
        <v>16</v>
      </c>
      <c r="I174" s="164">
        <v>16</v>
      </c>
      <c r="J174" s="61">
        <f t="shared" si="54"/>
        <v>148317.25</v>
      </c>
      <c r="K174" s="6">
        <v>148317.25</v>
      </c>
      <c r="L174" s="164" t="s">
        <v>27</v>
      </c>
      <c r="M174" s="164" t="s">
        <v>27</v>
      </c>
      <c r="N174" s="6">
        <f t="shared" si="55"/>
        <v>2373076</v>
      </c>
      <c r="O174" s="6">
        <f t="shared" ref="O174:O179" si="59">G174*K174</f>
        <v>2373076</v>
      </c>
      <c r="P174" s="164" t="s">
        <v>27</v>
      </c>
      <c r="Q174" s="164"/>
      <c r="R174" s="164" t="s">
        <v>27</v>
      </c>
      <c r="S174" s="164"/>
      <c r="T174" s="61">
        <f t="shared" si="56"/>
        <v>2373076</v>
      </c>
      <c r="U174" s="61">
        <f t="shared" si="57"/>
        <v>2373076</v>
      </c>
      <c r="AB174" s="8"/>
    </row>
    <row r="175" spans="1:28" x14ac:dyDescent="0.25">
      <c r="A175" s="251"/>
      <c r="B175" s="367"/>
      <c r="C175" s="207" t="s">
        <v>30</v>
      </c>
      <c r="D175" s="207" t="s">
        <v>25</v>
      </c>
      <c r="E175" s="164"/>
      <c r="F175" s="164"/>
      <c r="G175" s="164"/>
      <c r="H175" s="164"/>
      <c r="I175" s="164"/>
      <c r="J175" s="61">
        <f t="shared" si="54"/>
        <v>175051.01</v>
      </c>
      <c r="K175" s="6">
        <v>175051.01</v>
      </c>
      <c r="L175" s="164" t="s">
        <v>27</v>
      </c>
      <c r="M175" s="164" t="s">
        <v>27</v>
      </c>
      <c r="N175" s="6">
        <f t="shared" si="55"/>
        <v>0</v>
      </c>
      <c r="O175" s="6">
        <f t="shared" si="59"/>
        <v>0</v>
      </c>
      <c r="P175" s="164"/>
      <c r="Q175" s="164"/>
      <c r="R175" s="164"/>
      <c r="S175" s="164"/>
      <c r="T175" s="61">
        <f>H175*K175</f>
        <v>0</v>
      </c>
      <c r="U175" s="61">
        <f t="shared" si="57"/>
        <v>0</v>
      </c>
    </row>
    <row r="176" spans="1:28" x14ac:dyDescent="0.25">
      <c r="A176" s="251"/>
      <c r="B176" s="367"/>
      <c r="C176" s="207" t="s">
        <v>31</v>
      </c>
      <c r="D176" s="207" t="s">
        <v>25</v>
      </c>
      <c r="E176" s="164">
        <v>11</v>
      </c>
      <c r="F176" s="164">
        <v>11</v>
      </c>
      <c r="G176" s="164">
        <f t="shared" si="58"/>
        <v>11</v>
      </c>
      <c r="H176" s="164">
        <v>11</v>
      </c>
      <c r="I176" s="164">
        <v>11</v>
      </c>
      <c r="J176" s="61">
        <f t="shared" si="54"/>
        <v>146008.26</v>
      </c>
      <c r="K176" s="61">
        <v>146008.26</v>
      </c>
      <c r="L176" s="164" t="s">
        <v>27</v>
      </c>
      <c r="M176" s="164" t="s">
        <v>27</v>
      </c>
      <c r="N176" s="6">
        <f t="shared" si="55"/>
        <v>1606090.86</v>
      </c>
      <c r="O176" s="6">
        <f t="shared" si="59"/>
        <v>1606090.86</v>
      </c>
      <c r="P176" s="164" t="s">
        <v>27</v>
      </c>
      <c r="Q176" s="164"/>
      <c r="R176" s="164" t="s">
        <v>27</v>
      </c>
      <c r="S176" s="164"/>
      <c r="T176" s="61">
        <f t="shared" si="56"/>
        <v>1606090.86</v>
      </c>
      <c r="U176" s="61">
        <f t="shared" si="57"/>
        <v>1606090.86</v>
      </c>
    </row>
    <row r="177" spans="1:28" x14ac:dyDescent="0.25">
      <c r="A177" s="251"/>
      <c r="B177" s="367"/>
      <c r="C177" s="207" t="s">
        <v>32</v>
      </c>
      <c r="D177" s="207" t="s">
        <v>25</v>
      </c>
      <c r="E177" s="164"/>
      <c r="F177" s="164"/>
      <c r="G177" s="164"/>
      <c r="H177" s="164"/>
      <c r="I177" s="164"/>
      <c r="J177" s="61">
        <f t="shared" si="54"/>
        <v>165472.68</v>
      </c>
      <c r="K177" s="61">
        <v>165472.68</v>
      </c>
      <c r="L177" s="164" t="s">
        <v>27</v>
      </c>
      <c r="M177" s="164" t="s">
        <v>27</v>
      </c>
      <c r="N177" s="6">
        <f t="shared" si="55"/>
        <v>0</v>
      </c>
      <c r="O177" s="6">
        <f t="shared" si="59"/>
        <v>0</v>
      </c>
      <c r="P177" s="164" t="s">
        <v>27</v>
      </c>
      <c r="Q177" s="164"/>
      <c r="R177" s="164" t="s">
        <v>27</v>
      </c>
      <c r="S177" s="164"/>
      <c r="T177" s="61">
        <f t="shared" si="56"/>
        <v>0</v>
      </c>
      <c r="U177" s="61">
        <f t="shared" si="57"/>
        <v>0</v>
      </c>
    </row>
    <row r="178" spans="1:28" x14ac:dyDescent="0.25">
      <c r="A178" s="251"/>
      <c r="B178" s="367"/>
      <c r="C178" s="207" t="s">
        <v>34</v>
      </c>
      <c r="D178" s="207" t="s">
        <v>25</v>
      </c>
      <c r="E178" s="164"/>
      <c r="F178" s="164"/>
      <c r="G178" s="164"/>
      <c r="H178" s="164"/>
      <c r="I178" s="164"/>
      <c r="J178" s="61">
        <f t="shared" si="54"/>
        <v>188155.03</v>
      </c>
      <c r="K178" s="61">
        <v>188155.03</v>
      </c>
      <c r="L178" s="164" t="s">
        <v>27</v>
      </c>
      <c r="M178" s="164" t="s">
        <v>27</v>
      </c>
      <c r="N178" s="6">
        <f t="shared" si="55"/>
        <v>0</v>
      </c>
      <c r="O178" s="6">
        <f t="shared" si="59"/>
        <v>0</v>
      </c>
      <c r="P178" s="164" t="s">
        <v>27</v>
      </c>
      <c r="Q178" s="164"/>
      <c r="R178" s="164" t="s">
        <v>27</v>
      </c>
      <c r="S178" s="164"/>
      <c r="T178" s="61">
        <f t="shared" si="56"/>
        <v>0</v>
      </c>
      <c r="U178" s="61">
        <f t="shared" si="57"/>
        <v>0</v>
      </c>
    </row>
    <row r="179" spans="1:28" x14ac:dyDescent="0.25">
      <c r="A179" s="251"/>
      <c r="B179" s="367"/>
      <c r="C179" s="207" t="s">
        <v>35</v>
      </c>
      <c r="D179" s="207" t="s">
        <v>25</v>
      </c>
      <c r="E179" s="164"/>
      <c r="F179" s="164"/>
      <c r="G179" s="164"/>
      <c r="H179" s="164"/>
      <c r="I179" s="164"/>
      <c r="J179" s="61">
        <f t="shared" si="54"/>
        <v>129594.64</v>
      </c>
      <c r="K179" s="61">
        <v>129594.64</v>
      </c>
      <c r="L179" s="164" t="s">
        <v>27</v>
      </c>
      <c r="M179" s="164" t="s">
        <v>27</v>
      </c>
      <c r="N179" s="6">
        <f t="shared" si="55"/>
        <v>0</v>
      </c>
      <c r="O179" s="6">
        <f t="shared" si="59"/>
        <v>0</v>
      </c>
      <c r="P179" s="164" t="s">
        <v>27</v>
      </c>
      <c r="Q179" s="164"/>
      <c r="R179" s="164" t="s">
        <v>27</v>
      </c>
      <c r="S179" s="164"/>
      <c r="T179" s="61">
        <f t="shared" si="56"/>
        <v>0</v>
      </c>
      <c r="U179" s="61">
        <f t="shared" si="57"/>
        <v>0</v>
      </c>
    </row>
    <row r="180" spans="1:28" ht="82.9" customHeight="1" x14ac:dyDescent="0.25">
      <c r="A180" s="251"/>
      <c r="B180" s="367"/>
      <c r="C180" s="363" t="s">
        <v>36</v>
      </c>
      <c r="D180" s="37" t="s">
        <v>25</v>
      </c>
      <c r="E180" s="164">
        <v>1</v>
      </c>
      <c r="F180" s="164">
        <v>1</v>
      </c>
      <c r="G180" s="164">
        <f>((E180*8)+(F180*4))/12</f>
        <v>1</v>
      </c>
      <c r="H180" s="164">
        <v>1</v>
      </c>
      <c r="I180" s="164">
        <v>1</v>
      </c>
      <c r="J180" s="61">
        <f>SUM(K180:M180)</f>
        <v>314247.44000000006</v>
      </c>
      <c r="K180" s="61">
        <f>278803.34+2981.82</f>
        <v>281785.16000000003</v>
      </c>
      <c r="L180" s="6">
        <v>11691.96</v>
      </c>
      <c r="M180" s="165">
        <v>20770.32</v>
      </c>
      <c r="N180" s="6">
        <f>SUM(O180:R180)</f>
        <v>314247.44000000006</v>
      </c>
      <c r="O180" s="6">
        <f>G180*K180</f>
        <v>281785.16000000003</v>
      </c>
      <c r="P180" s="6">
        <f>(E180*L180/12*8)+(F180*L180/12*4)</f>
        <v>11691.96</v>
      </c>
      <c r="Q180" s="6"/>
      <c r="R180" s="61">
        <f>G180*M180</f>
        <v>20770.32</v>
      </c>
      <c r="S180" s="61"/>
      <c r="T180" s="61">
        <f>N180</f>
        <v>314247.44000000006</v>
      </c>
      <c r="U180" s="61">
        <f>T180</f>
        <v>314247.44000000006</v>
      </c>
    </row>
    <row r="181" spans="1:28" ht="82.9" customHeight="1" x14ac:dyDescent="0.25">
      <c r="A181" s="251"/>
      <c r="B181" s="367"/>
      <c r="C181" s="363" t="s">
        <v>63</v>
      </c>
      <c r="D181" s="37" t="s">
        <v>25</v>
      </c>
      <c r="E181" s="164">
        <v>0</v>
      </c>
      <c r="F181" s="164">
        <v>0</v>
      </c>
      <c r="G181" s="164">
        <f t="shared" si="58"/>
        <v>0</v>
      </c>
      <c r="H181" s="164">
        <v>0</v>
      </c>
      <c r="I181" s="164">
        <v>0</v>
      </c>
      <c r="J181" s="61">
        <f>K181</f>
        <v>33623.980000000003</v>
      </c>
      <c r="K181" s="61">
        <v>33623.980000000003</v>
      </c>
      <c r="L181" s="61" t="s">
        <v>27</v>
      </c>
      <c r="M181" s="61" t="s">
        <v>27</v>
      </c>
      <c r="N181" s="6">
        <f>SUM(O181:R181)</f>
        <v>0</v>
      </c>
      <c r="O181" s="6">
        <f>G181*K181</f>
        <v>0</v>
      </c>
      <c r="P181" s="6"/>
      <c r="Q181" s="6"/>
      <c r="R181" s="6"/>
      <c r="S181" s="6"/>
      <c r="T181" s="61">
        <f>H181*J181</f>
        <v>0</v>
      </c>
      <c r="U181" s="61">
        <f>I181*J181</f>
        <v>0</v>
      </c>
      <c r="AB181" s="8"/>
    </row>
    <row r="182" spans="1:28" ht="21" customHeight="1" x14ac:dyDescent="0.25">
      <c r="A182" s="251"/>
      <c r="B182" s="367"/>
      <c r="C182" s="166" t="s">
        <v>59</v>
      </c>
      <c r="D182" s="37" t="s">
        <v>60</v>
      </c>
      <c r="E182" s="164">
        <v>12</v>
      </c>
      <c r="F182" s="164">
        <v>12</v>
      </c>
      <c r="G182" s="164">
        <f t="shared" si="58"/>
        <v>12</v>
      </c>
      <c r="H182" s="164">
        <v>12</v>
      </c>
      <c r="I182" s="164">
        <v>12</v>
      </c>
      <c r="J182" s="61">
        <f>K182</f>
        <v>234360</v>
      </c>
      <c r="K182" s="61">
        <f>10000*1.5*1.302*12</f>
        <v>234360</v>
      </c>
      <c r="L182" s="61"/>
      <c r="M182" s="61"/>
      <c r="N182" s="6">
        <f>SUM(O182:R182)</f>
        <v>2812320</v>
      </c>
      <c r="O182" s="6">
        <f>G182*K182</f>
        <v>2812320</v>
      </c>
      <c r="P182" s="6"/>
      <c r="Q182" s="6"/>
      <c r="R182" s="6"/>
      <c r="S182" s="6"/>
      <c r="T182" s="61">
        <f>H182*K182-2812320</f>
        <v>0</v>
      </c>
      <c r="U182" s="61">
        <f>I182*K182-2812320</f>
        <v>0</v>
      </c>
      <c r="AB182" s="8"/>
    </row>
    <row r="183" spans="1:28" ht="26.45" customHeight="1" x14ac:dyDescent="0.25">
      <c r="A183" s="251"/>
      <c r="B183" s="368"/>
      <c r="C183" s="166" t="s">
        <v>39</v>
      </c>
      <c r="D183" s="37" t="s">
        <v>25</v>
      </c>
      <c r="E183" s="216">
        <f>E171+E180</f>
        <v>310</v>
      </c>
      <c r="F183" s="216">
        <f>F171+F180</f>
        <v>310</v>
      </c>
      <c r="G183" s="216">
        <f>G171+G180</f>
        <v>310</v>
      </c>
      <c r="H183" s="216">
        <f>H171+H180</f>
        <v>310</v>
      </c>
      <c r="I183" s="216">
        <f>I171+I180</f>
        <v>310</v>
      </c>
      <c r="J183" s="6" t="s">
        <v>27</v>
      </c>
      <c r="K183" s="6" t="s">
        <v>27</v>
      </c>
      <c r="L183" s="6" t="s">
        <v>27</v>
      </c>
      <c r="M183" s="6" t="s">
        <v>27</v>
      </c>
      <c r="N183" s="165">
        <f>SUM(N171:N182)</f>
        <v>26800201.559999999</v>
      </c>
      <c r="O183" s="165">
        <f t="shared" ref="O183:U183" si="60">SUM(O171:O182)</f>
        <v>16736894.76</v>
      </c>
      <c r="P183" s="165">
        <f t="shared" si="60"/>
        <v>3624507.5999999996</v>
      </c>
      <c r="Q183" s="165">
        <f t="shared" si="60"/>
        <v>0</v>
      </c>
      <c r="R183" s="165">
        <f t="shared" si="60"/>
        <v>6438799.2000000002</v>
      </c>
      <c r="S183" s="165">
        <f t="shared" si="60"/>
        <v>0</v>
      </c>
      <c r="T183" s="165">
        <f t="shared" si="60"/>
        <v>23987881.559999999</v>
      </c>
      <c r="U183" s="165">
        <f t="shared" si="60"/>
        <v>23987881.559999999</v>
      </c>
      <c r="AA183" s="8"/>
    </row>
    <row r="184" spans="1:28" ht="82.9" customHeight="1" x14ac:dyDescent="0.25">
      <c r="A184" s="251"/>
      <c r="B184" s="366" t="s">
        <v>600</v>
      </c>
      <c r="C184" s="361" t="s">
        <v>24</v>
      </c>
      <c r="D184" s="37" t="s">
        <v>25</v>
      </c>
      <c r="E184" s="164">
        <v>194</v>
      </c>
      <c r="F184" s="164">
        <v>194</v>
      </c>
      <c r="G184" s="164">
        <f>((E184*8)+(F184*4))/12</f>
        <v>194</v>
      </c>
      <c r="H184" s="164">
        <v>194</v>
      </c>
      <c r="I184" s="164">
        <v>194</v>
      </c>
      <c r="J184" s="6">
        <f>SUM(K184:M184)</f>
        <v>78584.320000000007</v>
      </c>
      <c r="K184" s="6">
        <f>42155.15+3966.89</f>
        <v>46122.04</v>
      </c>
      <c r="L184" s="6">
        <v>11691.96</v>
      </c>
      <c r="M184" s="165">
        <v>20770.32</v>
      </c>
      <c r="N184" s="6">
        <f>SUM(O184:R184)</f>
        <v>15245358.08</v>
      </c>
      <c r="O184" s="6">
        <f>G184*K184</f>
        <v>8947675.7599999998</v>
      </c>
      <c r="P184" s="6">
        <f>(E184*L184/12*8)+(F184*L184/12*4)</f>
        <v>2268240.2399999998</v>
      </c>
      <c r="Q184" s="6"/>
      <c r="R184" s="61">
        <f>G184*M184</f>
        <v>4029442.08</v>
      </c>
      <c r="S184" s="61"/>
      <c r="T184" s="61">
        <f>N184</f>
        <v>15245358.08</v>
      </c>
      <c r="U184" s="61">
        <f>T184</f>
        <v>15245358.08</v>
      </c>
      <c r="AB184" s="8"/>
    </row>
    <row r="185" spans="1:28" ht="105" x14ac:dyDescent="0.25">
      <c r="A185" s="251"/>
      <c r="B185" s="367"/>
      <c r="C185" s="361" t="s">
        <v>64</v>
      </c>
      <c r="D185" s="37" t="s">
        <v>25</v>
      </c>
      <c r="E185" s="164">
        <v>182</v>
      </c>
      <c r="F185" s="164">
        <v>182</v>
      </c>
      <c r="G185" s="164">
        <f>((E185*8)+(F185*4))/12</f>
        <v>182</v>
      </c>
      <c r="H185" s="164">
        <v>182</v>
      </c>
      <c r="I185" s="164">
        <v>182</v>
      </c>
      <c r="J185" s="6">
        <f>SUM(K185:M185)</f>
        <v>82348.06</v>
      </c>
      <c r="K185" s="6">
        <f>45918.89+3966.89</f>
        <v>49885.78</v>
      </c>
      <c r="L185" s="6">
        <v>11691.96</v>
      </c>
      <c r="M185" s="165">
        <v>20770.32</v>
      </c>
      <c r="N185" s="6">
        <f>SUM(O185:R185)</f>
        <v>14987346.92</v>
      </c>
      <c r="O185" s="6">
        <f>G185*K185</f>
        <v>9079211.959999999</v>
      </c>
      <c r="P185" s="6">
        <f>(E185*L185/12*8)+(F185*L185/12*4)</f>
        <v>2127936.7199999997</v>
      </c>
      <c r="Q185" s="6"/>
      <c r="R185" s="61">
        <f>G185*M185</f>
        <v>3780198.2399999998</v>
      </c>
      <c r="S185" s="61"/>
      <c r="T185" s="61">
        <f>N185</f>
        <v>14987346.92</v>
      </c>
      <c r="U185" s="61">
        <f>T185</f>
        <v>14987346.92</v>
      </c>
    </row>
    <row r="186" spans="1:28" ht="90" x14ac:dyDescent="0.25">
      <c r="A186" s="251"/>
      <c r="B186" s="367"/>
      <c r="C186" s="363" t="s">
        <v>40</v>
      </c>
      <c r="D186" s="37" t="s">
        <v>25</v>
      </c>
      <c r="E186" s="164" t="s">
        <v>27</v>
      </c>
      <c r="F186" s="164" t="s">
        <v>27</v>
      </c>
      <c r="G186" s="164" t="s">
        <v>27</v>
      </c>
      <c r="H186" s="164" t="s">
        <v>27</v>
      </c>
      <c r="I186" s="164" t="s">
        <v>27</v>
      </c>
      <c r="J186" s="164" t="s">
        <v>27</v>
      </c>
      <c r="K186" s="164" t="s">
        <v>27</v>
      </c>
      <c r="L186" s="164" t="s">
        <v>27</v>
      </c>
      <c r="M186" s="164" t="s">
        <v>27</v>
      </c>
      <c r="N186" s="6"/>
      <c r="O186" s="6"/>
      <c r="P186" s="164" t="s">
        <v>27</v>
      </c>
      <c r="Q186" s="164"/>
      <c r="R186" s="164" t="s">
        <v>27</v>
      </c>
      <c r="S186" s="164"/>
      <c r="T186" s="61"/>
      <c r="U186" s="61"/>
      <c r="AB186" s="8"/>
    </row>
    <row r="187" spans="1:28" x14ac:dyDescent="0.25">
      <c r="A187" s="251"/>
      <c r="B187" s="367"/>
      <c r="C187" s="207" t="s">
        <v>58</v>
      </c>
      <c r="D187" s="37" t="s">
        <v>25</v>
      </c>
      <c r="E187" s="169"/>
      <c r="F187" s="169"/>
      <c r="G187" s="164"/>
      <c r="H187" s="169"/>
      <c r="I187" s="169"/>
      <c r="J187" s="61">
        <f>K187</f>
        <v>81860.44</v>
      </c>
      <c r="K187" s="61">
        <v>81860.44</v>
      </c>
      <c r="L187" s="164" t="s">
        <v>27</v>
      </c>
      <c r="M187" s="164" t="s">
        <v>27</v>
      </c>
      <c r="N187" s="6">
        <f>O187</f>
        <v>0</v>
      </c>
      <c r="O187" s="6">
        <f>G187*K187</f>
        <v>0</v>
      </c>
      <c r="P187" s="164" t="s">
        <v>27</v>
      </c>
      <c r="Q187" s="164"/>
      <c r="R187" s="164" t="s">
        <v>27</v>
      </c>
      <c r="S187" s="164"/>
      <c r="T187" s="61">
        <f>H187*K187</f>
        <v>0</v>
      </c>
      <c r="U187" s="61">
        <f>I187*K187</f>
        <v>0</v>
      </c>
      <c r="AB187" s="8"/>
    </row>
    <row r="188" spans="1:28" x14ac:dyDescent="0.25">
      <c r="A188" s="251"/>
      <c r="B188" s="367"/>
      <c r="C188" s="207" t="s">
        <v>28</v>
      </c>
      <c r="D188" s="37" t="s">
        <v>25</v>
      </c>
      <c r="E188" s="169">
        <v>0</v>
      </c>
      <c r="F188" s="169">
        <f>1-1</f>
        <v>0</v>
      </c>
      <c r="G188" s="164">
        <f t="shared" si="58"/>
        <v>0</v>
      </c>
      <c r="H188" s="169">
        <f>1-1</f>
        <v>0</v>
      </c>
      <c r="I188" s="169">
        <f>1-1</f>
        <v>0</v>
      </c>
      <c r="J188" s="61">
        <f>K188</f>
        <v>56253.14</v>
      </c>
      <c r="K188" s="61">
        <v>56253.14</v>
      </c>
      <c r="L188" s="164" t="s">
        <v>27</v>
      </c>
      <c r="M188" s="164" t="s">
        <v>27</v>
      </c>
      <c r="N188" s="6">
        <f>O188</f>
        <v>0</v>
      </c>
      <c r="O188" s="6">
        <f t="shared" ref="O188:O191" si="61">G188*K188</f>
        <v>0</v>
      </c>
      <c r="P188" s="164" t="s">
        <v>27</v>
      </c>
      <c r="Q188" s="164"/>
      <c r="R188" s="164" t="s">
        <v>27</v>
      </c>
      <c r="S188" s="164"/>
      <c r="T188" s="61">
        <f>H188*K188</f>
        <v>0</v>
      </c>
      <c r="U188" s="61">
        <f>I188*K188</f>
        <v>0</v>
      </c>
      <c r="AB188" s="8"/>
    </row>
    <row r="189" spans="1:28" x14ac:dyDescent="0.25">
      <c r="A189" s="251"/>
      <c r="B189" s="367"/>
      <c r="C189" s="207" t="s">
        <v>29</v>
      </c>
      <c r="D189" s="37" t="s">
        <v>25</v>
      </c>
      <c r="E189" s="169"/>
      <c r="F189" s="169"/>
      <c r="G189" s="164">
        <f t="shared" si="58"/>
        <v>0</v>
      </c>
      <c r="H189" s="169"/>
      <c r="I189" s="169"/>
      <c r="J189" s="61">
        <f>K189</f>
        <v>148317.25</v>
      </c>
      <c r="K189" s="6">
        <v>148317.25</v>
      </c>
      <c r="L189" s="164"/>
      <c r="M189" s="164"/>
      <c r="N189" s="6">
        <f>O189</f>
        <v>0</v>
      </c>
      <c r="O189" s="6">
        <f t="shared" si="61"/>
        <v>0</v>
      </c>
      <c r="P189" s="164"/>
      <c r="Q189" s="164"/>
      <c r="R189" s="164"/>
      <c r="S189" s="164"/>
      <c r="T189" s="61">
        <f>H189*K189</f>
        <v>0</v>
      </c>
      <c r="U189" s="61">
        <f>I189*K189</f>
        <v>0</v>
      </c>
      <c r="AB189" s="8"/>
    </row>
    <row r="190" spans="1:28" x14ac:dyDescent="0.25">
      <c r="A190" s="251"/>
      <c r="B190" s="367"/>
      <c r="C190" s="207" t="s">
        <v>32</v>
      </c>
      <c r="D190" s="37" t="s">
        <v>25</v>
      </c>
      <c r="E190" s="169">
        <v>1</v>
      </c>
      <c r="F190" s="169">
        <v>1</v>
      </c>
      <c r="G190" s="164">
        <f t="shared" si="58"/>
        <v>1</v>
      </c>
      <c r="H190" s="169">
        <v>1</v>
      </c>
      <c r="I190" s="169">
        <v>1</v>
      </c>
      <c r="J190" s="61">
        <f>K190</f>
        <v>278306.15999999997</v>
      </c>
      <c r="K190" s="61">
        <v>278306.15999999997</v>
      </c>
      <c r="L190" s="164" t="s">
        <v>27</v>
      </c>
      <c r="M190" s="164" t="s">
        <v>27</v>
      </c>
      <c r="N190" s="6">
        <f>O190</f>
        <v>278306.15999999997</v>
      </c>
      <c r="O190" s="6">
        <f t="shared" si="61"/>
        <v>278306.15999999997</v>
      </c>
      <c r="P190" s="164" t="s">
        <v>27</v>
      </c>
      <c r="Q190" s="164"/>
      <c r="R190" s="164" t="s">
        <v>27</v>
      </c>
      <c r="S190" s="164"/>
      <c r="T190" s="61">
        <f>H190*K190</f>
        <v>278306.15999999997</v>
      </c>
      <c r="U190" s="61">
        <f>I190*K190</f>
        <v>278306.15999999997</v>
      </c>
    </row>
    <row r="191" spans="1:28" x14ac:dyDescent="0.25">
      <c r="A191" s="251"/>
      <c r="B191" s="367"/>
      <c r="C191" s="207" t="s">
        <v>35</v>
      </c>
      <c r="D191" s="37" t="s">
        <v>25</v>
      </c>
      <c r="E191" s="169">
        <v>1</v>
      </c>
      <c r="F191" s="169">
        <v>1</v>
      </c>
      <c r="G191" s="164">
        <f t="shared" si="58"/>
        <v>1</v>
      </c>
      <c r="H191" s="169">
        <v>1</v>
      </c>
      <c r="I191" s="169">
        <v>1</v>
      </c>
      <c r="J191" s="61">
        <f>K191</f>
        <v>18833.28</v>
      </c>
      <c r="K191" s="61">
        <v>18833.28</v>
      </c>
      <c r="L191" s="164" t="s">
        <v>27</v>
      </c>
      <c r="M191" s="164" t="s">
        <v>27</v>
      </c>
      <c r="N191" s="6">
        <f>O191</f>
        <v>18833.28</v>
      </c>
      <c r="O191" s="6">
        <f t="shared" si="61"/>
        <v>18833.28</v>
      </c>
      <c r="P191" s="164" t="s">
        <v>27</v>
      </c>
      <c r="Q191" s="164"/>
      <c r="R191" s="164" t="s">
        <v>27</v>
      </c>
      <c r="S191" s="164"/>
      <c r="T191" s="61">
        <f>H191*K191</f>
        <v>18833.28</v>
      </c>
      <c r="U191" s="61">
        <f>I191*K191</f>
        <v>18833.28</v>
      </c>
      <c r="AB191" s="8"/>
    </row>
    <row r="192" spans="1:28" ht="82.9" customHeight="1" x14ac:dyDescent="0.25">
      <c r="A192" s="251"/>
      <c r="B192" s="367"/>
      <c r="C192" s="363" t="s">
        <v>36</v>
      </c>
      <c r="D192" s="37" t="s">
        <v>25</v>
      </c>
      <c r="E192" s="169">
        <v>1</v>
      </c>
      <c r="F192" s="169">
        <v>1</v>
      </c>
      <c r="G192" s="164">
        <f>((E192*8)+(F192*4))/12</f>
        <v>1</v>
      </c>
      <c r="H192" s="169">
        <v>1</v>
      </c>
      <c r="I192" s="169">
        <v>1</v>
      </c>
      <c r="J192" s="61">
        <f>SUM(K192:M192)</f>
        <v>349844.33</v>
      </c>
      <c r="K192" s="61">
        <f>313415.16+3966.89</f>
        <v>317382.05</v>
      </c>
      <c r="L192" s="6">
        <v>11691.96</v>
      </c>
      <c r="M192" s="165">
        <v>20770.32</v>
      </c>
      <c r="N192" s="61">
        <f>SUM(O192:R192)</f>
        <v>349844.33</v>
      </c>
      <c r="O192" s="6">
        <f>G192*K192</f>
        <v>317382.05</v>
      </c>
      <c r="P192" s="6">
        <f>(E192*L192/12*8)+(F192*L192/12*4)</f>
        <v>11691.96</v>
      </c>
      <c r="Q192" s="61"/>
      <c r="R192" s="61">
        <f>E192*M192</f>
        <v>20770.32</v>
      </c>
      <c r="S192" s="61"/>
      <c r="T192" s="61">
        <f>N192</f>
        <v>349844.33</v>
      </c>
      <c r="U192" s="61">
        <f>T192</f>
        <v>349844.33</v>
      </c>
    </row>
    <row r="193" spans="1:29" ht="82.9" customHeight="1" x14ac:dyDescent="0.25">
      <c r="A193" s="251"/>
      <c r="B193" s="367"/>
      <c r="C193" s="363" t="s">
        <v>63</v>
      </c>
      <c r="D193" s="37" t="s">
        <v>25</v>
      </c>
      <c r="E193" s="169">
        <v>0</v>
      </c>
      <c r="F193" s="169">
        <v>0</v>
      </c>
      <c r="G193" s="164">
        <f t="shared" si="58"/>
        <v>0</v>
      </c>
      <c r="H193" s="169">
        <v>0</v>
      </c>
      <c r="I193" s="169">
        <v>0</v>
      </c>
      <c r="J193" s="61">
        <f>K193</f>
        <v>47469.15</v>
      </c>
      <c r="K193" s="61">
        <v>47469.15</v>
      </c>
      <c r="L193" s="61" t="s">
        <v>27</v>
      </c>
      <c r="M193" s="61" t="s">
        <v>27</v>
      </c>
      <c r="N193" s="61">
        <f>SUM(O193:R193)</f>
        <v>0</v>
      </c>
      <c r="O193" s="6">
        <f>G193*K193</f>
        <v>0</v>
      </c>
      <c r="P193" s="61"/>
      <c r="Q193" s="61"/>
      <c r="R193" s="61"/>
      <c r="S193" s="61"/>
      <c r="T193" s="61">
        <f>H193*J193</f>
        <v>0</v>
      </c>
      <c r="U193" s="61">
        <f>I193*J193</f>
        <v>0</v>
      </c>
    </row>
    <row r="194" spans="1:29" ht="13.9" customHeight="1" x14ac:dyDescent="0.25">
      <c r="A194" s="251"/>
      <c r="B194" s="367"/>
      <c r="C194" s="163" t="s">
        <v>59</v>
      </c>
      <c r="D194" s="37" t="s">
        <v>60</v>
      </c>
      <c r="E194" s="169">
        <v>15</v>
      </c>
      <c r="F194" s="169">
        <v>15</v>
      </c>
      <c r="G194" s="164">
        <f t="shared" si="58"/>
        <v>15</v>
      </c>
      <c r="H194" s="169">
        <v>15</v>
      </c>
      <c r="I194" s="169">
        <v>15</v>
      </c>
      <c r="J194" s="61">
        <f>K194</f>
        <v>234360</v>
      </c>
      <c r="K194" s="61">
        <f>10000*1.5*1.302*12</f>
        <v>234360</v>
      </c>
      <c r="L194" s="61"/>
      <c r="M194" s="61"/>
      <c r="N194" s="61">
        <f>SUM(O194:R194)</f>
        <v>3515400</v>
      </c>
      <c r="O194" s="6">
        <f>G194*K194</f>
        <v>3515400</v>
      </c>
      <c r="P194" s="61"/>
      <c r="Q194" s="61"/>
      <c r="R194" s="61"/>
      <c r="S194" s="61"/>
      <c r="T194" s="61">
        <f>H194*K194-3515400</f>
        <v>0</v>
      </c>
      <c r="U194" s="61">
        <f>I194*K194-3515400</f>
        <v>0</v>
      </c>
    </row>
    <row r="195" spans="1:29" ht="31.9" customHeight="1" x14ac:dyDescent="0.25">
      <c r="A195" s="251"/>
      <c r="B195" s="368"/>
      <c r="C195" s="166" t="s">
        <v>39</v>
      </c>
      <c r="D195" s="37"/>
      <c r="E195" s="217">
        <f>E184++E185+E192</f>
        <v>377</v>
      </c>
      <c r="F195" s="217">
        <f>F184++F185+F192</f>
        <v>377</v>
      </c>
      <c r="G195" s="217">
        <f>G184++G185+G192</f>
        <v>377</v>
      </c>
      <c r="H195" s="217">
        <f>H184++H185+H192</f>
        <v>377</v>
      </c>
      <c r="I195" s="217">
        <f>I184++I185+I192</f>
        <v>377</v>
      </c>
      <c r="J195" s="61" t="s">
        <v>27</v>
      </c>
      <c r="K195" s="61" t="s">
        <v>27</v>
      </c>
      <c r="L195" s="61" t="s">
        <v>27</v>
      </c>
      <c r="M195" s="61" t="s">
        <v>27</v>
      </c>
      <c r="N195" s="62">
        <f>SUM(N184:N194)</f>
        <v>34395088.769999996</v>
      </c>
      <c r="O195" s="62">
        <f t="shared" ref="O195:U195" si="62">SUM(O184:O194)</f>
        <v>22156809.210000001</v>
      </c>
      <c r="P195" s="62">
        <f t="shared" si="62"/>
        <v>4407868.919999999</v>
      </c>
      <c r="Q195" s="62">
        <f t="shared" si="62"/>
        <v>0</v>
      </c>
      <c r="R195" s="62">
        <f t="shared" si="62"/>
        <v>7830410.6400000006</v>
      </c>
      <c r="S195" s="62">
        <f t="shared" si="62"/>
        <v>0</v>
      </c>
      <c r="T195" s="62">
        <f t="shared" si="62"/>
        <v>30879688.77</v>
      </c>
      <c r="U195" s="62">
        <f t="shared" si="62"/>
        <v>30879688.77</v>
      </c>
      <c r="AA195" s="8"/>
    </row>
    <row r="196" spans="1:29" ht="73.150000000000006" customHeight="1" x14ac:dyDescent="0.25">
      <c r="A196" s="251"/>
      <c r="B196" s="366" t="s">
        <v>601</v>
      </c>
      <c r="C196" s="361" t="s">
        <v>24</v>
      </c>
      <c r="D196" s="37" t="s">
        <v>25</v>
      </c>
      <c r="E196" s="169">
        <v>44</v>
      </c>
      <c r="F196" s="169">
        <v>44</v>
      </c>
      <c r="G196" s="164">
        <f>((E196*8)+(F196*4))/12</f>
        <v>44</v>
      </c>
      <c r="H196" s="169">
        <v>45</v>
      </c>
      <c r="I196" s="169">
        <v>46</v>
      </c>
      <c r="J196" s="6">
        <f>SUM(K196:M196)</f>
        <v>86126.88</v>
      </c>
      <c r="K196" s="6">
        <f>49557.18+4107.42</f>
        <v>53664.6</v>
      </c>
      <c r="L196" s="6">
        <v>11691.96</v>
      </c>
      <c r="M196" s="165">
        <v>20770.32</v>
      </c>
      <c r="N196" s="61">
        <f>SUM(O196:R196)</f>
        <v>3789582.7199999997</v>
      </c>
      <c r="O196" s="61">
        <f>G196*K196</f>
        <v>2361242.4</v>
      </c>
      <c r="P196" s="6">
        <f>(E196*L196/12*8)+(F196*L196/12*4)</f>
        <v>514446.24</v>
      </c>
      <c r="Q196" s="61"/>
      <c r="R196" s="61">
        <f>G196*M196</f>
        <v>913894.08</v>
      </c>
      <c r="S196" s="61"/>
      <c r="T196" s="61">
        <f>N196</f>
        <v>3789582.7199999997</v>
      </c>
      <c r="U196" s="61">
        <f>T196</f>
        <v>3789582.7199999997</v>
      </c>
      <c r="AB196" s="8"/>
    </row>
    <row r="197" spans="1:29" ht="104.25" x14ac:dyDescent="0.25">
      <c r="A197" s="251"/>
      <c r="B197" s="367"/>
      <c r="C197" s="76" t="s">
        <v>602</v>
      </c>
      <c r="D197" s="37" t="s">
        <v>25</v>
      </c>
      <c r="E197" s="169">
        <v>50</v>
      </c>
      <c r="F197" s="169">
        <v>50</v>
      </c>
      <c r="G197" s="164">
        <f>((F197*8)+(F197*4))/12</f>
        <v>50</v>
      </c>
      <c r="H197" s="169">
        <v>50</v>
      </c>
      <c r="I197" s="169">
        <v>50</v>
      </c>
      <c r="J197" s="6">
        <f>SUM(K197:M197)</f>
        <v>135937.23000000001</v>
      </c>
      <c r="K197" s="164">
        <f>99367.53+4107.42</f>
        <v>103474.95</v>
      </c>
      <c r="L197" s="6">
        <v>11691.96</v>
      </c>
      <c r="M197" s="165">
        <v>20770.32</v>
      </c>
      <c r="N197" s="61">
        <f>SUM(O197:R197)</f>
        <v>6796861.5</v>
      </c>
      <c r="O197" s="61">
        <f>G197*K197</f>
        <v>5173747.5</v>
      </c>
      <c r="P197" s="6">
        <f>(E197*L197/12*8)+(F197*L197/12*4)</f>
        <v>584598</v>
      </c>
      <c r="Q197" s="61"/>
      <c r="R197" s="61">
        <f>G197*M197</f>
        <v>1038516</v>
      </c>
      <c r="S197" s="61"/>
      <c r="T197" s="61">
        <f>N197</f>
        <v>6796861.5</v>
      </c>
      <c r="U197" s="61">
        <f>T197</f>
        <v>6796861.5</v>
      </c>
    </row>
    <row r="198" spans="1:29" ht="90" x14ac:dyDescent="0.25">
      <c r="A198" s="251"/>
      <c r="B198" s="367"/>
      <c r="C198" s="363" t="s">
        <v>40</v>
      </c>
      <c r="D198" s="37" t="s">
        <v>25</v>
      </c>
      <c r="E198" s="164" t="s">
        <v>27</v>
      </c>
      <c r="F198" s="164" t="s">
        <v>27</v>
      </c>
      <c r="G198" s="164" t="s">
        <v>27</v>
      </c>
      <c r="H198" s="164" t="s">
        <v>27</v>
      </c>
      <c r="I198" s="164" t="s">
        <v>27</v>
      </c>
      <c r="J198" s="164" t="s">
        <v>27</v>
      </c>
      <c r="K198" s="164" t="s">
        <v>27</v>
      </c>
      <c r="L198" s="164" t="s">
        <v>27</v>
      </c>
      <c r="M198" s="164" t="s">
        <v>27</v>
      </c>
      <c r="N198" s="6"/>
      <c r="O198" s="6"/>
      <c r="P198" s="164" t="s">
        <v>27</v>
      </c>
      <c r="Q198" s="164"/>
      <c r="R198" s="164" t="s">
        <v>27</v>
      </c>
      <c r="S198" s="164"/>
      <c r="T198" s="61"/>
      <c r="U198" s="61"/>
    </row>
    <row r="199" spans="1:29" x14ac:dyDescent="0.25">
      <c r="A199" s="251"/>
      <c r="B199" s="367"/>
      <c r="C199" s="37" t="s">
        <v>28</v>
      </c>
      <c r="D199" s="37" t="s">
        <v>25</v>
      </c>
      <c r="E199" s="164">
        <v>1</v>
      </c>
      <c r="F199" s="164">
        <v>1</v>
      </c>
      <c r="G199" s="164">
        <f>((E199*8)+(F199*4))/12</f>
        <v>1</v>
      </c>
      <c r="H199" s="164"/>
      <c r="I199" s="164"/>
      <c r="J199" s="164">
        <f>K199</f>
        <v>58173.83</v>
      </c>
      <c r="K199" s="6">
        <v>58173.83</v>
      </c>
      <c r="L199" s="164"/>
      <c r="M199" s="164"/>
      <c r="N199" s="6">
        <f>O199</f>
        <v>58173.83</v>
      </c>
      <c r="O199" s="6">
        <f>G199*K199</f>
        <v>58173.83</v>
      </c>
      <c r="P199" s="164"/>
      <c r="Q199" s="164"/>
      <c r="R199" s="164"/>
      <c r="S199" s="164"/>
      <c r="T199" s="61">
        <f>H199*K199</f>
        <v>0</v>
      </c>
      <c r="U199" s="61">
        <f>I199*K199</f>
        <v>0</v>
      </c>
    </row>
    <row r="200" spans="1:29" ht="24" customHeight="1" x14ac:dyDescent="0.25">
      <c r="A200" s="251"/>
      <c r="B200" s="367"/>
      <c r="C200" s="37" t="s">
        <v>30</v>
      </c>
      <c r="D200" s="37" t="s">
        <v>25</v>
      </c>
      <c r="E200" s="169">
        <v>1</v>
      </c>
      <c r="F200" s="169">
        <v>1</v>
      </c>
      <c r="G200" s="164">
        <f>((E200*8)+(F200*4))/12</f>
        <v>1</v>
      </c>
      <c r="H200" s="169">
        <v>1</v>
      </c>
      <c r="I200" s="169">
        <v>1</v>
      </c>
      <c r="J200" s="61">
        <f>K200</f>
        <v>115351.56</v>
      </c>
      <c r="K200" s="61">
        <v>115351.56</v>
      </c>
      <c r="L200" s="164" t="s">
        <v>27</v>
      </c>
      <c r="M200" s="164" t="s">
        <v>27</v>
      </c>
      <c r="N200" s="6">
        <f>O200</f>
        <v>115351.56</v>
      </c>
      <c r="O200" s="6">
        <f>G200*K200</f>
        <v>115351.56</v>
      </c>
      <c r="P200" s="164" t="s">
        <v>27</v>
      </c>
      <c r="Q200" s="164"/>
      <c r="R200" s="164" t="s">
        <v>27</v>
      </c>
      <c r="S200" s="164"/>
      <c r="T200" s="61">
        <f>H200*K200</f>
        <v>115351.56</v>
      </c>
      <c r="U200" s="61">
        <f>I200*K200</f>
        <v>115351.56</v>
      </c>
      <c r="AB200" s="8"/>
    </row>
    <row r="201" spans="1:29" ht="82.9" customHeight="1" x14ac:dyDescent="0.25">
      <c r="A201" s="251"/>
      <c r="B201" s="367"/>
      <c r="C201" s="361" t="s">
        <v>36</v>
      </c>
      <c r="D201" s="37" t="s">
        <v>25</v>
      </c>
      <c r="E201" s="169">
        <v>2</v>
      </c>
      <c r="F201" s="169">
        <v>2</v>
      </c>
      <c r="G201" s="164">
        <f>((E201*8)+(F201*4))/12</f>
        <v>2</v>
      </c>
      <c r="H201" s="169">
        <v>1</v>
      </c>
      <c r="I201" s="169">
        <v>0</v>
      </c>
      <c r="J201" s="6">
        <f>SUM(K201:M201)</f>
        <v>384596.69</v>
      </c>
      <c r="K201" s="61">
        <f>348026.99+4107.42</f>
        <v>352134.41</v>
      </c>
      <c r="L201" s="6">
        <v>11691.96</v>
      </c>
      <c r="M201" s="165">
        <v>20770.32</v>
      </c>
      <c r="N201" s="61">
        <f>SUM(O201:R201)</f>
        <v>769193.38</v>
      </c>
      <c r="O201" s="61">
        <f>G201*K201</f>
        <v>704268.82</v>
      </c>
      <c r="P201" s="6">
        <f>(E201*L201/12*8)+(F201*L201/12*4)</f>
        <v>23383.919999999998</v>
      </c>
      <c r="Q201" s="61"/>
      <c r="R201" s="61">
        <f>G201*M201</f>
        <v>41540.639999999999</v>
      </c>
      <c r="S201" s="61"/>
      <c r="T201" s="61">
        <f>H201*J201</f>
        <v>384596.69</v>
      </c>
      <c r="U201" s="61">
        <f>I201*J201</f>
        <v>0</v>
      </c>
      <c r="AB201" s="8"/>
      <c r="AC201" s="8"/>
    </row>
    <row r="202" spans="1:29" ht="19.149999999999999" customHeight="1" x14ac:dyDescent="0.25">
      <c r="A202" s="251"/>
      <c r="B202" s="367"/>
      <c r="C202" s="166" t="s">
        <v>59</v>
      </c>
      <c r="D202" s="37" t="s">
        <v>60</v>
      </c>
      <c r="E202" s="169">
        <v>4</v>
      </c>
      <c r="F202" s="169">
        <v>4</v>
      </c>
      <c r="G202" s="164">
        <f>((E202*8)+(F202*4))/12</f>
        <v>4</v>
      </c>
      <c r="H202" s="169">
        <v>4</v>
      </c>
      <c r="I202" s="169">
        <v>4</v>
      </c>
      <c r="J202" s="61">
        <f>SUM(K202:M202)</f>
        <v>234360</v>
      </c>
      <c r="K202" s="61">
        <f>10000*1.5*1.302*12</f>
        <v>234360</v>
      </c>
      <c r="L202" s="6"/>
      <c r="M202" s="6"/>
      <c r="N202" s="61">
        <f>SUM(O202:R202)</f>
        <v>937440</v>
      </c>
      <c r="O202" s="61">
        <f>G202*K202</f>
        <v>937440</v>
      </c>
      <c r="P202" s="6"/>
      <c r="Q202" s="61"/>
      <c r="R202" s="61"/>
      <c r="S202" s="61"/>
      <c r="T202" s="61">
        <f>H202*K202-937440</f>
        <v>0</v>
      </c>
      <c r="U202" s="61">
        <f>I202*K202-937440</f>
        <v>0</v>
      </c>
      <c r="AB202" s="8"/>
      <c r="AC202" s="8"/>
    </row>
    <row r="203" spans="1:29" ht="26.45" customHeight="1" x14ac:dyDescent="0.25">
      <c r="A203" s="251"/>
      <c r="B203" s="368"/>
      <c r="C203" s="166" t="s">
        <v>39</v>
      </c>
      <c r="D203" s="37"/>
      <c r="E203" s="217">
        <f>E196+E201+E197</f>
        <v>96</v>
      </c>
      <c r="F203" s="217">
        <f>F196+F201+F197</f>
        <v>96</v>
      </c>
      <c r="G203" s="217">
        <f>G196+G201+G197</f>
        <v>96</v>
      </c>
      <c r="H203" s="217">
        <f>H196+H201+H197</f>
        <v>96</v>
      </c>
      <c r="I203" s="217">
        <f>I196+I201+I197</f>
        <v>96</v>
      </c>
      <c r="J203" s="61" t="s">
        <v>27</v>
      </c>
      <c r="K203" s="61" t="s">
        <v>27</v>
      </c>
      <c r="L203" s="61" t="s">
        <v>27</v>
      </c>
      <c r="M203" s="61" t="s">
        <v>27</v>
      </c>
      <c r="N203" s="62">
        <f>SUM(N196:N202)</f>
        <v>12466602.99</v>
      </c>
      <c r="O203" s="62">
        <f t="shared" ref="O203:U203" si="63">SUM(O196:O202)</f>
        <v>9350224.1099999994</v>
      </c>
      <c r="P203" s="62">
        <f t="shared" si="63"/>
        <v>1122428.1599999999</v>
      </c>
      <c r="Q203" s="62">
        <f t="shared" si="63"/>
        <v>0</v>
      </c>
      <c r="R203" s="62">
        <f t="shared" si="63"/>
        <v>1993950.72</v>
      </c>
      <c r="S203" s="62">
        <f t="shared" si="63"/>
        <v>0</v>
      </c>
      <c r="T203" s="62">
        <f t="shared" si="63"/>
        <v>11086392.469999999</v>
      </c>
      <c r="U203" s="62">
        <f t="shared" si="63"/>
        <v>10701795.779999999</v>
      </c>
      <c r="V203" s="8"/>
      <c r="W203" s="8"/>
      <c r="X203" s="8"/>
      <c r="AA203" s="8"/>
      <c r="AB203" s="8"/>
    </row>
    <row r="204" spans="1:29" ht="58.9" customHeight="1" x14ac:dyDescent="0.25">
      <c r="A204" s="251"/>
      <c r="B204" s="247" t="s">
        <v>111</v>
      </c>
      <c r="C204" s="371" t="s">
        <v>65</v>
      </c>
      <c r="D204" s="37" t="s">
        <v>25</v>
      </c>
      <c r="E204" s="169">
        <f>2309-109</f>
        <v>2200</v>
      </c>
      <c r="F204" s="169">
        <f>2309-109</f>
        <v>2200</v>
      </c>
      <c r="G204" s="164">
        <f>((F204*8)+(F204*4))/12</f>
        <v>2200</v>
      </c>
      <c r="H204" s="169">
        <f>2309-109</f>
        <v>2200</v>
      </c>
      <c r="I204" s="169">
        <f>2309-109</f>
        <v>2200</v>
      </c>
      <c r="J204" s="61">
        <f>K204</f>
        <v>4592.9799999999996</v>
      </c>
      <c r="K204" s="61">
        <v>4592.9799999999996</v>
      </c>
      <c r="L204" s="61" t="s">
        <v>27</v>
      </c>
      <c r="M204" s="61" t="s">
        <v>27</v>
      </c>
      <c r="N204" s="61">
        <f>SUM(O204:R204)</f>
        <v>10104555.999999998</v>
      </c>
      <c r="O204" s="61">
        <f>G204*K204</f>
        <v>10104555.999999998</v>
      </c>
      <c r="P204" s="61">
        <v>0</v>
      </c>
      <c r="Q204" s="61"/>
      <c r="R204" s="61">
        <v>0</v>
      </c>
      <c r="S204" s="61"/>
      <c r="T204" s="61">
        <f>H204*J204</f>
        <v>10104555.999999998</v>
      </c>
      <c r="U204" s="61">
        <f>I204*J204</f>
        <v>10104555.999999998</v>
      </c>
      <c r="V204" s="167"/>
      <c r="W204" s="167"/>
      <c r="X204" s="8"/>
      <c r="Y204" s="11"/>
    </row>
    <row r="205" spans="1:29" ht="43.9" customHeight="1" x14ac:dyDescent="0.25">
      <c r="A205" s="251"/>
      <c r="B205" s="249"/>
      <c r="C205" s="372"/>
      <c r="D205" s="37" t="s">
        <v>232</v>
      </c>
      <c r="E205" s="354">
        <v>226446.8</v>
      </c>
      <c r="F205" s="354">
        <v>226446.8</v>
      </c>
      <c r="G205" s="354">
        <v>226446.8</v>
      </c>
      <c r="H205" s="354">
        <v>226446.8</v>
      </c>
      <c r="I205" s="354">
        <v>226446.8</v>
      </c>
      <c r="J205" s="61">
        <f>K205</f>
        <v>44.622207070269923</v>
      </c>
      <c r="K205" s="61">
        <f>N205/G205</f>
        <v>44.622207070269923</v>
      </c>
      <c r="L205" s="61" t="s">
        <v>27</v>
      </c>
      <c r="M205" s="61" t="s">
        <v>27</v>
      </c>
      <c r="N205" s="61">
        <f>N204</f>
        <v>10104555.999999998</v>
      </c>
      <c r="O205" s="61">
        <f>O204</f>
        <v>10104555.999999998</v>
      </c>
      <c r="P205" s="61" t="s">
        <v>27</v>
      </c>
      <c r="Q205" s="61"/>
      <c r="R205" s="61" t="s">
        <v>27</v>
      </c>
      <c r="S205" s="61"/>
      <c r="T205" s="61">
        <f>T204/G205*H205</f>
        <v>10104555.999999998</v>
      </c>
      <c r="U205" s="61">
        <f>U204/G205*I205</f>
        <v>10104555.999999998</v>
      </c>
      <c r="V205" s="167"/>
      <c r="W205" s="167"/>
      <c r="X205" s="8"/>
      <c r="Y205" s="11"/>
    </row>
    <row r="206" spans="1:29" ht="120" hidden="1" x14ac:dyDescent="0.25">
      <c r="A206" s="251"/>
      <c r="B206" s="248"/>
      <c r="C206" s="361" t="s">
        <v>66</v>
      </c>
      <c r="D206" s="37" t="s">
        <v>25</v>
      </c>
      <c r="E206" s="169">
        <v>495</v>
      </c>
      <c r="F206" s="169">
        <v>495</v>
      </c>
      <c r="G206" s="164">
        <v>495</v>
      </c>
      <c r="H206" s="164">
        <v>495</v>
      </c>
      <c r="I206" s="164">
        <v>495</v>
      </c>
      <c r="J206" s="61" t="s">
        <v>27</v>
      </c>
      <c r="K206" s="61" t="s">
        <v>27</v>
      </c>
      <c r="L206" s="61" t="s">
        <v>27</v>
      </c>
      <c r="M206" s="61">
        <v>0</v>
      </c>
      <c r="N206" s="61">
        <f>R206</f>
        <v>0</v>
      </c>
      <c r="O206" s="61">
        <v>0</v>
      </c>
      <c r="P206" s="61">
        <v>0</v>
      </c>
      <c r="Q206" s="61"/>
      <c r="R206" s="61">
        <f>G206*M206</f>
        <v>0</v>
      </c>
      <c r="S206" s="61"/>
      <c r="T206" s="61">
        <f>N206</f>
        <v>0</v>
      </c>
      <c r="U206" s="61">
        <f t="shared" ref="U206:U210" si="64">T206</f>
        <v>0</v>
      </c>
      <c r="V206" s="167"/>
      <c r="W206" s="167"/>
      <c r="Y206" s="8"/>
      <c r="Z206" s="1">
        <f>Y206/G215</f>
        <v>0</v>
      </c>
      <c r="AA206" s="1">
        <f>Z206*Y204</f>
        <v>0</v>
      </c>
    </row>
    <row r="207" spans="1:29" ht="13.9" customHeight="1" x14ac:dyDescent="0.25">
      <c r="A207" s="251"/>
      <c r="B207" s="232"/>
      <c r="C207" s="63" t="s">
        <v>39</v>
      </c>
      <c r="D207" s="10"/>
      <c r="E207" s="169">
        <f>SUM(E204:E204)</f>
        <v>2200</v>
      </c>
      <c r="F207" s="169">
        <f t="shared" ref="F207:G207" si="65">SUM(F204:F204)</f>
        <v>2200</v>
      </c>
      <c r="G207" s="169">
        <f t="shared" si="65"/>
        <v>2200</v>
      </c>
      <c r="H207" s="169">
        <f>SUM(H204:H204)</f>
        <v>2200</v>
      </c>
      <c r="I207" s="169">
        <f>SUM(I204:I204)</f>
        <v>2200</v>
      </c>
      <c r="J207" s="61" t="s">
        <v>27</v>
      </c>
      <c r="K207" s="61" t="s">
        <v>27</v>
      </c>
      <c r="L207" s="61" t="s">
        <v>27</v>
      </c>
      <c r="M207" s="61">
        <f>SUM(M204:M204)</f>
        <v>0</v>
      </c>
      <c r="N207" s="62">
        <f>N204+N206</f>
        <v>10104555.999999998</v>
      </c>
      <c r="O207" s="61">
        <f>O204+O206</f>
        <v>10104555.999999998</v>
      </c>
      <c r="P207" s="61">
        <f>P204+P206</f>
        <v>0</v>
      </c>
      <c r="Q207" s="61"/>
      <c r="R207" s="61">
        <f>R204+R206</f>
        <v>0</v>
      </c>
      <c r="S207" s="61"/>
      <c r="T207" s="61">
        <f>T204+T206</f>
        <v>10104555.999999998</v>
      </c>
      <c r="U207" s="61">
        <f>U204+U206</f>
        <v>10104555.999999998</v>
      </c>
      <c r="V207" s="167"/>
      <c r="W207" s="167"/>
      <c r="AA207" s="8">
        <f>AA206+R206</f>
        <v>0</v>
      </c>
    </row>
    <row r="208" spans="1:29" ht="31.15" customHeight="1" x14ac:dyDescent="0.25">
      <c r="A208" s="251"/>
      <c r="B208" s="63" t="s">
        <v>46</v>
      </c>
      <c r="C208" s="63" t="s">
        <v>45</v>
      </c>
      <c r="D208" s="345" t="s">
        <v>47</v>
      </c>
      <c r="E208" s="169">
        <v>4</v>
      </c>
      <c r="F208" s="169">
        <v>4</v>
      </c>
      <c r="G208" s="164">
        <f>((E208*8)+(F208*4))/12</f>
        <v>4</v>
      </c>
      <c r="H208" s="169">
        <v>4</v>
      </c>
      <c r="I208" s="169">
        <v>4</v>
      </c>
      <c r="J208" s="61"/>
      <c r="K208" s="61"/>
      <c r="L208" s="61">
        <v>294556.87</v>
      </c>
      <c r="M208" s="61"/>
      <c r="N208" s="61">
        <f>P208</f>
        <v>1178227.48</v>
      </c>
      <c r="O208" s="61"/>
      <c r="P208" s="61">
        <f>G208*L208</f>
        <v>1178227.48</v>
      </c>
      <c r="Q208" s="61"/>
      <c r="R208" s="61"/>
      <c r="S208" s="61"/>
      <c r="T208" s="61">
        <f>H208*L208</f>
        <v>1178227.48</v>
      </c>
      <c r="U208" s="61">
        <f>I208*L208</f>
        <v>1178227.48</v>
      </c>
      <c r="V208" s="167"/>
      <c r="W208" s="167"/>
      <c r="AA208" s="8"/>
    </row>
    <row r="209" spans="1:31" ht="13.9" customHeight="1" x14ac:dyDescent="0.25">
      <c r="A209" s="251"/>
      <c r="B209" s="232" t="s">
        <v>67</v>
      </c>
      <c r="C209" s="63" t="s">
        <v>45</v>
      </c>
      <c r="D209" s="345" t="s">
        <v>47</v>
      </c>
      <c r="E209" s="169">
        <v>1</v>
      </c>
      <c r="F209" s="169">
        <v>1</v>
      </c>
      <c r="G209" s="164">
        <f>((E209*8)+(F209*4))/12</f>
        <v>1</v>
      </c>
      <c r="H209" s="169">
        <v>1</v>
      </c>
      <c r="I209" s="169">
        <v>1</v>
      </c>
      <c r="J209" s="61"/>
      <c r="K209" s="61"/>
      <c r="L209" s="61">
        <v>2217471.81</v>
      </c>
      <c r="M209" s="61"/>
      <c r="N209" s="61">
        <f>P209</f>
        <v>2457315.1916</v>
      </c>
      <c r="O209" s="61"/>
      <c r="P209" s="61">
        <f>L209+39062.44*(783-476)/50</f>
        <v>2457315.1916</v>
      </c>
      <c r="Q209" s="61"/>
      <c r="R209" s="61"/>
      <c r="S209" s="61"/>
      <c r="T209" s="61">
        <f>H209*L209</f>
        <v>2217471.81</v>
      </c>
      <c r="U209" s="61">
        <f>I209*L209</f>
        <v>2217471.81</v>
      </c>
      <c r="V209" s="168"/>
      <c r="W209" s="168"/>
    </row>
    <row r="210" spans="1:31" ht="13.9" customHeight="1" x14ac:dyDescent="0.25">
      <c r="A210" s="251"/>
      <c r="B210" s="232" t="s">
        <v>68</v>
      </c>
      <c r="C210" s="10" t="s">
        <v>45</v>
      </c>
      <c r="D210" s="37"/>
      <c r="E210" s="169"/>
      <c r="F210" s="169"/>
      <c r="G210" s="169"/>
      <c r="H210" s="169"/>
      <c r="I210" s="169"/>
      <c r="J210" s="61"/>
      <c r="K210" s="61"/>
      <c r="L210" s="61"/>
      <c r="M210" s="61"/>
      <c r="N210" s="61">
        <f>P210</f>
        <v>0</v>
      </c>
      <c r="O210" s="61"/>
      <c r="P210" s="61">
        <f>L210*(807.27-476)/50</f>
        <v>0</v>
      </c>
      <c r="Q210" s="61"/>
      <c r="R210" s="61"/>
      <c r="S210" s="61"/>
      <c r="T210" s="61">
        <f>N210</f>
        <v>0</v>
      </c>
      <c r="U210" s="61">
        <f t="shared" si="64"/>
        <v>0</v>
      </c>
      <c r="V210" s="168"/>
      <c r="W210" s="168"/>
    </row>
    <row r="211" spans="1:31" hidden="1" x14ac:dyDescent="0.25">
      <c r="A211" s="251"/>
      <c r="B211" s="232" t="s">
        <v>56</v>
      </c>
      <c r="C211" s="232" t="s">
        <v>55</v>
      </c>
      <c r="D211" s="207"/>
      <c r="E211" s="4"/>
      <c r="F211" s="4"/>
      <c r="G211" s="4"/>
      <c r="H211" s="4"/>
      <c r="I211" s="4"/>
      <c r="J211" s="12"/>
      <c r="K211" s="12"/>
      <c r="L211" s="61">
        <v>39062.44</v>
      </c>
      <c r="M211" s="12"/>
      <c r="N211" s="12">
        <f>S211</f>
        <v>0</v>
      </c>
      <c r="O211" s="12"/>
      <c r="P211" s="161"/>
      <c r="Q211" s="12"/>
      <c r="R211" s="12"/>
      <c r="S211" s="12"/>
      <c r="T211" s="12"/>
      <c r="U211" s="12"/>
      <c r="V211" s="8"/>
      <c r="W211" s="8"/>
    </row>
    <row r="212" spans="1:31" ht="13.9" customHeight="1" x14ac:dyDescent="0.25">
      <c r="A212" s="251"/>
      <c r="B212" s="232" t="s">
        <v>48</v>
      </c>
      <c r="C212" s="232" t="s">
        <v>45</v>
      </c>
      <c r="D212" s="207"/>
      <c r="E212" s="4">
        <v>31</v>
      </c>
      <c r="F212" s="4">
        <v>31</v>
      </c>
      <c r="G212" s="4">
        <v>31</v>
      </c>
      <c r="H212" s="4">
        <v>31</v>
      </c>
      <c r="I212" s="4">
        <v>31</v>
      </c>
      <c r="J212" s="12"/>
      <c r="K212" s="12"/>
      <c r="L212" s="61">
        <v>0</v>
      </c>
      <c r="M212" s="12"/>
      <c r="N212" s="61">
        <f>SUM(O212:R212)</f>
        <v>7265160</v>
      </c>
      <c r="O212" s="12">
        <f>O202+O194+O182</f>
        <v>7265160</v>
      </c>
      <c r="P212" s="12"/>
      <c r="Q212" s="12"/>
      <c r="R212" s="12"/>
      <c r="S212" s="12"/>
      <c r="T212" s="12">
        <v>3632580</v>
      </c>
      <c r="U212" s="12">
        <f>T212</f>
        <v>3632580</v>
      </c>
      <c r="V212" s="8"/>
      <c r="W212" s="8"/>
    </row>
    <row r="213" spans="1:31" ht="13.9" hidden="1" customHeight="1" x14ac:dyDescent="0.25">
      <c r="A213" s="251"/>
      <c r="B213" s="232" t="s">
        <v>49</v>
      </c>
      <c r="C213" s="232" t="s">
        <v>45</v>
      </c>
      <c r="D213" s="207"/>
      <c r="E213" s="4"/>
      <c r="F213" s="4"/>
      <c r="G213" s="4"/>
      <c r="H213" s="4"/>
      <c r="I213" s="4"/>
      <c r="J213" s="12"/>
      <c r="K213" s="12"/>
      <c r="L213" s="12"/>
      <c r="M213" s="12"/>
      <c r="N213" s="12">
        <f>O213</f>
        <v>0</v>
      </c>
      <c r="O213" s="12"/>
      <c r="P213" s="12"/>
      <c r="Q213" s="12"/>
      <c r="R213" s="12"/>
      <c r="S213" s="12"/>
      <c r="T213" s="12">
        <f>O213</f>
        <v>0</v>
      </c>
      <c r="U213" s="12">
        <f>T213</f>
        <v>0</v>
      </c>
    </row>
    <row r="214" spans="1:31" ht="13.9" hidden="1" customHeight="1" x14ac:dyDescent="0.25">
      <c r="A214" s="251"/>
      <c r="B214" s="232" t="s">
        <v>50</v>
      </c>
      <c r="C214" s="232" t="s">
        <v>45</v>
      </c>
      <c r="D214" s="207"/>
      <c r="E214" s="4"/>
      <c r="F214" s="4"/>
      <c r="G214" s="4"/>
      <c r="H214" s="4"/>
      <c r="I214" s="4"/>
      <c r="J214" s="12"/>
      <c r="K214" s="12"/>
      <c r="L214" s="12"/>
      <c r="M214" s="12"/>
      <c r="N214" s="12">
        <f>P214</f>
        <v>0</v>
      </c>
      <c r="O214" s="12"/>
      <c r="P214" s="12"/>
      <c r="Q214" s="12"/>
      <c r="R214" s="12"/>
      <c r="S214" s="12"/>
      <c r="T214" s="12"/>
      <c r="U214" s="12">
        <f>T214</f>
        <v>0</v>
      </c>
    </row>
    <row r="215" spans="1:31" ht="28.15" customHeight="1" x14ac:dyDescent="0.25">
      <c r="A215" s="252"/>
      <c r="B215" s="10" t="s">
        <v>51</v>
      </c>
      <c r="C215" s="232"/>
      <c r="D215" s="232"/>
      <c r="E215" s="218">
        <f>E183+E195+E203</f>
        <v>783</v>
      </c>
      <c r="F215" s="218">
        <f>F183+F195+F203</f>
        <v>783</v>
      </c>
      <c r="G215" s="218">
        <f>G183+G195+G203</f>
        <v>783</v>
      </c>
      <c r="H215" s="218">
        <f>H183+H195+H203</f>
        <v>783</v>
      </c>
      <c r="I215" s="218">
        <f>I183+I195+I203</f>
        <v>783</v>
      </c>
      <c r="J215" s="160"/>
      <c r="K215" s="160"/>
      <c r="L215" s="160"/>
      <c r="M215" s="160"/>
      <c r="N215" s="160">
        <f>SUM(O215:S215)</f>
        <v>87401991.991600007</v>
      </c>
      <c r="O215" s="160">
        <f>O183+O195+O203+O207+O208+O209+O210+O214</f>
        <v>58348484.079999998</v>
      </c>
      <c r="P215" s="160">
        <f>P183+P195+P203+P207+P208+P209+P210+P211+P212+P214</f>
        <v>12790347.351599999</v>
      </c>
      <c r="Q215" s="160">
        <f>Q183+Q195+Q203+Q207+Q208+Q209+Q210</f>
        <v>0</v>
      </c>
      <c r="R215" s="160">
        <f>R183+R195+R203+R207+R208+R209+R210+R211</f>
        <v>16263160.560000001</v>
      </c>
      <c r="S215" s="160">
        <f>S183+S195+S203+S207+S208+S209+S210+S211</f>
        <v>0</v>
      </c>
      <c r="T215" s="160">
        <f>T183+T195+T203+T207+T208+T209+T210+T211+T213+T214</f>
        <v>79454218.090000004</v>
      </c>
      <c r="U215" s="160">
        <f>U183+U195+U203+U207+U208+U209+U210+U211+U213+U214</f>
        <v>79069621.400000006</v>
      </c>
      <c r="X215" s="8"/>
      <c r="AA215" s="8"/>
      <c r="AB215" s="377"/>
      <c r="AC215" s="8"/>
      <c r="AD215" s="8"/>
      <c r="AE215" s="8"/>
    </row>
    <row r="216" spans="1:31" ht="174.75" customHeight="1" x14ac:dyDescent="0.25">
      <c r="A216" s="250" t="s">
        <v>69</v>
      </c>
      <c r="B216" s="366" t="s">
        <v>593</v>
      </c>
      <c r="C216" s="363" t="s">
        <v>70</v>
      </c>
      <c r="D216" s="37" t="s">
        <v>71</v>
      </c>
      <c r="E216" s="164" t="s">
        <v>514</v>
      </c>
      <c r="F216" s="164" t="s">
        <v>514</v>
      </c>
      <c r="G216" s="164" t="s">
        <v>514</v>
      </c>
      <c r="H216" s="164" t="s">
        <v>514</v>
      </c>
      <c r="I216" s="164" t="s">
        <v>514</v>
      </c>
      <c r="J216" s="6" t="s">
        <v>346</v>
      </c>
      <c r="K216" s="6" t="s">
        <v>504</v>
      </c>
      <c r="L216" s="6" t="s">
        <v>347</v>
      </c>
      <c r="M216" s="6" t="s">
        <v>603</v>
      </c>
      <c r="N216" s="6">
        <f>SUM(O216:R216)</f>
        <v>2014176.3003333332</v>
      </c>
      <c r="O216" s="6">
        <f>((((854025.01*1/12*8)+(854025.011/12*4))+((2981.82*21)/12*8+(2981.82*21)/12*4)))</f>
        <v>916643.23033333337</v>
      </c>
      <c r="P216" s="6">
        <f>((275317.13*1)/12*8)+((275317.13*1)/12*4)</f>
        <v>275317.13</v>
      </c>
      <c r="Q216" s="6"/>
      <c r="R216" s="61">
        <f>((39153.14*21)/12*8)+((39153.14*21)/12*4)</f>
        <v>822215.94</v>
      </c>
      <c r="S216" s="61"/>
      <c r="T216" s="61">
        <f>W216</f>
        <v>2014176.3003333332</v>
      </c>
      <c r="U216" s="61">
        <f>AB216</f>
        <v>2014176.3003333332</v>
      </c>
      <c r="W216" s="165">
        <f>SUM(X216:Z216)</f>
        <v>2014176.3003333332</v>
      </c>
      <c r="X216" s="6">
        <f>((((854025.01*1/12*8)+(854025.011/12*4))+((2981.82*21)/12*8+(2981.82*21)/12*4)))</f>
        <v>916643.23033333337</v>
      </c>
      <c r="Y216" s="6">
        <f>((275317.13*1)/12*8)+((275317.13*1)/12*4)</f>
        <v>275317.13</v>
      </c>
      <c r="Z216" s="62">
        <f>((39153.14*21)/12*8)+((39153.14*21)/12*4)</f>
        <v>822215.94</v>
      </c>
      <c r="AB216" s="165">
        <f>SUM(AC216:AE216)</f>
        <v>2014176.3003333332</v>
      </c>
      <c r="AC216" s="6">
        <f>((((854025.01*1/12*8)+(854025.011/12*4))+((2981.82*21)/12*8+(2981.82*21)/12*4)))</f>
        <v>916643.23033333337</v>
      </c>
      <c r="AD216" s="6">
        <f>((275317.13*1)/12*8)+((275317.13*1)/12*4)</f>
        <v>275317.13</v>
      </c>
      <c r="AE216" s="62">
        <f>((39153.14*21)/12*8)+((39153.14*21)/12*4)</f>
        <v>822215.94</v>
      </c>
    </row>
    <row r="217" spans="1:31" ht="162" customHeight="1" x14ac:dyDescent="0.25">
      <c r="A217" s="251"/>
      <c r="B217" s="367"/>
      <c r="C217" s="363" t="s">
        <v>72</v>
      </c>
      <c r="D217" s="37" t="s">
        <v>71</v>
      </c>
      <c r="E217" s="164" t="s">
        <v>543</v>
      </c>
      <c r="F217" s="164" t="s">
        <v>543</v>
      </c>
      <c r="G217" s="164" t="s">
        <v>543</v>
      </c>
      <c r="H217" s="164" t="s">
        <v>515</v>
      </c>
      <c r="I217" s="164" t="s">
        <v>544</v>
      </c>
      <c r="J217" s="6" t="s">
        <v>348</v>
      </c>
      <c r="K217" s="6" t="s">
        <v>505</v>
      </c>
      <c r="L217" s="6" t="s">
        <v>347</v>
      </c>
      <c r="M217" s="6" t="s">
        <v>603</v>
      </c>
      <c r="N217" s="6">
        <f>SUM(O217:R217)</f>
        <v>7151164.1200000001</v>
      </c>
      <c r="O217" s="6">
        <f>((((806713.32*4)/12*8+(806713.32*4)/12*4)+((2981.82*67)/12*8+(2981.82*67)/12*4)))</f>
        <v>3426635.22</v>
      </c>
      <c r="P217" s="6">
        <f>((275317.13*4)/12*8)+((275317.13*4)/12*4)</f>
        <v>1101268.52</v>
      </c>
      <c r="Q217" s="6"/>
      <c r="R217" s="61">
        <f>((39153.14*67)/12*8)+((39153.14*67)/12*4)</f>
        <v>2623260.38</v>
      </c>
      <c r="S217" s="61"/>
      <c r="T217" s="61">
        <f>W217</f>
        <v>6603409.6400000006</v>
      </c>
      <c r="U217" s="61">
        <f>AB217</f>
        <v>6013520.1999999993</v>
      </c>
      <c r="W217" s="165">
        <f>SUM(X217:Z217)</f>
        <v>6603409.6400000006</v>
      </c>
      <c r="X217" s="6">
        <f>((((806713.32*4/12*8)+(806713.32*4/12*4))+((2981.82*54)/12*8+(2981.82*54)/12*4)))</f>
        <v>3387871.56</v>
      </c>
      <c r="Y217" s="6">
        <f>((275317.13*4)/12*8)+((275317.13*4)/12*4)</f>
        <v>1101268.52</v>
      </c>
      <c r="Z217" s="62">
        <f>((39153.14*54)/12*8)+((39153.14*54)/12*4)</f>
        <v>2114269.56</v>
      </c>
      <c r="AB217" s="165">
        <f>SUM(AC217:AE217)</f>
        <v>6013520.1999999993</v>
      </c>
      <c r="AC217" s="6">
        <f>((((806713.32*4/12*8)+(806713.32*4/12*4))+((2981.82*40)/12*8+(2981.82*40)/12*4)))</f>
        <v>3346126.08</v>
      </c>
      <c r="AD217" s="6">
        <f>((275317.13*4)/12*8)+((275317.13*4)/12*4)</f>
        <v>1101268.52</v>
      </c>
      <c r="AE217" s="62">
        <f>((39153.14*40)/12*8)+((39153.14*40)/12*4)</f>
        <v>1566125.6</v>
      </c>
    </row>
    <row r="218" spans="1:31" ht="90" x14ac:dyDescent="0.25">
      <c r="A218" s="251"/>
      <c r="B218" s="367"/>
      <c r="C218" s="363" t="s">
        <v>40</v>
      </c>
      <c r="D218" s="37" t="s">
        <v>25</v>
      </c>
      <c r="E218" s="216"/>
      <c r="F218" s="216"/>
      <c r="G218" s="216"/>
      <c r="H218" s="216"/>
      <c r="I218" s="216"/>
      <c r="J218" s="91" t="s">
        <v>73</v>
      </c>
      <c r="K218" s="91" t="s">
        <v>73</v>
      </c>
      <c r="L218" s="91" t="s">
        <v>73</v>
      </c>
      <c r="M218" s="91" t="s">
        <v>73</v>
      </c>
      <c r="N218" s="6">
        <f t="shared" ref="N218:N226" si="66">SUM(O218:R218)</f>
        <v>0</v>
      </c>
      <c r="O218" s="91" t="s">
        <v>73</v>
      </c>
      <c r="P218" s="91" t="s">
        <v>73</v>
      </c>
      <c r="Q218" s="91"/>
      <c r="R218" s="91" t="s">
        <v>73</v>
      </c>
      <c r="S218" s="91"/>
      <c r="T218" s="61">
        <f t="shared" ref="T218:T225" si="67">N218</f>
        <v>0</v>
      </c>
      <c r="U218" s="61">
        <f t="shared" ref="U218:U225" si="68">T218</f>
        <v>0</v>
      </c>
    </row>
    <row r="219" spans="1:31" x14ac:dyDescent="0.25">
      <c r="A219" s="251"/>
      <c r="B219" s="367"/>
      <c r="C219" s="207" t="s">
        <v>58</v>
      </c>
      <c r="D219" s="37" t="s">
        <v>25</v>
      </c>
      <c r="E219" s="216">
        <v>1</v>
      </c>
      <c r="F219" s="164">
        <v>1</v>
      </c>
      <c r="G219" s="164">
        <v>1</v>
      </c>
      <c r="H219" s="216">
        <v>1</v>
      </c>
      <c r="I219" s="216">
        <v>1</v>
      </c>
      <c r="J219" s="61">
        <f t="shared" ref="J219:J226" si="69">K219</f>
        <v>180044.6</v>
      </c>
      <c r="K219" s="61">
        <v>180044.6</v>
      </c>
      <c r="L219" s="91"/>
      <c r="M219" s="91"/>
      <c r="N219" s="6">
        <f t="shared" si="66"/>
        <v>180044.6</v>
      </c>
      <c r="O219" s="6">
        <f>G219*K219</f>
        <v>180044.6</v>
      </c>
      <c r="P219" s="91"/>
      <c r="Q219" s="91"/>
      <c r="R219" s="91"/>
      <c r="S219" s="91"/>
      <c r="T219" s="61"/>
      <c r="U219" s="61"/>
    </row>
    <row r="220" spans="1:31" x14ac:dyDescent="0.25">
      <c r="A220" s="251"/>
      <c r="B220" s="367"/>
      <c r="C220" s="207" t="s">
        <v>29</v>
      </c>
      <c r="D220" s="37" t="s">
        <v>25</v>
      </c>
      <c r="E220" s="164">
        <v>3</v>
      </c>
      <c r="F220" s="164">
        <v>3</v>
      </c>
      <c r="G220" s="164">
        <v>3</v>
      </c>
      <c r="H220" s="164">
        <f>4+2-2</f>
        <v>4</v>
      </c>
      <c r="I220" s="164">
        <v>4</v>
      </c>
      <c r="J220" s="61">
        <f t="shared" si="69"/>
        <v>180044.6</v>
      </c>
      <c r="K220" s="61">
        <v>180044.6</v>
      </c>
      <c r="L220" s="91"/>
      <c r="M220" s="91"/>
      <c r="N220" s="6">
        <f t="shared" si="66"/>
        <v>540133.80000000005</v>
      </c>
      <c r="O220" s="6">
        <f>G220*K220</f>
        <v>540133.80000000005</v>
      </c>
      <c r="P220" s="91"/>
      <c r="Q220" s="91"/>
      <c r="R220" s="91"/>
      <c r="S220" s="91"/>
      <c r="T220" s="61">
        <f>H220*K220</f>
        <v>720178.4</v>
      </c>
      <c r="U220" s="61">
        <f>T220</f>
        <v>720178.4</v>
      </c>
      <c r="W220" s="1" t="s">
        <v>382</v>
      </c>
    </row>
    <row r="221" spans="1:31" x14ac:dyDescent="0.25">
      <c r="A221" s="251"/>
      <c r="B221" s="367"/>
      <c r="C221" s="207" t="s">
        <v>31</v>
      </c>
      <c r="D221" s="37" t="s">
        <v>25</v>
      </c>
      <c r="E221" s="164">
        <v>6</v>
      </c>
      <c r="F221" s="164">
        <v>6</v>
      </c>
      <c r="G221" s="164">
        <v>6</v>
      </c>
      <c r="H221" s="164">
        <v>7</v>
      </c>
      <c r="I221" s="216">
        <f>8-1-1-1-1+3</f>
        <v>7</v>
      </c>
      <c r="J221" s="61">
        <f t="shared" si="69"/>
        <v>177239.91</v>
      </c>
      <c r="K221" s="61">
        <v>177239.91</v>
      </c>
      <c r="L221" s="61"/>
      <c r="M221" s="61"/>
      <c r="N221" s="6">
        <f t="shared" si="66"/>
        <v>1063439.46</v>
      </c>
      <c r="O221" s="6">
        <f t="shared" ref="O221:O223" si="70">G221*K221</f>
        <v>1063439.46</v>
      </c>
      <c r="P221" s="6"/>
      <c r="Q221" s="6"/>
      <c r="R221" s="165"/>
      <c r="S221" s="165"/>
      <c r="T221" s="61">
        <f t="shared" si="67"/>
        <v>1063439.46</v>
      </c>
      <c r="U221" s="61">
        <f t="shared" si="68"/>
        <v>1063439.46</v>
      </c>
    </row>
    <row r="222" spans="1:31" x14ac:dyDescent="0.25">
      <c r="A222" s="251"/>
      <c r="B222" s="367"/>
      <c r="C222" s="207" t="s">
        <v>33</v>
      </c>
      <c r="D222" s="37" t="s">
        <v>25</v>
      </c>
      <c r="E222" s="164">
        <v>0</v>
      </c>
      <c r="F222" s="164">
        <v>0</v>
      </c>
      <c r="G222" s="164">
        <v>0</v>
      </c>
      <c r="H222" s="164">
        <v>2</v>
      </c>
      <c r="I222" s="164">
        <v>2</v>
      </c>
      <c r="J222" s="61">
        <f t="shared" si="69"/>
        <v>232140.55</v>
      </c>
      <c r="K222" s="61">
        <v>232140.55</v>
      </c>
      <c r="L222" s="61"/>
      <c r="M222" s="61"/>
      <c r="N222" s="6">
        <f t="shared" si="66"/>
        <v>0</v>
      </c>
      <c r="O222" s="6">
        <f t="shared" si="70"/>
        <v>0</v>
      </c>
      <c r="P222" s="6"/>
      <c r="Q222" s="6"/>
      <c r="R222" s="165"/>
      <c r="S222" s="165"/>
      <c r="T222" s="61">
        <f t="shared" si="67"/>
        <v>0</v>
      </c>
      <c r="U222" s="61">
        <f t="shared" si="68"/>
        <v>0</v>
      </c>
    </row>
    <row r="223" spans="1:31" x14ac:dyDescent="0.25">
      <c r="A223" s="251"/>
      <c r="B223" s="367"/>
      <c r="C223" s="207" t="s">
        <v>53</v>
      </c>
      <c r="D223" s="37" t="s">
        <v>25</v>
      </c>
      <c r="E223" s="164">
        <v>1</v>
      </c>
      <c r="F223" s="164">
        <v>1</v>
      </c>
      <c r="G223" s="164">
        <v>1</v>
      </c>
      <c r="H223" s="164">
        <v>1</v>
      </c>
      <c r="I223" s="164">
        <v>1</v>
      </c>
      <c r="J223" s="61">
        <f t="shared" si="69"/>
        <v>413434.44</v>
      </c>
      <c r="K223" s="61">
        <v>413434.44</v>
      </c>
      <c r="L223" s="61"/>
      <c r="M223" s="61"/>
      <c r="N223" s="6">
        <f t="shared" si="66"/>
        <v>413434.44</v>
      </c>
      <c r="O223" s="6">
        <f t="shared" si="70"/>
        <v>413434.44</v>
      </c>
      <c r="P223" s="6"/>
      <c r="Q223" s="6"/>
      <c r="R223" s="165"/>
      <c r="S223" s="165"/>
      <c r="T223" s="61">
        <f t="shared" si="67"/>
        <v>413434.44</v>
      </c>
      <c r="U223" s="61">
        <f t="shared" si="68"/>
        <v>413434.44</v>
      </c>
    </row>
    <row r="224" spans="1:31" ht="82.9" customHeight="1" x14ac:dyDescent="0.25">
      <c r="A224" s="251"/>
      <c r="B224" s="367"/>
      <c r="C224" s="363" t="s">
        <v>74</v>
      </c>
      <c r="D224" s="37" t="s">
        <v>25</v>
      </c>
      <c r="E224" s="164">
        <v>1</v>
      </c>
      <c r="F224" s="164">
        <v>1</v>
      </c>
      <c r="G224" s="164">
        <f t="shared" ref="G224:G226" si="71">((E224*8)+(F224*4))/12</f>
        <v>1</v>
      </c>
      <c r="H224" s="164">
        <v>0</v>
      </c>
      <c r="I224" s="216">
        <v>0</v>
      </c>
      <c r="J224" s="61">
        <f t="shared" si="69"/>
        <v>419493.24</v>
      </c>
      <c r="K224" s="61">
        <f>416511.42+2981.82</f>
        <v>419493.24</v>
      </c>
      <c r="L224" s="6">
        <v>0</v>
      </c>
      <c r="M224" s="6" t="s">
        <v>603</v>
      </c>
      <c r="N224" s="6">
        <f t="shared" si="66"/>
        <v>458646.38</v>
      </c>
      <c r="O224" s="6">
        <f>G224*K224</f>
        <v>419493.24</v>
      </c>
      <c r="P224" s="6">
        <v>0</v>
      </c>
      <c r="Q224" s="6"/>
      <c r="R224" s="6">
        <f>G224*39153.14</f>
        <v>39153.14</v>
      </c>
      <c r="S224" s="165"/>
      <c r="T224" s="61">
        <f>N224</f>
        <v>458646.38</v>
      </c>
      <c r="U224" s="61">
        <f t="shared" si="68"/>
        <v>458646.38</v>
      </c>
    </row>
    <row r="225" spans="1:31" ht="82.9" customHeight="1" x14ac:dyDescent="0.25">
      <c r="A225" s="251"/>
      <c r="B225" s="367"/>
      <c r="C225" s="363" t="s">
        <v>75</v>
      </c>
      <c r="D225" s="37" t="s">
        <v>25</v>
      </c>
      <c r="E225" s="164"/>
      <c r="F225" s="164"/>
      <c r="G225" s="164">
        <f t="shared" si="71"/>
        <v>0</v>
      </c>
      <c r="H225" s="164"/>
      <c r="I225" s="164"/>
      <c r="J225" s="61">
        <f t="shared" si="69"/>
        <v>40917.279999999999</v>
      </c>
      <c r="K225" s="61">
        <v>40917.279999999999</v>
      </c>
      <c r="L225" s="6" t="s">
        <v>27</v>
      </c>
      <c r="M225" s="6" t="s">
        <v>27</v>
      </c>
      <c r="N225" s="6">
        <f t="shared" si="66"/>
        <v>0</v>
      </c>
      <c r="O225" s="6">
        <f>G225*K225</f>
        <v>0</v>
      </c>
      <c r="P225" s="6" t="s">
        <v>27</v>
      </c>
      <c r="Q225" s="6"/>
      <c r="R225" s="165" t="s">
        <v>27</v>
      </c>
      <c r="S225" s="165"/>
      <c r="T225" s="61">
        <f t="shared" si="67"/>
        <v>0</v>
      </c>
      <c r="U225" s="61">
        <f t="shared" si="68"/>
        <v>0</v>
      </c>
    </row>
    <row r="226" spans="1:31" ht="13.9" customHeight="1" x14ac:dyDescent="0.25">
      <c r="A226" s="251"/>
      <c r="B226" s="367"/>
      <c r="C226" s="163" t="s">
        <v>59</v>
      </c>
      <c r="D226" s="37" t="s">
        <v>60</v>
      </c>
      <c r="E226" s="164">
        <v>5</v>
      </c>
      <c r="F226" s="164">
        <v>5</v>
      </c>
      <c r="G226" s="164">
        <f t="shared" si="71"/>
        <v>5</v>
      </c>
      <c r="H226" s="164">
        <v>5</v>
      </c>
      <c r="I226" s="164">
        <v>5</v>
      </c>
      <c r="J226" s="61">
        <f t="shared" si="69"/>
        <v>234360</v>
      </c>
      <c r="K226" s="61">
        <f>10000*1.5*1.302*12</f>
        <v>234360</v>
      </c>
      <c r="L226" s="6"/>
      <c r="M226" s="6"/>
      <c r="N226" s="6">
        <f t="shared" si="66"/>
        <v>1171800</v>
      </c>
      <c r="O226" s="6">
        <f>G226*K226</f>
        <v>1171800</v>
      </c>
      <c r="P226" s="6"/>
      <c r="Q226" s="6"/>
      <c r="R226" s="165"/>
      <c r="S226" s="165"/>
      <c r="T226" s="61">
        <f>H226*K226-1171800</f>
        <v>0</v>
      </c>
      <c r="U226" s="61">
        <f>I226*K226-1171800</f>
        <v>0</v>
      </c>
    </row>
    <row r="227" spans="1:31" ht="25.15" customHeight="1" x14ac:dyDescent="0.25">
      <c r="A227" s="251"/>
      <c r="B227" s="368"/>
      <c r="C227" s="163" t="s">
        <v>39</v>
      </c>
      <c r="D227" s="37"/>
      <c r="E227" s="164" t="s">
        <v>516</v>
      </c>
      <c r="F227" s="164" t="s">
        <v>516</v>
      </c>
      <c r="G227" s="216" t="s">
        <v>516</v>
      </c>
      <c r="H227" s="216" t="s">
        <v>517</v>
      </c>
      <c r="I227" s="216" t="s">
        <v>518</v>
      </c>
      <c r="J227" s="6" t="s">
        <v>27</v>
      </c>
      <c r="K227" s="6" t="s">
        <v>27</v>
      </c>
      <c r="L227" s="6" t="s">
        <v>27</v>
      </c>
      <c r="M227" s="6" t="s">
        <v>27</v>
      </c>
      <c r="N227" s="165">
        <f>SUM(O227:R227)</f>
        <v>12992839.100333333</v>
      </c>
      <c r="O227" s="6">
        <f>SUM(O216:O226)</f>
        <v>8131623.9903333336</v>
      </c>
      <c r="P227" s="6">
        <f>SUM(P216:P225)</f>
        <v>1376585.65</v>
      </c>
      <c r="Q227" s="6"/>
      <c r="R227" s="165">
        <f>SUM(R216:R225)</f>
        <v>3484629.46</v>
      </c>
      <c r="S227" s="6"/>
      <c r="T227" s="6">
        <f>SUM(T216:T226)</f>
        <v>11273284.620333333</v>
      </c>
      <c r="U227" s="6">
        <f>SUM(U216:U226)</f>
        <v>10683395.180333331</v>
      </c>
    </row>
    <row r="228" spans="1:31" ht="172.5" customHeight="1" x14ac:dyDescent="0.25">
      <c r="A228" s="251"/>
      <c r="B228" s="366" t="s">
        <v>599</v>
      </c>
      <c r="C228" s="363" t="s">
        <v>70</v>
      </c>
      <c r="D228" s="37" t="s">
        <v>71</v>
      </c>
      <c r="E228" s="164" t="s">
        <v>519</v>
      </c>
      <c r="F228" s="164" t="s">
        <v>519</v>
      </c>
      <c r="G228" s="164" t="s">
        <v>519</v>
      </c>
      <c r="H228" s="164" t="s">
        <v>379</v>
      </c>
      <c r="I228" s="164" t="s">
        <v>379</v>
      </c>
      <c r="J228" s="6" t="s">
        <v>349</v>
      </c>
      <c r="K228" s="6" t="s">
        <v>506</v>
      </c>
      <c r="L228" s="6" t="s">
        <v>347</v>
      </c>
      <c r="M228" s="6" t="s">
        <v>603</v>
      </c>
      <c r="N228" s="6">
        <f>SUM(O228:R228)</f>
        <v>5087528.3800000008</v>
      </c>
      <c r="O228" s="6">
        <f>((((1276686.37*2)/12*8+(1276686.37*2)/12*4)+((3966.89*46)/12*8+(3966.89*46)/12*4)))</f>
        <v>2735849.68</v>
      </c>
      <c r="P228" s="6">
        <f>((275317.13*2)/12*8)+((275317.13*2)/12*4)</f>
        <v>550634.26</v>
      </c>
      <c r="Q228" s="6"/>
      <c r="R228" s="6">
        <f>((39153.14*46)/12*8)+((39153.14*46)/12*4)</f>
        <v>1801044.44</v>
      </c>
      <c r="S228" s="6"/>
      <c r="T228" s="61">
        <f>N228</f>
        <v>5087528.3800000008</v>
      </c>
      <c r="U228" s="61">
        <f>AB228</f>
        <v>5001288.32</v>
      </c>
      <c r="V228" s="13"/>
      <c r="W228" s="165">
        <f>SUM(X228:Z228)</f>
        <v>5001288.32</v>
      </c>
      <c r="X228" s="6">
        <f>((((1276686.37*2)/12*8+(1276686.37*2)/12*4)+((3966.89*44)/12*8+(3966.89*44)/12*4)))</f>
        <v>2727915.9000000004</v>
      </c>
      <c r="Y228" s="6">
        <f>((275317.13*2)/12*8)+((275317.13*2)/12*4)</f>
        <v>550634.26</v>
      </c>
      <c r="Z228" s="165">
        <f>((39153.14*44)/12*8)+((39153.14*44)/12*4)</f>
        <v>1722738.1600000001</v>
      </c>
      <c r="AB228" s="165">
        <f>SUM(AC228:AE228)</f>
        <v>5001288.32</v>
      </c>
      <c r="AC228" s="6">
        <f>((((1276686.37*2)/12*8+(1276686.37*2)/12*4)+((3966.89*44)/12*8+(3966.89*44)/12*4)))</f>
        <v>2727915.9000000004</v>
      </c>
      <c r="AD228" s="6">
        <f>((275317.13*2)/12*8)+((275317.13*2)/12*4)</f>
        <v>550634.26</v>
      </c>
      <c r="AE228" s="165">
        <f>((39153.14*44)/12*8)+((39153.14*44)/12*4)</f>
        <v>1722738.1600000001</v>
      </c>
    </row>
    <row r="229" spans="1:31" ht="168" customHeight="1" x14ac:dyDescent="0.25">
      <c r="A229" s="251"/>
      <c r="B229" s="367"/>
      <c r="C229" s="363" t="s">
        <v>72</v>
      </c>
      <c r="D229" s="37" t="s">
        <v>71</v>
      </c>
      <c r="E229" s="169" t="s">
        <v>545</v>
      </c>
      <c r="F229" s="169" t="s">
        <v>545</v>
      </c>
      <c r="G229" s="169" t="s">
        <v>545</v>
      </c>
      <c r="H229" s="169" t="s">
        <v>522</v>
      </c>
      <c r="I229" s="169" t="s">
        <v>524</v>
      </c>
      <c r="J229" s="6" t="s">
        <v>350</v>
      </c>
      <c r="K229" s="6" t="s">
        <v>507</v>
      </c>
      <c r="L229" s="6" t="s">
        <v>347</v>
      </c>
      <c r="M229" s="6" t="s">
        <v>603</v>
      </c>
      <c r="N229" s="6">
        <f>SUM(O229:R229)</f>
        <v>7493142.0800000001</v>
      </c>
      <c r="O229" s="6">
        <f>((((1037408*4)/12*8+(1037408*4)/12*4)+((3966.89*52)/12*8+(3966.89*52)/12*4)))</f>
        <v>4355910.28</v>
      </c>
      <c r="P229" s="6">
        <f>((275317.13*4)/12*8)+((275317.13*4)/12*4)</f>
        <v>1101268.52</v>
      </c>
      <c r="Q229" s="6"/>
      <c r="R229" s="6">
        <f>((39153.14*52)/12*8)+((39153.14*52)/12*4)</f>
        <v>2035963.2799999998</v>
      </c>
      <c r="S229" s="6"/>
      <c r="T229" s="61">
        <f>W229</f>
        <v>8096822.5</v>
      </c>
      <c r="U229" s="61">
        <f>AB229</f>
        <v>7924342.379999999</v>
      </c>
      <c r="W229" s="165">
        <f>SUM(X229:Z229)</f>
        <v>8096822.5</v>
      </c>
      <c r="X229" s="6">
        <f>((((1037408*4)/12*8+(1037408*4)/12*4)+((3966.89*66)/12*8+(3966.89*66)/12*4)))</f>
        <v>4411446.74</v>
      </c>
      <c r="Y229" s="6">
        <f>((275317.13*4)/12*8)+((275317.13*4)/12*4)</f>
        <v>1101268.52</v>
      </c>
      <c r="Z229" s="165">
        <f>((39153.14*66)/12*8)+((39153.14*66)/12*4)</f>
        <v>2584107.2399999998</v>
      </c>
      <c r="AB229" s="165">
        <f>SUM(AC229:AE229)</f>
        <v>7924342.379999999</v>
      </c>
      <c r="AC229" s="6">
        <f>((((1037408*4)/12*8+(1037408*4)/12*4)+((3966.89*62)/12*8+(3966.89*62)/12*4)))</f>
        <v>4395579.18</v>
      </c>
      <c r="AD229" s="6">
        <f>((275317.13*4)/12*8)+((275317.13*4)/12*4)</f>
        <v>1101268.52</v>
      </c>
      <c r="AE229" s="165">
        <f>((39153.14*62)/12*8)+((39153.14*62)/12*4)</f>
        <v>2427494.6800000002</v>
      </c>
    </row>
    <row r="230" spans="1:31" ht="90" x14ac:dyDescent="0.25">
      <c r="A230" s="251"/>
      <c r="B230" s="368"/>
      <c r="C230" s="363" t="s">
        <v>26</v>
      </c>
      <c r="D230" s="37" t="s">
        <v>25</v>
      </c>
      <c r="E230" s="164" t="s">
        <v>27</v>
      </c>
      <c r="F230" s="164" t="s">
        <v>27</v>
      </c>
      <c r="G230" s="164" t="s">
        <v>27</v>
      </c>
      <c r="H230" s="164" t="s">
        <v>27</v>
      </c>
      <c r="I230" s="164" t="s">
        <v>27</v>
      </c>
      <c r="J230" s="164" t="s">
        <v>27</v>
      </c>
      <c r="K230" s="164" t="s">
        <v>27</v>
      </c>
      <c r="L230" s="164" t="s">
        <v>27</v>
      </c>
      <c r="M230" s="164" t="s">
        <v>27</v>
      </c>
      <c r="N230" s="6"/>
      <c r="O230" s="6"/>
      <c r="P230" s="164" t="s">
        <v>27</v>
      </c>
      <c r="Q230" s="164"/>
      <c r="R230" s="164" t="s">
        <v>27</v>
      </c>
      <c r="S230" s="164"/>
      <c r="T230" s="61"/>
      <c r="U230" s="61"/>
    </row>
    <row r="231" spans="1:31" x14ac:dyDescent="0.25">
      <c r="A231" s="251"/>
      <c r="B231" s="369"/>
      <c r="C231" s="207" t="s">
        <v>30</v>
      </c>
      <c r="D231" s="37" t="s">
        <v>25</v>
      </c>
      <c r="E231" s="169"/>
      <c r="F231" s="169"/>
      <c r="G231" s="164"/>
      <c r="H231" s="169"/>
      <c r="I231" s="169"/>
      <c r="J231" s="61">
        <f>K231</f>
        <v>136759.12</v>
      </c>
      <c r="K231" s="61">
        <v>136759.12</v>
      </c>
      <c r="L231" s="164" t="s">
        <v>27</v>
      </c>
      <c r="M231" s="164" t="s">
        <v>27</v>
      </c>
      <c r="N231" s="6">
        <f>O231</f>
        <v>0</v>
      </c>
      <c r="O231" s="61">
        <f>G231*K231</f>
        <v>0</v>
      </c>
      <c r="P231" s="164" t="s">
        <v>27</v>
      </c>
      <c r="Q231" s="164"/>
      <c r="R231" s="164" t="s">
        <v>27</v>
      </c>
      <c r="S231" s="164"/>
      <c r="T231" s="61">
        <f>H231*K231</f>
        <v>0</v>
      </c>
      <c r="U231" s="61">
        <f>I231*K231</f>
        <v>0</v>
      </c>
    </row>
    <row r="232" spans="1:31" x14ac:dyDescent="0.25">
      <c r="A232" s="251"/>
      <c r="B232" s="369"/>
      <c r="C232" s="207" t="s">
        <v>32</v>
      </c>
      <c r="D232" s="37" t="s">
        <v>25</v>
      </c>
      <c r="E232" s="169">
        <f>2-2</f>
        <v>0</v>
      </c>
      <c r="F232" s="169">
        <f>2-2</f>
        <v>0</v>
      </c>
      <c r="G232" s="164">
        <f t="shared" ref="G232:G234" si="72">((E232*8)+(F232*4))/12</f>
        <v>0</v>
      </c>
      <c r="H232" s="169">
        <f>2-2</f>
        <v>0</v>
      </c>
      <c r="I232" s="169">
        <f>2-2</f>
        <v>0</v>
      </c>
      <c r="J232" s="61">
        <f t="shared" ref="J232:J233" si="73">K232</f>
        <v>338129.91999999998</v>
      </c>
      <c r="K232" s="61">
        <v>338129.91999999998</v>
      </c>
      <c r="L232" s="164" t="s">
        <v>27</v>
      </c>
      <c r="M232" s="164" t="s">
        <v>27</v>
      </c>
      <c r="N232" s="6">
        <f t="shared" ref="N232:N233" si="74">O232</f>
        <v>0</v>
      </c>
      <c r="O232" s="61">
        <f t="shared" ref="O232:O233" si="75">G232*K232</f>
        <v>0</v>
      </c>
      <c r="P232" s="164" t="s">
        <v>27</v>
      </c>
      <c r="Q232" s="164"/>
      <c r="R232" s="164" t="s">
        <v>27</v>
      </c>
      <c r="S232" s="164"/>
      <c r="T232" s="61">
        <f t="shared" ref="T232:T233" si="76">H232*K232</f>
        <v>0</v>
      </c>
      <c r="U232" s="61">
        <f t="shared" ref="U232:U233" si="77">I232*K232</f>
        <v>0</v>
      </c>
    </row>
    <row r="233" spans="1:31" x14ac:dyDescent="0.25">
      <c r="A233" s="251"/>
      <c r="B233" s="369"/>
      <c r="C233" s="207" t="s">
        <v>33</v>
      </c>
      <c r="D233" s="37" t="s">
        <v>25</v>
      </c>
      <c r="E233" s="169">
        <v>0</v>
      </c>
      <c r="F233" s="169">
        <v>0</v>
      </c>
      <c r="G233" s="164">
        <f t="shared" si="72"/>
        <v>0</v>
      </c>
      <c r="H233" s="169">
        <f>2+3</f>
        <v>5</v>
      </c>
      <c r="I233" s="169">
        <f>4+1</f>
        <v>5</v>
      </c>
      <c r="J233" s="61">
        <f t="shared" si="73"/>
        <v>248678.63</v>
      </c>
      <c r="K233" s="61">
        <v>248678.63</v>
      </c>
      <c r="L233" s="164" t="s">
        <v>27</v>
      </c>
      <c r="M233" s="164" t="s">
        <v>27</v>
      </c>
      <c r="N233" s="6">
        <f t="shared" si="74"/>
        <v>0</v>
      </c>
      <c r="O233" s="61">
        <f t="shared" si="75"/>
        <v>0</v>
      </c>
      <c r="P233" s="164" t="s">
        <v>27</v>
      </c>
      <c r="Q233" s="164"/>
      <c r="R233" s="164" t="s">
        <v>27</v>
      </c>
      <c r="S233" s="164"/>
      <c r="T233" s="61">
        <f t="shared" si="76"/>
        <v>1243393.1499999999</v>
      </c>
      <c r="U233" s="61">
        <f t="shared" si="77"/>
        <v>1243393.1499999999</v>
      </c>
    </row>
    <row r="234" spans="1:31" x14ac:dyDescent="0.25">
      <c r="A234" s="251"/>
      <c r="B234" s="369"/>
      <c r="C234" s="207" t="s">
        <v>35</v>
      </c>
      <c r="D234" s="37" t="s">
        <v>25</v>
      </c>
      <c r="E234" s="169">
        <v>1</v>
      </c>
      <c r="F234" s="169">
        <v>1</v>
      </c>
      <c r="G234" s="164">
        <f t="shared" si="72"/>
        <v>1</v>
      </c>
      <c r="H234" s="169">
        <f>1-1</f>
        <v>0</v>
      </c>
      <c r="I234" s="169">
        <f>1-1</f>
        <v>0</v>
      </c>
      <c r="J234" s="61">
        <f>K234</f>
        <v>22516.240000000002</v>
      </c>
      <c r="K234" s="61">
        <v>22516.240000000002</v>
      </c>
      <c r="L234" s="164" t="s">
        <v>27</v>
      </c>
      <c r="M234" s="164" t="s">
        <v>27</v>
      </c>
      <c r="N234" s="6">
        <f>O234</f>
        <v>22516.240000000002</v>
      </c>
      <c r="O234" s="61">
        <f>G234*K234</f>
        <v>22516.240000000002</v>
      </c>
      <c r="P234" s="164" t="s">
        <v>27</v>
      </c>
      <c r="Q234" s="164"/>
      <c r="R234" s="164" t="s">
        <v>27</v>
      </c>
      <c r="S234" s="164"/>
      <c r="T234" s="61">
        <f>H234*K234</f>
        <v>0</v>
      </c>
      <c r="U234" s="61">
        <f>I234*K234</f>
        <v>0</v>
      </c>
    </row>
    <row r="235" spans="1:31" ht="82.9" customHeight="1" x14ac:dyDescent="0.25">
      <c r="A235" s="251"/>
      <c r="B235" s="369"/>
      <c r="C235" s="363" t="s">
        <v>74</v>
      </c>
      <c r="D235" s="37" t="s">
        <v>25</v>
      </c>
      <c r="E235" s="169">
        <v>0</v>
      </c>
      <c r="F235" s="169">
        <v>0</v>
      </c>
      <c r="G235" s="164">
        <v>0</v>
      </c>
      <c r="H235" s="169">
        <v>0</v>
      </c>
      <c r="I235" s="169">
        <f>1-1</f>
        <v>0</v>
      </c>
      <c r="J235" s="61">
        <f>SUM(K235:M235)</f>
        <v>472132.45</v>
      </c>
      <c r="K235" s="61">
        <f>468336.75+3795.7</f>
        <v>472132.45</v>
      </c>
      <c r="L235" s="6"/>
      <c r="M235" s="6" t="s">
        <v>603</v>
      </c>
      <c r="N235" s="61">
        <f>SUM(O235:R235)</f>
        <v>0</v>
      </c>
      <c r="O235" s="61">
        <f>G235*K235</f>
        <v>0</v>
      </c>
      <c r="P235" s="61">
        <f>G235*4001.99</f>
        <v>0</v>
      </c>
      <c r="Q235" s="61"/>
      <c r="R235" s="61"/>
      <c r="S235" s="61"/>
      <c r="T235" s="61">
        <f>N235</f>
        <v>0</v>
      </c>
      <c r="U235" s="61">
        <f>T235</f>
        <v>0</v>
      </c>
    </row>
    <row r="236" spans="1:31" ht="82.9" customHeight="1" x14ac:dyDescent="0.25">
      <c r="A236" s="251"/>
      <c r="B236" s="369"/>
      <c r="C236" s="363" t="s">
        <v>75</v>
      </c>
      <c r="D236" s="37" t="s">
        <v>25</v>
      </c>
      <c r="E236" s="169">
        <v>2</v>
      </c>
      <c r="F236" s="169">
        <v>2</v>
      </c>
      <c r="G236" s="164">
        <f t="shared" ref="G236" si="78">((E236*8)+(F236*4))/12</f>
        <v>2</v>
      </c>
      <c r="H236" s="169">
        <v>0</v>
      </c>
      <c r="I236" s="169">
        <v>0</v>
      </c>
      <c r="J236" s="61">
        <f>K236</f>
        <v>61732.47</v>
      </c>
      <c r="K236" s="61">
        <f>57765.58+3966.89</f>
        <v>61732.47</v>
      </c>
      <c r="L236" s="61"/>
      <c r="M236" s="61"/>
      <c r="N236" s="61">
        <f>O236</f>
        <v>123464.94</v>
      </c>
      <c r="O236" s="61">
        <f>G236*K236</f>
        <v>123464.94</v>
      </c>
      <c r="P236" s="61"/>
      <c r="Q236" s="61"/>
      <c r="R236" s="61"/>
      <c r="S236" s="61"/>
      <c r="T236" s="61">
        <f>H236*K236</f>
        <v>0</v>
      </c>
      <c r="U236" s="61">
        <f>I236*K236</f>
        <v>0</v>
      </c>
    </row>
    <row r="237" spans="1:31" ht="13.9" customHeight="1" x14ac:dyDescent="0.25">
      <c r="A237" s="251"/>
      <c r="B237" s="369"/>
      <c r="C237" s="163" t="s">
        <v>59</v>
      </c>
      <c r="D237" s="37" t="s">
        <v>60</v>
      </c>
      <c r="E237" s="169">
        <v>6</v>
      </c>
      <c r="F237" s="169">
        <v>6</v>
      </c>
      <c r="G237" s="164">
        <f>((E237*8)+(F237*4))/12</f>
        <v>6</v>
      </c>
      <c r="H237" s="169">
        <v>6</v>
      </c>
      <c r="I237" s="169">
        <v>6</v>
      </c>
      <c r="J237" s="61">
        <f>K237</f>
        <v>234360</v>
      </c>
      <c r="K237" s="61">
        <f>10000*1.5*1.302*12</f>
        <v>234360</v>
      </c>
      <c r="L237" s="61"/>
      <c r="M237" s="61"/>
      <c r="N237" s="61">
        <f>O237</f>
        <v>1406160</v>
      </c>
      <c r="O237" s="61">
        <f>G237*K237</f>
        <v>1406160</v>
      </c>
      <c r="P237" s="61"/>
      <c r="Q237" s="61"/>
      <c r="R237" s="61"/>
      <c r="S237" s="61"/>
      <c r="T237" s="61">
        <f>H237*K237-1406160</f>
        <v>0</v>
      </c>
      <c r="U237" s="61">
        <f>I237*K237-1406160</f>
        <v>0</v>
      </c>
    </row>
    <row r="238" spans="1:31" ht="25.9" customHeight="1" x14ac:dyDescent="0.25">
      <c r="A238" s="251"/>
      <c r="B238" s="369"/>
      <c r="C238" s="166" t="s">
        <v>39</v>
      </c>
      <c r="D238" s="37"/>
      <c r="E238" s="169" t="s">
        <v>520</v>
      </c>
      <c r="F238" s="169" t="s">
        <v>520</v>
      </c>
      <c r="G238" s="217" t="s">
        <v>520</v>
      </c>
      <c r="H238" s="217" t="s">
        <v>521</v>
      </c>
      <c r="I238" s="217" t="s">
        <v>523</v>
      </c>
      <c r="J238" s="61" t="s">
        <v>27</v>
      </c>
      <c r="K238" s="61" t="s">
        <v>27</v>
      </c>
      <c r="L238" s="61" t="s">
        <v>27</v>
      </c>
      <c r="M238" s="61" t="s">
        <v>27</v>
      </c>
      <c r="N238" s="62">
        <f>SUM(O238:R238)</f>
        <v>14132811.640000001</v>
      </c>
      <c r="O238" s="61">
        <f>SUM(O228:O237)</f>
        <v>8643901.1400000006</v>
      </c>
      <c r="P238" s="61">
        <f>SUM(P228:P236)</f>
        <v>1651902.78</v>
      </c>
      <c r="Q238" s="61"/>
      <c r="R238" s="62">
        <f>SUM(R228:R236)</f>
        <v>3837007.7199999997</v>
      </c>
      <c r="S238" s="61"/>
      <c r="T238" s="6">
        <f>SUM(T228:T237)</f>
        <v>14427744.030000001</v>
      </c>
      <c r="U238" s="61">
        <f>T238</f>
        <v>14427744.030000001</v>
      </c>
      <c r="W238" s="161" t="s">
        <v>380</v>
      </c>
      <c r="Z238" s="161" t="s">
        <v>381</v>
      </c>
      <c r="AB238" s="161" t="s">
        <v>482</v>
      </c>
      <c r="AE238" s="161" t="s">
        <v>381</v>
      </c>
    </row>
    <row r="239" spans="1:31" ht="210" x14ac:dyDescent="0.25">
      <c r="A239" s="251"/>
      <c r="B239" s="378" t="s">
        <v>595</v>
      </c>
      <c r="C239" s="363" t="s">
        <v>72</v>
      </c>
      <c r="D239" s="37" t="s">
        <v>71</v>
      </c>
      <c r="E239" s="164" t="s">
        <v>525</v>
      </c>
      <c r="F239" s="164" t="s">
        <v>525</v>
      </c>
      <c r="G239" s="164" t="s">
        <v>525</v>
      </c>
      <c r="H239" s="164" t="s">
        <v>526</v>
      </c>
      <c r="I239" s="164" t="s">
        <v>526</v>
      </c>
      <c r="J239" s="6" t="s">
        <v>351</v>
      </c>
      <c r="K239" s="6" t="s">
        <v>508</v>
      </c>
      <c r="L239" s="6" t="s">
        <v>347</v>
      </c>
      <c r="M239" s="6" t="s">
        <v>603</v>
      </c>
      <c r="N239" s="61">
        <f>SUM(O239:R239)</f>
        <v>3398670.82</v>
      </c>
      <c r="O239" s="6">
        <f>((((1099564.08*2)/12*8+(1099564.08*2)/12*4)+((4107.42*15)/12*8+(4107.42*15)/12*4)))</f>
        <v>2260739.46</v>
      </c>
      <c r="P239" s="61">
        <f>((275317.13*2)/12*8)+((275317.13*2)/12*4)</f>
        <v>550634.26</v>
      </c>
      <c r="Q239" s="61"/>
      <c r="R239" s="61">
        <f>39153.14*15</f>
        <v>587297.1</v>
      </c>
      <c r="S239" s="61"/>
      <c r="T239" s="61">
        <f>W239</f>
        <v>3268889.14</v>
      </c>
      <c r="U239" s="61">
        <f>AB239</f>
        <v>3268889.14</v>
      </c>
      <c r="W239" s="62">
        <f>SUM(X239:Z239)</f>
        <v>3268889.14</v>
      </c>
      <c r="X239" s="6">
        <f>((((1099564.08*2)/12*8+(1099564.08*2)/12*4)+((4107.42*12)/12*8+(4107.42*12)/12*4)))</f>
        <v>2248417.2000000002</v>
      </c>
      <c r="Y239" s="61">
        <f>((275317.13*2)/12*8)+((275317.13*2)/12*4)</f>
        <v>550634.26</v>
      </c>
      <c r="Z239" s="61">
        <f>39153.14*12</f>
        <v>469837.68</v>
      </c>
      <c r="AB239" s="62">
        <f>SUM(AC239:AE239)</f>
        <v>3268889.14</v>
      </c>
      <c r="AC239" s="6">
        <f>((((1099564.08*2)/12*8+(1099564.08*2)/12*4)+((4107.42*12)/12*8+(4107.42*12)/12*4)))</f>
        <v>2248417.2000000002</v>
      </c>
      <c r="AD239" s="61">
        <f>((275317.13*2)/12*8)+((275317.13*2)/12*4)</f>
        <v>550634.26</v>
      </c>
      <c r="AE239" s="61">
        <f>39153.14*12</f>
        <v>469837.68</v>
      </c>
    </row>
    <row r="240" spans="1:31" ht="90" x14ac:dyDescent="0.25">
      <c r="A240" s="251"/>
      <c r="B240" s="369"/>
      <c r="C240" s="363" t="s">
        <v>26</v>
      </c>
      <c r="D240" s="37" t="s">
        <v>25</v>
      </c>
      <c r="E240" s="164"/>
      <c r="F240" s="164"/>
      <c r="G240" s="164"/>
      <c r="H240" s="164"/>
      <c r="I240" s="164"/>
      <c r="J240" s="6"/>
      <c r="K240" s="6"/>
      <c r="L240" s="6"/>
      <c r="M240" s="6"/>
      <c r="N240" s="61"/>
      <c r="O240" s="6"/>
      <c r="P240" s="61"/>
      <c r="Q240" s="61"/>
      <c r="R240" s="61"/>
      <c r="S240" s="61"/>
      <c r="T240" s="61"/>
      <c r="U240" s="61"/>
    </row>
    <row r="241" spans="1:28" x14ac:dyDescent="0.25">
      <c r="A241" s="251"/>
      <c r="B241" s="369"/>
      <c r="C241" s="207" t="s">
        <v>30</v>
      </c>
      <c r="D241" s="37" t="s">
        <v>25</v>
      </c>
      <c r="E241" s="164"/>
      <c r="F241" s="164"/>
      <c r="G241" s="164">
        <f>((E241*8)+(F241*4))/12</f>
        <v>0</v>
      </c>
      <c r="H241" s="164"/>
      <c r="I241" s="164"/>
      <c r="J241" s="6">
        <f>K241</f>
        <v>139428.28</v>
      </c>
      <c r="K241" s="6">
        <v>139428.28</v>
      </c>
      <c r="L241" s="6"/>
      <c r="M241" s="6"/>
      <c r="N241" s="61">
        <f>O241</f>
        <v>0</v>
      </c>
      <c r="O241" s="6">
        <f>K241*G241</f>
        <v>0</v>
      </c>
      <c r="P241" s="61"/>
      <c r="Q241" s="61"/>
      <c r="R241" s="61"/>
      <c r="S241" s="61"/>
      <c r="T241" s="61">
        <f>G241*K241</f>
        <v>0</v>
      </c>
      <c r="U241" s="61">
        <f>T241</f>
        <v>0</v>
      </c>
    </row>
    <row r="242" spans="1:28" x14ac:dyDescent="0.25">
      <c r="A242" s="251"/>
      <c r="B242" s="369"/>
      <c r="C242" s="207" t="s">
        <v>35</v>
      </c>
      <c r="D242" s="37" t="s">
        <v>25</v>
      </c>
      <c r="E242" s="164"/>
      <c r="F242" s="164"/>
      <c r="G242" s="164">
        <f>((E242*8)+(F242*4))/12</f>
        <v>0</v>
      </c>
      <c r="H242" s="164"/>
      <c r="I242" s="164"/>
      <c r="J242" s="6">
        <f>K242</f>
        <v>22516.240000000002</v>
      </c>
      <c r="K242" s="6">
        <v>22516.240000000002</v>
      </c>
      <c r="L242" s="6"/>
      <c r="M242" s="6"/>
      <c r="N242" s="61">
        <f>O242</f>
        <v>0</v>
      </c>
      <c r="O242" s="6">
        <f>K242*G242</f>
        <v>0</v>
      </c>
      <c r="P242" s="61"/>
      <c r="Q242" s="61"/>
      <c r="R242" s="61"/>
      <c r="S242" s="61"/>
      <c r="T242" s="61">
        <f>G242*K242</f>
        <v>0</v>
      </c>
      <c r="U242" s="61">
        <f>T242</f>
        <v>0</v>
      </c>
    </row>
    <row r="243" spans="1:28" ht="13.9" customHeight="1" x14ac:dyDescent="0.25">
      <c r="A243" s="251"/>
      <c r="B243" s="369"/>
      <c r="C243" s="163" t="s">
        <v>59</v>
      </c>
      <c r="D243" s="37" t="s">
        <v>60</v>
      </c>
      <c r="E243" s="164">
        <v>2</v>
      </c>
      <c r="F243" s="164">
        <v>2</v>
      </c>
      <c r="G243" s="164">
        <v>2</v>
      </c>
      <c r="H243" s="164">
        <v>2</v>
      </c>
      <c r="I243" s="164">
        <v>2</v>
      </c>
      <c r="J243" s="6">
        <f>K243</f>
        <v>234360</v>
      </c>
      <c r="K243" s="6">
        <f>10000*1.5*1.302*12</f>
        <v>234360</v>
      </c>
      <c r="L243" s="6"/>
      <c r="M243" s="6"/>
      <c r="N243" s="61">
        <f>O243</f>
        <v>468720</v>
      </c>
      <c r="O243" s="6">
        <f>K243*G243</f>
        <v>468720</v>
      </c>
      <c r="P243" s="61"/>
      <c r="Q243" s="61"/>
      <c r="R243" s="61"/>
      <c r="S243" s="61"/>
      <c r="T243" s="61">
        <f>H243*K243-468720</f>
        <v>0</v>
      </c>
      <c r="U243" s="61">
        <f>I243*K243-468720</f>
        <v>0</v>
      </c>
    </row>
    <row r="244" spans="1:28" ht="25.9" customHeight="1" x14ac:dyDescent="0.25">
      <c r="A244" s="251"/>
      <c r="B244" s="369"/>
      <c r="C244" s="166" t="s">
        <v>39</v>
      </c>
      <c r="D244" s="37"/>
      <c r="E244" s="164" t="str">
        <f>E239</f>
        <v>2\15</v>
      </c>
      <c r="F244" s="164" t="str">
        <f>F239</f>
        <v>2\15</v>
      </c>
      <c r="G244" s="216" t="str">
        <f>G239</f>
        <v>2\15</v>
      </c>
      <c r="H244" s="216" t="str">
        <f>H239</f>
        <v>2\12</v>
      </c>
      <c r="I244" s="216" t="str">
        <f>I239</f>
        <v>2\12</v>
      </c>
      <c r="J244" s="61" t="s">
        <v>27</v>
      </c>
      <c r="K244" s="61" t="s">
        <v>27</v>
      </c>
      <c r="L244" s="61" t="s">
        <v>27</v>
      </c>
      <c r="M244" s="61" t="s">
        <v>27</v>
      </c>
      <c r="N244" s="62">
        <f>SUM(N239:N243)</f>
        <v>3867390.82</v>
      </c>
      <c r="O244" s="61">
        <f>SUM(O239:O243)</f>
        <v>2729459.46</v>
      </c>
      <c r="P244" s="61">
        <f>SUM(P239:P242)</f>
        <v>550634.26</v>
      </c>
      <c r="Q244" s="61"/>
      <c r="R244" s="62">
        <f>SUM(R239:R242)</f>
        <v>587297.1</v>
      </c>
      <c r="S244" s="61"/>
      <c r="T244" s="61">
        <f>SUM(T239:T243)</f>
        <v>3268889.14</v>
      </c>
      <c r="U244" s="61">
        <f>SUM(U239:U243)</f>
        <v>3268889.14</v>
      </c>
    </row>
    <row r="245" spans="1:28" ht="57" customHeight="1" x14ac:dyDescent="0.25">
      <c r="A245" s="251"/>
      <c r="B245" s="247" t="s">
        <v>111</v>
      </c>
      <c r="C245" s="371" t="s">
        <v>76</v>
      </c>
      <c r="D245" s="37" t="s">
        <v>25</v>
      </c>
      <c r="E245" s="169">
        <f>566-9</f>
        <v>557</v>
      </c>
      <c r="F245" s="169">
        <f>566-9</f>
        <v>557</v>
      </c>
      <c r="G245" s="169">
        <f>((E245*8)+(F245*4))/12</f>
        <v>557</v>
      </c>
      <c r="H245" s="169">
        <f>566-9</f>
        <v>557</v>
      </c>
      <c r="I245" s="169">
        <f>566-9</f>
        <v>557</v>
      </c>
      <c r="J245" s="61">
        <f>K245</f>
        <v>5752.01</v>
      </c>
      <c r="K245" s="61">
        <v>5752.01</v>
      </c>
      <c r="L245" s="61" t="s">
        <v>27</v>
      </c>
      <c r="M245" s="61" t="s">
        <v>27</v>
      </c>
      <c r="N245" s="61">
        <f>SUM(O245:R245)</f>
        <v>3203869.5700000003</v>
      </c>
      <c r="O245" s="61">
        <f>K245*G245</f>
        <v>3203869.5700000003</v>
      </c>
      <c r="P245" s="61" t="s">
        <v>27</v>
      </c>
      <c r="Q245" s="61"/>
      <c r="R245" s="61" t="s">
        <v>27</v>
      </c>
      <c r="S245" s="61"/>
      <c r="T245" s="61">
        <f>H245*K245</f>
        <v>3203869.5700000003</v>
      </c>
      <c r="U245" s="61">
        <f>I245*K245</f>
        <v>3203869.5700000003</v>
      </c>
      <c r="X245" s="8"/>
    </row>
    <row r="246" spans="1:28" ht="46.9" customHeight="1" x14ac:dyDescent="0.25">
      <c r="A246" s="251"/>
      <c r="B246" s="248"/>
      <c r="C246" s="372"/>
      <c r="D246" s="37" t="s">
        <v>232</v>
      </c>
      <c r="E246" s="169">
        <v>65196</v>
      </c>
      <c r="F246" s="169">
        <v>65196</v>
      </c>
      <c r="G246" s="169">
        <v>65196</v>
      </c>
      <c r="H246" s="169">
        <v>65196</v>
      </c>
      <c r="I246" s="169">
        <v>65196</v>
      </c>
      <c r="J246" s="61">
        <f>K246</f>
        <v>49.142118688263089</v>
      </c>
      <c r="K246" s="61">
        <f>N246/G246</f>
        <v>49.142118688263089</v>
      </c>
      <c r="L246" s="61" t="s">
        <v>27</v>
      </c>
      <c r="M246" s="61" t="s">
        <v>27</v>
      </c>
      <c r="N246" s="61">
        <f>N245</f>
        <v>3203869.5700000003</v>
      </c>
      <c r="O246" s="61">
        <f>O245</f>
        <v>3203869.5700000003</v>
      </c>
      <c r="P246" s="61" t="s">
        <v>27</v>
      </c>
      <c r="Q246" s="61"/>
      <c r="R246" s="61" t="s">
        <v>27</v>
      </c>
      <c r="S246" s="61"/>
      <c r="T246" s="61">
        <f>T245/G246*H246</f>
        <v>3203869.5700000003</v>
      </c>
      <c r="U246" s="61">
        <f>U245/G246*I246</f>
        <v>3203869.5700000003</v>
      </c>
      <c r="X246" s="8"/>
    </row>
    <row r="247" spans="1:28" x14ac:dyDescent="0.25">
      <c r="A247" s="251"/>
      <c r="B247" s="232"/>
      <c r="C247" s="373" t="s">
        <v>39</v>
      </c>
      <c r="D247" s="10"/>
      <c r="E247" s="4">
        <f>SUM(E245:E245)</f>
        <v>557</v>
      </c>
      <c r="F247" s="169">
        <f>SUM(F245:F245)</f>
        <v>557</v>
      </c>
      <c r="G247" s="169">
        <f>SUM(G245:G245)</f>
        <v>557</v>
      </c>
      <c r="H247" s="169">
        <f>SUM(H245:H245)</f>
        <v>557</v>
      </c>
      <c r="I247" s="169">
        <f>SUM(I245:I245)</f>
        <v>557</v>
      </c>
      <c r="J247" s="61" t="s">
        <v>27</v>
      </c>
      <c r="K247" s="61" t="s">
        <v>27</v>
      </c>
      <c r="L247" s="61" t="s">
        <v>27</v>
      </c>
      <c r="M247" s="61">
        <f t="shared" ref="M247:R247" si="79">SUM(M245:M245)</f>
        <v>0</v>
      </c>
      <c r="N247" s="62">
        <f t="shared" si="79"/>
        <v>3203869.5700000003</v>
      </c>
      <c r="O247" s="61">
        <f t="shared" si="79"/>
        <v>3203869.5700000003</v>
      </c>
      <c r="P247" s="61">
        <f t="shared" si="79"/>
        <v>0</v>
      </c>
      <c r="Q247" s="61"/>
      <c r="R247" s="61">
        <f t="shared" si="79"/>
        <v>0</v>
      </c>
      <c r="S247" s="61"/>
      <c r="T247" s="61">
        <f>N245</f>
        <v>3203869.5700000003</v>
      </c>
      <c r="U247" s="61">
        <f>T245</f>
        <v>3203869.5700000003</v>
      </c>
    </row>
    <row r="248" spans="1:28" x14ac:dyDescent="0.25">
      <c r="A248" s="251"/>
      <c r="B248" s="162" t="s">
        <v>44</v>
      </c>
      <c r="C248" s="207" t="s">
        <v>45</v>
      </c>
      <c r="D248" s="10"/>
      <c r="E248" s="4"/>
      <c r="F248" s="169"/>
      <c r="G248" s="169"/>
      <c r="H248" s="169"/>
      <c r="I248" s="169"/>
      <c r="J248" s="61"/>
      <c r="K248" s="61"/>
      <c r="L248" s="61"/>
      <c r="M248" s="61"/>
      <c r="N248" s="61">
        <f>P248</f>
        <v>0</v>
      </c>
      <c r="O248" s="61"/>
      <c r="P248" s="61"/>
      <c r="Q248" s="61"/>
      <c r="R248" s="61"/>
      <c r="S248" s="61"/>
      <c r="T248" s="61">
        <f>P248</f>
        <v>0</v>
      </c>
      <c r="U248" s="61">
        <f t="shared" ref="U248:U253" si="80">T248</f>
        <v>0</v>
      </c>
    </row>
    <row r="249" spans="1:28" x14ac:dyDescent="0.25">
      <c r="A249" s="251"/>
      <c r="B249" s="162" t="s">
        <v>54</v>
      </c>
      <c r="C249" s="232" t="s">
        <v>55</v>
      </c>
      <c r="D249" s="37" t="s">
        <v>25</v>
      </c>
      <c r="E249" s="4"/>
      <c r="F249" s="169"/>
      <c r="G249" s="169"/>
      <c r="H249" s="169"/>
      <c r="I249" s="169"/>
      <c r="J249" s="61"/>
      <c r="K249" s="61"/>
      <c r="L249" s="61"/>
      <c r="M249" s="61"/>
      <c r="N249" s="61">
        <f>S249</f>
        <v>0</v>
      </c>
      <c r="O249" s="61"/>
      <c r="P249" s="61"/>
      <c r="Q249" s="61"/>
      <c r="R249" s="61"/>
      <c r="S249" s="61"/>
      <c r="T249" s="61">
        <f>S249</f>
        <v>0</v>
      </c>
      <c r="U249" s="61">
        <f t="shared" si="80"/>
        <v>0</v>
      </c>
    </row>
    <row r="250" spans="1:28" hidden="1" x14ac:dyDescent="0.25">
      <c r="A250" s="251"/>
      <c r="B250" s="162" t="s">
        <v>54</v>
      </c>
      <c r="C250" s="232" t="s">
        <v>45</v>
      </c>
      <c r="D250" s="37" t="s">
        <v>25</v>
      </c>
      <c r="E250" s="4"/>
      <c r="F250" s="169"/>
      <c r="G250" s="169"/>
      <c r="H250" s="169"/>
      <c r="I250" s="169"/>
      <c r="J250" s="61"/>
      <c r="K250" s="61"/>
      <c r="L250" s="61"/>
      <c r="M250" s="61"/>
      <c r="N250" s="61">
        <f>Q250</f>
        <v>0</v>
      </c>
      <c r="O250" s="61"/>
      <c r="P250" s="61"/>
      <c r="Q250" s="61"/>
      <c r="R250" s="61"/>
      <c r="S250" s="61"/>
      <c r="T250" s="61"/>
      <c r="U250" s="61"/>
    </row>
    <row r="251" spans="1:28" hidden="1" x14ac:dyDescent="0.25">
      <c r="A251" s="251"/>
      <c r="B251" s="162" t="s">
        <v>56</v>
      </c>
      <c r="C251" s="232" t="s">
        <v>55</v>
      </c>
      <c r="D251" s="37"/>
      <c r="E251" s="4"/>
      <c r="F251" s="169"/>
      <c r="G251" s="169"/>
      <c r="H251" s="169"/>
      <c r="I251" s="169"/>
      <c r="J251" s="61"/>
      <c r="K251" s="61"/>
      <c r="L251" s="61"/>
      <c r="M251" s="61"/>
      <c r="N251" s="61">
        <f>S251</f>
        <v>0</v>
      </c>
      <c r="O251" s="61"/>
      <c r="P251" s="61"/>
      <c r="Q251" s="61"/>
      <c r="R251" s="61"/>
      <c r="S251" s="61"/>
      <c r="T251" s="61"/>
      <c r="U251" s="61"/>
    </row>
    <row r="252" spans="1:28" x14ac:dyDescent="0.25">
      <c r="A252" s="251"/>
      <c r="B252" s="162" t="s">
        <v>48</v>
      </c>
      <c r="C252" s="232" t="s">
        <v>45</v>
      </c>
      <c r="D252" s="37"/>
      <c r="E252" s="4">
        <v>13</v>
      </c>
      <c r="F252" s="169">
        <v>13</v>
      </c>
      <c r="G252" s="169">
        <v>13</v>
      </c>
      <c r="H252" s="169">
        <v>13</v>
      </c>
      <c r="I252" s="169">
        <v>13</v>
      </c>
      <c r="J252" s="61"/>
      <c r="K252" s="61"/>
      <c r="L252" s="61"/>
      <c r="M252" s="61"/>
      <c r="N252" s="61">
        <v>0</v>
      </c>
      <c r="O252" s="61">
        <f>O243+O237+O226</f>
        <v>3046680</v>
      </c>
      <c r="P252" s="61"/>
      <c r="Q252" s="61"/>
      <c r="R252" s="61"/>
      <c r="S252" s="61"/>
      <c r="T252" s="61">
        <v>1523340</v>
      </c>
      <c r="U252" s="61">
        <f>T252</f>
        <v>1523340</v>
      </c>
    </row>
    <row r="253" spans="1:28" ht="13.9" hidden="1" customHeight="1" x14ac:dyDescent="0.25">
      <c r="A253" s="251"/>
      <c r="B253" s="162" t="s">
        <v>49</v>
      </c>
      <c r="C253" s="232" t="s">
        <v>45</v>
      </c>
      <c r="D253" s="37"/>
      <c r="E253" s="4"/>
      <c r="F253" s="169"/>
      <c r="G253" s="169"/>
      <c r="H253" s="169"/>
      <c r="I253" s="169"/>
      <c r="J253" s="61"/>
      <c r="K253" s="61"/>
      <c r="L253" s="61"/>
      <c r="M253" s="61"/>
      <c r="N253" s="61">
        <f t="shared" ref="N253" si="81">O253</f>
        <v>0</v>
      </c>
      <c r="O253" s="61"/>
      <c r="P253" s="61">
        <f t="shared" ref="P253:P254" si="82">G253*L253</f>
        <v>0</v>
      </c>
      <c r="Q253" s="61"/>
      <c r="R253" s="61"/>
      <c r="S253" s="61"/>
      <c r="T253" s="61">
        <f>O253</f>
        <v>0</v>
      </c>
      <c r="U253" s="61">
        <f t="shared" si="80"/>
        <v>0</v>
      </c>
    </row>
    <row r="254" spans="1:28" ht="13.9" customHeight="1" x14ac:dyDescent="0.25">
      <c r="A254" s="251"/>
      <c r="B254" s="163" t="s">
        <v>46</v>
      </c>
      <c r="C254" s="232" t="s">
        <v>45</v>
      </c>
      <c r="D254" s="345" t="s">
        <v>47</v>
      </c>
      <c r="E254" s="4">
        <v>1</v>
      </c>
      <c r="F254" s="169">
        <v>1</v>
      </c>
      <c r="G254" s="164">
        <f t="shared" ref="G254" si="83">((E254*8)+(F254*4))/12</f>
        <v>1</v>
      </c>
      <c r="H254" s="169">
        <v>1</v>
      </c>
      <c r="I254" s="169">
        <v>1</v>
      </c>
      <c r="J254" s="61"/>
      <c r="K254" s="61"/>
      <c r="L254" s="61">
        <v>361494.96</v>
      </c>
      <c r="M254" s="61"/>
      <c r="N254" s="61">
        <f>P254</f>
        <v>361494.96</v>
      </c>
      <c r="O254" s="61"/>
      <c r="P254" s="61">
        <f t="shared" si="82"/>
        <v>361494.96</v>
      </c>
      <c r="Q254" s="61"/>
      <c r="R254" s="61"/>
      <c r="S254" s="61"/>
      <c r="T254" s="61"/>
      <c r="U254" s="61">
        <f>T254</f>
        <v>0</v>
      </c>
    </row>
    <row r="255" spans="1:28" ht="29.25" x14ac:dyDescent="0.25">
      <c r="A255" s="251"/>
      <c r="B255" s="163" t="s">
        <v>46</v>
      </c>
      <c r="C255" s="373" t="s">
        <v>45</v>
      </c>
      <c r="D255" s="345" t="s">
        <v>47</v>
      </c>
      <c r="E255" s="169">
        <v>6</v>
      </c>
      <c r="F255" s="169">
        <v>6</v>
      </c>
      <c r="G255" s="169">
        <v>6</v>
      </c>
      <c r="H255" s="169">
        <v>6</v>
      </c>
      <c r="I255" s="169">
        <v>6</v>
      </c>
      <c r="J255" s="61"/>
      <c r="K255" s="61"/>
      <c r="L255" s="61">
        <v>332298.84999999998</v>
      </c>
      <c r="M255" s="61"/>
      <c r="N255" s="61">
        <f>P255</f>
        <v>1993793.0999999999</v>
      </c>
      <c r="O255" s="61"/>
      <c r="P255" s="61">
        <f>G255*L255</f>
        <v>1993793.0999999999</v>
      </c>
      <c r="Q255" s="61"/>
      <c r="R255" s="61"/>
      <c r="S255" s="61"/>
      <c r="T255" s="61"/>
      <c r="U255" s="61"/>
    </row>
    <row r="256" spans="1:28" ht="23.45" customHeight="1" x14ac:dyDescent="0.25">
      <c r="A256" s="252"/>
      <c r="B256" s="162" t="s">
        <v>51</v>
      </c>
      <c r="C256" s="232"/>
      <c r="D256" s="232"/>
      <c r="E256" s="218">
        <v>204</v>
      </c>
      <c r="F256" s="218">
        <v>204</v>
      </c>
      <c r="G256" s="218">
        <f>203+1</f>
        <v>204</v>
      </c>
      <c r="H256" s="218">
        <v>197</v>
      </c>
      <c r="I256" s="218">
        <v>179</v>
      </c>
      <c r="J256" s="160"/>
      <c r="K256" s="160"/>
      <c r="L256" s="160"/>
      <c r="M256" s="160"/>
      <c r="N256" s="160">
        <f>SUM(O256:S256)</f>
        <v>36552199.190333337</v>
      </c>
      <c r="O256" s="160">
        <f>O227+O238+O244+O247+O253</f>
        <v>22708854.160333335</v>
      </c>
      <c r="P256" s="160">
        <f>P227+P238+P244+P247+P248+P249+P250+P255+P254</f>
        <v>5934410.7499999991</v>
      </c>
      <c r="Q256" s="160">
        <f>Q227+Q238+Q244+Q247+Q248+Q249+Q250</f>
        <v>0</v>
      </c>
      <c r="R256" s="160">
        <f>R227+R238+R244+R247+R248+R249+R250+R251</f>
        <v>7908934.2799999993</v>
      </c>
      <c r="S256" s="160">
        <f>S227+S238+S244+S247+S248+S249+S250+S251</f>
        <v>0</v>
      </c>
      <c r="T256" s="160">
        <f>T227+T238+T244+T247+T248+T249+T250+T251+T253+T254</f>
        <v>32173787.360333335</v>
      </c>
      <c r="U256" s="160">
        <f>U227+U238+U244+U247+U248+U249+U250+U251+U253+U254</f>
        <v>31583897.920333333</v>
      </c>
      <c r="X256" s="8"/>
      <c r="AB256" s="8"/>
    </row>
    <row r="257" spans="1:25" ht="19.149999999999999" customHeight="1" x14ac:dyDescent="0.25">
      <c r="A257" s="14"/>
      <c r="B257" s="244" t="s">
        <v>77</v>
      </c>
      <c r="C257" s="245"/>
      <c r="D257" s="245"/>
      <c r="E257" s="245"/>
      <c r="F257" s="245"/>
      <c r="G257" s="245"/>
      <c r="H257" s="245"/>
      <c r="I257" s="245"/>
      <c r="J257" s="245"/>
      <c r="K257" s="245"/>
      <c r="L257" s="245"/>
      <c r="M257" s="246"/>
      <c r="N257" s="160">
        <f>N256+N215+N170+N129+N89+N48</f>
        <v>397297467.7919333</v>
      </c>
      <c r="O257" s="160">
        <f>O256+O215+O170+O129+O89+O48</f>
        <v>265994471.27033335</v>
      </c>
      <c r="P257" s="160">
        <f>P256+P215+P170+P129+P89+P48</f>
        <v>58175257.441599995</v>
      </c>
      <c r="Q257" s="160">
        <f>Q256+Q215+Q170+Q129+Q89+Q48</f>
        <v>0</v>
      </c>
      <c r="R257" s="160">
        <f>R256+R215+R170+R129+R89+R48-0.01</f>
        <v>73127739.069999993</v>
      </c>
      <c r="S257" s="160">
        <f>S256+S215+S170+S129+S89+S48</f>
        <v>0</v>
      </c>
      <c r="T257" s="160">
        <f>T256+T215+T170+T129+T89+T48</f>
        <v>363082652.02033341</v>
      </c>
      <c r="U257" s="160">
        <f>U256+U215+U170+U129+U89+U48</f>
        <v>363104598.8803333</v>
      </c>
      <c r="Y257" s="379"/>
    </row>
    <row r="258" spans="1:25" x14ac:dyDescent="0.25">
      <c r="A258" s="1" t="s">
        <v>78</v>
      </c>
      <c r="T258" s="22"/>
      <c r="U258" s="22"/>
    </row>
    <row r="259" spans="1:25" x14ac:dyDescent="0.25">
      <c r="A259" s="1" t="s">
        <v>79</v>
      </c>
      <c r="O259" s="8"/>
      <c r="R259" s="8"/>
      <c r="T259" s="8"/>
    </row>
    <row r="260" spans="1:25" ht="13.9" hidden="1" customHeight="1" x14ac:dyDescent="0.25">
      <c r="O260" s="111">
        <f>O252+O212+O167+O126+O86+O45</f>
        <v>33044800</v>
      </c>
      <c r="T260" s="8"/>
      <c r="U260" s="8"/>
    </row>
    <row r="261" spans="1:25" x14ac:dyDescent="0.25">
      <c r="O261" s="8"/>
      <c r="R261" s="15"/>
      <c r="S261" s="8"/>
      <c r="V261" s="8"/>
      <c r="W261" s="8"/>
    </row>
    <row r="262" spans="1:25" x14ac:dyDescent="0.25">
      <c r="O262" s="8"/>
      <c r="P262" s="8"/>
      <c r="R262" s="8"/>
    </row>
    <row r="263" spans="1:25" x14ac:dyDescent="0.25">
      <c r="O263" s="8"/>
      <c r="P263" s="8"/>
      <c r="R263" s="8"/>
      <c r="T263" s="8"/>
    </row>
    <row r="264" spans="1:25" x14ac:dyDescent="0.25">
      <c r="O264" s="8"/>
      <c r="P264" s="8"/>
      <c r="R264" s="8"/>
    </row>
    <row r="265" spans="1:25" x14ac:dyDescent="0.25">
      <c r="O265" s="8"/>
      <c r="P265" s="8"/>
    </row>
    <row r="266" spans="1:25" x14ac:dyDescent="0.25">
      <c r="O266" s="8"/>
      <c r="P266" s="8"/>
    </row>
    <row r="267" spans="1:25" x14ac:dyDescent="0.25">
      <c r="O267" s="8"/>
      <c r="P267" s="8"/>
    </row>
    <row r="268" spans="1:25" x14ac:dyDescent="0.25">
      <c r="O268" s="8"/>
      <c r="P268" s="8"/>
    </row>
    <row r="269" spans="1:25" x14ac:dyDescent="0.25">
      <c r="I269" s="16"/>
      <c r="O269" s="8"/>
      <c r="P269" s="8"/>
    </row>
    <row r="270" spans="1:25" x14ac:dyDescent="0.25">
      <c r="O270" s="8"/>
      <c r="P270" s="8"/>
    </row>
    <row r="271" spans="1:25" x14ac:dyDescent="0.25">
      <c r="O271" s="8"/>
      <c r="P271" s="8"/>
    </row>
    <row r="272" spans="1:25" x14ac:dyDescent="0.25">
      <c r="O272" s="8"/>
      <c r="P272" s="8"/>
    </row>
    <row r="273" spans="15:18" x14ac:dyDescent="0.25">
      <c r="O273" s="8"/>
      <c r="P273" s="8"/>
    </row>
    <row r="274" spans="15:18" x14ac:dyDescent="0.25">
      <c r="O274" s="8"/>
      <c r="P274" s="8"/>
    </row>
    <row r="275" spans="15:18" x14ac:dyDescent="0.25">
      <c r="O275" s="8"/>
      <c r="P275" s="8"/>
    </row>
    <row r="276" spans="15:18" x14ac:dyDescent="0.25">
      <c r="R276" s="8"/>
    </row>
    <row r="277" spans="15:18" x14ac:dyDescent="0.25">
      <c r="R277" s="8"/>
    </row>
    <row r="278" spans="15:18" x14ac:dyDescent="0.25">
      <c r="O278" s="8"/>
      <c r="R278" s="8"/>
    </row>
    <row r="299" spans="15:17" x14ac:dyDescent="0.25">
      <c r="O299" s="8"/>
      <c r="P299" s="8"/>
      <c r="Q299" s="8"/>
    </row>
    <row r="300" spans="15:17" x14ac:dyDescent="0.25">
      <c r="O300" s="8"/>
      <c r="P300" s="8"/>
      <c r="Q300" s="8"/>
    </row>
    <row r="301" spans="15:17" x14ac:dyDescent="0.25">
      <c r="O301" s="8"/>
      <c r="P301" s="8"/>
      <c r="Q301" s="8"/>
    </row>
    <row r="304" spans="15:17" x14ac:dyDescent="0.25">
      <c r="O304" s="8"/>
    </row>
    <row r="306" spans="1:15" ht="13.9" hidden="1" customHeight="1" x14ac:dyDescent="0.25">
      <c r="H306" s="1">
        <v>2</v>
      </c>
    </row>
    <row r="307" spans="1:15" ht="13.9" hidden="1" customHeight="1" x14ac:dyDescent="0.25">
      <c r="D307" s="17">
        <v>286</v>
      </c>
      <c r="E307" s="17"/>
      <c r="F307" s="17"/>
      <c r="G307" s="17">
        <v>3</v>
      </c>
      <c r="H307" s="17">
        <v>244</v>
      </c>
      <c r="I307" s="17">
        <v>46</v>
      </c>
      <c r="J307" s="17">
        <v>69</v>
      </c>
      <c r="K307" s="17">
        <f>D307+G307+H307+I307+J307</f>
        <v>648</v>
      </c>
      <c r="L307" s="1" t="s">
        <v>80</v>
      </c>
      <c r="M307" s="1" t="s">
        <v>81</v>
      </c>
      <c r="N307" s="1" t="s">
        <v>82</v>
      </c>
    </row>
    <row r="308" spans="1:15" ht="27.6" hidden="1" customHeight="1" x14ac:dyDescent="0.25">
      <c r="A308" s="1" t="s">
        <v>83</v>
      </c>
      <c r="B308" s="364" t="s">
        <v>44</v>
      </c>
      <c r="C308" s="18">
        <v>118131</v>
      </c>
      <c r="D308" s="19"/>
      <c r="E308" s="20"/>
      <c r="F308" s="20"/>
      <c r="G308" s="20"/>
      <c r="H308" s="20"/>
      <c r="I308" s="20"/>
      <c r="J308" s="20"/>
      <c r="K308" s="20"/>
      <c r="L308" s="8">
        <f>(C308+C314)</f>
        <v>522719</v>
      </c>
      <c r="M308" s="8">
        <f>(C312+C313)</f>
        <v>1356154</v>
      </c>
      <c r="N308" s="8">
        <f>(C309+C311)</f>
        <v>3584396</v>
      </c>
      <c r="O308" s="8">
        <f>L308+M308+N308</f>
        <v>5463269</v>
      </c>
    </row>
    <row r="309" spans="1:15" ht="13.9" hidden="1" customHeight="1" x14ac:dyDescent="0.25">
      <c r="B309" s="10" t="s">
        <v>54</v>
      </c>
      <c r="C309" s="18">
        <v>3308494</v>
      </c>
      <c r="D309" s="19"/>
      <c r="E309" s="20"/>
      <c r="F309" s="20"/>
      <c r="G309" s="20"/>
      <c r="H309" s="20"/>
      <c r="I309" s="20"/>
      <c r="J309" s="20"/>
      <c r="K309" s="20"/>
      <c r="L309" s="8">
        <f>L308/K307</f>
        <v>806.66512345679007</v>
      </c>
      <c r="M309" s="8">
        <f>M308/K307</f>
        <v>2092.8302469135801</v>
      </c>
      <c r="N309" s="8">
        <f>N308/K307</f>
        <v>5531.4753086419751</v>
      </c>
    </row>
    <row r="310" spans="1:15" ht="13.9" hidden="1" customHeight="1" x14ac:dyDescent="0.25">
      <c r="B310" s="10" t="s">
        <v>54</v>
      </c>
      <c r="C310" s="18"/>
      <c r="D310" s="19"/>
      <c r="E310" s="20"/>
      <c r="F310" s="20"/>
      <c r="G310" s="20"/>
      <c r="H310" s="20"/>
      <c r="I310" s="20"/>
      <c r="J310" s="20"/>
      <c r="K310" s="20"/>
      <c r="L310" s="8"/>
    </row>
    <row r="311" spans="1:15" ht="13.9" hidden="1" customHeight="1" x14ac:dyDescent="0.25">
      <c r="B311" s="10" t="s">
        <v>56</v>
      </c>
      <c r="C311" s="18">
        <v>275902</v>
      </c>
      <c r="D311" s="19"/>
      <c r="E311" s="20"/>
      <c r="F311" s="20"/>
      <c r="G311" s="20"/>
      <c r="H311" s="20"/>
      <c r="I311" s="20"/>
      <c r="J311" s="20"/>
      <c r="K311" s="20"/>
      <c r="L311" s="8">
        <f>C308+691346</f>
        <v>809477</v>
      </c>
      <c r="M311" s="8">
        <f>C313+3249792</f>
        <v>3522682</v>
      </c>
      <c r="N311" s="8">
        <f>C309</f>
        <v>3308494</v>
      </c>
    </row>
    <row r="312" spans="1:15" ht="13.9" hidden="1" customHeight="1" x14ac:dyDescent="0.25">
      <c r="B312" s="10" t="s">
        <v>48</v>
      </c>
      <c r="C312" s="18">
        <v>1083264</v>
      </c>
      <c r="D312" s="20"/>
      <c r="E312" s="20"/>
      <c r="F312" s="20"/>
      <c r="G312" s="20"/>
      <c r="H312" s="20"/>
      <c r="I312" s="20"/>
      <c r="J312" s="20"/>
      <c r="K312" s="20"/>
      <c r="L312" s="8">
        <f>L311-L308</f>
        <v>286758</v>
      </c>
      <c r="M312" s="8">
        <f>M311-M308</f>
        <v>2166528</v>
      </c>
      <c r="N312" s="8">
        <f>N311-N308</f>
        <v>-275902</v>
      </c>
    </row>
    <row r="313" spans="1:15" ht="13.9" hidden="1" customHeight="1" x14ac:dyDescent="0.25">
      <c r="B313" s="10" t="s">
        <v>49</v>
      </c>
      <c r="C313" s="18">
        <v>272890</v>
      </c>
      <c r="D313" s="20"/>
      <c r="E313" s="20"/>
      <c r="F313" s="20"/>
      <c r="G313" s="20"/>
      <c r="H313" s="20"/>
      <c r="I313" s="20"/>
      <c r="J313" s="20"/>
      <c r="K313" s="20"/>
      <c r="L313" s="8">
        <f>L312/K307</f>
        <v>442.52777777777777</v>
      </c>
      <c r="M313" s="8">
        <f>M312/K307</f>
        <v>3343.4074074074074</v>
      </c>
      <c r="N313" s="8">
        <f>N312/K307</f>
        <v>-425.77469135802471</v>
      </c>
    </row>
    <row r="314" spans="1:15" ht="13.9" hidden="1" customHeight="1" x14ac:dyDescent="0.25">
      <c r="B314" s="10" t="s">
        <v>50</v>
      </c>
      <c r="C314" s="18">
        <v>404588</v>
      </c>
      <c r="D314" s="20"/>
      <c r="E314" s="20"/>
      <c r="F314" s="20"/>
      <c r="G314" s="20"/>
      <c r="H314" s="20"/>
      <c r="I314" s="20"/>
      <c r="J314" s="20"/>
      <c r="K314" s="20"/>
      <c r="L314" s="8">
        <f>D307*L313</f>
        <v>126562.94444444444</v>
      </c>
      <c r="M314" s="8">
        <f>D307*M313</f>
        <v>956214.51851851854</v>
      </c>
      <c r="N314" s="8">
        <f>D307*N313</f>
        <v>-121771.56172839507</v>
      </c>
      <c r="O314" s="8">
        <f t="shared" ref="O314:O319" si="84">L314+M314+N314</f>
        <v>961005.90123456786</v>
      </c>
    </row>
    <row r="315" spans="1:15" ht="13.9" hidden="1" customHeight="1" x14ac:dyDescent="0.25">
      <c r="B315" s="380" t="s">
        <v>51</v>
      </c>
      <c r="C315" s="18">
        <f>SUM(C308:C314)</f>
        <v>5463269</v>
      </c>
      <c r="D315" s="20"/>
      <c r="E315" s="20"/>
      <c r="F315" s="20"/>
      <c r="G315" s="20"/>
      <c r="H315" s="20"/>
      <c r="I315" s="20"/>
      <c r="J315" s="20"/>
      <c r="K315" s="20"/>
      <c r="L315" s="8">
        <f>G307*L313</f>
        <v>1327.5833333333333</v>
      </c>
      <c r="M315" s="8">
        <f>G307*M313</f>
        <v>10030.222222222223</v>
      </c>
      <c r="N315" s="8">
        <f>G307*N313</f>
        <v>-1277.3240740740741</v>
      </c>
      <c r="O315" s="8">
        <f t="shared" si="84"/>
        <v>10080.481481481482</v>
      </c>
    </row>
    <row r="316" spans="1:15" ht="13.9" hidden="1" customHeight="1" x14ac:dyDescent="0.25">
      <c r="L316" s="8">
        <f>242*L313</f>
        <v>107091.72222222222</v>
      </c>
      <c r="M316" s="8">
        <f>242*M313</f>
        <v>809104.59259259258</v>
      </c>
      <c r="N316" s="8">
        <f>242*N313</f>
        <v>-103037.47530864198</v>
      </c>
      <c r="O316" s="8">
        <f t="shared" si="84"/>
        <v>813158.83950617281</v>
      </c>
    </row>
    <row r="317" spans="1:15" ht="13.9" hidden="1" customHeight="1" x14ac:dyDescent="0.25">
      <c r="D317" s="381"/>
      <c r="L317" s="8">
        <f>2*L313</f>
        <v>885.05555555555554</v>
      </c>
      <c r="M317" s="8">
        <f>2*M313</f>
        <v>6686.8148148148148</v>
      </c>
      <c r="N317" s="8">
        <f>2*N313</f>
        <v>-851.54938271604942</v>
      </c>
      <c r="O317" s="8">
        <f t="shared" si="84"/>
        <v>6720.3209876543206</v>
      </c>
    </row>
    <row r="318" spans="1:15" ht="13.9" hidden="1" customHeight="1" x14ac:dyDescent="0.25">
      <c r="D318" s="21"/>
      <c r="L318" s="8">
        <f>I307*L313</f>
        <v>20356.277777777777</v>
      </c>
      <c r="M318" s="8">
        <f>I307*M313</f>
        <v>153796.74074074073</v>
      </c>
      <c r="N318" s="8">
        <f>I307*N313</f>
        <v>-19585.635802469136</v>
      </c>
      <c r="O318" s="8">
        <f t="shared" si="84"/>
        <v>154567.38271604938</v>
      </c>
    </row>
    <row r="319" spans="1:15" ht="13.9" hidden="1" customHeight="1" x14ac:dyDescent="0.25">
      <c r="D319" s="21"/>
      <c r="L319" s="8">
        <f>J307*L313</f>
        <v>30534.416666666668</v>
      </c>
      <c r="M319" s="8">
        <f>J307*M313</f>
        <v>230695.11111111112</v>
      </c>
      <c r="N319" s="8">
        <f>J307*N313</f>
        <v>-29378.453703703704</v>
      </c>
      <c r="O319" s="8">
        <f t="shared" si="84"/>
        <v>231851.07407407407</v>
      </c>
    </row>
    <row r="320" spans="1:15" ht="13.9" hidden="1" customHeight="1" x14ac:dyDescent="0.25">
      <c r="D320" s="21"/>
    </row>
    <row r="321" spans="1:15" ht="13.9" hidden="1" customHeight="1" x14ac:dyDescent="0.25">
      <c r="D321" s="21"/>
    </row>
    <row r="322" spans="1:15" ht="13.9" hidden="1" customHeight="1" x14ac:dyDescent="0.25">
      <c r="D322" s="21"/>
    </row>
    <row r="323" spans="1:15" ht="13.9" hidden="1" customHeight="1" x14ac:dyDescent="0.25">
      <c r="D323" s="17">
        <v>261</v>
      </c>
      <c r="E323" s="17"/>
      <c r="F323" s="17"/>
      <c r="G323" s="17">
        <v>2</v>
      </c>
      <c r="H323" s="17">
        <v>219</v>
      </c>
      <c r="I323" s="17">
        <v>2</v>
      </c>
      <c r="J323" s="17">
        <v>44</v>
      </c>
      <c r="K323" s="17">
        <f>D323+G323+H323+I323+J323</f>
        <v>528</v>
      </c>
      <c r="L323" s="1" t="s">
        <v>80</v>
      </c>
      <c r="M323" s="1" t="s">
        <v>81</v>
      </c>
      <c r="N323" s="1" t="s">
        <v>82</v>
      </c>
    </row>
    <row r="324" spans="1:15" ht="27.6" hidden="1" customHeight="1" x14ac:dyDescent="0.25">
      <c r="A324" s="1" t="s">
        <v>84</v>
      </c>
      <c r="B324" s="364" t="s">
        <v>44</v>
      </c>
      <c r="C324" s="18">
        <v>96255</v>
      </c>
      <c r="D324" s="19"/>
      <c r="E324" s="20"/>
      <c r="F324" s="20"/>
      <c r="G324" s="20"/>
      <c r="H324" s="20"/>
      <c r="I324" s="20"/>
      <c r="J324" s="20"/>
      <c r="K324" s="20"/>
      <c r="L324" s="8">
        <f>C324+C326+C330</f>
        <v>1031146</v>
      </c>
      <c r="M324" s="8">
        <f>C328+C329</f>
        <v>1027677</v>
      </c>
      <c r="N324" s="8">
        <f>C325+C327</f>
        <v>4122597</v>
      </c>
      <c r="O324" s="8">
        <f>L324+M324+N324</f>
        <v>6181420</v>
      </c>
    </row>
    <row r="325" spans="1:15" ht="13.9" hidden="1" customHeight="1" x14ac:dyDescent="0.25">
      <c r="B325" s="10" t="s">
        <v>54</v>
      </c>
      <c r="C325" s="18">
        <v>3813252</v>
      </c>
      <c r="D325" s="19"/>
      <c r="E325" s="20"/>
      <c r="F325" s="20"/>
      <c r="G325" s="20"/>
      <c r="H325" s="20"/>
      <c r="I325" s="20"/>
      <c r="J325" s="20"/>
      <c r="K325" s="20"/>
      <c r="L325" s="8">
        <f>L324/K323</f>
        <v>1952.9280303030303</v>
      </c>
      <c r="M325" s="8">
        <f>M324/K323</f>
        <v>1946.3579545454545</v>
      </c>
      <c r="N325" s="8">
        <f>N324/K323</f>
        <v>7807.948863636364</v>
      </c>
    </row>
    <row r="326" spans="1:15" ht="13.9" hidden="1" customHeight="1" x14ac:dyDescent="0.25">
      <c r="B326" s="10" t="s">
        <v>54</v>
      </c>
      <c r="C326" s="18">
        <v>606031</v>
      </c>
      <c r="D326" s="19"/>
      <c r="E326" s="20"/>
      <c r="F326" s="20"/>
      <c r="G326" s="20"/>
      <c r="H326" s="20"/>
      <c r="I326" s="20"/>
      <c r="J326" s="20"/>
      <c r="K326" s="20"/>
    </row>
    <row r="327" spans="1:15" ht="13.9" hidden="1" customHeight="1" x14ac:dyDescent="0.25">
      <c r="B327" s="10" t="s">
        <v>56</v>
      </c>
      <c r="C327" s="18">
        <v>309345</v>
      </c>
      <c r="D327" s="19"/>
      <c r="E327" s="20"/>
      <c r="F327" s="20"/>
      <c r="G327" s="20"/>
      <c r="H327" s="20"/>
      <c r="I327" s="20"/>
      <c r="J327" s="20"/>
      <c r="K327" s="20"/>
      <c r="L327" s="8">
        <f>C324+C326+563319</f>
        <v>1265605</v>
      </c>
      <c r="M327" s="8">
        <f>C329+2624832</f>
        <v>2777565</v>
      </c>
      <c r="N327" s="8">
        <f>C325</f>
        <v>3813252</v>
      </c>
    </row>
    <row r="328" spans="1:15" ht="13.9" hidden="1" customHeight="1" x14ac:dyDescent="0.25">
      <c r="B328" s="10" t="s">
        <v>48</v>
      </c>
      <c r="C328" s="18">
        <v>874944</v>
      </c>
      <c r="D328" s="20"/>
      <c r="E328" s="20"/>
      <c r="F328" s="20"/>
      <c r="G328" s="20"/>
      <c r="H328" s="20"/>
      <c r="I328" s="20"/>
      <c r="J328" s="20"/>
      <c r="K328" s="20"/>
      <c r="L328" s="8">
        <f>L327-L324</f>
        <v>234459</v>
      </c>
      <c r="M328" s="8">
        <f>M327-M324</f>
        <v>1749888</v>
      </c>
      <c r="N328" s="8">
        <f>N327-N324</f>
        <v>-309345</v>
      </c>
    </row>
    <row r="329" spans="1:15" ht="13.9" hidden="1" customHeight="1" x14ac:dyDescent="0.25">
      <c r="B329" s="10" t="s">
        <v>49</v>
      </c>
      <c r="C329" s="18">
        <v>152733</v>
      </c>
      <c r="D329" s="20"/>
      <c r="E329" s="20"/>
      <c r="F329" s="20"/>
      <c r="G329" s="20"/>
      <c r="H329" s="20"/>
      <c r="I329" s="20"/>
      <c r="J329" s="20"/>
      <c r="K329" s="20"/>
      <c r="L329" s="22">
        <f>L328/K323</f>
        <v>444.05113636363637</v>
      </c>
      <c r="M329" s="22">
        <f>M328/K323</f>
        <v>3314.181818181818</v>
      </c>
      <c r="N329" s="22">
        <f>N328/K323</f>
        <v>-585.88068181818187</v>
      </c>
    </row>
    <row r="330" spans="1:15" ht="13.9" hidden="1" customHeight="1" x14ac:dyDescent="0.25">
      <c r="B330" s="10" t="s">
        <v>50</v>
      </c>
      <c r="C330" s="18">
        <v>328860</v>
      </c>
      <c r="D330" s="20"/>
      <c r="E330" s="20"/>
      <c r="F330" s="20"/>
      <c r="G330" s="20"/>
      <c r="H330" s="20"/>
      <c r="I330" s="20"/>
      <c r="J330" s="20"/>
      <c r="K330" s="20"/>
      <c r="L330" s="8">
        <f>D323*L329</f>
        <v>115897.34659090909</v>
      </c>
      <c r="M330" s="8">
        <f>M329*D323</f>
        <v>865001.45454545447</v>
      </c>
      <c r="N330" s="8">
        <f>D323*N329</f>
        <v>-152914.85795454547</v>
      </c>
      <c r="O330" s="8">
        <f>L330+M330+N330</f>
        <v>827983.94318181812</v>
      </c>
    </row>
    <row r="331" spans="1:15" ht="13.9" hidden="1" customHeight="1" x14ac:dyDescent="0.25">
      <c r="B331" s="380" t="s">
        <v>51</v>
      </c>
      <c r="C331" s="18">
        <f>SUM(C324:C330)</f>
        <v>6181420</v>
      </c>
      <c r="D331" s="20"/>
      <c r="E331" s="20"/>
      <c r="F331" s="20"/>
      <c r="G331" s="20"/>
      <c r="H331" s="20"/>
      <c r="I331" s="20"/>
      <c r="J331" s="20"/>
      <c r="K331" s="20"/>
      <c r="L331" s="8">
        <f>G323*L329</f>
        <v>888.10227272727275</v>
      </c>
      <c r="M331" s="8">
        <f>G323*M329</f>
        <v>6628.363636363636</v>
      </c>
      <c r="N331" s="8">
        <f>G323*N329</f>
        <v>-1171.7613636363637</v>
      </c>
      <c r="O331" s="8">
        <f>L331+M331+N331</f>
        <v>6344.704545454545</v>
      </c>
    </row>
    <row r="332" spans="1:15" ht="13.9" hidden="1" customHeight="1" x14ac:dyDescent="0.25">
      <c r="L332" s="8">
        <f>H323*L329</f>
        <v>97247.198863636368</v>
      </c>
      <c r="M332" s="8">
        <f>H323*M329</f>
        <v>725805.81818181812</v>
      </c>
      <c r="N332" s="8">
        <f>H323*N329</f>
        <v>-128307.86931818182</v>
      </c>
      <c r="O332" s="8">
        <f>L332+M332+N332</f>
        <v>694745.14772727271</v>
      </c>
    </row>
    <row r="333" spans="1:15" ht="13.9" hidden="1" customHeight="1" x14ac:dyDescent="0.25">
      <c r="L333" s="8">
        <f>I323*L329</f>
        <v>888.10227272727275</v>
      </c>
      <c r="M333" s="8">
        <f>I323*M329</f>
        <v>6628.363636363636</v>
      </c>
      <c r="N333" s="8">
        <f>I323*N329</f>
        <v>-1171.7613636363637</v>
      </c>
      <c r="O333" s="8">
        <f>L333+M333+N333</f>
        <v>6344.704545454545</v>
      </c>
    </row>
    <row r="334" spans="1:15" ht="13.9" hidden="1" customHeight="1" x14ac:dyDescent="0.25">
      <c r="L334" s="8">
        <f>J323*L329</f>
        <v>19538.25</v>
      </c>
      <c r="M334" s="8">
        <f>J323*M329</f>
        <v>145824</v>
      </c>
      <c r="N334" s="8">
        <f>J323*N329</f>
        <v>-25778.750000000004</v>
      </c>
      <c r="O334" s="8">
        <f>L334+M334+N334</f>
        <v>139583.5</v>
      </c>
    </row>
    <row r="335" spans="1:15" ht="13.9" hidden="1" customHeight="1" x14ac:dyDescent="0.25"/>
    <row r="336" spans="1:15" ht="13.9" hidden="1" customHeight="1" x14ac:dyDescent="0.25">
      <c r="D336" s="17">
        <v>242</v>
      </c>
      <c r="E336" s="17"/>
      <c r="F336" s="17"/>
      <c r="G336" s="17">
        <v>1</v>
      </c>
      <c r="H336" s="17">
        <v>224</v>
      </c>
      <c r="I336" s="17">
        <v>3</v>
      </c>
      <c r="J336" s="17">
        <v>69</v>
      </c>
      <c r="K336" s="17">
        <f>D336+G336+H336+I336+J336</f>
        <v>539</v>
      </c>
      <c r="L336" s="1" t="s">
        <v>80</v>
      </c>
      <c r="M336" s="1" t="s">
        <v>81</v>
      </c>
      <c r="N336" s="1" t="s">
        <v>82</v>
      </c>
    </row>
    <row r="337" spans="1:15" ht="27.6" hidden="1" customHeight="1" x14ac:dyDescent="0.25">
      <c r="A337" s="1" t="s">
        <v>85</v>
      </c>
      <c r="B337" s="364" t="s">
        <v>44</v>
      </c>
      <c r="C337" s="18">
        <v>98261</v>
      </c>
      <c r="D337" s="19"/>
      <c r="E337" s="20"/>
      <c r="F337" s="20"/>
      <c r="G337" s="20"/>
      <c r="H337" s="20"/>
      <c r="I337" s="20"/>
      <c r="J337" s="20"/>
      <c r="K337" s="20"/>
      <c r="L337" s="8">
        <f>C337+C339+C343</f>
        <v>598302</v>
      </c>
      <c r="M337" s="8">
        <f>C341</f>
        <v>874944</v>
      </c>
      <c r="N337" s="8">
        <f>C338+C340</f>
        <v>1479238</v>
      </c>
      <c r="O337" s="8">
        <f>L337+M337+N337</f>
        <v>2952484</v>
      </c>
    </row>
    <row r="338" spans="1:15" ht="13.9" hidden="1" customHeight="1" x14ac:dyDescent="0.25">
      <c r="B338" s="10" t="s">
        <v>54</v>
      </c>
      <c r="C338" s="18">
        <v>1362189</v>
      </c>
      <c r="D338" s="19"/>
      <c r="E338" s="20"/>
      <c r="F338" s="20"/>
      <c r="G338" s="20"/>
      <c r="H338" s="20"/>
      <c r="I338" s="20"/>
      <c r="J338" s="20"/>
      <c r="K338" s="20"/>
      <c r="L338" s="8">
        <f>L337/K336</f>
        <v>1110.0222634508348</v>
      </c>
      <c r="M338" s="8">
        <f>M337/K336</f>
        <v>1623.2727272727273</v>
      </c>
      <c r="N338" s="8">
        <f>N337/K336</f>
        <v>2744.4118738404454</v>
      </c>
    </row>
    <row r="339" spans="1:15" ht="13.9" hidden="1" customHeight="1" x14ac:dyDescent="0.25">
      <c r="B339" s="10" t="s">
        <v>54</v>
      </c>
      <c r="C339" s="18">
        <v>164828</v>
      </c>
      <c r="D339" s="19"/>
      <c r="E339" s="20"/>
      <c r="F339" s="20"/>
      <c r="G339" s="20"/>
      <c r="H339" s="20"/>
      <c r="I339" s="20"/>
      <c r="J339" s="20"/>
      <c r="K339" s="20"/>
    </row>
    <row r="340" spans="1:15" ht="13.9" hidden="1" customHeight="1" x14ac:dyDescent="0.25">
      <c r="B340" s="10" t="s">
        <v>56</v>
      </c>
      <c r="C340" s="18">
        <v>117049</v>
      </c>
      <c r="D340" s="19"/>
      <c r="E340" s="20"/>
      <c r="F340" s="20"/>
      <c r="G340" s="20"/>
      <c r="H340" s="20"/>
      <c r="I340" s="20"/>
      <c r="J340" s="20"/>
      <c r="K340" s="20"/>
      <c r="L340" s="8">
        <f>C337+C339+575056</f>
        <v>838145</v>
      </c>
      <c r="M340" s="8">
        <f>2624832</f>
        <v>2624832</v>
      </c>
      <c r="N340" s="8">
        <f>C338</f>
        <v>1362189</v>
      </c>
    </row>
    <row r="341" spans="1:15" ht="13.9" hidden="1" customHeight="1" x14ac:dyDescent="0.25">
      <c r="B341" s="10" t="s">
        <v>48</v>
      </c>
      <c r="C341" s="18">
        <v>874944</v>
      </c>
      <c r="D341" s="20"/>
      <c r="E341" s="20"/>
      <c r="F341" s="20"/>
      <c r="G341" s="20"/>
      <c r="H341" s="20"/>
      <c r="I341" s="20"/>
      <c r="J341" s="20"/>
      <c r="K341" s="20"/>
      <c r="L341" s="8">
        <f>L340-L337</f>
        <v>239843</v>
      </c>
      <c r="M341" s="8">
        <f>M340-M337</f>
        <v>1749888</v>
      </c>
      <c r="N341" s="8">
        <f>N340-N337</f>
        <v>-117049</v>
      </c>
    </row>
    <row r="342" spans="1:15" ht="13.9" hidden="1" customHeight="1" x14ac:dyDescent="0.25">
      <c r="B342" s="10" t="s">
        <v>49</v>
      </c>
      <c r="C342" s="18">
        <v>0</v>
      </c>
      <c r="D342" s="20"/>
      <c r="E342" s="20"/>
      <c r="F342" s="20"/>
      <c r="G342" s="20"/>
      <c r="H342" s="20"/>
      <c r="I342" s="20"/>
      <c r="J342" s="20"/>
      <c r="K342" s="20"/>
      <c r="L342" s="8">
        <f>L341/K336</f>
        <v>444.97773654916512</v>
      </c>
      <c r="M342" s="8">
        <f>M341/K336</f>
        <v>3246.5454545454545</v>
      </c>
      <c r="N342" s="8">
        <f>N341/K336</f>
        <v>-217.1595547309833</v>
      </c>
    </row>
    <row r="343" spans="1:15" ht="13.9" hidden="1" customHeight="1" x14ac:dyDescent="0.25">
      <c r="B343" s="10" t="s">
        <v>50</v>
      </c>
      <c r="C343" s="18">
        <v>335213</v>
      </c>
      <c r="D343" s="20"/>
      <c r="E343" s="20"/>
      <c r="F343" s="20"/>
      <c r="G343" s="20"/>
      <c r="H343" s="20"/>
      <c r="I343" s="20"/>
      <c r="J343" s="20"/>
      <c r="K343" s="20"/>
      <c r="L343" s="8">
        <f>D336*L342</f>
        <v>107684.61224489796</v>
      </c>
      <c r="M343" s="8">
        <f>D336*M342</f>
        <v>785664</v>
      </c>
      <c r="N343" s="8">
        <f>D336*N342</f>
        <v>-52552.612244897959</v>
      </c>
      <c r="O343" s="8">
        <f>L343+M343+N343</f>
        <v>840796</v>
      </c>
    </row>
    <row r="344" spans="1:15" ht="13.9" hidden="1" customHeight="1" x14ac:dyDescent="0.25">
      <c r="B344" s="380" t="s">
        <v>51</v>
      </c>
      <c r="C344" s="18">
        <f>SUM(C337:C343)</f>
        <v>2952484</v>
      </c>
      <c r="D344" s="20"/>
      <c r="E344" s="20"/>
      <c r="F344" s="20"/>
      <c r="G344" s="20"/>
      <c r="H344" s="20"/>
      <c r="I344" s="20"/>
      <c r="J344" s="20"/>
      <c r="K344" s="20"/>
      <c r="L344" s="8">
        <f>G336*L342</f>
        <v>444.97773654916512</v>
      </c>
      <c r="M344" s="8">
        <f>G336*M342</f>
        <v>3246.5454545454545</v>
      </c>
      <c r="N344" s="8">
        <f>G336*N342</f>
        <v>-217.1595547309833</v>
      </c>
      <c r="O344" s="8">
        <f>L344+M344+N344</f>
        <v>3474.363636363636</v>
      </c>
    </row>
    <row r="345" spans="1:15" ht="13.9" hidden="1" customHeight="1" x14ac:dyDescent="0.25">
      <c r="L345" s="8">
        <f>H336*L342</f>
        <v>99675.012987012989</v>
      </c>
      <c r="M345" s="8">
        <f>H336*M342</f>
        <v>727226.18181818177</v>
      </c>
      <c r="N345" s="8">
        <f>H336*N342</f>
        <v>-48643.740259740262</v>
      </c>
      <c r="O345" s="8">
        <f>L345+M345+N345</f>
        <v>778257.45454545447</v>
      </c>
    </row>
    <row r="346" spans="1:15" ht="13.9" hidden="1" customHeight="1" x14ac:dyDescent="0.25">
      <c r="L346" s="8">
        <f>I336*L342</f>
        <v>1334.9332096474955</v>
      </c>
      <c r="M346" s="8">
        <f>I336*M342</f>
        <v>9739.636363636364</v>
      </c>
      <c r="N346" s="8">
        <f>I336*N342</f>
        <v>-651.47866419294996</v>
      </c>
      <c r="O346" s="8">
        <f>L346+M346+N346</f>
        <v>10423.09090909091</v>
      </c>
    </row>
    <row r="347" spans="1:15" ht="13.9" hidden="1" customHeight="1" x14ac:dyDescent="0.25">
      <c r="L347" s="8">
        <f>J336*L342</f>
        <v>30703.463821892394</v>
      </c>
      <c r="M347" s="8">
        <f>J336*M342</f>
        <v>224011.63636363635</v>
      </c>
      <c r="N347" s="8">
        <f>J336*N342</f>
        <v>-14984.009276437848</v>
      </c>
      <c r="O347" s="8">
        <f>L347+M347+N347</f>
        <v>239731.09090909091</v>
      </c>
    </row>
    <row r="348" spans="1:15" ht="13.9" hidden="1" customHeight="1" x14ac:dyDescent="0.25"/>
    <row r="349" spans="1:15" ht="13.9" hidden="1" customHeight="1" x14ac:dyDescent="0.25">
      <c r="D349" s="17">
        <v>206</v>
      </c>
      <c r="E349" s="17"/>
      <c r="F349" s="17"/>
      <c r="G349" s="17">
        <v>5</v>
      </c>
      <c r="H349" s="17">
        <v>238</v>
      </c>
      <c r="I349" s="17">
        <v>1</v>
      </c>
      <c r="J349" s="17">
        <v>33</v>
      </c>
      <c r="K349" s="17">
        <f>D349+G349+H349+I349+J349</f>
        <v>483</v>
      </c>
      <c r="L349" s="1" t="s">
        <v>80</v>
      </c>
      <c r="M349" s="1" t="s">
        <v>81</v>
      </c>
      <c r="N349" s="1" t="s">
        <v>82</v>
      </c>
    </row>
    <row r="350" spans="1:15" ht="27.6" hidden="1" customHeight="1" x14ac:dyDescent="0.25">
      <c r="A350" s="1" t="s">
        <v>86</v>
      </c>
      <c r="B350" s="364" t="s">
        <v>44</v>
      </c>
      <c r="C350" s="18">
        <v>88052</v>
      </c>
      <c r="D350" s="19"/>
      <c r="E350" s="20"/>
      <c r="F350" s="20"/>
      <c r="G350" s="20"/>
      <c r="H350" s="20"/>
      <c r="I350" s="20"/>
      <c r="J350" s="20"/>
      <c r="K350" s="20"/>
      <c r="L350" s="8">
        <f>C350+C356</f>
        <v>388924</v>
      </c>
      <c r="M350" s="8">
        <f>C354+C355</f>
        <v>1185246</v>
      </c>
      <c r="N350" s="8">
        <f>C351+C353</f>
        <v>2227002</v>
      </c>
      <c r="O350" s="8">
        <f>L350+M350+N350</f>
        <v>3801172</v>
      </c>
    </row>
    <row r="351" spans="1:15" ht="13.9" hidden="1" customHeight="1" x14ac:dyDescent="0.25">
      <c r="B351" s="10" t="s">
        <v>54</v>
      </c>
      <c r="C351" s="18">
        <v>2026333</v>
      </c>
      <c r="D351" s="19"/>
      <c r="E351" s="20"/>
      <c r="F351" s="20"/>
      <c r="G351" s="20"/>
      <c r="H351" s="20"/>
      <c r="I351" s="20"/>
      <c r="J351" s="20"/>
      <c r="K351" s="20"/>
      <c r="L351" s="8">
        <f>L350/K349</f>
        <v>805.22567287784682</v>
      </c>
      <c r="M351" s="8">
        <f>M350/K349</f>
        <v>2453.9254658385094</v>
      </c>
      <c r="N351" s="8">
        <f>N350/K349</f>
        <v>4610.7701863354041</v>
      </c>
    </row>
    <row r="352" spans="1:15" ht="13.9" hidden="1" customHeight="1" x14ac:dyDescent="0.25">
      <c r="B352" s="10" t="s">
        <v>54</v>
      </c>
      <c r="C352" s="18">
        <v>0</v>
      </c>
      <c r="D352" s="19"/>
      <c r="E352" s="20"/>
      <c r="F352" s="20"/>
      <c r="G352" s="20"/>
      <c r="H352" s="20"/>
      <c r="I352" s="20"/>
      <c r="J352" s="20"/>
      <c r="K352" s="20"/>
    </row>
    <row r="353" spans="1:17" ht="13.9" hidden="1" customHeight="1" x14ac:dyDescent="0.25">
      <c r="B353" s="10" t="s">
        <v>56</v>
      </c>
      <c r="C353" s="18">
        <v>200669</v>
      </c>
      <c r="D353" s="19"/>
      <c r="E353" s="20"/>
      <c r="F353" s="20"/>
      <c r="G353" s="20"/>
      <c r="H353" s="20"/>
      <c r="I353" s="20"/>
      <c r="J353" s="20"/>
      <c r="K353" s="20"/>
      <c r="L353" s="8">
        <f>C350+515309</f>
        <v>603361</v>
      </c>
      <c r="M353" s="8">
        <f>C355+2499840</f>
        <v>2851806</v>
      </c>
      <c r="N353" s="8">
        <f>C351</f>
        <v>2026333</v>
      </c>
    </row>
    <row r="354" spans="1:17" ht="13.9" hidden="1" customHeight="1" x14ac:dyDescent="0.25">
      <c r="B354" s="10" t="s">
        <v>48</v>
      </c>
      <c r="C354" s="18">
        <v>833280</v>
      </c>
      <c r="D354" s="20"/>
      <c r="E354" s="20"/>
      <c r="F354" s="20"/>
      <c r="G354" s="20"/>
      <c r="H354" s="20"/>
      <c r="I354" s="20"/>
      <c r="J354" s="20"/>
      <c r="K354" s="20"/>
      <c r="L354" s="8">
        <f>L353-L350</f>
        <v>214437</v>
      </c>
      <c r="M354" s="8">
        <f>M353-M350</f>
        <v>1666560</v>
      </c>
      <c r="N354" s="8">
        <f>N353-N350</f>
        <v>-200669</v>
      </c>
    </row>
    <row r="355" spans="1:17" ht="13.9" hidden="1" customHeight="1" x14ac:dyDescent="0.25">
      <c r="B355" s="10" t="s">
        <v>49</v>
      </c>
      <c r="C355" s="18">
        <v>351966</v>
      </c>
      <c r="D355" s="20"/>
      <c r="E355" s="20"/>
      <c r="F355" s="20"/>
      <c r="G355" s="20"/>
      <c r="H355" s="20"/>
      <c r="I355" s="20"/>
      <c r="J355" s="20"/>
      <c r="K355" s="20"/>
      <c r="L355" s="8">
        <f>L354/K349</f>
        <v>443.96894409937886</v>
      </c>
      <c r="M355" s="8">
        <f>M354/K349</f>
        <v>3450.4347826086955</v>
      </c>
      <c r="N355" s="8">
        <f>N354/K349</f>
        <v>-415.463768115942</v>
      </c>
    </row>
    <row r="356" spans="1:17" ht="13.9" hidden="1" customHeight="1" x14ac:dyDescent="0.25">
      <c r="B356" s="10" t="s">
        <v>50</v>
      </c>
      <c r="C356" s="18">
        <v>300872</v>
      </c>
      <c r="D356" s="20"/>
      <c r="E356" s="20"/>
      <c r="F356" s="20"/>
      <c r="G356" s="20"/>
      <c r="H356" s="20"/>
      <c r="I356" s="20"/>
      <c r="J356" s="20"/>
      <c r="K356" s="20"/>
      <c r="L356" s="8">
        <f>D349*L355</f>
        <v>91457.602484472038</v>
      </c>
      <c r="M356" s="8">
        <f>M355*D349</f>
        <v>710789.56521739124</v>
      </c>
      <c r="N356" s="8">
        <f>D349*N355</f>
        <v>-85585.536231884049</v>
      </c>
      <c r="O356" s="8">
        <f>L356+M356+N356</f>
        <v>716661.63146997918</v>
      </c>
    </row>
    <row r="357" spans="1:17" ht="13.9" hidden="1" customHeight="1" x14ac:dyDescent="0.25">
      <c r="B357" s="380" t="s">
        <v>51</v>
      </c>
      <c r="C357" s="18">
        <f>SUM(C350:C356)</f>
        <v>3801172</v>
      </c>
      <c r="D357" s="20"/>
      <c r="E357" s="20"/>
      <c r="F357" s="20"/>
      <c r="G357" s="20"/>
      <c r="H357" s="20"/>
      <c r="I357" s="20"/>
      <c r="J357" s="20"/>
      <c r="K357" s="20"/>
      <c r="L357" s="8">
        <f>G349*L355</f>
        <v>2219.8447204968943</v>
      </c>
      <c r="M357" s="8">
        <f>G349*M355</f>
        <v>17252.173913043476</v>
      </c>
      <c r="N357" s="8">
        <f>G349*N355</f>
        <v>-2077.31884057971</v>
      </c>
      <c r="O357" s="8">
        <f>L357+M357+N357</f>
        <v>17394.699792960659</v>
      </c>
    </row>
    <row r="358" spans="1:17" ht="13.9" hidden="1" customHeight="1" x14ac:dyDescent="0.25">
      <c r="L358" s="8">
        <f>H349*L355</f>
        <v>105664.60869565216</v>
      </c>
      <c r="M358" s="8">
        <f>H349*M355</f>
        <v>821203.47826086951</v>
      </c>
      <c r="N358" s="8">
        <f>H349*N355</f>
        <v>-98880.376811594193</v>
      </c>
      <c r="O358" s="8">
        <f>L358+M358+N358</f>
        <v>827987.71014492749</v>
      </c>
    </row>
    <row r="359" spans="1:17" ht="13.9" hidden="1" customHeight="1" x14ac:dyDescent="0.25">
      <c r="L359" s="8">
        <f>I349*L355</f>
        <v>443.96894409937886</v>
      </c>
      <c r="M359" s="8">
        <f>I349*M355</f>
        <v>3450.4347826086955</v>
      </c>
      <c r="N359" s="8">
        <f>I349*N355</f>
        <v>-415.463768115942</v>
      </c>
      <c r="O359" s="8">
        <f>L359+M359+N359</f>
        <v>3478.9399585921324</v>
      </c>
    </row>
    <row r="360" spans="1:17" ht="13.9" hidden="1" customHeight="1" x14ac:dyDescent="0.25">
      <c r="L360" s="8">
        <f>J349*L355</f>
        <v>14650.975155279502</v>
      </c>
      <c r="M360" s="8">
        <f>J349*M355</f>
        <v>113864.34782608695</v>
      </c>
      <c r="N360" s="8">
        <f>J349*N355</f>
        <v>-13710.304347826086</v>
      </c>
      <c r="O360" s="8">
        <f>L360+M360+N360</f>
        <v>114805.01863354037</v>
      </c>
    </row>
    <row r="361" spans="1:17" ht="13.9" hidden="1" customHeight="1" x14ac:dyDescent="0.25">
      <c r="N361" s="1" t="s">
        <v>80</v>
      </c>
      <c r="O361" s="1" t="s">
        <v>81</v>
      </c>
      <c r="P361" s="1" t="s">
        <v>82</v>
      </c>
    </row>
    <row r="362" spans="1:17" ht="13.9" hidden="1" customHeight="1" x14ac:dyDescent="0.25">
      <c r="D362" s="17">
        <v>316</v>
      </c>
      <c r="E362" s="17"/>
      <c r="F362" s="17"/>
      <c r="G362" s="17">
        <v>2</v>
      </c>
      <c r="H362" s="17">
        <v>196</v>
      </c>
      <c r="I362" s="17">
        <v>206</v>
      </c>
      <c r="J362" s="17">
        <v>1</v>
      </c>
      <c r="K362" s="17">
        <v>51</v>
      </c>
      <c r="L362" s="17">
        <v>53</v>
      </c>
      <c r="M362" s="17">
        <f>D362+G362+H362+I362+J362+K362+L362</f>
        <v>825</v>
      </c>
    </row>
    <row r="363" spans="1:17" ht="27.6" hidden="1" customHeight="1" x14ac:dyDescent="0.25">
      <c r="A363" s="1" t="s">
        <v>87</v>
      </c>
      <c r="B363" s="364" t="s">
        <v>44</v>
      </c>
      <c r="C363" s="382">
        <v>150399</v>
      </c>
      <c r="D363" s="19"/>
      <c r="E363" s="20"/>
      <c r="F363" s="20"/>
      <c r="G363" s="20"/>
      <c r="H363" s="20"/>
      <c r="I363" s="20"/>
      <c r="J363" s="20"/>
      <c r="K363" s="17"/>
      <c r="L363" s="17"/>
      <c r="M363" s="17"/>
      <c r="N363" s="8">
        <f>C363+C369</f>
        <v>662764</v>
      </c>
      <c r="O363" s="8">
        <f>C367+C368</f>
        <v>1800175</v>
      </c>
      <c r="P363" s="8">
        <f>C364+C366</f>
        <v>182500</v>
      </c>
      <c r="Q363" s="8">
        <f>N363+O363+P363</f>
        <v>2645439</v>
      </c>
    </row>
    <row r="364" spans="1:17" ht="13.9" hidden="1" customHeight="1" x14ac:dyDescent="0.25">
      <c r="B364" s="10" t="s">
        <v>54</v>
      </c>
      <c r="C364" s="382">
        <v>179700</v>
      </c>
      <c r="D364" s="19"/>
      <c r="E364" s="20"/>
      <c r="F364" s="20"/>
      <c r="G364" s="20"/>
      <c r="H364" s="20"/>
      <c r="I364" s="20"/>
      <c r="J364" s="20"/>
      <c r="K364" s="17"/>
      <c r="L364" s="17"/>
      <c r="M364" s="17"/>
      <c r="N364" s="8">
        <f>N363/M362</f>
        <v>803.35030303030305</v>
      </c>
      <c r="O364" s="8">
        <f>O363/M362</f>
        <v>2182.030303030303</v>
      </c>
      <c r="P364" s="8">
        <f>P363/M362</f>
        <v>221.21212121212122</v>
      </c>
    </row>
    <row r="365" spans="1:17" ht="13.9" hidden="1" customHeight="1" x14ac:dyDescent="0.25">
      <c r="B365" s="10" t="s">
        <v>54</v>
      </c>
      <c r="C365" s="382">
        <v>0</v>
      </c>
      <c r="D365" s="19"/>
      <c r="E365" s="20"/>
      <c r="F365" s="20"/>
      <c r="G365" s="20"/>
      <c r="H365" s="20"/>
      <c r="I365" s="20"/>
      <c r="J365" s="20"/>
      <c r="K365" s="17"/>
      <c r="L365" s="17"/>
      <c r="M365" s="17"/>
    </row>
    <row r="366" spans="1:17" ht="13.9" hidden="1" customHeight="1" x14ac:dyDescent="0.25">
      <c r="B366" s="10" t="s">
        <v>56</v>
      </c>
      <c r="C366" s="382">
        <v>2800</v>
      </c>
      <c r="D366" s="19"/>
      <c r="E366" s="20"/>
      <c r="F366" s="20"/>
      <c r="G366" s="20"/>
      <c r="H366" s="20"/>
      <c r="I366" s="20"/>
      <c r="J366" s="20"/>
      <c r="K366" s="17"/>
      <c r="L366" s="17"/>
      <c r="M366" s="17"/>
      <c r="N366" s="8">
        <f>C363+880187</f>
        <v>1030586</v>
      </c>
      <c r="O366" s="8">
        <f>C368+3874752</f>
        <v>4383343</v>
      </c>
      <c r="P366" s="8">
        <f>C364</f>
        <v>179700</v>
      </c>
    </row>
    <row r="367" spans="1:17" ht="13.9" hidden="1" customHeight="1" x14ac:dyDescent="0.25">
      <c r="B367" s="10" t="s">
        <v>48</v>
      </c>
      <c r="C367" s="382">
        <v>1291584</v>
      </c>
      <c r="D367" s="20"/>
      <c r="E367" s="20"/>
      <c r="F367" s="20"/>
      <c r="G367" s="20"/>
      <c r="H367" s="20"/>
      <c r="I367" s="20"/>
      <c r="J367" s="20"/>
      <c r="K367" s="17"/>
      <c r="L367" s="17"/>
      <c r="M367" s="17"/>
      <c r="N367" s="8">
        <f>N366-N363</f>
        <v>367822</v>
      </c>
      <c r="O367" s="8">
        <f>O366-O363</f>
        <v>2583168</v>
      </c>
      <c r="P367" s="8">
        <f>P366-P363</f>
        <v>-2800</v>
      </c>
    </row>
    <row r="368" spans="1:17" ht="13.9" hidden="1" customHeight="1" x14ac:dyDescent="0.25">
      <c r="B368" s="10" t="s">
        <v>49</v>
      </c>
      <c r="C368" s="382">
        <v>508591</v>
      </c>
      <c r="D368" s="20"/>
      <c r="E368" s="20"/>
      <c r="F368" s="20"/>
      <c r="G368" s="20"/>
      <c r="H368" s="20"/>
      <c r="I368" s="20"/>
      <c r="J368" s="20"/>
      <c r="K368" s="17"/>
      <c r="L368" s="17"/>
      <c r="M368" s="17"/>
      <c r="N368" s="8">
        <f>N367/M362</f>
        <v>445.84484848484851</v>
      </c>
      <c r="O368" s="8">
        <f>O367/M362</f>
        <v>3131.1127272727272</v>
      </c>
      <c r="P368" s="8">
        <f>P367/M362</f>
        <v>-3.393939393939394</v>
      </c>
    </row>
    <row r="369" spans="1:17" ht="13.9" hidden="1" customHeight="1" x14ac:dyDescent="0.25">
      <c r="B369" s="10" t="s">
        <v>50</v>
      </c>
      <c r="C369" s="382">
        <v>512365</v>
      </c>
      <c r="D369" s="20"/>
      <c r="E369" s="20"/>
      <c r="F369" s="20"/>
      <c r="G369" s="20"/>
      <c r="H369" s="20"/>
      <c r="I369" s="20"/>
      <c r="J369" s="20"/>
      <c r="K369" s="17"/>
      <c r="L369" s="17"/>
      <c r="M369" s="17"/>
      <c r="N369" s="8">
        <f>D362*N368</f>
        <v>140886.97212121214</v>
      </c>
      <c r="O369" s="8">
        <f>D362*O368</f>
        <v>989431.62181818183</v>
      </c>
      <c r="P369" s="8">
        <f>D362*P368</f>
        <v>-1072.4848484848485</v>
      </c>
      <c r="Q369" s="8">
        <f>N369+O369+P369</f>
        <v>1129246.1090909091</v>
      </c>
    </row>
    <row r="370" spans="1:17" ht="13.9" hidden="1" customHeight="1" x14ac:dyDescent="0.25">
      <c r="B370" s="380" t="s">
        <v>51</v>
      </c>
      <c r="C370" s="18">
        <f>SUM(C363:C369)</f>
        <v>2645439</v>
      </c>
      <c r="D370" s="20"/>
      <c r="E370" s="20"/>
      <c r="F370" s="20"/>
      <c r="G370" s="20"/>
      <c r="H370" s="20"/>
      <c r="I370" s="20"/>
      <c r="J370" s="20"/>
      <c r="K370" s="17"/>
      <c r="L370" s="17"/>
      <c r="M370" s="17"/>
      <c r="N370" s="8">
        <f>G362*N368</f>
        <v>891.68969696969702</v>
      </c>
      <c r="O370" s="8">
        <f>G362*O368</f>
        <v>6262.2254545454543</v>
      </c>
      <c r="P370" s="8">
        <f>G362*P368</f>
        <v>-6.7878787878787881</v>
      </c>
      <c r="Q370" s="8">
        <f t="shared" ref="Q370:Q375" si="85">N370+O370+P370</f>
        <v>7147.1272727272726</v>
      </c>
    </row>
    <row r="371" spans="1:17" ht="13.9" hidden="1" customHeight="1" x14ac:dyDescent="0.25">
      <c r="N371" s="8">
        <f>H362*N368</f>
        <v>87385.590303030302</v>
      </c>
      <c r="O371" s="8">
        <f>H362*O368</f>
        <v>613698.09454545449</v>
      </c>
      <c r="P371" s="8">
        <f>H362*P368</f>
        <v>-665.21212121212125</v>
      </c>
      <c r="Q371" s="8">
        <f t="shared" si="85"/>
        <v>700418.47272727266</v>
      </c>
    </row>
    <row r="372" spans="1:17" ht="13.9" hidden="1" customHeight="1" x14ac:dyDescent="0.25">
      <c r="N372" s="8">
        <f>I362*N368</f>
        <v>91844.038787878788</v>
      </c>
      <c r="O372" s="8">
        <f>I362*O368</f>
        <v>645009.2218181818</v>
      </c>
      <c r="P372" s="8">
        <f>I362*P368</f>
        <v>-699.15151515151513</v>
      </c>
      <c r="Q372" s="8">
        <f t="shared" si="85"/>
        <v>736154.10909090913</v>
      </c>
    </row>
    <row r="373" spans="1:17" ht="13.9" hidden="1" customHeight="1" x14ac:dyDescent="0.25">
      <c r="N373" s="8">
        <f>J362*N368</f>
        <v>445.84484848484851</v>
      </c>
      <c r="O373" s="8">
        <f>J362*O368</f>
        <v>3131.1127272727272</v>
      </c>
      <c r="P373" s="8">
        <f>J362*P368</f>
        <v>-3.393939393939394</v>
      </c>
      <c r="Q373" s="8">
        <f t="shared" si="85"/>
        <v>3573.5636363636363</v>
      </c>
    </row>
    <row r="374" spans="1:17" ht="13.9" hidden="1" customHeight="1" x14ac:dyDescent="0.25">
      <c r="N374" s="8">
        <f>K362*N368</f>
        <v>22738.087272727273</v>
      </c>
      <c r="O374" s="8">
        <f>K362*O368</f>
        <v>159686.74909090908</v>
      </c>
      <c r="P374" s="8">
        <f>K362*P368</f>
        <v>-173.09090909090909</v>
      </c>
      <c r="Q374" s="8">
        <f t="shared" si="85"/>
        <v>182251.74545454545</v>
      </c>
    </row>
    <row r="375" spans="1:17" ht="13.9" hidden="1" customHeight="1" x14ac:dyDescent="0.25">
      <c r="N375" s="8">
        <f>L362*N368</f>
        <v>23629.77696969697</v>
      </c>
      <c r="O375" s="8">
        <f>L362*O368</f>
        <v>165948.97454545455</v>
      </c>
      <c r="P375" s="8">
        <f>L362*P368</f>
        <v>-179.87878787878788</v>
      </c>
      <c r="Q375" s="8">
        <f t="shared" si="85"/>
        <v>189398.87272727274</v>
      </c>
    </row>
    <row r="376" spans="1:17" ht="13.9" hidden="1" customHeight="1" x14ac:dyDescent="0.25">
      <c r="M376" s="1" t="s">
        <v>80</v>
      </c>
      <c r="N376" s="1" t="s">
        <v>81</v>
      </c>
      <c r="O376" s="1" t="s">
        <v>82</v>
      </c>
    </row>
    <row r="377" spans="1:17" ht="13.9" hidden="1" customHeight="1" x14ac:dyDescent="0.25">
      <c r="D377" s="17">
        <v>67</v>
      </c>
      <c r="E377" s="17"/>
      <c r="F377" s="17"/>
      <c r="G377" s="17">
        <v>17</v>
      </c>
      <c r="H377" s="17">
        <v>1</v>
      </c>
      <c r="I377" s="17">
        <v>72</v>
      </c>
      <c r="J377" s="17">
        <v>44</v>
      </c>
      <c r="K377" s="17">
        <v>17</v>
      </c>
      <c r="L377" s="17">
        <f>D377+G377+H377+I377+J377+K377</f>
        <v>218</v>
      </c>
    </row>
    <row r="378" spans="1:17" ht="27.6" hidden="1" customHeight="1" x14ac:dyDescent="0.25">
      <c r="A378" s="1" t="s">
        <v>88</v>
      </c>
      <c r="B378" s="364" t="s">
        <v>44</v>
      </c>
      <c r="C378" s="18">
        <v>39742</v>
      </c>
      <c r="D378" s="19"/>
      <c r="E378" s="20"/>
      <c r="F378" s="20"/>
      <c r="G378" s="20"/>
      <c r="H378" s="20"/>
      <c r="I378" s="20"/>
      <c r="J378" s="20"/>
      <c r="K378" s="20"/>
      <c r="L378" s="20"/>
      <c r="M378" s="8">
        <f>C378+C380+C384</f>
        <v>195953</v>
      </c>
      <c r="N378" s="8">
        <f>C382+C383</f>
        <v>542463</v>
      </c>
      <c r="O378" s="8">
        <f>C379+C381</f>
        <v>2064267</v>
      </c>
      <c r="P378" s="8">
        <f>M378+N378+O378</f>
        <v>2802683</v>
      </c>
    </row>
    <row r="379" spans="1:17" ht="13.9" hidden="1" customHeight="1" x14ac:dyDescent="0.25">
      <c r="B379" s="10" t="s">
        <v>54</v>
      </c>
      <c r="C379" s="18">
        <v>1880332</v>
      </c>
      <c r="D379" s="19"/>
      <c r="E379" s="20"/>
      <c r="F379" s="20"/>
      <c r="G379" s="20"/>
      <c r="H379" s="20"/>
      <c r="I379" s="20"/>
      <c r="J379" s="20"/>
      <c r="K379" s="20"/>
      <c r="L379" s="17"/>
      <c r="M379" s="8">
        <f>M378/L377</f>
        <v>898.86697247706422</v>
      </c>
      <c r="N379" s="8">
        <f>N378/L377</f>
        <v>2488.3623853211011</v>
      </c>
      <c r="O379" s="8">
        <f>O378/L377</f>
        <v>9469.1146788990827</v>
      </c>
    </row>
    <row r="380" spans="1:17" ht="13.9" hidden="1" customHeight="1" x14ac:dyDescent="0.25">
      <c r="B380" s="10" t="s">
        <v>54</v>
      </c>
      <c r="C380" s="18">
        <v>21109</v>
      </c>
      <c r="D380" s="19"/>
      <c r="E380" s="20"/>
      <c r="F380" s="20"/>
      <c r="G380" s="20"/>
      <c r="H380" s="20"/>
      <c r="I380" s="20"/>
      <c r="J380" s="20"/>
      <c r="K380" s="20"/>
      <c r="L380" s="17"/>
    </row>
    <row r="381" spans="1:17" ht="13.9" hidden="1" customHeight="1" x14ac:dyDescent="0.25">
      <c r="B381" s="10" t="s">
        <v>56</v>
      </c>
      <c r="C381" s="18">
        <v>183935</v>
      </c>
      <c r="D381" s="19"/>
      <c r="E381" s="20"/>
      <c r="F381" s="20"/>
      <c r="G381" s="20"/>
      <c r="H381" s="20"/>
      <c r="I381" s="20"/>
      <c r="J381" s="20"/>
      <c r="K381" s="20"/>
      <c r="L381" s="17"/>
      <c r="M381" s="8">
        <f>C378+232583</f>
        <v>272325</v>
      </c>
      <c r="N381" s="8">
        <f>C383+1499904</f>
        <v>1542399</v>
      </c>
      <c r="O381" s="8">
        <f>C379</f>
        <v>1880332</v>
      </c>
    </row>
    <row r="382" spans="1:17" ht="13.9" hidden="1" customHeight="1" x14ac:dyDescent="0.25">
      <c r="B382" s="10" t="s">
        <v>48</v>
      </c>
      <c r="C382" s="18">
        <v>499968</v>
      </c>
      <c r="D382" s="20"/>
      <c r="E382" s="20"/>
      <c r="F382" s="20"/>
      <c r="G382" s="20"/>
      <c r="H382" s="20"/>
      <c r="I382" s="20"/>
      <c r="J382" s="20"/>
      <c r="K382" s="20"/>
      <c r="L382" s="17"/>
      <c r="M382" s="8">
        <f>M381-M378</f>
        <v>76372</v>
      </c>
      <c r="N382" s="8">
        <f>N381-N378</f>
        <v>999936</v>
      </c>
      <c r="O382" s="8">
        <f>O381-O378</f>
        <v>-183935</v>
      </c>
    </row>
    <row r="383" spans="1:17" ht="13.9" hidden="1" customHeight="1" x14ac:dyDescent="0.25">
      <c r="B383" s="10" t="s">
        <v>49</v>
      </c>
      <c r="C383" s="18">
        <v>42495</v>
      </c>
      <c r="D383" s="20"/>
      <c r="E383" s="20"/>
      <c r="F383" s="20"/>
      <c r="G383" s="20"/>
      <c r="H383" s="20"/>
      <c r="I383" s="20"/>
      <c r="J383" s="20"/>
      <c r="K383" s="20"/>
      <c r="L383" s="17"/>
      <c r="M383" s="8">
        <f>M382/L377</f>
        <v>350.33027522935782</v>
      </c>
      <c r="N383" s="8">
        <f>N382/L377</f>
        <v>4586.8623853211011</v>
      </c>
      <c r="O383" s="8">
        <f>O382/L377</f>
        <v>-843.7385321100918</v>
      </c>
    </row>
    <row r="384" spans="1:17" ht="13.9" hidden="1" customHeight="1" x14ac:dyDescent="0.25">
      <c r="B384" s="10" t="s">
        <v>50</v>
      </c>
      <c r="C384" s="18">
        <v>135102</v>
      </c>
      <c r="D384" s="20"/>
      <c r="E384" s="20"/>
      <c r="F384" s="20"/>
      <c r="G384" s="20"/>
      <c r="H384" s="20"/>
      <c r="I384" s="20"/>
      <c r="J384" s="20"/>
      <c r="K384" s="20"/>
      <c r="L384" s="17"/>
      <c r="M384" s="8">
        <f>D377*M383</f>
        <v>23472.128440366974</v>
      </c>
      <c r="N384" s="8">
        <f>D377*N383</f>
        <v>307319.77981651376</v>
      </c>
      <c r="O384" s="8">
        <f>D377*O383</f>
        <v>-56530.481651376147</v>
      </c>
      <c r="P384" s="8">
        <f t="shared" ref="P384:P389" si="86">M384+N384+O384</f>
        <v>274261.42660550459</v>
      </c>
    </row>
    <row r="385" spans="2:16" ht="13.9" hidden="1" customHeight="1" x14ac:dyDescent="0.25">
      <c r="B385" s="380" t="s">
        <v>51</v>
      </c>
      <c r="C385" s="18">
        <f>SUM(C378:C384)</f>
        <v>2802683</v>
      </c>
      <c r="D385" s="20"/>
      <c r="E385" s="20"/>
      <c r="F385" s="20"/>
      <c r="G385" s="20"/>
      <c r="H385" s="20"/>
      <c r="I385" s="20"/>
      <c r="J385" s="20"/>
      <c r="K385" s="20"/>
      <c r="L385" s="17"/>
      <c r="M385" s="8">
        <f>G377*M383</f>
        <v>5955.6146788990827</v>
      </c>
      <c r="N385" s="8">
        <f>G377*N383</f>
        <v>77976.660550458721</v>
      </c>
      <c r="O385" s="8">
        <f>G377*O383</f>
        <v>-14343.555045871561</v>
      </c>
      <c r="P385" s="8">
        <f t="shared" si="86"/>
        <v>69588.72018348625</v>
      </c>
    </row>
    <row r="386" spans="2:16" ht="13.9" hidden="1" customHeight="1" x14ac:dyDescent="0.25">
      <c r="M386" s="8">
        <f>H377*M383</f>
        <v>350.33027522935782</v>
      </c>
      <c r="N386" s="8">
        <f>H377*N383</f>
        <v>4586.8623853211011</v>
      </c>
      <c r="O386" s="8">
        <f>H377*O383</f>
        <v>-843.7385321100918</v>
      </c>
      <c r="P386" s="8">
        <f t="shared" si="86"/>
        <v>4093.4541284403667</v>
      </c>
    </row>
    <row r="387" spans="2:16" ht="13.9" hidden="1" customHeight="1" x14ac:dyDescent="0.25">
      <c r="M387" s="8">
        <f>I377*M383</f>
        <v>25223.779816513765</v>
      </c>
      <c r="N387" s="8">
        <f>I377*N383</f>
        <v>330254.09174311929</v>
      </c>
      <c r="O387" s="8">
        <f>I377*O383</f>
        <v>-60749.17431192661</v>
      </c>
      <c r="P387" s="8">
        <f t="shared" si="86"/>
        <v>294728.69724770647</v>
      </c>
    </row>
    <row r="388" spans="2:16" ht="13.9" hidden="1" customHeight="1" x14ac:dyDescent="0.25">
      <c r="M388" s="8">
        <f>J377*M383</f>
        <v>15414.532110091744</v>
      </c>
      <c r="N388" s="8">
        <f>J377*N383</f>
        <v>201821.94495412844</v>
      </c>
      <c r="O388" s="8">
        <f>J377*O383</f>
        <v>-37124.495412844037</v>
      </c>
      <c r="P388" s="8">
        <f t="shared" si="86"/>
        <v>180111.98165137615</v>
      </c>
    </row>
    <row r="389" spans="2:16" ht="13.9" hidden="1" customHeight="1" x14ac:dyDescent="0.25">
      <c r="M389" s="8">
        <f>K377*M383</f>
        <v>5955.6146788990827</v>
      </c>
      <c r="N389" s="8">
        <f>K377*N383</f>
        <v>77976.660550458721</v>
      </c>
      <c r="O389" s="8">
        <f>K377*O383</f>
        <v>-14343.555045871561</v>
      </c>
      <c r="P389" s="8">
        <f t="shared" si="86"/>
        <v>69588.72018348625</v>
      </c>
    </row>
    <row r="390" spans="2:16" ht="13.9" hidden="1" customHeight="1" x14ac:dyDescent="0.25"/>
    <row r="391" spans="2:16" ht="13.9" hidden="1" customHeight="1" x14ac:dyDescent="0.25"/>
    <row r="392" spans="2:16" ht="13.9" hidden="1" customHeight="1" x14ac:dyDescent="0.25"/>
    <row r="393" spans="2:16" ht="13.9" hidden="1" customHeight="1" x14ac:dyDescent="0.25"/>
  </sheetData>
  <mergeCells count="44">
    <mergeCell ref="C79:C80"/>
    <mergeCell ref="B79:B80"/>
    <mergeCell ref="B119:B120"/>
    <mergeCell ref="C119:C120"/>
    <mergeCell ref="C159:C160"/>
    <mergeCell ref="B159:B160"/>
    <mergeCell ref="C38:C39"/>
    <mergeCell ref="A4:U4"/>
    <mergeCell ref="A5:C5"/>
    <mergeCell ref="A6:A7"/>
    <mergeCell ref="B6:B7"/>
    <mergeCell ref="D6:D7"/>
    <mergeCell ref="E6:I6"/>
    <mergeCell ref="J6:M6"/>
    <mergeCell ref="N6:U6"/>
    <mergeCell ref="A9:A48"/>
    <mergeCell ref="B9:B21"/>
    <mergeCell ref="B22:B28"/>
    <mergeCell ref="B31:B35"/>
    <mergeCell ref="A49:A89"/>
    <mergeCell ref="B49:B61"/>
    <mergeCell ref="B62:B70"/>
    <mergeCell ref="B73:B76"/>
    <mergeCell ref="B38:B39"/>
    <mergeCell ref="A90:A129"/>
    <mergeCell ref="B90:B100"/>
    <mergeCell ref="B101:B108"/>
    <mergeCell ref="B111:B116"/>
    <mergeCell ref="A130:A170"/>
    <mergeCell ref="B130:B141"/>
    <mergeCell ref="B142:B150"/>
    <mergeCell ref="B153:B156"/>
    <mergeCell ref="B257:M257"/>
    <mergeCell ref="A171:A215"/>
    <mergeCell ref="B171:B183"/>
    <mergeCell ref="B184:B195"/>
    <mergeCell ref="B196:B203"/>
    <mergeCell ref="A216:A256"/>
    <mergeCell ref="B216:B227"/>
    <mergeCell ref="B228:B230"/>
    <mergeCell ref="C245:C246"/>
    <mergeCell ref="B245:B246"/>
    <mergeCell ref="B204:B206"/>
    <mergeCell ref="C204:C205"/>
  </mergeCells>
  <pageMargins left="0" right="0" top="0.19685039370078741" bottom="0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O22"/>
  <sheetViews>
    <sheetView topLeftCell="A2" zoomScale="80" zoomScaleNormal="80" workbookViewId="0">
      <pane xSplit="1" ySplit="8" topLeftCell="E13" activePane="bottomRight" state="frozen"/>
      <selection activeCell="A2" sqref="A2"/>
      <selection pane="topRight" activeCell="B2" sqref="B2"/>
      <selection pane="bottomLeft" activeCell="A10" sqref="A10"/>
      <selection pane="bottomRight" activeCell="AJ2" sqref="AJ1:AN1048576"/>
    </sheetView>
  </sheetViews>
  <sheetFormatPr defaultColWidth="8.85546875" defaultRowHeight="15" x14ac:dyDescent="0.25"/>
  <cols>
    <col min="1" max="1" width="25" style="195" customWidth="1"/>
    <col min="2" max="2" width="15.140625" style="195" customWidth="1"/>
    <col min="3" max="3" width="15.28515625" style="195" customWidth="1"/>
    <col min="4" max="4" width="15.5703125" style="195" customWidth="1"/>
    <col min="5" max="5" width="15.7109375" style="195" customWidth="1"/>
    <col min="6" max="6" width="11.7109375" style="195" hidden="1" customWidth="1"/>
    <col min="7" max="7" width="16.28515625" style="195" customWidth="1"/>
    <col min="8" max="10" width="14.85546875" style="195" customWidth="1"/>
    <col min="11" max="12" width="15.7109375" style="195" customWidth="1"/>
    <col min="13" max="13" width="16.28515625" style="195" customWidth="1"/>
    <col min="14" max="14" width="8.7109375" style="195" hidden="1" customWidth="1"/>
    <col min="15" max="15" width="8" style="195" customWidth="1"/>
    <col min="16" max="16" width="8.7109375" style="195" customWidth="1"/>
    <col min="17" max="17" width="9.7109375" style="195" customWidth="1"/>
    <col min="18" max="19" width="8.28515625" style="195" customWidth="1"/>
    <col min="20" max="20" width="15.85546875" style="195" customWidth="1"/>
    <col min="21" max="21" width="14.140625" style="195" customWidth="1"/>
    <col min="22" max="22" width="15.85546875" style="195" customWidth="1"/>
    <col min="23" max="23" width="14.85546875" style="195" customWidth="1"/>
    <col min="24" max="24" width="15.140625" style="195" customWidth="1"/>
    <col min="25" max="25" width="16.140625" style="195" customWidth="1"/>
    <col min="26" max="26" width="16" style="195" customWidth="1"/>
    <col min="27" max="27" width="14.85546875" style="195" customWidth="1"/>
    <col min="28" max="28" width="14.7109375" style="195" customWidth="1"/>
    <col min="29" max="29" width="15.28515625" style="195" customWidth="1"/>
    <col min="30" max="30" width="17" style="195" customWidth="1"/>
    <col min="31" max="31" width="16.28515625" style="195" customWidth="1"/>
    <col min="32" max="32" width="15.7109375" style="195" hidden="1" customWidth="1"/>
    <col min="33" max="33" width="15.5703125" style="195" hidden="1" customWidth="1"/>
    <col min="34" max="34" width="15.5703125" style="195" customWidth="1"/>
    <col min="35" max="35" width="19.28515625" style="195" hidden="1" customWidth="1"/>
    <col min="36" max="36" width="6.28515625" style="195" hidden="1" customWidth="1"/>
    <col min="37" max="37" width="12.28515625" style="195" hidden="1" customWidth="1"/>
    <col min="38" max="38" width="10.85546875" style="195" hidden="1" customWidth="1"/>
    <col min="39" max="39" width="11.28515625" style="195" hidden="1" customWidth="1"/>
    <col min="40" max="40" width="3.7109375" style="195" hidden="1" customWidth="1"/>
    <col min="41" max="41" width="15.7109375" style="195" hidden="1" customWidth="1"/>
    <col min="42" max="16384" width="8.85546875" style="195"/>
  </cols>
  <sheetData>
    <row r="2" spans="1:41" ht="13.9" customHeight="1" x14ac:dyDescent="0.25">
      <c r="X2" s="312" t="s">
        <v>89</v>
      </c>
      <c r="Y2" s="312"/>
      <c r="Z2" s="313"/>
      <c r="AA2" s="313"/>
      <c r="AB2" s="313"/>
      <c r="AC2" s="313"/>
      <c r="AD2" s="314"/>
      <c r="AE2" s="314"/>
      <c r="AF2" s="314"/>
    </row>
    <row r="3" spans="1:41" ht="14.45" customHeight="1" x14ac:dyDescent="0.25">
      <c r="X3" s="315" t="s">
        <v>579</v>
      </c>
      <c r="Y3" s="315"/>
      <c r="Z3" s="316"/>
      <c r="AA3" s="316"/>
      <c r="AB3" s="316"/>
      <c r="AC3" s="316"/>
      <c r="AD3" s="317"/>
      <c r="AE3" s="317"/>
    </row>
    <row r="4" spans="1:41" x14ac:dyDescent="0.25">
      <c r="AH4" s="318"/>
    </row>
    <row r="5" spans="1:41" ht="18" customHeight="1" x14ac:dyDescent="0.3">
      <c r="A5" s="319" t="s">
        <v>476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20"/>
      <c r="N5" s="320"/>
      <c r="O5" s="320"/>
      <c r="P5" s="320"/>
      <c r="Q5" s="320"/>
      <c r="R5" s="320"/>
      <c r="S5" s="320"/>
      <c r="T5" s="321"/>
      <c r="U5" s="321"/>
      <c r="V5" s="321"/>
      <c r="W5" s="321"/>
    </row>
    <row r="6" spans="1:41" ht="15.75" x14ac:dyDescent="0.25">
      <c r="A6" s="322" t="s">
        <v>90</v>
      </c>
      <c r="B6" s="323"/>
      <c r="V6" s="309"/>
      <c r="W6" s="309"/>
    </row>
    <row r="7" spans="1:41" ht="89.45" customHeight="1" x14ac:dyDescent="0.25">
      <c r="A7" s="324" t="s">
        <v>2</v>
      </c>
      <c r="B7" s="325" t="s">
        <v>483</v>
      </c>
      <c r="C7" s="326"/>
      <c r="D7" s="326"/>
      <c r="E7" s="326"/>
      <c r="F7" s="327"/>
      <c r="G7" s="328" t="s">
        <v>91</v>
      </c>
      <c r="H7" s="255" t="s">
        <v>92</v>
      </c>
      <c r="I7" s="256"/>
      <c r="J7" s="256"/>
      <c r="K7" s="256"/>
      <c r="L7" s="257"/>
      <c r="M7" s="329"/>
      <c r="N7" s="330"/>
      <c r="O7" s="258" t="s">
        <v>503</v>
      </c>
      <c r="P7" s="259"/>
      <c r="Q7" s="259"/>
      <c r="R7" s="260"/>
      <c r="S7" s="235"/>
      <c r="T7" s="255" t="s">
        <v>94</v>
      </c>
      <c r="U7" s="256"/>
      <c r="V7" s="256"/>
      <c r="W7" s="256"/>
      <c r="X7" s="256"/>
      <c r="Y7" s="257"/>
      <c r="Z7" s="255" t="s">
        <v>298</v>
      </c>
      <c r="AA7" s="256"/>
      <c r="AB7" s="256"/>
      <c r="AC7" s="257"/>
      <c r="AD7" s="29" t="s">
        <v>94</v>
      </c>
      <c r="AE7" s="29" t="s">
        <v>363</v>
      </c>
      <c r="AF7" s="233" t="s">
        <v>93</v>
      </c>
      <c r="AG7" s="234"/>
      <c r="AH7" s="29" t="s">
        <v>484</v>
      </c>
      <c r="AI7" s="331" t="s">
        <v>2</v>
      </c>
      <c r="AJ7" s="332"/>
    </row>
    <row r="8" spans="1:41" ht="153" customHeight="1" x14ac:dyDescent="0.25">
      <c r="A8" s="333"/>
      <c r="B8" s="334" t="s">
        <v>590</v>
      </c>
      <c r="C8" s="334" t="s">
        <v>591</v>
      </c>
      <c r="D8" s="334" t="s">
        <v>592</v>
      </c>
      <c r="E8" s="27" t="s">
        <v>95</v>
      </c>
      <c r="F8" s="27" t="s">
        <v>96</v>
      </c>
      <c r="G8" s="335"/>
      <c r="H8" s="29" t="s">
        <v>97</v>
      </c>
      <c r="I8" s="29" t="s">
        <v>98</v>
      </c>
      <c r="J8" s="29" t="s">
        <v>99</v>
      </c>
      <c r="K8" s="29" t="s">
        <v>17</v>
      </c>
      <c r="L8" s="28" t="s">
        <v>96</v>
      </c>
      <c r="M8" s="336" t="s">
        <v>10</v>
      </c>
      <c r="N8" s="30" t="s">
        <v>100</v>
      </c>
      <c r="O8" s="29" t="s">
        <v>101</v>
      </c>
      <c r="P8" s="28" t="s">
        <v>102</v>
      </c>
      <c r="Q8" s="29" t="s">
        <v>99</v>
      </c>
      <c r="R8" s="29" t="s">
        <v>17</v>
      </c>
      <c r="S8" s="30" t="s">
        <v>299</v>
      </c>
      <c r="T8" s="29" t="s">
        <v>103</v>
      </c>
      <c r="U8" s="28" t="s">
        <v>104</v>
      </c>
      <c r="V8" s="29" t="s">
        <v>99</v>
      </c>
      <c r="W8" s="29" t="s">
        <v>105</v>
      </c>
      <c r="X8" s="29" t="s">
        <v>17</v>
      </c>
      <c r="Y8" s="243" t="s">
        <v>106</v>
      </c>
      <c r="Z8" s="334" t="s">
        <v>590</v>
      </c>
      <c r="AA8" s="334" t="s">
        <v>591</v>
      </c>
      <c r="AB8" s="334" t="s">
        <v>592</v>
      </c>
      <c r="AC8" s="27" t="s">
        <v>95</v>
      </c>
      <c r="AD8" s="30" t="s">
        <v>106</v>
      </c>
      <c r="AE8" s="30" t="s">
        <v>106</v>
      </c>
      <c r="AF8" s="29" t="s">
        <v>99</v>
      </c>
      <c r="AG8" s="29" t="s">
        <v>17</v>
      </c>
      <c r="AH8" s="30" t="s">
        <v>106</v>
      </c>
      <c r="AI8" s="337"/>
      <c r="AJ8" s="332"/>
      <c r="AL8" s="338" t="s">
        <v>320</v>
      </c>
      <c r="AM8" s="339" t="s">
        <v>321</v>
      </c>
      <c r="AO8" s="243" t="s">
        <v>510</v>
      </c>
    </row>
    <row r="9" spans="1:41" ht="22.9" customHeight="1" x14ac:dyDescent="0.25">
      <c r="A9" s="329" t="s">
        <v>19</v>
      </c>
      <c r="B9" s="340" t="s">
        <v>19</v>
      </c>
      <c r="C9" s="341"/>
      <c r="D9" s="341"/>
      <c r="E9" s="341"/>
      <c r="F9" s="342"/>
      <c r="G9" s="29" t="s">
        <v>22</v>
      </c>
      <c r="H9" s="29" t="s">
        <v>22</v>
      </c>
      <c r="I9" s="29" t="s">
        <v>22</v>
      </c>
      <c r="J9" s="29" t="s">
        <v>22</v>
      </c>
      <c r="K9" s="29" t="s">
        <v>22</v>
      </c>
      <c r="L9" s="29" t="s">
        <v>22</v>
      </c>
      <c r="M9" s="29" t="s">
        <v>22</v>
      </c>
      <c r="N9" s="29" t="s">
        <v>22</v>
      </c>
      <c r="O9" s="329"/>
      <c r="P9" s="329"/>
      <c r="Q9" s="329"/>
      <c r="R9" s="329"/>
      <c r="S9" s="329"/>
      <c r="T9" s="29" t="s">
        <v>22</v>
      </c>
      <c r="U9" s="29" t="s">
        <v>22</v>
      </c>
      <c r="V9" s="29" t="s">
        <v>22</v>
      </c>
      <c r="W9" s="29" t="s">
        <v>22</v>
      </c>
      <c r="X9" s="29" t="s">
        <v>22</v>
      </c>
      <c r="Y9" s="29" t="s">
        <v>22</v>
      </c>
      <c r="Z9" s="29" t="s">
        <v>22</v>
      </c>
      <c r="AA9" s="29" t="s">
        <v>22</v>
      </c>
      <c r="AB9" s="29" t="s">
        <v>22</v>
      </c>
      <c r="AC9" s="29" t="s">
        <v>22</v>
      </c>
      <c r="AD9" s="29" t="s">
        <v>22</v>
      </c>
      <c r="AE9" s="29" t="s">
        <v>22</v>
      </c>
      <c r="AF9" s="29" t="s">
        <v>22</v>
      </c>
      <c r="AG9" s="29" t="s">
        <v>22</v>
      </c>
      <c r="AH9" s="29" t="s">
        <v>22</v>
      </c>
      <c r="AI9" s="329" t="s">
        <v>19</v>
      </c>
      <c r="AJ9" s="343"/>
      <c r="AM9" s="344"/>
      <c r="AO9" s="345"/>
    </row>
    <row r="10" spans="1:41" ht="42" customHeight="1" x14ac:dyDescent="0.25">
      <c r="A10" s="310" t="s">
        <v>107</v>
      </c>
      <c r="B10" s="31">
        <f>'прилож.3-школы'!$N$21+'прилож.3-школы'!$N$42+'прилож.3-школы'!P41</f>
        <v>35240881.030000001</v>
      </c>
      <c r="C10" s="31">
        <f>'прилож.3-школы'!$N$30</f>
        <v>34238442.920000002</v>
      </c>
      <c r="D10" s="31">
        <f>'прилож.3-школы'!$N$37</f>
        <v>7670316.3699999992</v>
      </c>
      <c r="E10" s="32">
        <f>'прилож.3-школы'!$N$40</f>
        <v>6774645.4999999991</v>
      </c>
      <c r="F10" s="32">
        <v>0</v>
      </c>
      <c r="G10" s="33">
        <f t="shared" ref="G10:G16" si="0">SUM(B10:F10)</f>
        <v>83924285.820000008</v>
      </c>
      <c r="H10" s="32">
        <f>'прилож.3-школы'!$O$48-'прилож.4-школы'!I10-'прилож.4-школы'!L10</f>
        <v>42106820.609999999</v>
      </c>
      <c r="I10" s="32">
        <f t="shared" ref="I10:I15" si="1">E10</f>
        <v>6774645.4999999991</v>
      </c>
      <c r="J10" s="32">
        <f>'прилож.3-школы'!$P$48</f>
        <v>12490704.189999999</v>
      </c>
      <c r="K10" s="32">
        <f>'прилож.3-школы'!$R$48</f>
        <v>15286955.52</v>
      </c>
      <c r="L10" s="32">
        <f>'прилож.3-школы'!$O$45</f>
        <v>7265160</v>
      </c>
      <c r="M10" s="33">
        <f>SUM(H10:L10)</f>
        <v>83924285.819999993</v>
      </c>
      <c r="N10" s="32"/>
      <c r="O10" s="32">
        <f t="shared" ref="O10:O16" si="2">T10/H10</f>
        <v>1.1228278455859411</v>
      </c>
      <c r="P10" s="32">
        <f>U10/E10</f>
        <v>0.9674950519551172</v>
      </c>
      <c r="Q10" s="32">
        <f t="shared" ref="Q10:Q16" si="3">V10/J10</f>
        <v>1.1379028583015383</v>
      </c>
      <c r="R10" s="32">
        <f>X10/K10</f>
        <v>1.0723341177092665</v>
      </c>
      <c r="S10" s="32">
        <f>(Y10-U10)/(G10-E10)</f>
        <v>1.1036966896646185</v>
      </c>
      <c r="T10" s="32">
        <f>43615367-22790.33+3431021+255113</f>
        <v>47278710.670000002</v>
      </c>
      <c r="U10" s="32">
        <f>6199878+74995+279563</f>
        <v>6554436</v>
      </c>
      <c r="V10" s="32">
        <f>12963603+120630+1128975</f>
        <v>14213208</v>
      </c>
      <c r="W10" s="32">
        <f t="shared" ref="W10:W15" si="4">L10</f>
        <v>7265160</v>
      </c>
      <c r="X10" s="230">
        <f>15120792.96+1079931+192000</f>
        <v>16392723.960000001</v>
      </c>
      <c r="Y10" s="33">
        <f>SUM(T10:X10)</f>
        <v>91704238.629999995</v>
      </c>
      <c r="Z10" s="32">
        <f>B10*S10</f>
        <v>38895243.733675651</v>
      </c>
      <c r="AA10" s="32">
        <f>C10*S10</f>
        <v>37788856.110074997</v>
      </c>
      <c r="AB10" s="32">
        <f>D10*S10</f>
        <v>8465702.7862493321</v>
      </c>
      <c r="AC10" s="32">
        <f>U10</f>
        <v>6554436</v>
      </c>
      <c r="AD10" s="32">
        <f>SUM(Z10:AC10)</f>
        <v>91704238.629999995</v>
      </c>
      <c r="AE10" s="32">
        <f>62181472+15820241.79+7323181.34</f>
        <v>85324895.129999995</v>
      </c>
      <c r="AF10" s="32">
        <f t="shared" ref="AF10:AG10" si="5">62181472+Y10</f>
        <v>153885710.63</v>
      </c>
      <c r="AG10" s="32">
        <f t="shared" si="5"/>
        <v>101076715.73367566</v>
      </c>
      <c r="AH10" s="32">
        <f>62181472+15820241.79+7330198</f>
        <v>85331911.789999992</v>
      </c>
      <c r="AI10" s="310" t="s">
        <v>107</v>
      </c>
      <c r="AJ10" s="311"/>
      <c r="AK10" s="346"/>
      <c r="AL10" s="346">
        <f>('прилож.3-школы'!N35+'прилож.3-школы'!N36)*'прилож.4-школы'!S10</f>
        <v>3477958.8986094682</v>
      </c>
      <c r="AM10" s="346">
        <f>AB10-AL10</f>
        <v>4987743.8876398634</v>
      </c>
      <c r="AO10" s="61">
        <f>Y10-W10</f>
        <v>84439078.629999995</v>
      </c>
    </row>
    <row r="11" spans="1:41" ht="36.6" customHeight="1" x14ac:dyDescent="0.25">
      <c r="A11" s="310" t="s">
        <v>52</v>
      </c>
      <c r="B11" s="31">
        <f>'прилож.3-школы'!$N$61+'прилож.3-школы'!$N$82</f>
        <v>28370056.710000005</v>
      </c>
      <c r="C11" s="32">
        <f>'прилож.3-школы'!$N$72</f>
        <v>24375516.999999996</v>
      </c>
      <c r="D11" s="32">
        <f>'прилож.3-школы'!$N$78</f>
        <v>3653278.1799999997</v>
      </c>
      <c r="E11" s="32">
        <f>'прилож.3-школы'!$N$81</f>
        <v>6558775.4399999995</v>
      </c>
      <c r="F11" s="32">
        <v>0</v>
      </c>
      <c r="G11" s="33">
        <f t="shared" si="0"/>
        <v>62957627.329999998</v>
      </c>
      <c r="H11" s="32">
        <f>'прилож.3-школы'!$O$89-'прилож.4-школы'!I11-'прилож.4-школы'!L11</f>
        <v>30517050.610000007</v>
      </c>
      <c r="I11" s="32">
        <f t="shared" si="1"/>
        <v>6558775.4399999995</v>
      </c>
      <c r="J11" s="32">
        <f>'прилож.3-школы'!$P$89</f>
        <v>9076802.6400000006</v>
      </c>
      <c r="K11" s="32">
        <f>'прилож.3-школы'!$R$89</f>
        <v>10945958.640000001</v>
      </c>
      <c r="L11" s="32">
        <f>'прилож.3-школы'!$O$86</f>
        <v>5859040</v>
      </c>
      <c r="M11" s="33">
        <f t="shared" ref="M11:M16" si="6">SUM(H11:L11)</f>
        <v>62957627.330000006</v>
      </c>
      <c r="N11" s="32"/>
      <c r="O11" s="32">
        <f t="shared" si="2"/>
        <v>1.1512328671266701</v>
      </c>
      <c r="P11" s="32">
        <f t="shared" ref="P11:P16" si="7">U11/I11</f>
        <v>0.97583109203080154</v>
      </c>
      <c r="Q11" s="32">
        <f t="shared" si="3"/>
        <v>1.2028303834531759</v>
      </c>
      <c r="R11" s="32">
        <f t="shared" ref="R11:R16" si="8">X11/K11</f>
        <v>1.1128651106036307</v>
      </c>
      <c r="S11" s="32">
        <f t="shared" ref="S11:S16" si="9">(Y11-U11)/(G11-E11)</f>
        <v>1.1363795360155224</v>
      </c>
      <c r="T11" s="32">
        <f>31601178+170.67+3323633+207250</f>
        <v>35132231.670000002</v>
      </c>
      <c r="U11" s="32">
        <f>6002323+74995+322939</f>
        <v>6400257</v>
      </c>
      <c r="V11" s="32">
        <f>9840696+1077158</f>
        <v>10917854</v>
      </c>
      <c r="W11" s="32">
        <f t="shared" si="4"/>
        <v>5859040</v>
      </c>
      <c r="X11" s="230">
        <f>11215972.8*0.998957413+977096.3</f>
        <v>12181375.472566368</v>
      </c>
      <c r="Y11" s="33">
        <f t="shared" ref="Y11:Y16" si="10">SUM(T11:X11)</f>
        <v>70490758.142566368</v>
      </c>
      <c r="Z11" s="32">
        <f t="shared" ref="Z11:Z15" si="11">B11*S11</f>
        <v>32239151.880843863</v>
      </c>
      <c r="AA11" s="32">
        <f t="shared" ref="AA11:AA15" si="12">C11*S11</f>
        <v>27699838.698598474</v>
      </c>
      <c r="AB11" s="32">
        <f t="shared" ref="AB11:AB15" si="13">D11*S11</f>
        <v>4151510.5631240318</v>
      </c>
      <c r="AC11" s="32">
        <f t="shared" ref="AC11:AC15" si="14">U11</f>
        <v>6400257</v>
      </c>
      <c r="AD11" s="32">
        <f t="shared" ref="AD11:AD15" si="15">SUM(Z11:AC11)</f>
        <v>70490758.142566368</v>
      </c>
      <c r="AE11" s="32">
        <f>46922871+13307456.77+5940022.34</f>
        <v>66170350.109999999</v>
      </c>
      <c r="AF11" s="32">
        <f t="shared" ref="AF11:AG11" si="16">44186591.91+8707329.7</f>
        <v>52893921.609999999</v>
      </c>
      <c r="AG11" s="32">
        <f t="shared" si="16"/>
        <v>52893921.609999999</v>
      </c>
      <c r="AH11" s="32">
        <f>46922871+13307456.77+5947039</f>
        <v>66177366.769999996</v>
      </c>
      <c r="AI11" s="310" t="s">
        <v>52</v>
      </c>
      <c r="AJ11" s="311"/>
      <c r="AK11" s="309"/>
      <c r="AO11" s="61">
        <f t="shared" ref="AO11:AO15" si="17">Y11-W11</f>
        <v>64631718.142566368</v>
      </c>
    </row>
    <row r="12" spans="1:41" ht="36.6" customHeight="1" x14ac:dyDescent="0.25">
      <c r="A12" s="310" t="s">
        <v>57</v>
      </c>
      <c r="B12" s="32">
        <f>'прилож.3-школы'!$N$100+'прилож.3-школы'!$N$122+'прилож.3-школы'!N123</f>
        <v>25129096.010000009</v>
      </c>
      <c r="C12" s="32">
        <f>'прилож.3-школы'!$N$110</f>
        <v>26620341.310000002</v>
      </c>
      <c r="D12" s="32">
        <f>'прилож.3-школы'!$N$118</f>
        <v>4847460.1500000004</v>
      </c>
      <c r="E12" s="32">
        <f>'прилож.3-школы'!$N$121</f>
        <v>8028529.0399999991</v>
      </c>
      <c r="F12" s="32">
        <v>0</v>
      </c>
      <c r="G12" s="33">
        <f t="shared" si="0"/>
        <v>64625426.510000005</v>
      </c>
      <c r="H12" s="32">
        <f>'прилож.3-школы'!$O$129-'прилож.4-школы'!I12-'прилож.4-школы'!L12</f>
        <v>30659056.910000004</v>
      </c>
      <c r="I12" s="32">
        <f t="shared" si="1"/>
        <v>8028529.0399999991</v>
      </c>
      <c r="J12" s="32">
        <f>'прилож.3-школы'!$P$129</f>
        <v>9135657.5199999996</v>
      </c>
      <c r="K12" s="32">
        <f>'прилож.3-школы'!$R$129</f>
        <v>11880623.039999999</v>
      </c>
      <c r="L12" s="32">
        <f>'прилож.3-школы'!$O$126</f>
        <v>4921560</v>
      </c>
      <c r="M12" s="33">
        <f t="shared" si="6"/>
        <v>64625426.509999998</v>
      </c>
      <c r="N12" s="32"/>
      <c r="O12" s="32">
        <f t="shared" si="2"/>
        <v>1.1509481447386112</v>
      </c>
      <c r="P12" s="32">
        <f t="shared" si="7"/>
        <v>0.96659325280338038</v>
      </c>
      <c r="Q12" s="32">
        <f t="shared" si="3"/>
        <v>1.1753236126128337</v>
      </c>
      <c r="R12" s="32">
        <f>X12/K12</f>
        <v>0.91178669733030104</v>
      </c>
      <c r="S12" s="32">
        <f t="shared" si="9"/>
        <v>1.0915526376090572</v>
      </c>
      <c r="T12" s="32">
        <f>32520672+109607.67+2481365+175340</f>
        <v>35286984.670000002</v>
      </c>
      <c r="U12" s="32">
        <f>7347381+134991+277950</f>
        <v>7760322</v>
      </c>
      <c r="V12" s="32">
        <f>9888854+848500</f>
        <v>10737354</v>
      </c>
      <c r="W12" s="32">
        <f t="shared" si="4"/>
        <v>4921560</v>
      </c>
      <c r="X12" s="32">
        <f>11942934*0.85679382+599962</f>
        <v>10832594.04386788</v>
      </c>
      <c r="Y12" s="33">
        <f t="shared" si="10"/>
        <v>69538814.713867888</v>
      </c>
      <c r="Z12" s="32">
        <f t="shared" si="11"/>
        <v>27429731.030446745</v>
      </c>
      <c r="AA12" s="32">
        <f t="shared" si="12"/>
        <v>29057503.770983849</v>
      </c>
      <c r="AB12" s="32">
        <f t="shared" si="13"/>
        <v>5291257.9124372965</v>
      </c>
      <c r="AC12" s="32">
        <f>U12</f>
        <v>7760322</v>
      </c>
      <c r="AD12" s="32">
        <f t="shared" si="15"/>
        <v>69538814.713867903</v>
      </c>
      <c r="AE12" s="32">
        <f>49216185+10232632.04+5171975.34</f>
        <v>64620792.379999995</v>
      </c>
      <c r="AF12" s="32">
        <f t="shared" ref="AF12:AG15" si="18">J12</f>
        <v>9135657.5199999996</v>
      </c>
      <c r="AG12" s="32">
        <f t="shared" si="18"/>
        <v>11880623.039999999</v>
      </c>
      <c r="AH12" s="32">
        <f>49216185+10186532.04+5178992</f>
        <v>64581709.039999999</v>
      </c>
      <c r="AI12" s="310" t="s">
        <v>57</v>
      </c>
      <c r="AJ12" s="311"/>
      <c r="AK12" s="309"/>
      <c r="AO12" s="61">
        <f t="shared" si="17"/>
        <v>64617254.713867888</v>
      </c>
    </row>
    <row r="13" spans="1:41" ht="36.6" customHeight="1" x14ac:dyDescent="0.25">
      <c r="A13" s="310" t="s">
        <v>108</v>
      </c>
      <c r="B13" s="32">
        <f>'прилож.3-школы'!$N$227+'прилож.3-школы'!$N$255+'прилож.3-школы'!N254</f>
        <v>15348127.160333334</v>
      </c>
      <c r="C13" s="32">
        <f>'прилож.3-школы'!$N$238</f>
        <v>14132811.640000001</v>
      </c>
      <c r="D13" s="32">
        <f>'прилож.3-школы'!$N$244</f>
        <v>3867390.82</v>
      </c>
      <c r="E13" s="32">
        <f>'прилож.3-школы'!$N$247</f>
        <v>3203869.5700000003</v>
      </c>
      <c r="F13" s="32">
        <v>0</v>
      </c>
      <c r="G13" s="33">
        <f t="shared" si="0"/>
        <v>36552199.190333337</v>
      </c>
      <c r="H13" s="32">
        <f>'прилож.3-школы'!$O$256-'прилож.4-школы'!I13-'прилож.4-школы'!L13</f>
        <v>16458304.590333335</v>
      </c>
      <c r="I13" s="32">
        <f t="shared" si="1"/>
        <v>3203869.5700000003</v>
      </c>
      <c r="J13" s="32">
        <f>'прилож.3-школы'!$P$256</f>
        <v>5934410.7499999991</v>
      </c>
      <c r="K13" s="32">
        <f>'прилож.3-школы'!$R$256</f>
        <v>7908934.2799999993</v>
      </c>
      <c r="L13" s="32">
        <f>'прилож.3-школы'!$O$252</f>
        <v>3046680</v>
      </c>
      <c r="M13" s="33">
        <f t="shared" si="6"/>
        <v>36552199.190333337</v>
      </c>
      <c r="N13" s="32"/>
      <c r="O13" s="32">
        <f t="shared" si="2"/>
        <v>1.1909274471388929</v>
      </c>
      <c r="P13" s="32">
        <f t="shared" si="7"/>
        <v>0.9487371235277845</v>
      </c>
      <c r="Q13" s="32">
        <f t="shared" si="3"/>
        <v>1.1369162473291896</v>
      </c>
      <c r="R13" s="32">
        <f t="shared" si="8"/>
        <v>1.0732233180220585</v>
      </c>
      <c r="S13" s="32">
        <f t="shared" si="9"/>
        <v>1.1359581661596081</v>
      </c>
      <c r="T13" s="32">
        <f>17672514+304776.67+1511835+111521</f>
        <v>19600646.670000002</v>
      </c>
      <c r="U13" s="32">
        <f>2932050+107580</f>
        <v>3039630</v>
      </c>
      <c r="V13" s="32">
        <f>6228420+518508</f>
        <v>6746928</v>
      </c>
      <c r="W13" s="32">
        <f t="shared" si="4"/>
        <v>3046680</v>
      </c>
      <c r="X13" s="32">
        <f>7948087.68+0.01+539965</f>
        <v>8488052.6899999995</v>
      </c>
      <c r="Y13" s="33">
        <f t="shared" si="10"/>
        <v>40921937.359999999</v>
      </c>
      <c r="Z13" s="32">
        <f t="shared" si="11"/>
        <v>17434830.383036725</v>
      </c>
      <c r="AA13" s="32">
        <f t="shared" si="12"/>
        <v>16054282.793253563</v>
      </c>
      <c r="AB13" s="32">
        <f t="shared" si="13"/>
        <v>4393194.1837097025</v>
      </c>
      <c r="AC13" s="32">
        <f t="shared" si="14"/>
        <v>3039630</v>
      </c>
      <c r="AD13" s="32">
        <f t="shared" si="15"/>
        <v>40921937.359999992</v>
      </c>
      <c r="AE13" s="32">
        <f>26556396+7948087.69+3357273.34</f>
        <v>37861757.030000001</v>
      </c>
      <c r="AF13" s="32">
        <f t="shared" si="18"/>
        <v>5934410.7499999991</v>
      </c>
      <c r="AG13" s="32">
        <f t="shared" si="18"/>
        <v>7908934.2799999993</v>
      </c>
      <c r="AH13" s="32">
        <f>26556396+7948087.69+3364290</f>
        <v>37868773.689999998</v>
      </c>
      <c r="AI13" s="310" t="s">
        <v>108</v>
      </c>
      <c r="AJ13" s="311"/>
      <c r="AK13" s="309"/>
      <c r="AO13" s="61">
        <f t="shared" si="17"/>
        <v>37875257.359999999</v>
      </c>
    </row>
    <row r="14" spans="1:41" ht="36.6" customHeight="1" x14ac:dyDescent="0.25">
      <c r="A14" s="310" t="s">
        <v>109</v>
      </c>
      <c r="B14" s="32">
        <f>'прилож.3-школы'!$N$141+'прилож.3-школы'!$N$162+'прилож.3-школы'!$N$166</f>
        <v>26665225.390000001</v>
      </c>
      <c r="C14" s="32">
        <f>'прилож.3-школы'!$N$152</f>
        <v>25730954.399999999</v>
      </c>
      <c r="D14" s="32">
        <f>'прилож.3-школы'!$N$158</f>
        <v>4171609.0999999996</v>
      </c>
      <c r="E14" s="32">
        <f>'прилож.3-школы'!$N$161</f>
        <v>5268148.0599999996</v>
      </c>
      <c r="F14" s="32">
        <v>0</v>
      </c>
      <c r="G14" s="33">
        <f t="shared" si="0"/>
        <v>61835936.950000003</v>
      </c>
      <c r="H14" s="32">
        <f>'прилож.3-школы'!$O$170-'прилож.4-школы'!I14-'прилож.4-школы'!L14</f>
        <v>32291146.859999999</v>
      </c>
      <c r="I14" s="32">
        <f t="shared" si="1"/>
        <v>5268148.0599999996</v>
      </c>
      <c r="J14" s="32">
        <f>'прилож.3-школы'!$P$170</f>
        <v>8747334.9900000002</v>
      </c>
      <c r="K14" s="32">
        <f>'прилож.3-школы'!$R$170</f>
        <v>10842107.039999999</v>
      </c>
      <c r="L14" s="32">
        <f>'прилож.3-школы'!$O$167</f>
        <v>4687200</v>
      </c>
      <c r="M14" s="33">
        <f t="shared" si="6"/>
        <v>61835936.950000003</v>
      </c>
      <c r="N14" s="32"/>
      <c r="O14" s="32">
        <f t="shared" si="2"/>
        <v>1.1483747489914951</v>
      </c>
      <c r="P14" s="32">
        <f t="shared" si="7"/>
        <v>0.94034221202203649</v>
      </c>
      <c r="Q14" s="32">
        <f t="shared" si="3"/>
        <v>1.142616238137234</v>
      </c>
      <c r="R14" s="32">
        <f t="shared" si="8"/>
        <v>1.0546957475896679</v>
      </c>
      <c r="S14" s="32">
        <f t="shared" si="9"/>
        <v>1.1172349158439945</v>
      </c>
      <c r="T14" s="32">
        <f>34224939+230524.67+2459511+167363</f>
        <v>37082337.670000002</v>
      </c>
      <c r="U14" s="32">
        <f>4821193+132669</f>
        <v>4953862</v>
      </c>
      <c r="V14" s="32">
        <f>9224584+770263</f>
        <v>9994847</v>
      </c>
      <c r="W14" s="32">
        <f t="shared" si="4"/>
        <v>4687200</v>
      </c>
      <c r="X14" s="230">
        <f>10655174.16+0.03+779950</f>
        <v>11435124.189999999</v>
      </c>
      <c r="Y14" s="33">
        <f t="shared" si="10"/>
        <v>68153370.859999999</v>
      </c>
      <c r="Z14" s="32">
        <f t="shared" si="11"/>
        <v>29791320.844557796</v>
      </c>
      <c r="AA14" s="32">
        <f t="shared" si="12"/>
        <v>28747520.673669659</v>
      </c>
      <c r="AB14" s="32">
        <f t="shared" si="13"/>
        <v>4660667.3417725414</v>
      </c>
      <c r="AC14" s="32">
        <f t="shared" si="14"/>
        <v>4953862</v>
      </c>
      <c r="AD14" s="32">
        <f t="shared" si="15"/>
        <v>68153370.859999999</v>
      </c>
      <c r="AE14" s="32">
        <f>47716016+10915447.41+4923541.34</f>
        <v>63555004.75</v>
      </c>
      <c r="AF14" s="32">
        <f t="shared" si="18"/>
        <v>8747334.9900000002</v>
      </c>
      <c r="AG14" s="32">
        <f t="shared" si="18"/>
        <v>10842107.039999999</v>
      </c>
      <c r="AH14" s="32">
        <f>47716016+10915447.41-18+4930558</f>
        <v>63562003.409999996</v>
      </c>
      <c r="AI14" s="310" t="s">
        <v>109</v>
      </c>
      <c r="AJ14" s="311"/>
      <c r="AK14" s="309"/>
      <c r="AO14" s="61">
        <f t="shared" si="17"/>
        <v>63466170.859999999</v>
      </c>
    </row>
    <row r="15" spans="1:41" ht="36.6" customHeight="1" x14ac:dyDescent="0.25">
      <c r="A15" s="310" t="s">
        <v>62</v>
      </c>
      <c r="B15" s="32">
        <f>'прилож.3-школы'!$N$183+'прилож.3-школы'!N208+'прилож.3-школы'!$N$209+'прилож.3-школы'!$N$210</f>
        <v>30435744.231599998</v>
      </c>
      <c r="C15" s="32">
        <f>'прилож.3-школы'!$N$195</f>
        <v>34395088.769999996</v>
      </c>
      <c r="D15" s="32">
        <f>'прилож.3-школы'!$N$203</f>
        <v>12466602.99</v>
      </c>
      <c r="E15" s="32">
        <f>'прилож.3-школы'!$N$207</f>
        <v>10104555.999999998</v>
      </c>
      <c r="F15" s="32">
        <v>0</v>
      </c>
      <c r="G15" s="33">
        <f t="shared" si="0"/>
        <v>87401991.991599992</v>
      </c>
      <c r="H15" s="32">
        <f>'прилож.3-школы'!$O$215-'прилож.4-школы'!I15-'прилож.4-школы'!L15</f>
        <v>40978768.079999998</v>
      </c>
      <c r="I15" s="32">
        <f t="shared" si="1"/>
        <v>10104555.999999998</v>
      </c>
      <c r="J15" s="32">
        <f>'прилож.3-школы'!$P$215</f>
        <v>12790347.351599999</v>
      </c>
      <c r="K15" s="32">
        <f>'прилож.3-школы'!$R$215</f>
        <v>16263160.560000001</v>
      </c>
      <c r="L15" s="32">
        <f>'прилож.3-школы'!$O$212</f>
        <v>7265160</v>
      </c>
      <c r="M15" s="33">
        <f>SUM(H15:L15)</f>
        <v>87401991.991599992</v>
      </c>
      <c r="N15" s="32"/>
      <c r="O15" s="32">
        <f t="shared" si="2"/>
        <v>1.1915562848223133</v>
      </c>
      <c r="P15" s="32">
        <f t="shared" si="7"/>
        <v>0.9497155540530432</v>
      </c>
      <c r="Q15" s="32">
        <f t="shared" si="3"/>
        <v>1.2030279223085492</v>
      </c>
      <c r="R15" s="32">
        <f t="shared" si="8"/>
        <v>1.0790079397703491</v>
      </c>
      <c r="S15" s="32">
        <f t="shared" si="9"/>
        <v>1.1517703255988321</v>
      </c>
      <c r="T15" s="32">
        <f>43915870-45009.35+4702535+255113</f>
        <v>48828508.649999999</v>
      </c>
      <c r="U15" s="32">
        <f>9247275+349179</f>
        <v>9596454</v>
      </c>
      <c r="V15" s="32">
        <f>13793713+1593432</f>
        <v>15387145</v>
      </c>
      <c r="W15" s="32">
        <f t="shared" si="4"/>
        <v>7265160</v>
      </c>
      <c r="X15" s="32">
        <f>16429323.12+1060958.25+57798</f>
        <v>17548079.369999997</v>
      </c>
      <c r="Y15" s="33">
        <f t="shared" si="10"/>
        <v>98625347.020000011</v>
      </c>
      <c r="Z15" s="32">
        <f t="shared" si="11"/>
        <v>35054987.043472707</v>
      </c>
      <c r="AA15" s="32">
        <f t="shared" si="12"/>
        <v>39615242.591623627</v>
      </c>
      <c r="AB15" s="32">
        <f t="shared" si="13"/>
        <v>14358663.384903673</v>
      </c>
      <c r="AC15" s="32">
        <f t="shared" si="14"/>
        <v>9596454</v>
      </c>
      <c r="AD15" s="32">
        <f t="shared" si="15"/>
        <v>98625347.020000011</v>
      </c>
      <c r="AE15" s="32">
        <f>66956858+16429323.12-48229.01+7225967.3</f>
        <v>90563919.409999996</v>
      </c>
      <c r="AF15" s="32">
        <f t="shared" si="18"/>
        <v>12790347.351599999</v>
      </c>
      <c r="AG15" s="32">
        <f t="shared" si="18"/>
        <v>16263160.560000001</v>
      </c>
      <c r="AH15" s="32">
        <f>66956858+16429323.12-48229.01+7232984</f>
        <v>90570936.109999999</v>
      </c>
      <c r="AI15" s="310" t="s">
        <v>62</v>
      </c>
      <c r="AJ15" s="311"/>
      <c r="AK15" s="309"/>
      <c r="AO15" s="61">
        <f t="shared" si="17"/>
        <v>91360187.020000011</v>
      </c>
    </row>
    <row r="16" spans="1:41" ht="36.6" customHeight="1" x14ac:dyDescent="0.25">
      <c r="A16" s="347" t="s">
        <v>110</v>
      </c>
      <c r="B16" s="33">
        <f t="shared" ref="B16:K16" si="19">SUM(B10:B15)</f>
        <v>161189130.53193334</v>
      </c>
      <c r="C16" s="33">
        <f t="shared" si="19"/>
        <v>159493156.04000002</v>
      </c>
      <c r="D16" s="33">
        <f>SUM(D10:D15)</f>
        <v>36676657.609999999</v>
      </c>
      <c r="E16" s="33">
        <f t="shared" si="19"/>
        <v>39938523.609999992</v>
      </c>
      <c r="F16" s="33">
        <f t="shared" si="19"/>
        <v>0</v>
      </c>
      <c r="G16" s="33">
        <f t="shared" si="0"/>
        <v>397297467.79193342</v>
      </c>
      <c r="H16" s="33">
        <f>SUM(H10:H15)</f>
        <v>193011147.66033334</v>
      </c>
      <c r="I16" s="33">
        <f>SUM(I10:I15)</f>
        <v>39938523.609999992</v>
      </c>
      <c r="J16" s="33">
        <f>SUM(J10:J15)</f>
        <v>58175257.441599995</v>
      </c>
      <c r="K16" s="33">
        <f t="shared" si="19"/>
        <v>73127739.079999998</v>
      </c>
      <c r="L16" s="33">
        <f>SUM(L10:L15)</f>
        <v>33044800</v>
      </c>
      <c r="M16" s="33">
        <f t="shared" si="6"/>
        <v>397297467.7919333</v>
      </c>
      <c r="N16" s="32">
        <f>SUM(N10:N15)</f>
        <v>0</v>
      </c>
      <c r="O16" s="32">
        <f t="shared" si="2"/>
        <v>1.1564586952915823</v>
      </c>
      <c r="P16" s="32">
        <f t="shared" si="7"/>
        <v>0.95909807217833731</v>
      </c>
      <c r="Q16" s="32">
        <f t="shared" si="3"/>
        <v>1.1688360136310532</v>
      </c>
      <c r="R16" s="32">
        <f t="shared" si="8"/>
        <v>1.0512830108466993</v>
      </c>
      <c r="S16" s="32">
        <f t="shared" si="9"/>
        <v>1.1224834644469315</v>
      </c>
      <c r="T16" s="33">
        <f>SUM(T10:T15)</f>
        <v>223209420.00000003</v>
      </c>
      <c r="U16" s="33">
        <f>SUM(U10:U15)</f>
        <v>38304961</v>
      </c>
      <c r="V16" s="33">
        <f>SUM(V10:V15)</f>
        <v>67997336</v>
      </c>
      <c r="W16" s="33">
        <f>SUM(W10:W15)</f>
        <v>33044800</v>
      </c>
      <c r="X16" s="33">
        <f>SUM(X10:X15)-0.01</f>
        <v>76877949.716434225</v>
      </c>
      <c r="Y16" s="33">
        <f t="shared" si="10"/>
        <v>439434466.71643424</v>
      </c>
      <c r="Z16" s="33">
        <f>SUM(Z10:Z15)</f>
        <v>180845264.91603348</v>
      </c>
      <c r="AA16" s="33">
        <f>SUM(AA10:AA15)</f>
        <v>178963244.63820419</v>
      </c>
      <c r="AB16" s="33">
        <f>SUM(AB10:AB15)</f>
        <v>41320996.172196582</v>
      </c>
      <c r="AC16" s="33">
        <f>SUM(AC10:AC15)</f>
        <v>38304961</v>
      </c>
      <c r="AD16" s="33">
        <f>SUM(Z16:AC16)-0.01</f>
        <v>439434466.71643424</v>
      </c>
      <c r="AE16" s="33">
        <f>SUM(AE10:AE15)</f>
        <v>408096718.80999994</v>
      </c>
      <c r="AF16" s="33">
        <f t="shared" ref="AF16:AG16" si="20">SUM(AF10:AF15)</f>
        <v>243387382.85160002</v>
      </c>
      <c r="AG16" s="33">
        <f t="shared" si="20"/>
        <v>200865462.26367566</v>
      </c>
      <c r="AH16" s="33">
        <f>SUM(AH10:AH15)</f>
        <v>408092700.81</v>
      </c>
      <c r="AI16" s="310" t="s">
        <v>110</v>
      </c>
      <c r="AJ16" s="311"/>
      <c r="AK16" s="348" t="s">
        <v>485</v>
      </c>
      <c r="AO16" s="309">
        <f>SUM(AO10:AO15)</f>
        <v>406389666.72643435</v>
      </c>
    </row>
    <row r="17" spans="1:34" ht="36.6" customHeight="1" x14ac:dyDescent="0.25">
      <c r="G17" s="349"/>
    </row>
    <row r="18" spans="1:34" ht="36.6" customHeight="1" x14ac:dyDescent="0.25">
      <c r="A18" s="195" t="s">
        <v>79</v>
      </c>
      <c r="H18" s="309"/>
      <c r="I18" s="309"/>
      <c r="J18" s="309"/>
      <c r="AH18" s="309"/>
    </row>
    <row r="19" spans="1:34" x14ac:dyDescent="0.25">
      <c r="G19" s="350"/>
      <c r="H19" s="309"/>
      <c r="M19" s="309"/>
    </row>
    <row r="20" spans="1:34" ht="20.45" hidden="1" customHeight="1" x14ac:dyDescent="0.25">
      <c r="B20" s="309"/>
      <c r="C20" s="309"/>
      <c r="D20" s="309"/>
      <c r="R20" s="195">
        <v>1.03</v>
      </c>
      <c r="T20" s="195" t="s">
        <v>300</v>
      </c>
      <c r="Y20" s="351"/>
    </row>
    <row r="21" spans="1:34" x14ac:dyDescent="0.25">
      <c r="B21" s="309"/>
      <c r="G21" s="309"/>
    </row>
    <row r="22" spans="1:34" x14ac:dyDescent="0.25">
      <c r="H22" s="309"/>
    </row>
  </sheetData>
  <mergeCells count="11">
    <mergeCell ref="X2:Y2"/>
    <mergeCell ref="X3:Y3"/>
    <mergeCell ref="Z7:AC7"/>
    <mergeCell ref="T7:Y7"/>
    <mergeCell ref="B9:E9"/>
    <mergeCell ref="A5:L5"/>
    <mergeCell ref="A7:A8"/>
    <mergeCell ref="G7:G8"/>
    <mergeCell ref="O7:R7"/>
    <mergeCell ref="B7:E7"/>
    <mergeCell ref="H7:L7"/>
  </mergeCells>
  <pageMargins left="0" right="0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H160"/>
  <sheetViews>
    <sheetView zoomScale="70" zoomScaleNormal="70" workbookViewId="0">
      <selection activeCell="K164" sqref="K164"/>
    </sheetView>
  </sheetViews>
  <sheetFormatPr defaultColWidth="9.140625" defaultRowHeight="15" x14ac:dyDescent="0.25"/>
  <cols>
    <col min="1" max="1" width="29.42578125" style="38" customWidth="1"/>
    <col min="2" max="2" width="25.7109375" style="38" customWidth="1"/>
    <col min="3" max="3" width="27.5703125" style="38" customWidth="1"/>
    <col min="4" max="4" width="6.7109375" style="38" customWidth="1"/>
    <col min="5" max="5" width="10.7109375" style="38" hidden="1" customWidth="1"/>
    <col min="6" max="6" width="11" style="38" hidden="1" customWidth="1"/>
    <col min="7" max="7" width="8.7109375" style="38" customWidth="1"/>
    <col min="8" max="8" width="9.28515625" style="38" customWidth="1"/>
    <col min="9" max="9" width="8.5703125" style="38" customWidth="1"/>
    <col min="10" max="10" width="13" style="38" customWidth="1"/>
    <col min="11" max="11" width="13.140625" style="38" customWidth="1"/>
    <col min="12" max="12" width="13.85546875" style="38" customWidth="1"/>
    <col min="13" max="13" width="13.28515625" style="38" customWidth="1"/>
    <col min="14" max="14" width="15.140625" style="38" customWidth="1"/>
    <col min="15" max="15" width="16" style="38" customWidth="1"/>
    <col min="16" max="16" width="5.7109375" style="38" hidden="1" customWidth="1"/>
    <col min="17" max="17" width="15.140625" style="38" customWidth="1"/>
    <col min="18" max="18" width="0.42578125" style="38" hidden="1" customWidth="1"/>
    <col min="19" max="19" width="14.28515625" style="38" customWidth="1"/>
    <col min="20" max="20" width="16.5703125" style="38" customWidth="1"/>
    <col min="21" max="21" width="14.42578125" style="38" customWidth="1"/>
    <col min="22" max="22" width="15.28515625" style="38" customWidth="1"/>
    <col min="23" max="23" width="15.28515625" style="38" hidden="1" customWidth="1"/>
    <col min="24" max="24" width="17.5703125" style="38" hidden="1" customWidth="1"/>
    <col min="25" max="25" width="18.7109375" style="38" hidden="1" customWidth="1"/>
    <col min="26" max="26" width="9.140625" style="38" hidden="1" customWidth="1"/>
    <col min="27" max="27" width="16.5703125" style="38" hidden="1" customWidth="1"/>
    <col min="28" max="28" width="17.140625" style="38" hidden="1" customWidth="1"/>
    <col min="29" max="29" width="15.7109375" style="38" hidden="1" customWidth="1"/>
    <col min="30" max="30" width="9.140625" style="38" hidden="1" customWidth="1"/>
    <col min="31" max="31" width="13.5703125" style="38" hidden="1" customWidth="1"/>
    <col min="32" max="32" width="13.28515625" style="38" hidden="1" customWidth="1"/>
    <col min="33" max="33" width="13.85546875" style="38" hidden="1" customWidth="1"/>
    <col min="34" max="34" width="14.85546875" style="38" hidden="1" customWidth="1"/>
    <col min="35" max="16384" width="9.140625" style="38"/>
  </cols>
  <sheetData>
    <row r="1" spans="1:29" ht="16.149999999999999" customHeight="1" x14ac:dyDescent="0.25">
      <c r="T1" s="39"/>
    </row>
    <row r="2" spans="1:29" ht="21" customHeight="1" x14ac:dyDescent="0.25">
      <c r="T2" s="39" t="s">
        <v>0</v>
      </c>
    </row>
    <row r="3" spans="1:29" ht="21" customHeight="1" x14ac:dyDescent="0.25">
      <c r="T3" s="39" t="s">
        <v>580</v>
      </c>
    </row>
    <row r="4" spans="1:29" ht="21" customHeight="1" x14ac:dyDescent="0.25">
      <c r="T4" s="39"/>
    </row>
    <row r="5" spans="1:29" ht="21" customHeight="1" x14ac:dyDescent="0.25">
      <c r="A5" s="263" t="s">
        <v>472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</row>
    <row r="6" spans="1:29" ht="21" hidden="1" customHeight="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</row>
    <row r="7" spans="1:29" ht="21" customHeight="1" x14ac:dyDescent="0.25">
      <c r="A7" s="40" t="s">
        <v>301</v>
      </c>
    </row>
    <row r="8" spans="1:29" ht="21" customHeight="1" x14ac:dyDescent="0.25"/>
    <row r="9" spans="1:29" ht="51.6" customHeight="1" x14ac:dyDescent="0.25">
      <c r="A9" s="41" t="s">
        <v>2</v>
      </c>
      <c r="B9" s="41" t="s">
        <v>112</v>
      </c>
      <c r="C9" s="41" t="s">
        <v>113</v>
      </c>
      <c r="D9" s="292" t="s">
        <v>5</v>
      </c>
      <c r="E9" s="264" t="s">
        <v>6</v>
      </c>
      <c r="F9" s="265"/>
      <c r="G9" s="265"/>
      <c r="H9" s="265"/>
      <c r="I9" s="266"/>
      <c r="J9" s="264" t="s">
        <v>7</v>
      </c>
      <c r="K9" s="265"/>
      <c r="L9" s="265"/>
      <c r="M9" s="266"/>
      <c r="N9" s="264" t="s">
        <v>8</v>
      </c>
      <c r="O9" s="265"/>
      <c r="P9" s="265"/>
      <c r="Q9" s="265"/>
      <c r="R9" s="265"/>
      <c r="S9" s="265"/>
      <c r="T9" s="265"/>
      <c r="U9" s="265"/>
      <c r="V9" s="266"/>
    </row>
    <row r="10" spans="1:29" ht="79.150000000000006" customHeight="1" x14ac:dyDescent="0.25">
      <c r="A10" s="42"/>
      <c r="B10" s="42"/>
      <c r="C10" s="42"/>
      <c r="D10" s="42"/>
      <c r="E10" s="43" t="s">
        <v>541</v>
      </c>
      <c r="F10" s="298" t="s">
        <v>548</v>
      </c>
      <c r="G10" s="298" t="s">
        <v>478</v>
      </c>
      <c r="H10" s="47" t="s">
        <v>479</v>
      </c>
      <c r="I10" s="47" t="s">
        <v>473</v>
      </c>
      <c r="J10" s="43" t="s">
        <v>114</v>
      </c>
      <c r="K10" s="293" t="s">
        <v>471</v>
      </c>
      <c r="L10" s="43" t="s">
        <v>115</v>
      </c>
      <c r="M10" s="47" t="s">
        <v>116</v>
      </c>
      <c r="N10" s="47" t="s">
        <v>9</v>
      </c>
      <c r="O10" s="47"/>
      <c r="P10" s="47"/>
      <c r="Q10" s="47"/>
      <c r="R10" s="47"/>
      <c r="S10" s="47"/>
      <c r="T10" s="47"/>
      <c r="U10" s="47" t="s">
        <v>352</v>
      </c>
      <c r="V10" s="47" t="s">
        <v>473</v>
      </c>
      <c r="AA10" s="38">
        <v>21722659.059999999</v>
      </c>
      <c r="AB10" s="44">
        <f>AA10+U22</f>
        <v>23110614.309999999</v>
      </c>
    </row>
    <row r="11" spans="1:29" ht="67.900000000000006" customHeight="1" x14ac:dyDescent="0.25">
      <c r="A11" s="43" t="s">
        <v>19</v>
      </c>
      <c r="B11" s="43" t="s">
        <v>117</v>
      </c>
      <c r="C11" s="45"/>
      <c r="D11" s="159" t="s">
        <v>20</v>
      </c>
      <c r="E11" s="159" t="s">
        <v>21</v>
      </c>
      <c r="F11" s="159" t="s">
        <v>21</v>
      </c>
      <c r="G11" s="159" t="s">
        <v>21</v>
      </c>
      <c r="H11" s="159" t="s">
        <v>21</v>
      </c>
      <c r="I11" s="159" t="s">
        <v>21</v>
      </c>
      <c r="J11" s="43" t="s">
        <v>22</v>
      </c>
      <c r="K11" s="43" t="s">
        <v>22</v>
      </c>
      <c r="L11" s="43" t="s">
        <v>22</v>
      </c>
      <c r="M11" s="43" t="s">
        <v>22</v>
      </c>
      <c r="N11" s="43" t="s">
        <v>118</v>
      </c>
      <c r="O11" s="43" t="s">
        <v>119</v>
      </c>
      <c r="P11" s="41" t="s">
        <v>120</v>
      </c>
      <c r="Q11" s="41" t="s">
        <v>121</v>
      </c>
      <c r="R11" s="41" t="s">
        <v>122</v>
      </c>
      <c r="S11" s="41" t="s">
        <v>123</v>
      </c>
      <c r="T11" s="294" t="s">
        <v>116</v>
      </c>
      <c r="U11" s="43" t="s">
        <v>22</v>
      </c>
      <c r="V11" s="43" t="s">
        <v>22</v>
      </c>
      <c r="W11" s="44"/>
      <c r="AA11" s="44">
        <f>U12-AB10</f>
        <v>7841259.3200000003</v>
      </c>
    </row>
    <row r="12" spans="1:29" ht="28.9" customHeight="1" x14ac:dyDescent="0.25">
      <c r="A12" s="46" t="s">
        <v>124</v>
      </c>
      <c r="B12" s="47"/>
      <c r="C12" s="47"/>
      <c r="D12" s="47"/>
      <c r="E12" s="48"/>
      <c r="F12" s="48"/>
      <c r="G12" s="48"/>
      <c r="H12" s="48"/>
      <c r="I12" s="48"/>
      <c r="J12" s="48"/>
      <c r="K12" s="48"/>
      <c r="L12" s="48"/>
      <c r="M12" s="53"/>
      <c r="N12" s="49">
        <f>N13</f>
        <v>8778584.9299999997</v>
      </c>
      <c r="O12" s="49">
        <f t="shared" ref="O12:R12" si="0">O13</f>
        <v>3866625.5300000003</v>
      </c>
      <c r="P12" s="49">
        <f t="shared" si="0"/>
        <v>0</v>
      </c>
      <c r="Q12" s="49">
        <f>Q13+Q21</f>
        <v>16918707.919999998</v>
      </c>
      <c r="R12" s="49">
        <f t="shared" si="0"/>
        <v>0</v>
      </c>
      <c r="S12" s="49">
        <f>S22</f>
        <v>1387955.25</v>
      </c>
      <c r="T12" s="49">
        <f>T13+T21+T22</f>
        <v>30951873.629999999</v>
      </c>
      <c r="U12" s="49">
        <f>U13+U21+U22</f>
        <v>30951873.629999999</v>
      </c>
      <c r="V12" s="49">
        <f t="shared" ref="V12" si="1">V13+V21+V22</f>
        <v>30951873.629999999</v>
      </c>
      <c r="W12" s="44">
        <v>9687443.9800000004</v>
      </c>
      <c r="X12" s="44">
        <f>W12-Q12</f>
        <v>-7231263.9399999976</v>
      </c>
      <c r="Y12" s="38">
        <f>X12/144</f>
        <v>-50217.110694444425</v>
      </c>
      <c r="AA12" s="38">
        <v>8719839.9800000004</v>
      </c>
      <c r="AB12" s="44">
        <f>AA12-Q12</f>
        <v>-8198867.9399999976</v>
      </c>
      <c r="AC12" s="50">
        <f>AB12/I22</f>
        <v>-101220.59185185182</v>
      </c>
    </row>
    <row r="13" spans="1:29" ht="73.900000000000006" customHeight="1" x14ac:dyDescent="0.25">
      <c r="A13" s="43" t="s">
        <v>125</v>
      </c>
      <c r="B13" s="41" t="s">
        <v>126</v>
      </c>
      <c r="C13" s="41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>
        <f>N14+N15+N17+N18+N20+N19+N16</f>
        <v>8778584.9299999997</v>
      </c>
      <c r="O13" s="48">
        <f t="shared" ref="O13:V13" si="2">O14+O15+O17+O18+O20+O19+O16</f>
        <v>3866625.5300000003</v>
      </c>
      <c r="P13" s="48">
        <f t="shared" si="2"/>
        <v>0</v>
      </c>
      <c r="Q13" s="49">
        <f>Q14+Q15+Q17+Q18+Q20+Q19+Q16</f>
        <v>8222875.9699999997</v>
      </c>
      <c r="R13" s="48">
        <f t="shared" si="2"/>
        <v>0</v>
      </c>
      <c r="S13" s="48">
        <f t="shared" si="2"/>
        <v>0</v>
      </c>
      <c r="T13" s="48">
        <f t="shared" si="2"/>
        <v>20868086.43</v>
      </c>
      <c r="U13" s="48">
        <f t="shared" si="2"/>
        <v>20868086.43</v>
      </c>
      <c r="V13" s="48">
        <f t="shared" si="2"/>
        <v>20868086.43</v>
      </c>
      <c r="W13" s="44">
        <v>21722659.059999999</v>
      </c>
      <c r="X13" s="44"/>
    </row>
    <row r="14" spans="1:29" ht="76.150000000000006" customHeight="1" x14ac:dyDescent="0.25">
      <c r="A14" s="43"/>
      <c r="B14" s="47" t="s">
        <v>486</v>
      </c>
      <c r="C14" s="261" t="s">
        <v>302</v>
      </c>
      <c r="D14" s="47" t="s">
        <v>128</v>
      </c>
      <c r="E14" s="51">
        <v>12</v>
      </c>
      <c r="F14" s="51">
        <v>12</v>
      </c>
      <c r="G14" s="51">
        <f>((E14*8)+(F14*4))/12</f>
        <v>12</v>
      </c>
      <c r="H14" s="51">
        <v>12</v>
      </c>
      <c r="I14" s="51">
        <v>12</v>
      </c>
      <c r="J14" s="48">
        <v>72102.22</v>
      </c>
      <c r="K14" s="48">
        <f>38015.57+17777.87</f>
        <v>55793.440000000002</v>
      </c>
      <c r="L14" s="49">
        <v>101516.37</v>
      </c>
      <c r="M14" s="48">
        <f>J14+K14+L14</f>
        <v>229412.03</v>
      </c>
      <c r="N14" s="48">
        <f t="shared" ref="N14:N21" si="3">G14*J14</f>
        <v>865226.64</v>
      </c>
      <c r="O14" s="48">
        <f>G14*K14</f>
        <v>669521.28</v>
      </c>
      <c r="P14" s="48"/>
      <c r="Q14" s="48">
        <f>G14*L14</f>
        <v>1218196.44</v>
      </c>
      <c r="R14" s="48"/>
      <c r="S14" s="48">
        <v>0</v>
      </c>
      <c r="T14" s="48">
        <f>SUM(N14:Q14)</f>
        <v>2752944.36</v>
      </c>
      <c r="U14" s="48">
        <f>T14</f>
        <v>2752944.36</v>
      </c>
      <c r="V14" s="48">
        <f>U14</f>
        <v>2752944.36</v>
      </c>
      <c r="X14" s="44">
        <f>W13-U12</f>
        <v>-9229214.5700000003</v>
      </c>
    </row>
    <row r="15" spans="1:29" ht="27.6" customHeight="1" x14ac:dyDescent="0.25">
      <c r="A15" s="47"/>
      <c r="B15" s="47" t="s">
        <v>354</v>
      </c>
      <c r="C15" s="299"/>
      <c r="D15" s="47" t="s">
        <v>128</v>
      </c>
      <c r="E15" s="51">
        <v>4</v>
      </c>
      <c r="F15" s="51">
        <v>4</v>
      </c>
      <c r="G15" s="51">
        <f>((E15*8)+(F15*4))/12</f>
        <v>4</v>
      </c>
      <c r="H15" s="52">
        <v>4</v>
      </c>
      <c r="I15" s="52">
        <v>4</v>
      </c>
      <c r="J15" s="48">
        <v>72102.22</v>
      </c>
      <c r="K15" s="48">
        <f>38015.57+17777.87</f>
        <v>55793.440000000002</v>
      </c>
      <c r="L15" s="49">
        <v>101516.37</v>
      </c>
      <c r="M15" s="48">
        <f>J15+K15+L15</f>
        <v>229412.03</v>
      </c>
      <c r="N15" s="48">
        <f t="shared" si="3"/>
        <v>288408.88</v>
      </c>
      <c r="O15" s="48">
        <f>G15*K15</f>
        <v>223173.76000000001</v>
      </c>
      <c r="P15" s="48"/>
      <c r="Q15" s="48">
        <f>G15*L15</f>
        <v>406065.48</v>
      </c>
      <c r="R15" s="48"/>
      <c r="S15" s="48">
        <v>0</v>
      </c>
      <c r="T15" s="48">
        <f t="shared" ref="T15:T20" si="4">SUM(N15:Q15)</f>
        <v>917648.12</v>
      </c>
      <c r="U15" s="48">
        <f t="shared" ref="U15:V20" si="5">T15</f>
        <v>917648.12</v>
      </c>
      <c r="V15" s="48">
        <f t="shared" si="5"/>
        <v>917648.12</v>
      </c>
      <c r="X15" s="44"/>
    </row>
    <row r="16" spans="1:29" ht="27.6" customHeight="1" x14ac:dyDescent="0.25">
      <c r="A16" s="47"/>
      <c r="B16" s="47" t="s">
        <v>354</v>
      </c>
      <c r="C16" s="300" t="s">
        <v>487</v>
      </c>
      <c r="D16" s="47" t="s">
        <v>128</v>
      </c>
      <c r="E16" s="51">
        <v>50</v>
      </c>
      <c r="F16" s="51">
        <v>50</v>
      </c>
      <c r="G16" s="51">
        <f>((E16*8)+(F16*4))/12</f>
        <v>50</v>
      </c>
      <c r="H16" s="51">
        <v>50</v>
      </c>
      <c r="I16" s="51">
        <v>50</v>
      </c>
      <c r="J16" s="48">
        <v>109983.36</v>
      </c>
      <c r="K16" s="48">
        <f>28541.68+17777.87</f>
        <v>46319.55</v>
      </c>
      <c r="L16" s="49">
        <v>101517.37</v>
      </c>
      <c r="M16" s="48">
        <f>J16+K16+L16</f>
        <v>257820.28</v>
      </c>
      <c r="N16" s="48">
        <f t="shared" si="3"/>
        <v>5499168</v>
      </c>
      <c r="O16" s="48">
        <f>(G16-9)*K16+135373.09</f>
        <v>2034474.6400000001</v>
      </c>
      <c r="P16" s="48"/>
      <c r="Q16" s="48">
        <f>G16*L16</f>
        <v>5075868.5</v>
      </c>
      <c r="R16" s="48"/>
      <c r="S16" s="48">
        <v>0</v>
      </c>
      <c r="T16" s="48">
        <f t="shared" ref="T16" si="6">SUM(N16:Q16)</f>
        <v>12609511.140000001</v>
      </c>
      <c r="U16" s="48">
        <f t="shared" si="5"/>
        <v>12609511.140000001</v>
      </c>
      <c r="V16" s="48">
        <f t="shared" si="5"/>
        <v>12609511.140000001</v>
      </c>
      <c r="X16" s="44"/>
    </row>
    <row r="17" spans="1:33" ht="32.450000000000003" customHeight="1" x14ac:dyDescent="0.25">
      <c r="A17" s="47"/>
      <c r="B17" s="159" t="s">
        <v>355</v>
      </c>
      <c r="C17" s="271"/>
      <c r="D17" s="47" t="s">
        <v>128</v>
      </c>
      <c r="E17" s="51">
        <v>2</v>
      </c>
      <c r="F17" s="52">
        <v>2</v>
      </c>
      <c r="G17" s="51">
        <f>((E17*8)+(F17*4))/12</f>
        <v>2</v>
      </c>
      <c r="H17" s="52">
        <v>2</v>
      </c>
      <c r="I17" s="52">
        <v>2</v>
      </c>
      <c r="J17" s="48">
        <v>109983.36</v>
      </c>
      <c r="K17" s="48">
        <f>28541.68+17777.87</f>
        <v>46319.55</v>
      </c>
      <c r="L17" s="49">
        <v>101516.37</v>
      </c>
      <c r="M17" s="48">
        <f t="shared" ref="M17:M86" si="7">J17+K17+L17</f>
        <v>257819.28</v>
      </c>
      <c r="N17" s="48">
        <f t="shared" si="3"/>
        <v>219966.72</v>
      </c>
      <c r="O17" s="48">
        <f t="shared" ref="O17:O20" si="8">G17*K17</f>
        <v>92639.1</v>
      </c>
      <c r="P17" s="48"/>
      <c r="Q17" s="48">
        <f t="shared" ref="Q17:Q20" si="9">G17*L17</f>
        <v>203032.74</v>
      </c>
      <c r="R17" s="48"/>
      <c r="S17" s="48">
        <v>0</v>
      </c>
      <c r="T17" s="48">
        <f t="shared" si="4"/>
        <v>515638.56</v>
      </c>
      <c r="U17" s="48">
        <f t="shared" si="5"/>
        <v>515638.56</v>
      </c>
      <c r="V17" s="48">
        <f t="shared" si="5"/>
        <v>515638.56</v>
      </c>
      <c r="X17" s="44"/>
    </row>
    <row r="18" spans="1:33" ht="27" customHeight="1" x14ac:dyDescent="0.25">
      <c r="A18" s="47"/>
      <c r="B18" s="47" t="s">
        <v>354</v>
      </c>
      <c r="C18" s="271"/>
      <c r="D18" s="47" t="s">
        <v>128</v>
      </c>
      <c r="E18" s="51">
        <v>10</v>
      </c>
      <c r="F18" s="51">
        <v>10</v>
      </c>
      <c r="G18" s="51">
        <f t="shared" ref="G18:G19" si="10">((E18*8)+(F18*4))/12</f>
        <v>10</v>
      </c>
      <c r="H18" s="51">
        <v>10</v>
      </c>
      <c r="I18" s="51">
        <v>10</v>
      </c>
      <c r="J18" s="48">
        <v>146601.13</v>
      </c>
      <c r="K18" s="48">
        <f>38015.57+17777.87*1.5</f>
        <v>64682.375</v>
      </c>
      <c r="L18" s="49">
        <v>101516.37</v>
      </c>
      <c r="M18" s="48">
        <f t="shared" si="7"/>
        <v>312799.875</v>
      </c>
      <c r="N18" s="48">
        <f t="shared" si="3"/>
        <v>1466011.3</v>
      </c>
      <c r="O18" s="48">
        <f>G18*K18</f>
        <v>646823.75</v>
      </c>
      <c r="P18" s="48"/>
      <c r="Q18" s="48">
        <f t="shared" si="9"/>
        <v>1015163.7</v>
      </c>
      <c r="R18" s="48"/>
      <c r="S18" s="48">
        <v>0</v>
      </c>
      <c r="T18" s="48">
        <f t="shared" ref="T18" si="11">SUM(N18:Q18)</f>
        <v>3127998.75</v>
      </c>
      <c r="U18" s="48">
        <f t="shared" si="5"/>
        <v>3127998.75</v>
      </c>
      <c r="V18" s="48">
        <f t="shared" si="5"/>
        <v>3127998.75</v>
      </c>
      <c r="X18" s="44"/>
    </row>
    <row r="19" spans="1:33" ht="28.15" customHeight="1" x14ac:dyDescent="0.25">
      <c r="A19" s="43"/>
      <c r="B19" s="47" t="s">
        <v>355</v>
      </c>
      <c r="C19" s="271"/>
      <c r="D19" s="47" t="s">
        <v>128</v>
      </c>
      <c r="E19" s="51">
        <v>2</v>
      </c>
      <c r="F19" s="51">
        <v>2</v>
      </c>
      <c r="G19" s="51">
        <f t="shared" si="10"/>
        <v>2</v>
      </c>
      <c r="H19" s="51">
        <v>2</v>
      </c>
      <c r="I19" s="51">
        <v>2</v>
      </c>
      <c r="J19" s="48">
        <v>146601.13</v>
      </c>
      <c r="K19" s="48">
        <f>38015.57+17777.87*1.5</f>
        <v>64682.375</v>
      </c>
      <c r="L19" s="49">
        <v>101516.37</v>
      </c>
      <c r="M19" s="48">
        <f t="shared" si="7"/>
        <v>312799.875</v>
      </c>
      <c r="N19" s="48">
        <f t="shared" si="3"/>
        <v>293202.26</v>
      </c>
      <c r="O19" s="48">
        <f>G19*K19+5945.875</f>
        <v>135310.625</v>
      </c>
      <c r="P19" s="48"/>
      <c r="Q19" s="48">
        <f t="shared" si="9"/>
        <v>203032.74</v>
      </c>
      <c r="R19" s="48"/>
      <c r="S19" s="48">
        <v>0</v>
      </c>
      <c r="T19" s="48">
        <f t="shared" ref="T19" si="12">SUM(N19:Q19)</f>
        <v>631545.625</v>
      </c>
      <c r="U19" s="48">
        <f t="shared" si="5"/>
        <v>631545.625</v>
      </c>
      <c r="V19" s="48">
        <f t="shared" si="5"/>
        <v>631545.625</v>
      </c>
      <c r="X19" s="44"/>
    </row>
    <row r="20" spans="1:33" ht="28.15" customHeight="1" x14ac:dyDescent="0.25">
      <c r="A20" s="47"/>
      <c r="B20" s="47" t="s">
        <v>130</v>
      </c>
      <c r="C20" s="272"/>
      <c r="D20" s="47" t="s">
        <v>128</v>
      </c>
      <c r="E20" s="51">
        <v>1</v>
      </c>
      <c r="F20" s="51">
        <v>1</v>
      </c>
      <c r="G20" s="51">
        <f>((E20*8)+(F20*4))/12</f>
        <v>1</v>
      </c>
      <c r="H20" s="51">
        <v>1</v>
      </c>
      <c r="I20" s="51">
        <v>1</v>
      </c>
      <c r="J20" s="48">
        <v>146601.13</v>
      </c>
      <c r="K20" s="48">
        <f>38015.57+17777.87*1.5</f>
        <v>64682.375</v>
      </c>
      <c r="L20" s="49">
        <v>101516.37</v>
      </c>
      <c r="M20" s="48">
        <f t="shared" si="7"/>
        <v>312799.875</v>
      </c>
      <c r="N20" s="48">
        <f t="shared" si="3"/>
        <v>146601.13</v>
      </c>
      <c r="O20" s="48">
        <f t="shared" si="8"/>
        <v>64682.375</v>
      </c>
      <c r="P20" s="48"/>
      <c r="Q20" s="48">
        <f t="shared" si="9"/>
        <v>101516.37</v>
      </c>
      <c r="R20" s="48"/>
      <c r="S20" s="48">
        <v>0</v>
      </c>
      <c r="T20" s="48">
        <f t="shared" si="4"/>
        <v>312799.875</v>
      </c>
      <c r="U20" s="48">
        <f t="shared" si="5"/>
        <v>312799.875</v>
      </c>
      <c r="V20" s="48">
        <f t="shared" si="5"/>
        <v>312799.875</v>
      </c>
      <c r="X20" s="44"/>
    </row>
    <row r="21" spans="1:33" ht="64.150000000000006" customHeight="1" x14ac:dyDescent="0.25">
      <c r="A21" s="43" t="s">
        <v>131</v>
      </c>
      <c r="B21" s="47" t="s">
        <v>132</v>
      </c>
      <c r="C21" s="47" t="s">
        <v>55</v>
      </c>
      <c r="D21" s="47"/>
      <c r="E21" s="51">
        <f>E14+E15+E17+E18+E20+E19+E16</f>
        <v>81</v>
      </c>
      <c r="F21" s="51">
        <f>F14+F15+F17+F18+F20+F19+F16</f>
        <v>81</v>
      </c>
      <c r="G21" s="52">
        <f t="shared" ref="G21:I21" si="13">G14+G15+G17+G18+G20+G19+G16</f>
        <v>81</v>
      </c>
      <c r="H21" s="52">
        <f t="shared" si="13"/>
        <v>81</v>
      </c>
      <c r="I21" s="52">
        <f t="shared" si="13"/>
        <v>81</v>
      </c>
      <c r="J21" s="51">
        <v>0</v>
      </c>
      <c r="K21" s="51">
        <v>0</v>
      </c>
      <c r="L21" s="49">
        <f>124491.2-L22</f>
        <v>107355.95</v>
      </c>
      <c r="M21" s="48">
        <f t="shared" si="7"/>
        <v>107355.95</v>
      </c>
      <c r="N21" s="48">
        <f t="shared" si="3"/>
        <v>0</v>
      </c>
      <c r="O21" s="48">
        <f>G21*K21</f>
        <v>0</v>
      </c>
      <c r="P21" s="51">
        <f t="shared" ref="P21:S21" si="14">P14+P15+P17+P18+P20</f>
        <v>0</v>
      </c>
      <c r="Q21" s="49">
        <f>G21*L21</f>
        <v>8695831.9499999993</v>
      </c>
      <c r="R21" s="51">
        <f t="shared" si="14"/>
        <v>0</v>
      </c>
      <c r="S21" s="51">
        <f t="shared" si="14"/>
        <v>0</v>
      </c>
      <c r="T21" s="48">
        <f>SUM(N21:Q21)</f>
        <v>8695831.9499999993</v>
      </c>
      <c r="U21" s="48">
        <f>H21*L21</f>
        <v>8695831.9499999993</v>
      </c>
      <c r="V21" s="48">
        <f>I21*L21</f>
        <v>8695831.9499999993</v>
      </c>
      <c r="W21" s="51" t="e">
        <f>W14+W15+W17+W18+W20+#REF!</f>
        <v>#REF!</v>
      </c>
      <c r="X21" s="51" t="e">
        <f>X14+X15+X17+X18+X20+#REF!</f>
        <v>#REF!</v>
      </c>
      <c r="Y21" s="51" t="e">
        <f>Y14+Y15+Y17+Y18+Y20+#REF!</f>
        <v>#REF!</v>
      </c>
      <c r="Z21" s="51" t="e">
        <f>Z14+Z15+Z17+Z18+Z20+#REF!</f>
        <v>#REF!</v>
      </c>
      <c r="AA21" s="51" t="e">
        <f>AA14+AA15+AA17+AA18+AA20+#REF!</f>
        <v>#REF!</v>
      </c>
      <c r="AB21" s="51" t="e">
        <f>AB14+AB15+AB17+AB18+AB20+#REF!</f>
        <v>#REF!</v>
      </c>
      <c r="AC21" s="51" t="e">
        <f>AC14+AC15+AC17+AC18+AC20+#REF!</f>
        <v>#REF!</v>
      </c>
    </row>
    <row r="22" spans="1:33" ht="25.9" customHeight="1" x14ac:dyDescent="0.25">
      <c r="A22" s="47"/>
      <c r="B22" s="47" t="s">
        <v>132</v>
      </c>
      <c r="C22" s="47" t="s">
        <v>133</v>
      </c>
      <c r="D22" s="47"/>
      <c r="E22" s="51"/>
      <c r="F22" s="51"/>
      <c r="G22" s="52">
        <f>G21</f>
        <v>81</v>
      </c>
      <c r="H22" s="52">
        <f>H21</f>
        <v>81</v>
      </c>
      <c r="I22" s="52">
        <f>I21</f>
        <v>81</v>
      </c>
      <c r="J22" s="48">
        <v>0</v>
      </c>
      <c r="K22" s="48">
        <v>0</v>
      </c>
      <c r="L22" s="49">
        <v>17135.25</v>
      </c>
      <c r="M22" s="48">
        <f>J22+K22+L22</f>
        <v>17135.25</v>
      </c>
      <c r="N22" s="51"/>
      <c r="O22" s="48"/>
      <c r="P22" s="48"/>
      <c r="Q22" s="48"/>
      <c r="R22" s="48"/>
      <c r="S22" s="49">
        <f>G22*L22</f>
        <v>1387955.25</v>
      </c>
      <c r="T22" s="48">
        <f>S22</f>
        <v>1387955.25</v>
      </c>
      <c r="U22" s="48">
        <f>H22*L22</f>
        <v>1387955.25</v>
      </c>
      <c r="V22" s="48">
        <f>I22*L22</f>
        <v>1387955.25</v>
      </c>
    </row>
    <row r="23" spans="1:33" ht="65.45" hidden="1" customHeight="1" x14ac:dyDescent="0.25">
      <c r="A23" s="47"/>
      <c r="B23" s="41"/>
      <c r="C23" s="47" t="s">
        <v>45</v>
      </c>
      <c r="D23" s="47"/>
      <c r="E23" s="51"/>
      <c r="F23" s="51"/>
      <c r="G23" s="51"/>
      <c r="H23" s="51"/>
      <c r="I23" s="51"/>
      <c r="J23" s="48"/>
      <c r="K23" s="48"/>
      <c r="L23" s="48"/>
      <c r="M23" s="48">
        <f t="shared" si="7"/>
        <v>0</v>
      </c>
      <c r="N23" s="51"/>
      <c r="O23" s="48"/>
      <c r="P23" s="51"/>
      <c r="Q23" s="48"/>
      <c r="R23" s="48"/>
      <c r="S23" s="48"/>
      <c r="T23" s="48">
        <f>N23+O23+P23+Q23</f>
        <v>0</v>
      </c>
      <c r="U23" s="48">
        <f>T23</f>
        <v>0</v>
      </c>
      <c r="V23" s="48">
        <f>U23</f>
        <v>0</v>
      </c>
    </row>
    <row r="24" spans="1:33" ht="24.6" hidden="1" customHeight="1" x14ac:dyDescent="0.25">
      <c r="A24" s="47"/>
      <c r="B24" s="41"/>
      <c r="C24" s="47"/>
      <c r="D24" s="47"/>
      <c r="E24" s="51"/>
      <c r="F24" s="51"/>
      <c r="G24" s="51"/>
      <c r="H24" s="51"/>
      <c r="I24" s="51"/>
      <c r="J24" s="48"/>
      <c r="K24" s="48"/>
      <c r="L24" s="48"/>
      <c r="M24" s="48">
        <f t="shared" si="7"/>
        <v>0</v>
      </c>
      <c r="N24" s="51"/>
      <c r="O24" s="48"/>
      <c r="P24" s="51"/>
      <c r="Q24" s="48"/>
      <c r="R24" s="48"/>
      <c r="S24" s="48"/>
      <c r="T24" s="48">
        <f>O24</f>
        <v>0</v>
      </c>
      <c r="U24" s="48">
        <f>T24</f>
        <v>0</v>
      </c>
      <c r="V24" s="48">
        <f>U24</f>
        <v>0</v>
      </c>
    </row>
    <row r="25" spans="1:33" ht="21" customHeight="1" x14ac:dyDescent="0.25">
      <c r="A25" s="46" t="s">
        <v>134</v>
      </c>
      <c r="B25" s="47"/>
      <c r="C25" s="47"/>
      <c r="D25" s="46"/>
      <c r="E25" s="52"/>
      <c r="F25" s="52"/>
      <c r="G25" s="52"/>
      <c r="H25" s="52"/>
      <c r="I25" s="52"/>
      <c r="J25" s="49"/>
      <c r="K25" s="48"/>
      <c r="L25" s="53"/>
      <c r="M25" s="48">
        <f t="shared" si="7"/>
        <v>0</v>
      </c>
      <c r="N25" s="49">
        <f>N26</f>
        <v>12945617.300000001</v>
      </c>
      <c r="O25" s="49">
        <f>O26</f>
        <v>5059961.3849999988</v>
      </c>
      <c r="P25" s="52">
        <f>P26</f>
        <v>0</v>
      </c>
      <c r="Q25" s="49">
        <f>(Q26+Q38)</f>
        <v>9242022.1599999983</v>
      </c>
      <c r="R25" s="49">
        <f>R26</f>
        <v>0</v>
      </c>
      <c r="S25" s="49">
        <f>S39</f>
        <v>1336549.5</v>
      </c>
      <c r="T25" s="49">
        <f>T26+T38+T39</f>
        <v>28584150.344999999</v>
      </c>
      <c r="U25" s="49">
        <f t="shared" ref="U25:V25" si="15">U26+U38+U39</f>
        <v>29669131.105</v>
      </c>
      <c r="V25" s="49">
        <f t="shared" si="15"/>
        <v>29533508.635000002</v>
      </c>
      <c r="W25" s="38">
        <v>6438122.5499999998</v>
      </c>
      <c r="X25" s="44">
        <f>W25-Q25</f>
        <v>-2803899.6099999985</v>
      </c>
      <c r="Y25" s="38">
        <f>X25/108</f>
        <v>-25962.033425925911</v>
      </c>
      <c r="AA25" s="38">
        <v>6003686.5499999998</v>
      </c>
      <c r="AB25" s="44">
        <f>AA25-Q25</f>
        <v>-3238335.6099999985</v>
      </c>
      <c r="AC25" s="38">
        <f>AB25/I38</f>
        <v>-38098.065999999984</v>
      </c>
    </row>
    <row r="26" spans="1:33" ht="85.5" x14ac:dyDescent="0.25">
      <c r="A26" s="43" t="s">
        <v>125</v>
      </c>
      <c r="B26" s="41" t="s">
        <v>126</v>
      </c>
      <c r="C26" s="41"/>
      <c r="D26" s="47"/>
      <c r="E26" s="51"/>
      <c r="F26" s="51"/>
      <c r="G26" s="51"/>
      <c r="H26" s="51"/>
      <c r="I26" s="51"/>
      <c r="J26" s="48"/>
      <c r="K26" s="48"/>
      <c r="L26" s="48"/>
      <c r="M26" s="48"/>
      <c r="N26" s="48">
        <f>SUM(N27:N37)</f>
        <v>12945617.300000001</v>
      </c>
      <c r="O26" s="48">
        <f t="shared" ref="O26:V26" si="16">SUM(O27:O37)</f>
        <v>5059961.3849999988</v>
      </c>
      <c r="P26" s="48">
        <f t="shared" si="16"/>
        <v>0</v>
      </c>
      <c r="Q26" s="49">
        <f>SUM(Q27:Q37)</f>
        <v>5044225.959999999</v>
      </c>
      <c r="R26" s="48">
        <f t="shared" si="16"/>
        <v>0</v>
      </c>
      <c r="S26" s="48">
        <f t="shared" si="16"/>
        <v>0</v>
      </c>
      <c r="T26" s="48">
        <f t="shared" si="16"/>
        <v>23049804.645</v>
      </c>
      <c r="U26" s="48">
        <f>SUM(U27:U37)</f>
        <v>23567160.205000002</v>
      </c>
      <c r="V26" s="48">
        <f t="shared" si="16"/>
        <v>23502490.885000002</v>
      </c>
      <c r="W26" s="44">
        <v>18835786.280000001</v>
      </c>
      <c r="Y26" s="44"/>
      <c r="AA26" s="44"/>
      <c r="AE26" s="44">
        <v>9163178.5700000003</v>
      </c>
      <c r="AF26" s="44">
        <v>9360490.3800000008</v>
      </c>
      <c r="AG26" s="222">
        <f>AE26/AF26</f>
        <v>0.97892078278061323</v>
      </c>
    </row>
    <row r="27" spans="1:33" ht="40.15" customHeight="1" x14ac:dyDescent="0.25">
      <c r="A27" s="43"/>
      <c r="B27" s="47" t="s">
        <v>127</v>
      </c>
      <c r="C27" s="261" t="s">
        <v>532</v>
      </c>
      <c r="D27" s="47" t="s">
        <v>128</v>
      </c>
      <c r="E27" s="51">
        <v>0</v>
      </c>
      <c r="F27" s="51">
        <v>0</v>
      </c>
      <c r="G27" s="51">
        <f t="shared" ref="G27:G37" si="17">((E27*8)+(F27*4))/12</f>
        <v>0</v>
      </c>
      <c r="H27" s="51">
        <v>0</v>
      </c>
      <c r="I27" s="51">
        <v>0</v>
      </c>
      <c r="J27" s="48">
        <v>62813.1</v>
      </c>
      <c r="K27" s="48">
        <f>33955.33+10788.57*1.5</f>
        <v>50138.184999999998</v>
      </c>
      <c r="L27" s="49">
        <v>64669.32</v>
      </c>
      <c r="M27" s="48">
        <f t="shared" si="7"/>
        <v>177620.60500000001</v>
      </c>
      <c r="N27" s="48">
        <f t="shared" ref="N27:N37" si="18">G27*J27</f>
        <v>0</v>
      </c>
      <c r="O27" s="48">
        <f>G27*K27</f>
        <v>0</v>
      </c>
      <c r="P27" s="51"/>
      <c r="Q27" s="48">
        <f t="shared" ref="Q27:Q37" si="19">G27*L27</f>
        <v>0</v>
      </c>
      <c r="R27" s="48"/>
      <c r="S27" s="48"/>
      <c r="T27" s="48">
        <f t="shared" ref="T27:T34" si="20">SUM(N27:Q27)</f>
        <v>0</v>
      </c>
      <c r="U27" s="48">
        <f>T27</f>
        <v>0</v>
      </c>
      <c r="V27" s="48">
        <f>U27</f>
        <v>0</v>
      </c>
      <c r="X27" s="44">
        <f>W26-U25</f>
        <v>-10833344.824999999</v>
      </c>
      <c r="AE27" s="44"/>
      <c r="AF27" s="44">
        <f>AF26*AG26</f>
        <v>9163178.5700000003</v>
      </c>
      <c r="AG27" s="44"/>
    </row>
    <row r="28" spans="1:33" ht="63" customHeight="1" x14ac:dyDescent="0.25">
      <c r="A28" s="43"/>
      <c r="B28" s="47" t="s">
        <v>354</v>
      </c>
      <c r="C28" s="299"/>
      <c r="D28" s="47" t="s">
        <v>128</v>
      </c>
      <c r="E28" s="51">
        <v>0</v>
      </c>
      <c r="F28" s="51">
        <v>0</v>
      </c>
      <c r="G28" s="52">
        <f t="shared" si="17"/>
        <v>0</v>
      </c>
      <c r="H28" s="52">
        <v>0</v>
      </c>
      <c r="I28" s="52">
        <v>0</v>
      </c>
      <c r="J28" s="48">
        <v>62813.1</v>
      </c>
      <c r="K28" s="48">
        <f>33955.33+10788.57*1.5</f>
        <v>50138.184999999998</v>
      </c>
      <c r="L28" s="49">
        <v>64669.32</v>
      </c>
      <c r="M28" s="48">
        <f t="shared" si="7"/>
        <v>177620.60500000001</v>
      </c>
      <c r="N28" s="48">
        <f t="shared" si="18"/>
        <v>0</v>
      </c>
      <c r="O28" s="48">
        <f t="shared" ref="O28:O37" si="21">G28*K28</f>
        <v>0</v>
      </c>
      <c r="P28" s="51"/>
      <c r="Q28" s="48">
        <f t="shared" si="19"/>
        <v>0</v>
      </c>
      <c r="R28" s="48"/>
      <c r="S28" s="48"/>
      <c r="T28" s="48">
        <f t="shared" si="20"/>
        <v>0</v>
      </c>
      <c r="U28" s="48">
        <v>0</v>
      </c>
      <c r="V28" s="48">
        <f>U28</f>
        <v>0</v>
      </c>
      <c r="AE28" s="44"/>
      <c r="AF28" s="44"/>
      <c r="AG28" s="44"/>
    </row>
    <row r="29" spans="1:33" ht="84" customHeight="1" x14ac:dyDescent="0.25">
      <c r="A29" s="43"/>
      <c r="B29" s="47" t="s">
        <v>354</v>
      </c>
      <c r="C29" s="261" t="s">
        <v>303</v>
      </c>
      <c r="D29" s="47" t="s">
        <v>128</v>
      </c>
      <c r="E29" s="51">
        <v>0</v>
      </c>
      <c r="F29" s="51">
        <f>7-7</f>
        <v>0</v>
      </c>
      <c r="G29" s="51">
        <f t="shared" si="17"/>
        <v>0</v>
      </c>
      <c r="H29" s="51">
        <f>7-7</f>
        <v>0</v>
      </c>
      <c r="I29" s="51">
        <f>7-7</f>
        <v>0</v>
      </c>
      <c r="J29" s="48">
        <v>209100.19</v>
      </c>
      <c r="K29" s="48">
        <f>50873.01+10788.57*2</f>
        <v>72450.149999999994</v>
      </c>
      <c r="L29" s="49">
        <v>64669.32</v>
      </c>
      <c r="M29" s="48">
        <f t="shared" si="7"/>
        <v>346219.66</v>
      </c>
      <c r="N29" s="48">
        <f t="shared" si="18"/>
        <v>0</v>
      </c>
      <c r="O29" s="48">
        <f t="shared" si="21"/>
        <v>0</v>
      </c>
      <c r="P29" s="51"/>
      <c r="Q29" s="48">
        <f t="shared" si="19"/>
        <v>0</v>
      </c>
      <c r="R29" s="48"/>
      <c r="S29" s="48"/>
      <c r="T29" s="48">
        <f t="shared" si="20"/>
        <v>0</v>
      </c>
      <c r="U29" s="48">
        <f>T29</f>
        <v>0</v>
      </c>
      <c r="V29" s="48">
        <f>U29</f>
        <v>0</v>
      </c>
      <c r="AE29" s="44"/>
      <c r="AF29" s="44"/>
      <c r="AG29" s="44"/>
    </row>
    <row r="30" spans="1:33" ht="31.15" customHeight="1" x14ac:dyDescent="0.25">
      <c r="A30" s="43"/>
      <c r="B30" s="47" t="s">
        <v>356</v>
      </c>
      <c r="C30" s="299"/>
      <c r="D30" s="47" t="s">
        <v>128</v>
      </c>
      <c r="E30" s="51">
        <v>43</v>
      </c>
      <c r="F30" s="51">
        <v>43</v>
      </c>
      <c r="G30" s="51">
        <f t="shared" si="17"/>
        <v>43</v>
      </c>
      <c r="H30" s="51">
        <f>42+3</f>
        <v>45</v>
      </c>
      <c r="I30" s="51">
        <f>42+3</f>
        <v>45</v>
      </c>
      <c r="J30" s="48">
        <v>209100.19</v>
      </c>
      <c r="K30" s="48">
        <f>50873.01+10788.57*2</f>
        <v>72450.149999999994</v>
      </c>
      <c r="L30" s="49">
        <v>64669.32</v>
      </c>
      <c r="M30" s="48">
        <f t="shared" si="7"/>
        <v>346219.66</v>
      </c>
      <c r="N30" s="48">
        <f t="shared" si="18"/>
        <v>8991308.1699999999</v>
      </c>
      <c r="O30" s="48">
        <f>G30*K30+379882.75-203012.01</f>
        <v>3292227.1899999995</v>
      </c>
      <c r="P30" s="51"/>
      <c r="Q30" s="48">
        <f t="shared" si="19"/>
        <v>2780780.76</v>
      </c>
      <c r="R30" s="48"/>
      <c r="S30" s="48"/>
      <c r="T30" s="48">
        <f t="shared" si="20"/>
        <v>15064316.119999999</v>
      </c>
      <c r="U30" s="48">
        <f>(N30+O30)+(H30*L30)</f>
        <v>15193654.76</v>
      </c>
      <c r="V30" s="48">
        <f>(N30+O30)+(I30*L30)</f>
        <v>15193654.76</v>
      </c>
      <c r="AE30" s="44"/>
      <c r="AF30" s="44"/>
      <c r="AG30" s="44"/>
    </row>
    <row r="31" spans="1:33" ht="37.9" customHeight="1" x14ac:dyDescent="0.25">
      <c r="A31" s="43" t="s">
        <v>366</v>
      </c>
      <c r="B31" s="47" t="s">
        <v>356</v>
      </c>
      <c r="C31" s="261" t="s">
        <v>533</v>
      </c>
      <c r="D31" s="47" t="s">
        <v>128</v>
      </c>
      <c r="E31" s="51">
        <v>1</v>
      </c>
      <c r="F31" s="51">
        <f>1</f>
        <v>1</v>
      </c>
      <c r="G31" s="51">
        <f t="shared" si="17"/>
        <v>1</v>
      </c>
      <c r="H31" s="51">
        <v>1</v>
      </c>
      <c r="I31" s="51">
        <f>1-1</f>
        <v>0</v>
      </c>
      <c r="J31" s="48">
        <v>95705.64</v>
      </c>
      <c r="K31" s="48">
        <f>25496.5+10788.57+203012.01</f>
        <v>239297.08000000002</v>
      </c>
      <c r="L31" s="49">
        <v>64669.32</v>
      </c>
      <c r="M31" s="48">
        <f t="shared" si="7"/>
        <v>399672.04000000004</v>
      </c>
      <c r="N31" s="48">
        <f t="shared" si="18"/>
        <v>95705.64</v>
      </c>
      <c r="O31" s="48">
        <f>G31*K31+31535.55</f>
        <v>270832.63</v>
      </c>
      <c r="P31" s="51"/>
      <c r="Q31" s="48">
        <f t="shared" si="19"/>
        <v>64669.32</v>
      </c>
      <c r="R31" s="48"/>
      <c r="S31" s="48"/>
      <c r="T31" s="48">
        <f t="shared" si="20"/>
        <v>431207.59</v>
      </c>
      <c r="U31" s="48">
        <f>(N31+O31)+(H31*L31)</f>
        <v>431207.59</v>
      </c>
      <c r="V31" s="48">
        <f>(N31+O31)+(I31*L31)</f>
        <v>366538.27</v>
      </c>
      <c r="AE31" s="44"/>
      <c r="AF31" s="44"/>
      <c r="AG31" s="44"/>
    </row>
    <row r="32" spans="1:33" ht="30" customHeight="1" x14ac:dyDescent="0.25">
      <c r="A32" s="43"/>
      <c r="B32" s="47" t="s">
        <v>345</v>
      </c>
      <c r="C32" s="301"/>
      <c r="D32" s="47"/>
      <c r="E32" s="51">
        <v>1</v>
      </c>
      <c r="F32" s="51">
        <v>1</v>
      </c>
      <c r="G32" s="51">
        <f t="shared" ref="G32" si="22">((E32*8)+(F32*4))/12</f>
        <v>1</v>
      </c>
      <c r="H32" s="51">
        <v>0</v>
      </c>
      <c r="I32" s="51">
        <f>1-1</f>
        <v>0</v>
      </c>
      <c r="J32" s="48">
        <v>127527.31</v>
      </c>
      <c r="K32" s="48">
        <f>33955.33+10788.57*1.5</f>
        <v>50138.184999999998</v>
      </c>
      <c r="L32" s="49">
        <v>64670.32</v>
      </c>
      <c r="M32" s="48">
        <f t="shared" ref="M32" si="23">J32+K32+L32</f>
        <v>242335.815</v>
      </c>
      <c r="N32" s="48">
        <f t="shared" ref="N32" si="24">G32*J32</f>
        <v>127527.31</v>
      </c>
      <c r="O32" s="48">
        <f>G32*K32</f>
        <v>50138.184999999998</v>
      </c>
      <c r="P32" s="51"/>
      <c r="Q32" s="48">
        <f t="shared" ref="Q32" si="25">G32*L32</f>
        <v>64670.32</v>
      </c>
      <c r="R32" s="48"/>
      <c r="S32" s="48"/>
      <c r="T32" s="48">
        <f t="shared" ref="T32" si="26">SUM(N32:Q32)</f>
        <v>242335.815</v>
      </c>
      <c r="U32" s="48">
        <f>(N32+O32)+(H32*L32)</f>
        <v>177665.495</v>
      </c>
      <c r="V32" s="48">
        <f>(N32+O32)+(I32*L32)</f>
        <v>177665.495</v>
      </c>
      <c r="AE32" s="44"/>
      <c r="AF32" s="44"/>
      <c r="AG32" s="44"/>
    </row>
    <row r="33" spans="1:33" ht="33.6" customHeight="1" x14ac:dyDescent="0.25">
      <c r="A33" s="43"/>
      <c r="B33" s="47" t="s">
        <v>127</v>
      </c>
      <c r="C33" s="301"/>
      <c r="D33" s="47" t="s">
        <v>128</v>
      </c>
      <c r="E33" s="51">
        <v>18</v>
      </c>
      <c r="F33" s="51">
        <v>18</v>
      </c>
      <c r="G33" s="51">
        <f>((E33*8)+(F33*4))/12</f>
        <v>18</v>
      </c>
      <c r="H33" s="51">
        <v>20</v>
      </c>
      <c r="I33" s="51">
        <v>20</v>
      </c>
      <c r="J33" s="48">
        <v>127527.31</v>
      </c>
      <c r="K33" s="48">
        <f>33955.33+10788.57*1.5</f>
        <v>50138.184999999998</v>
      </c>
      <c r="L33" s="49">
        <v>64670.32</v>
      </c>
      <c r="M33" s="48">
        <f t="shared" ref="M33" si="27">J33+K33+L33</f>
        <v>242335.815</v>
      </c>
      <c r="N33" s="48">
        <f t="shared" ref="N33" si="28">G33*J33</f>
        <v>2295491.58</v>
      </c>
      <c r="O33" s="48">
        <f>G33*K33</f>
        <v>902487.33</v>
      </c>
      <c r="P33" s="51"/>
      <c r="Q33" s="48">
        <f t="shared" ref="Q33" si="29">G33*L33</f>
        <v>1164065.76</v>
      </c>
      <c r="R33" s="48"/>
      <c r="S33" s="48"/>
      <c r="T33" s="48">
        <f t="shared" ref="T33" si="30">SUM(N33:Q33)</f>
        <v>4362044.67</v>
      </c>
      <c r="U33" s="48">
        <f>(N33+O33)+(H33*L33)</f>
        <v>4491385.3100000005</v>
      </c>
      <c r="V33" s="48">
        <f>(N33+O33)+(I33*L33)</f>
        <v>4491385.3100000005</v>
      </c>
      <c r="AE33" s="44"/>
      <c r="AF33" s="44"/>
      <c r="AG33" s="44"/>
    </row>
    <row r="34" spans="1:33" ht="37.9" customHeight="1" x14ac:dyDescent="0.25">
      <c r="A34" s="43"/>
      <c r="B34" s="43" t="s">
        <v>384</v>
      </c>
      <c r="C34" s="301"/>
      <c r="D34" s="47" t="s">
        <v>128</v>
      </c>
      <c r="E34" s="51">
        <f>16-1</f>
        <v>15</v>
      </c>
      <c r="F34" s="51">
        <f>16-1</f>
        <v>15</v>
      </c>
      <c r="G34" s="51">
        <f t="shared" si="17"/>
        <v>15</v>
      </c>
      <c r="H34" s="51">
        <f>13+7</f>
        <v>20</v>
      </c>
      <c r="I34" s="51">
        <f>13+7</f>
        <v>20</v>
      </c>
      <c r="J34" s="48">
        <v>95705.64</v>
      </c>
      <c r="K34" s="48">
        <f>25496.5+10788.57</f>
        <v>36285.07</v>
      </c>
      <c r="L34" s="49">
        <v>64669.32</v>
      </c>
      <c r="M34" s="48">
        <f t="shared" si="7"/>
        <v>196660.03</v>
      </c>
      <c r="N34" s="48">
        <f t="shared" si="18"/>
        <v>1435584.6</v>
      </c>
      <c r="O34" s="48">
        <f t="shared" si="21"/>
        <v>544276.05000000005</v>
      </c>
      <c r="P34" s="51"/>
      <c r="Q34" s="48">
        <f t="shared" si="19"/>
        <v>970039.8</v>
      </c>
      <c r="R34" s="48"/>
      <c r="S34" s="48"/>
      <c r="T34" s="48">
        <f t="shared" si="20"/>
        <v>2949900.45</v>
      </c>
      <c r="U34" s="48">
        <f>(N34+O34)+(H34*L34)</f>
        <v>3273247.05</v>
      </c>
      <c r="V34" s="48">
        <f>U34</f>
        <v>3273247.05</v>
      </c>
    </row>
    <row r="35" spans="1:33" ht="25.9" hidden="1" customHeight="1" x14ac:dyDescent="0.25">
      <c r="A35" s="43"/>
      <c r="B35" s="41"/>
      <c r="C35" s="302"/>
      <c r="D35" s="47" t="s">
        <v>128</v>
      </c>
      <c r="E35" s="51"/>
      <c r="F35" s="51"/>
      <c r="G35" s="51">
        <f t="shared" si="17"/>
        <v>0</v>
      </c>
      <c r="H35" s="51"/>
      <c r="I35" s="51"/>
      <c r="J35" s="48"/>
      <c r="K35" s="48">
        <f t="shared" ref="K35" si="31">25496.5+10442.34</f>
        <v>35938.839999999997</v>
      </c>
      <c r="L35" s="49">
        <v>64669.32</v>
      </c>
      <c r="M35" s="48">
        <f t="shared" si="7"/>
        <v>100608.16</v>
      </c>
      <c r="N35" s="48">
        <f t="shared" si="18"/>
        <v>0</v>
      </c>
      <c r="O35" s="48">
        <f t="shared" si="21"/>
        <v>0</v>
      </c>
      <c r="P35" s="51"/>
      <c r="Q35" s="48">
        <f t="shared" si="19"/>
        <v>0</v>
      </c>
      <c r="R35" s="48"/>
      <c r="S35" s="48"/>
      <c r="T35" s="48">
        <f t="shared" ref="T35:T37" si="32">SUM(N35:Q35)</f>
        <v>0</v>
      </c>
      <c r="U35" s="48">
        <f t="shared" ref="U35:U37" si="33">(N35+O35)+(H35*L35)</f>
        <v>0</v>
      </c>
      <c r="V35" s="48">
        <f t="shared" ref="V35:V36" si="34">U35</f>
        <v>0</v>
      </c>
    </row>
    <row r="36" spans="1:33" ht="30" hidden="1" customHeight="1" x14ac:dyDescent="0.25">
      <c r="A36" s="43"/>
      <c r="B36" s="47" t="s">
        <v>356</v>
      </c>
      <c r="C36" s="302"/>
      <c r="D36" s="47" t="s">
        <v>128</v>
      </c>
      <c r="E36" s="51">
        <v>0</v>
      </c>
      <c r="F36" s="51">
        <f>3-3</f>
        <v>0</v>
      </c>
      <c r="G36" s="51">
        <f t="shared" si="17"/>
        <v>0</v>
      </c>
      <c r="H36" s="51">
        <f>3-3</f>
        <v>0</v>
      </c>
      <c r="I36" s="51">
        <f>3-3</f>
        <v>0</v>
      </c>
      <c r="J36" s="48">
        <v>95705.64</v>
      </c>
      <c r="K36" s="48">
        <f>25496.5+10788.57+203012.01</f>
        <v>239297.08000000002</v>
      </c>
      <c r="L36" s="49">
        <v>64669.32</v>
      </c>
      <c r="M36" s="48">
        <f t="shared" si="7"/>
        <v>399672.04000000004</v>
      </c>
      <c r="N36" s="48">
        <f t="shared" si="18"/>
        <v>0</v>
      </c>
      <c r="O36" s="48">
        <f>G36*K36</f>
        <v>0</v>
      </c>
      <c r="P36" s="51"/>
      <c r="Q36" s="48">
        <f t="shared" si="19"/>
        <v>0</v>
      </c>
      <c r="R36" s="48"/>
      <c r="S36" s="48"/>
      <c r="T36" s="48">
        <f t="shared" si="32"/>
        <v>0</v>
      </c>
      <c r="U36" s="48">
        <f t="shared" si="33"/>
        <v>0</v>
      </c>
      <c r="V36" s="48">
        <f t="shared" si="34"/>
        <v>0</v>
      </c>
    </row>
    <row r="37" spans="1:33" ht="28.15" hidden="1" customHeight="1" x14ac:dyDescent="0.25">
      <c r="A37" s="43"/>
      <c r="B37" s="47" t="s">
        <v>356</v>
      </c>
      <c r="C37" s="303"/>
      <c r="D37" s="47" t="s">
        <v>128</v>
      </c>
      <c r="E37" s="51">
        <v>0</v>
      </c>
      <c r="F37" s="51">
        <v>0</v>
      </c>
      <c r="G37" s="52">
        <f t="shared" si="17"/>
        <v>0</v>
      </c>
      <c r="H37" s="52">
        <v>0</v>
      </c>
      <c r="I37" s="52">
        <v>0</v>
      </c>
      <c r="J37" s="48">
        <v>95705.64</v>
      </c>
      <c r="K37" s="48">
        <f>25496.5+10788.57</f>
        <v>36285.07</v>
      </c>
      <c r="L37" s="49">
        <v>64669.32</v>
      </c>
      <c r="M37" s="48">
        <f t="shared" si="7"/>
        <v>196660.03</v>
      </c>
      <c r="N37" s="48">
        <f t="shared" si="18"/>
        <v>0</v>
      </c>
      <c r="O37" s="48">
        <f t="shared" si="21"/>
        <v>0</v>
      </c>
      <c r="P37" s="51"/>
      <c r="Q37" s="48">
        <f t="shared" si="19"/>
        <v>0</v>
      </c>
      <c r="R37" s="48"/>
      <c r="S37" s="48"/>
      <c r="T37" s="48">
        <f t="shared" si="32"/>
        <v>0</v>
      </c>
      <c r="U37" s="48">
        <f t="shared" si="33"/>
        <v>0</v>
      </c>
      <c r="V37" s="49">
        <v>0</v>
      </c>
    </row>
    <row r="38" spans="1:33" ht="63.6" customHeight="1" x14ac:dyDescent="0.25">
      <c r="A38" s="43" t="s">
        <v>131</v>
      </c>
      <c r="B38" s="47" t="s">
        <v>135</v>
      </c>
      <c r="C38" s="47" t="s">
        <v>55</v>
      </c>
      <c r="D38" s="47" t="s">
        <v>128</v>
      </c>
      <c r="E38" s="52">
        <f>E27+E28+E29+E30+E34+E37+E36+E31+E33+E32</f>
        <v>78</v>
      </c>
      <c r="F38" s="52">
        <f t="shared" ref="F38:I38" si="35">F27+F28+F29+F30+F34+F37+F36+F31+F33+F32</f>
        <v>78</v>
      </c>
      <c r="G38" s="52">
        <f t="shared" si="35"/>
        <v>78</v>
      </c>
      <c r="H38" s="52">
        <f t="shared" si="35"/>
        <v>86</v>
      </c>
      <c r="I38" s="52">
        <f t="shared" si="35"/>
        <v>85</v>
      </c>
      <c r="J38" s="48">
        <v>0</v>
      </c>
      <c r="K38" s="48">
        <v>0</v>
      </c>
      <c r="L38" s="49">
        <f>70953.15-17135.25</f>
        <v>53817.899999999994</v>
      </c>
      <c r="M38" s="48">
        <f>J38+K38+L38</f>
        <v>53817.899999999994</v>
      </c>
      <c r="N38" s="48">
        <f>G38*J38</f>
        <v>0</v>
      </c>
      <c r="O38" s="48">
        <f>G38*K38</f>
        <v>0</v>
      </c>
      <c r="P38" s="48">
        <f t="shared" ref="P38:R38" si="36">P27+P28+P29+P30+P34+P37+P36</f>
        <v>0</v>
      </c>
      <c r="Q38" s="49">
        <f>G38*L38</f>
        <v>4197796.1999999993</v>
      </c>
      <c r="R38" s="52">
        <f t="shared" si="36"/>
        <v>0</v>
      </c>
      <c r="S38" s="52"/>
      <c r="T38" s="49">
        <f>SUM(N38:Q38)</f>
        <v>4197796.1999999993</v>
      </c>
      <c r="U38" s="49">
        <f>H38*L38</f>
        <v>4628339.3999999994</v>
      </c>
      <c r="V38" s="49">
        <f>I38*L38</f>
        <v>4574521.4999999991</v>
      </c>
    </row>
    <row r="39" spans="1:33" ht="27" customHeight="1" x14ac:dyDescent="0.25">
      <c r="A39" s="47" t="s">
        <v>530</v>
      </c>
      <c r="B39" s="47" t="s">
        <v>135</v>
      </c>
      <c r="C39" s="47" t="s">
        <v>133</v>
      </c>
      <c r="D39" s="47"/>
      <c r="E39" s="51"/>
      <c r="F39" s="51"/>
      <c r="G39" s="52">
        <f>G38-G31+1</f>
        <v>78</v>
      </c>
      <c r="H39" s="52">
        <f>H38-H31+1</f>
        <v>86</v>
      </c>
      <c r="I39" s="52">
        <f>I38-I37</f>
        <v>85</v>
      </c>
      <c r="J39" s="48"/>
      <c r="K39" s="48"/>
      <c r="L39" s="49">
        <v>17135.25</v>
      </c>
      <c r="M39" s="48">
        <f t="shared" si="7"/>
        <v>17135.25</v>
      </c>
      <c r="N39" s="51"/>
      <c r="O39" s="48"/>
      <c r="P39" s="51"/>
      <c r="Q39" s="48"/>
      <c r="R39" s="48"/>
      <c r="S39" s="48">
        <f>G39*L39</f>
        <v>1336549.5</v>
      </c>
      <c r="T39" s="49">
        <f>S39</f>
        <v>1336549.5</v>
      </c>
      <c r="U39" s="49">
        <f>H39*L39</f>
        <v>1473631.5</v>
      </c>
      <c r="V39" s="49">
        <f>I39*L39</f>
        <v>1456496.25</v>
      </c>
    </row>
    <row r="40" spans="1:33" ht="22.15" customHeight="1" x14ac:dyDescent="0.25">
      <c r="A40" s="46" t="s">
        <v>139</v>
      </c>
      <c r="B40" s="46"/>
      <c r="C40" s="46"/>
      <c r="D40" s="46"/>
      <c r="E40" s="52"/>
      <c r="F40" s="52"/>
      <c r="G40" s="52"/>
      <c r="H40" s="52"/>
      <c r="I40" s="52"/>
      <c r="J40" s="49"/>
      <c r="K40" s="48"/>
      <c r="L40" s="49"/>
      <c r="M40" s="48">
        <f t="shared" si="7"/>
        <v>0</v>
      </c>
      <c r="N40" s="49">
        <f>N41</f>
        <v>15725937.82</v>
      </c>
      <c r="O40" s="49">
        <f>O41</f>
        <v>6714590.3799999999</v>
      </c>
      <c r="P40" s="49"/>
      <c r="Q40" s="49">
        <f>Q41+Q51</f>
        <v>13744518.52</v>
      </c>
      <c r="R40" s="49"/>
      <c r="S40" s="49">
        <f>S52</f>
        <v>1987689</v>
      </c>
      <c r="T40" s="49">
        <f>T41+T51+T52</f>
        <v>38172735.719999999</v>
      </c>
      <c r="U40" s="49">
        <f>U41+U51+U52</f>
        <v>38172735.719999999</v>
      </c>
      <c r="V40" s="49">
        <f>V41+V51+V52</f>
        <v>38172735.719999999</v>
      </c>
      <c r="W40" s="44">
        <v>10231531.529999999</v>
      </c>
      <c r="X40" s="44">
        <f>W40-Q40</f>
        <v>-3512986.99</v>
      </c>
      <c r="Y40" s="38">
        <f>X40/G51</f>
        <v>-30284.370603448278</v>
      </c>
      <c r="AA40" s="38">
        <v>10354392.529999999</v>
      </c>
      <c r="AB40" s="44">
        <f>AA40-Q40</f>
        <v>-3390125.99</v>
      </c>
      <c r="AC40" s="38">
        <f>AB40/I51</f>
        <v>-29225.224051724141</v>
      </c>
    </row>
    <row r="41" spans="1:33" ht="70.900000000000006" customHeight="1" x14ac:dyDescent="0.25">
      <c r="A41" s="43" t="s">
        <v>125</v>
      </c>
      <c r="B41" s="41" t="s">
        <v>126</v>
      </c>
      <c r="C41" s="41"/>
      <c r="D41" s="47"/>
      <c r="E41" s="51"/>
      <c r="F41" s="51"/>
      <c r="G41" s="51"/>
      <c r="H41" s="51"/>
      <c r="I41" s="51"/>
      <c r="J41" s="48"/>
      <c r="K41" s="48"/>
      <c r="L41" s="48"/>
      <c r="M41" s="48"/>
      <c r="N41" s="48">
        <f>SUM(N42:N50)</f>
        <v>15725937.82</v>
      </c>
      <c r="O41" s="48">
        <f>SUM(O42:O50)</f>
        <v>6714590.3799999999</v>
      </c>
      <c r="P41" s="51"/>
      <c r="Q41" s="49">
        <f>SUM(Q42:Q47)</f>
        <v>7501642.1200000001</v>
      </c>
      <c r="R41" s="48"/>
      <c r="S41" s="48"/>
      <c r="T41" s="48">
        <f>SUM(T42:T50)</f>
        <v>29942170.32</v>
      </c>
      <c r="U41" s="48">
        <f>SUM(U42:U50)</f>
        <v>29942170.32</v>
      </c>
      <c r="V41" s="48">
        <f>SUM(V42:V50)</f>
        <v>29942170.32</v>
      </c>
      <c r="W41" s="44">
        <v>29143419.530000001</v>
      </c>
      <c r="X41" s="44"/>
      <c r="AA41" s="44">
        <f>29143419.53+U52</f>
        <v>31131108.530000001</v>
      </c>
      <c r="AB41" s="44">
        <f>U40-AA41</f>
        <v>7041627.1899999976</v>
      </c>
    </row>
    <row r="42" spans="1:33" ht="45" customHeight="1" x14ac:dyDescent="0.25">
      <c r="A42" s="43"/>
      <c r="B42" s="47" t="s">
        <v>127</v>
      </c>
      <c r="C42" s="261" t="s">
        <v>304</v>
      </c>
      <c r="D42" s="47" t="s">
        <v>128</v>
      </c>
      <c r="E42" s="51">
        <f>16+1</f>
        <v>17</v>
      </c>
      <c r="F42" s="51">
        <f>16+1</f>
        <v>17</v>
      </c>
      <c r="G42" s="51">
        <f t="shared" ref="G42:G47" si="37">((E42*8)+(F42*4))/12</f>
        <v>17</v>
      </c>
      <c r="H42" s="51">
        <f>16+1</f>
        <v>17</v>
      </c>
      <c r="I42" s="51">
        <f>16+1</f>
        <v>17</v>
      </c>
      <c r="J42" s="48">
        <v>62813.1</v>
      </c>
      <c r="K42" s="48">
        <f>33955.33+15045.79</f>
        <v>49001.120000000003</v>
      </c>
      <c r="L42" s="49">
        <v>64669.32</v>
      </c>
      <c r="M42" s="48">
        <f t="shared" si="7"/>
        <v>176483.54</v>
      </c>
      <c r="N42" s="48">
        <f t="shared" ref="N42:N47" si="38">G42*J42</f>
        <v>1067822.7</v>
      </c>
      <c r="O42" s="48">
        <f>G42*K42</f>
        <v>833019.04</v>
      </c>
      <c r="P42" s="51"/>
      <c r="Q42" s="48">
        <f>G42*L42</f>
        <v>1099378.44</v>
      </c>
      <c r="R42" s="48"/>
      <c r="S42" s="48"/>
      <c r="T42" s="48">
        <f t="shared" ref="T42:T47" si="39">SUM(N42:Q42)</f>
        <v>3000220.1799999997</v>
      </c>
      <c r="U42" s="48">
        <f t="shared" ref="U42:V51" si="40">T42</f>
        <v>3000220.1799999997</v>
      </c>
      <c r="V42" s="48">
        <f t="shared" si="40"/>
        <v>3000220.1799999997</v>
      </c>
      <c r="X42" s="44">
        <f>W41-U40</f>
        <v>-9029316.1899999976</v>
      </c>
    </row>
    <row r="43" spans="1:33" ht="55.9" customHeight="1" x14ac:dyDescent="0.25">
      <c r="A43" s="43"/>
      <c r="B43" s="47" t="s">
        <v>358</v>
      </c>
      <c r="C43" s="299"/>
      <c r="D43" s="47" t="s">
        <v>128</v>
      </c>
      <c r="E43" s="51">
        <v>1</v>
      </c>
      <c r="F43" s="51">
        <v>1</v>
      </c>
      <c r="G43" s="51">
        <f t="shared" ref="G43" si="41">((E43*8)+(F43*4))/12</f>
        <v>1</v>
      </c>
      <c r="H43" s="51">
        <v>1</v>
      </c>
      <c r="I43" s="51">
        <v>1</v>
      </c>
      <c r="J43" s="48">
        <v>62813.1</v>
      </c>
      <c r="K43" s="48">
        <f>33955.33+15045.79</f>
        <v>49001.120000000003</v>
      </c>
      <c r="L43" s="49">
        <v>64670.32</v>
      </c>
      <c r="M43" s="48">
        <f t="shared" ref="M43" si="42">J43+K43+L43</f>
        <v>176484.54</v>
      </c>
      <c r="N43" s="48">
        <f t="shared" si="38"/>
        <v>62813.1</v>
      </c>
      <c r="O43" s="48">
        <f>G43*K43</f>
        <v>49001.120000000003</v>
      </c>
      <c r="P43" s="51"/>
      <c r="Q43" s="48">
        <f>G43*L43</f>
        <v>64670.32</v>
      </c>
      <c r="R43" s="48"/>
      <c r="S43" s="48"/>
      <c r="T43" s="48">
        <f t="shared" si="39"/>
        <v>176484.54</v>
      </c>
      <c r="U43" s="48">
        <f t="shared" ref="U43" si="43">T43</f>
        <v>176484.54</v>
      </c>
      <c r="V43" s="48">
        <f t="shared" ref="V43" si="44">U43</f>
        <v>176484.54</v>
      </c>
      <c r="X43" s="44"/>
    </row>
    <row r="44" spans="1:33" ht="36" customHeight="1" x14ac:dyDescent="0.25">
      <c r="A44" s="43" t="s">
        <v>527</v>
      </c>
      <c r="B44" s="47" t="s">
        <v>357</v>
      </c>
      <c r="C44" s="261" t="s">
        <v>488</v>
      </c>
      <c r="D44" s="47" t="s">
        <v>128</v>
      </c>
      <c r="E44" s="51">
        <f>3+1</f>
        <v>4</v>
      </c>
      <c r="F44" s="51">
        <f>3+1</f>
        <v>4</v>
      </c>
      <c r="G44" s="52">
        <f t="shared" si="37"/>
        <v>4</v>
      </c>
      <c r="H44" s="51">
        <f>3+1</f>
        <v>4</v>
      </c>
      <c r="I44" s="51">
        <f>3+1</f>
        <v>4</v>
      </c>
      <c r="J44" s="48">
        <v>209100.19</v>
      </c>
      <c r="K44" s="48">
        <f>50873.01+15045.79*2</f>
        <v>80964.59</v>
      </c>
      <c r="L44" s="49">
        <v>64669.32</v>
      </c>
      <c r="M44" s="48">
        <f t="shared" si="7"/>
        <v>354734.10000000003</v>
      </c>
      <c r="N44" s="48">
        <f t="shared" si="38"/>
        <v>836400.76</v>
      </c>
      <c r="O44" s="48">
        <f>G44*K44+79092.72</f>
        <v>402951.07999999996</v>
      </c>
      <c r="P44" s="51"/>
      <c r="Q44" s="48">
        <f t="shared" ref="Q44:Q47" si="45">G44*L44</f>
        <v>258677.28</v>
      </c>
      <c r="R44" s="48"/>
      <c r="S44" s="48"/>
      <c r="T44" s="48">
        <f t="shared" si="39"/>
        <v>1498029.1199999999</v>
      </c>
      <c r="U44" s="48">
        <f t="shared" si="40"/>
        <v>1498029.1199999999</v>
      </c>
      <c r="V44" s="48">
        <f t="shared" si="40"/>
        <v>1498029.1199999999</v>
      </c>
    </row>
    <row r="45" spans="1:33" ht="69" customHeight="1" x14ac:dyDescent="0.25">
      <c r="A45" s="43"/>
      <c r="B45" s="47" t="s">
        <v>356</v>
      </c>
      <c r="C45" s="299"/>
      <c r="D45" s="47" t="s">
        <v>128</v>
      </c>
      <c r="E45" s="51">
        <v>42</v>
      </c>
      <c r="F45" s="51">
        <v>42</v>
      </c>
      <c r="G45" s="51">
        <f t="shared" si="37"/>
        <v>42</v>
      </c>
      <c r="H45" s="51">
        <v>42</v>
      </c>
      <c r="I45" s="51">
        <v>42</v>
      </c>
      <c r="J45" s="48">
        <v>209100.19</v>
      </c>
      <c r="K45" s="48">
        <f>50873.01+15045.79*2</f>
        <v>80964.59</v>
      </c>
      <c r="L45" s="49">
        <v>64669.32</v>
      </c>
      <c r="M45" s="48">
        <f t="shared" si="7"/>
        <v>354734.10000000003</v>
      </c>
      <c r="N45" s="48">
        <f t="shared" si="38"/>
        <v>8782207.9800000004</v>
      </c>
      <c r="O45" s="48">
        <f>G45*K45-79092.72</f>
        <v>3321420.0599999996</v>
      </c>
      <c r="P45" s="51"/>
      <c r="Q45" s="48">
        <f t="shared" si="45"/>
        <v>2716111.44</v>
      </c>
      <c r="R45" s="48"/>
      <c r="S45" s="48"/>
      <c r="T45" s="48">
        <f t="shared" si="39"/>
        <v>14819739.479999999</v>
      </c>
      <c r="U45" s="48">
        <f t="shared" si="40"/>
        <v>14819739.479999999</v>
      </c>
      <c r="V45" s="48">
        <f t="shared" si="40"/>
        <v>14819739.479999999</v>
      </c>
    </row>
    <row r="46" spans="1:33" ht="42" customHeight="1" x14ac:dyDescent="0.25">
      <c r="A46" s="43"/>
      <c r="B46" s="47" t="s">
        <v>357</v>
      </c>
      <c r="C46" s="268" t="s">
        <v>534</v>
      </c>
      <c r="D46" s="47" t="s">
        <v>128</v>
      </c>
      <c r="E46" s="51">
        <v>8</v>
      </c>
      <c r="F46" s="51">
        <v>8</v>
      </c>
      <c r="G46" s="51">
        <f t="shared" si="37"/>
        <v>8</v>
      </c>
      <c r="H46" s="51">
        <v>8</v>
      </c>
      <c r="I46" s="51">
        <v>8</v>
      </c>
      <c r="J46" s="48">
        <v>95705.64</v>
      </c>
      <c r="K46" s="48">
        <f>25496.5+15045.79*1</f>
        <v>40542.29</v>
      </c>
      <c r="L46" s="49">
        <v>64669.32</v>
      </c>
      <c r="M46" s="48">
        <f t="shared" si="7"/>
        <v>200917.25</v>
      </c>
      <c r="N46" s="48">
        <f t="shared" si="38"/>
        <v>765645.12</v>
      </c>
      <c r="O46" s="48">
        <f t="shared" ref="O46" si="46">G46*K46</f>
        <v>324338.32</v>
      </c>
      <c r="P46" s="51"/>
      <c r="Q46" s="48">
        <f t="shared" si="45"/>
        <v>517354.56</v>
      </c>
      <c r="R46" s="48"/>
      <c r="S46" s="48"/>
      <c r="T46" s="48">
        <f t="shared" si="39"/>
        <v>1607338</v>
      </c>
      <c r="U46" s="48">
        <f t="shared" si="40"/>
        <v>1607338</v>
      </c>
      <c r="V46" s="48">
        <f t="shared" si="40"/>
        <v>1607338</v>
      </c>
    </row>
    <row r="47" spans="1:33" ht="61.15" customHeight="1" x14ac:dyDescent="0.25">
      <c r="A47" s="43"/>
      <c r="B47" s="47" t="s">
        <v>358</v>
      </c>
      <c r="C47" s="304"/>
      <c r="D47" s="47" t="s">
        <v>128</v>
      </c>
      <c r="E47" s="51">
        <v>44</v>
      </c>
      <c r="F47" s="51">
        <v>44</v>
      </c>
      <c r="G47" s="51">
        <f t="shared" si="37"/>
        <v>44</v>
      </c>
      <c r="H47" s="51">
        <v>44</v>
      </c>
      <c r="I47" s="51">
        <v>44</v>
      </c>
      <c r="J47" s="48">
        <v>95705.64</v>
      </c>
      <c r="K47" s="48">
        <f>25496.5+15045.79</f>
        <v>40542.29</v>
      </c>
      <c r="L47" s="49">
        <v>64669.32</v>
      </c>
      <c r="M47" s="48">
        <f t="shared" si="7"/>
        <v>200917.25</v>
      </c>
      <c r="N47" s="48">
        <f t="shared" si="38"/>
        <v>4211048.16</v>
      </c>
      <c r="O47" s="48">
        <f>G47*K47</f>
        <v>1783860.76</v>
      </c>
      <c r="P47" s="51"/>
      <c r="Q47" s="48">
        <f t="shared" si="45"/>
        <v>2845450.08</v>
      </c>
      <c r="R47" s="48"/>
      <c r="S47" s="48"/>
      <c r="T47" s="48">
        <f t="shared" si="39"/>
        <v>8840359</v>
      </c>
      <c r="U47" s="48">
        <f t="shared" si="40"/>
        <v>8840359</v>
      </c>
      <c r="V47" s="48">
        <f t="shared" si="40"/>
        <v>8840359</v>
      </c>
    </row>
    <row r="48" spans="1:33" ht="61.15" hidden="1" customHeight="1" x14ac:dyDescent="0.25">
      <c r="A48" s="47"/>
      <c r="B48" s="46"/>
      <c r="C48" s="47" t="s">
        <v>45</v>
      </c>
      <c r="D48" s="47"/>
      <c r="E48" s="51"/>
      <c r="F48" s="51"/>
      <c r="G48" s="51"/>
      <c r="H48" s="51"/>
      <c r="I48" s="51"/>
      <c r="J48" s="48"/>
      <c r="K48" s="48">
        <f t="shared" ref="K48:K61" si="47">(12142.68*2.133649)</f>
        <v>25908.217039320003</v>
      </c>
      <c r="L48" s="48"/>
      <c r="M48" s="48">
        <f t="shared" si="7"/>
        <v>25908.217039320003</v>
      </c>
      <c r="N48" s="51"/>
      <c r="O48" s="48"/>
      <c r="P48" s="51"/>
      <c r="Q48" s="48"/>
      <c r="R48" s="48"/>
      <c r="S48" s="48"/>
      <c r="T48" s="48">
        <f>O48</f>
        <v>0</v>
      </c>
      <c r="U48" s="48">
        <f t="shared" si="40"/>
        <v>0</v>
      </c>
      <c r="V48" s="48">
        <f t="shared" si="40"/>
        <v>0</v>
      </c>
    </row>
    <row r="49" spans="1:29" ht="61.15" hidden="1" customHeight="1" x14ac:dyDescent="0.25">
      <c r="A49" s="43"/>
      <c r="B49" s="41"/>
      <c r="C49" s="47" t="s">
        <v>45</v>
      </c>
      <c r="D49" s="47"/>
      <c r="E49" s="51"/>
      <c r="F49" s="51"/>
      <c r="G49" s="51"/>
      <c r="H49" s="51"/>
      <c r="I49" s="51"/>
      <c r="J49" s="48"/>
      <c r="K49" s="48">
        <f t="shared" si="47"/>
        <v>25908.217039320003</v>
      </c>
      <c r="L49" s="48"/>
      <c r="M49" s="48">
        <f t="shared" si="7"/>
        <v>25908.217039320003</v>
      </c>
      <c r="N49" s="51"/>
      <c r="O49" s="48"/>
      <c r="P49" s="51"/>
      <c r="Q49" s="48"/>
      <c r="R49" s="48"/>
      <c r="S49" s="48"/>
      <c r="T49" s="48">
        <f>N49</f>
        <v>0</v>
      </c>
      <c r="U49" s="48">
        <f t="shared" si="40"/>
        <v>0</v>
      </c>
      <c r="V49" s="48">
        <f t="shared" si="40"/>
        <v>0</v>
      </c>
    </row>
    <row r="50" spans="1:29" ht="61.15" hidden="1" customHeight="1" x14ac:dyDescent="0.25">
      <c r="A50" s="43"/>
      <c r="B50" s="41"/>
      <c r="C50" s="47"/>
      <c r="D50" s="47"/>
      <c r="E50" s="51"/>
      <c r="F50" s="51"/>
      <c r="G50" s="51"/>
      <c r="H50" s="51"/>
      <c r="I50" s="51"/>
      <c r="J50" s="48"/>
      <c r="K50" s="48">
        <f t="shared" si="47"/>
        <v>25908.217039320003</v>
      </c>
      <c r="L50" s="48"/>
      <c r="M50" s="48">
        <f t="shared" si="7"/>
        <v>25908.217039320003</v>
      </c>
      <c r="N50" s="51"/>
      <c r="O50" s="48"/>
      <c r="P50" s="51"/>
      <c r="Q50" s="48"/>
      <c r="R50" s="48"/>
      <c r="S50" s="48"/>
      <c r="T50" s="48">
        <f>O50</f>
        <v>0</v>
      </c>
      <c r="U50" s="48">
        <f t="shared" si="40"/>
        <v>0</v>
      </c>
      <c r="V50" s="48">
        <f t="shared" si="40"/>
        <v>0</v>
      </c>
    </row>
    <row r="51" spans="1:29" ht="61.15" customHeight="1" x14ac:dyDescent="0.25">
      <c r="A51" s="43" t="s">
        <v>131</v>
      </c>
      <c r="B51" s="47" t="s">
        <v>132</v>
      </c>
      <c r="C51" s="47" t="s">
        <v>55</v>
      </c>
      <c r="D51" s="47" t="s">
        <v>128</v>
      </c>
      <c r="E51" s="51">
        <f>E47+E46+E45+E44+E42+E43</f>
        <v>116</v>
      </c>
      <c r="F51" s="51">
        <f t="shared" ref="F51:I51" si="48">F47+F46+F45+F44+F42+F43</f>
        <v>116</v>
      </c>
      <c r="G51" s="51">
        <f t="shared" si="48"/>
        <v>116</v>
      </c>
      <c r="H51" s="51">
        <f t="shared" si="48"/>
        <v>116</v>
      </c>
      <c r="I51" s="51">
        <f t="shared" si="48"/>
        <v>116</v>
      </c>
      <c r="J51" s="48">
        <v>0</v>
      </c>
      <c r="K51" s="48">
        <v>0</v>
      </c>
      <c r="L51" s="49">
        <f>70953.15-L52</f>
        <v>53817.899999999994</v>
      </c>
      <c r="M51" s="48">
        <f t="shared" si="7"/>
        <v>53817.899999999994</v>
      </c>
      <c r="N51" s="48">
        <f>G51*J51</f>
        <v>0</v>
      </c>
      <c r="O51" s="48">
        <f>G51*K51</f>
        <v>0</v>
      </c>
      <c r="P51" s="51"/>
      <c r="Q51" s="49">
        <f>G51*L51</f>
        <v>6242876.3999999994</v>
      </c>
      <c r="R51" s="48"/>
      <c r="S51" s="48"/>
      <c r="T51" s="48">
        <f>SUM(N51:Q51)</f>
        <v>6242876.3999999994</v>
      </c>
      <c r="U51" s="48">
        <f t="shared" si="40"/>
        <v>6242876.3999999994</v>
      </c>
      <c r="V51" s="48">
        <f t="shared" si="40"/>
        <v>6242876.3999999994</v>
      </c>
    </row>
    <row r="52" spans="1:29" ht="29.45" customHeight="1" x14ac:dyDescent="0.25">
      <c r="A52" s="47" t="s">
        <v>528</v>
      </c>
      <c r="B52" s="47" t="s">
        <v>132</v>
      </c>
      <c r="C52" s="47" t="s">
        <v>133</v>
      </c>
      <c r="D52" s="47"/>
      <c r="E52" s="51"/>
      <c r="F52" s="51"/>
      <c r="G52" s="52">
        <f>G51</f>
        <v>116</v>
      </c>
      <c r="H52" s="52">
        <f>H51</f>
        <v>116</v>
      </c>
      <c r="I52" s="52">
        <f>I51</f>
        <v>116</v>
      </c>
      <c r="J52" s="48"/>
      <c r="K52" s="48"/>
      <c r="L52" s="49">
        <v>17135.25</v>
      </c>
      <c r="M52" s="48">
        <f t="shared" si="7"/>
        <v>17135.25</v>
      </c>
      <c r="N52" s="51"/>
      <c r="O52" s="48"/>
      <c r="P52" s="51"/>
      <c r="Q52" s="48"/>
      <c r="R52" s="48"/>
      <c r="S52" s="48">
        <f>G52*L52</f>
        <v>1987689</v>
      </c>
      <c r="T52" s="48">
        <f>S52</f>
        <v>1987689</v>
      </c>
      <c r="U52" s="48">
        <f>T52</f>
        <v>1987689</v>
      </c>
      <c r="V52" s="48">
        <f>U52</f>
        <v>1987689</v>
      </c>
    </row>
    <row r="53" spans="1:29" ht="29.45" customHeight="1" x14ac:dyDescent="0.25">
      <c r="A53" s="46" t="s">
        <v>140</v>
      </c>
      <c r="B53" s="46"/>
      <c r="C53" s="46"/>
      <c r="D53" s="46"/>
      <c r="E53" s="52"/>
      <c r="F53" s="52"/>
      <c r="G53" s="52"/>
      <c r="H53" s="52"/>
      <c r="I53" s="52"/>
      <c r="J53" s="49"/>
      <c r="K53" s="48"/>
      <c r="L53" s="49"/>
      <c r="M53" s="48">
        <f t="shared" si="7"/>
        <v>0</v>
      </c>
      <c r="N53" s="49">
        <f>N54</f>
        <v>10047407.789999999</v>
      </c>
      <c r="O53" s="49">
        <f>O54</f>
        <v>3904481.5350000001</v>
      </c>
      <c r="P53" s="52">
        <f>P54</f>
        <v>0</v>
      </c>
      <c r="Q53" s="49">
        <f>Q54+Q62</f>
        <v>11611768.559999999</v>
      </c>
      <c r="R53" s="49">
        <f>R54</f>
        <v>0</v>
      </c>
      <c r="S53" s="49">
        <f>S63</f>
        <v>1679254.5</v>
      </c>
      <c r="T53" s="49">
        <f>T54+T62+T63</f>
        <v>27242912.385000002</v>
      </c>
      <c r="U53" s="49">
        <f>U54+U62+U63</f>
        <v>27242912.385000002</v>
      </c>
      <c r="V53" s="49">
        <f>V54+V62+V63</f>
        <v>27242912.385000002</v>
      </c>
      <c r="W53" s="38">
        <v>5581141.5300000003</v>
      </c>
      <c r="X53" s="44">
        <f>W53-Q53</f>
        <v>-6030627.0299999984</v>
      </c>
      <c r="Y53" s="38">
        <f>X53/G62</f>
        <v>-61537.010510204069</v>
      </c>
      <c r="AA53" s="38">
        <v>5552393.5300000003</v>
      </c>
      <c r="AB53" s="44">
        <f>AA53-Q53</f>
        <v>-6059375.0299999984</v>
      </c>
    </row>
    <row r="54" spans="1:29" ht="69.599999999999994" customHeight="1" x14ac:dyDescent="0.25">
      <c r="A54" s="43" t="s">
        <v>125</v>
      </c>
      <c r="B54" s="41" t="s">
        <v>126</v>
      </c>
      <c r="C54" s="41"/>
      <c r="D54" s="47"/>
      <c r="E54" s="51"/>
      <c r="F54" s="51"/>
      <c r="G54" s="51"/>
      <c r="H54" s="51"/>
      <c r="I54" s="51"/>
      <c r="J54" s="48"/>
      <c r="K54" s="48"/>
      <c r="L54" s="48"/>
      <c r="M54" s="48"/>
      <c r="N54" s="48">
        <f>SUM(N55:N61)</f>
        <v>10047407.789999999</v>
      </c>
      <c r="O54" s="48">
        <f>SUM(O55:O61)</f>
        <v>3904481.5350000001</v>
      </c>
      <c r="P54" s="295"/>
      <c r="Q54" s="49">
        <f>SUM(Q55:Q59)</f>
        <v>6337614.3599999994</v>
      </c>
      <c r="R54" s="48"/>
      <c r="S54" s="48"/>
      <c r="T54" s="48">
        <f>SUM(T55:T61)</f>
        <v>20289503.685000002</v>
      </c>
      <c r="U54" s="48">
        <f>SUM(U55:U61)</f>
        <v>20289503.685000002</v>
      </c>
      <c r="V54" s="48">
        <f>SUM(V55:V61)</f>
        <v>20289503.685000002</v>
      </c>
      <c r="W54" s="44">
        <v>14544322.529999999</v>
      </c>
      <c r="AA54" s="44">
        <f>14544322.53+U63</f>
        <v>16223577.029999999</v>
      </c>
      <c r="AB54" s="44">
        <f>U53-AA54</f>
        <v>11019335.355000002</v>
      </c>
    </row>
    <row r="55" spans="1:29" ht="31.15" customHeight="1" x14ac:dyDescent="0.25">
      <c r="A55" s="43"/>
      <c r="B55" s="47" t="s">
        <v>141</v>
      </c>
      <c r="C55" s="261" t="s">
        <v>305</v>
      </c>
      <c r="D55" s="47" t="s">
        <v>128</v>
      </c>
      <c r="E55" s="51">
        <f>20-3</f>
        <v>17</v>
      </c>
      <c r="F55" s="51">
        <f>20-3</f>
        <v>17</v>
      </c>
      <c r="G55" s="51">
        <f t="shared" ref="G55:G59" si="49">((E55*8)+(F55*4))/12</f>
        <v>17</v>
      </c>
      <c r="H55" s="51">
        <f>20-3</f>
        <v>17</v>
      </c>
      <c r="I55" s="51">
        <f>20-3</f>
        <v>17</v>
      </c>
      <c r="J55" s="48">
        <v>127527.31</v>
      </c>
      <c r="K55" s="48">
        <f>33955.33+11267.79*1.5</f>
        <v>50857.014999999999</v>
      </c>
      <c r="L55" s="49">
        <v>64669.32</v>
      </c>
      <c r="M55" s="48">
        <f t="shared" si="7"/>
        <v>243053.64500000002</v>
      </c>
      <c r="N55" s="48">
        <f>G55*J55</f>
        <v>2167964.27</v>
      </c>
      <c r="O55" s="48">
        <f>G55*K55</f>
        <v>864569.255</v>
      </c>
      <c r="P55" s="51"/>
      <c r="Q55" s="48">
        <f>G55*L55</f>
        <v>1099378.44</v>
      </c>
      <c r="R55" s="48"/>
      <c r="S55" s="48"/>
      <c r="T55" s="48">
        <f>SUM(N55:Q55)</f>
        <v>4131911.9649999999</v>
      </c>
      <c r="U55" s="48">
        <f t="shared" ref="U55:V62" si="50">T55</f>
        <v>4131911.9649999999</v>
      </c>
      <c r="V55" s="48">
        <f t="shared" si="50"/>
        <v>4131911.9649999999</v>
      </c>
      <c r="X55" s="44">
        <f>W54-U53</f>
        <v>-12698589.855000002</v>
      </c>
    </row>
    <row r="56" spans="1:29" ht="28.9" customHeight="1" x14ac:dyDescent="0.25">
      <c r="A56" s="43"/>
      <c r="B56" s="47" t="s">
        <v>356</v>
      </c>
      <c r="C56" s="301"/>
      <c r="D56" s="47" t="s">
        <v>128</v>
      </c>
      <c r="E56" s="51">
        <v>4</v>
      </c>
      <c r="F56" s="51">
        <v>4</v>
      </c>
      <c r="G56" s="51">
        <f t="shared" si="49"/>
        <v>4</v>
      </c>
      <c r="H56" s="51">
        <v>4</v>
      </c>
      <c r="I56" s="51">
        <v>4</v>
      </c>
      <c r="J56" s="48">
        <v>127527.31</v>
      </c>
      <c r="K56" s="48">
        <f>33955.33+11267.79*1.5</f>
        <v>50857.014999999999</v>
      </c>
      <c r="L56" s="49">
        <v>64669.32</v>
      </c>
      <c r="M56" s="48">
        <f t="shared" si="7"/>
        <v>243053.64500000002</v>
      </c>
      <c r="N56" s="48">
        <f>G56*J56</f>
        <v>510109.24</v>
      </c>
      <c r="O56" s="48">
        <f t="shared" ref="O56" si="51">G56*K56</f>
        <v>203428.06</v>
      </c>
      <c r="P56" s="51"/>
      <c r="Q56" s="48">
        <f t="shared" ref="Q56:Q58" si="52">G56*L56</f>
        <v>258677.28</v>
      </c>
      <c r="R56" s="48"/>
      <c r="S56" s="48"/>
      <c r="T56" s="48">
        <f>SUM(N56:Q56)</f>
        <v>972214.58000000007</v>
      </c>
      <c r="U56" s="48">
        <f t="shared" si="50"/>
        <v>972214.58000000007</v>
      </c>
      <c r="V56" s="48">
        <f t="shared" si="50"/>
        <v>972214.58000000007</v>
      </c>
    </row>
    <row r="57" spans="1:29" ht="23.45" customHeight="1" x14ac:dyDescent="0.25">
      <c r="A57" s="43"/>
      <c r="B57" s="47" t="s">
        <v>356</v>
      </c>
      <c r="C57" s="301"/>
      <c r="D57" s="47" t="s">
        <v>128</v>
      </c>
      <c r="E57" s="51">
        <v>21</v>
      </c>
      <c r="F57" s="51">
        <v>21</v>
      </c>
      <c r="G57" s="51">
        <f t="shared" ref="G57" si="53">((E57*8)+(F57*4))/12</f>
        <v>21</v>
      </c>
      <c r="H57" s="51">
        <v>21</v>
      </c>
      <c r="I57" s="51">
        <v>21</v>
      </c>
      <c r="J57" s="48">
        <v>95705.64</v>
      </c>
      <c r="K57" s="48">
        <f>25496.5+11267.79</f>
        <v>36764.29</v>
      </c>
      <c r="L57" s="49">
        <v>64670.32</v>
      </c>
      <c r="M57" s="48">
        <f t="shared" ref="M57" si="54">J57+K57+L57</f>
        <v>197140.25</v>
      </c>
      <c r="N57" s="48">
        <f>G57*J57</f>
        <v>2009818.44</v>
      </c>
      <c r="O57" s="48">
        <f t="shared" ref="O57" si="55">G57*K57</f>
        <v>772050.09</v>
      </c>
      <c r="P57" s="51"/>
      <c r="Q57" s="48">
        <f t="shared" ref="Q57" si="56">G57*L57</f>
        <v>1358076.72</v>
      </c>
      <c r="R57" s="48"/>
      <c r="S57" s="48"/>
      <c r="T57" s="48">
        <f>SUM(N57:Q57)</f>
        <v>4139945.25</v>
      </c>
      <c r="U57" s="48">
        <f t="shared" ref="U57" si="57">T57</f>
        <v>4139945.25</v>
      </c>
      <c r="V57" s="48">
        <f t="shared" ref="V57" si="58">U57</f>
        <v>4139945.25</v>
      </c>
    </row>
    <row r="58" spans="1:29" ht="25.9" customHeight="1" x14ac:dyDescent="0.25">
      <c r="A58" s="43" t="s">
        <v>366</v>
      </c>
      <c r="B58" s="47" t="s">
        <v>365</v>
      </c>
      <c r="C58" s="301"/>
      <c r="D58" s="47" t="s">
        <v>128</v>
      </c>
      <c r="E58" s="51">
        <v>2</v>
      </c>
      <c r="F58" s="51">
        <v>2</v>
      </c>
      <c r="G58" s="51">
        <f t="shared" si="49"/>
        <v>2</v>
      </c>
      <c r="H58" s="51">
        <v>2</v>
      </c>
      <c r="I58" s="51">
        <v>2</v>
      </c>
      <c r="J58" s="48">
        <v>95705.64</v>
      </c>
      <c r="K58" s="48">
        <f>25496.5+11267.79</f>
        <v>36764.29</v>
      </c>
      <c r="L58" s="49">
        <v>64669.32</v>
      </c>
      <c r="M58" s="48">
        <f t="shared" si="7"/>
        <v>197139.25</v>
      </c>
      <c r="N58" s="48">
        <f>G58*J58</f>
        <v>191411.28</v>
      </c>
      <c r="O58" s="48">
        <f>G58*K58+5633.89</f>
        <v>79162.47</v>
      </c>
      <c r="P58" s="51"/>
      <c r="Q58" s="48">
        <f t="shared" si="52"/>
        <v>129338.64</v>
      </c>
      <c r="R58" s="48"/>
      <c r="S58" s="48"/>
      <c r="T58" s="48">
        <f>SUM(N58:Q58)</f>
        <v>399912.39</v>
      </c>
      <c r="U58" s="48">
        <f t="shared" si="50"/>
        <v>399912.39</v>
      </c>
      <c r="V58" s="48">
        <f t="shared" si="50"/>
        <v>399912.39</v>
      </c>
    </row>
    <row r="59" spans="1:29" ht="24" customHeight="1" x14ac:dyDescent="0.25">
      <c r="A59" s="47"/>
      <c r="B59" s="47" t="s">
        <v>354</v>
      </c>
      <c r="C59" s="299"/>
      <c r="D59" s="47" t="s">
        <v>128</v>
      </c>
      <c r="E59" s="51">
        <f>58+1-5</f>
        <v>54</v>
      </c>
      <c r="F59" s="51">
        <f>58+1-5</f>
        <v>54</v>
      </c>
      <c r="G59" s="51">
        <f t="shared" si="49"/>
        <v>54</v>
      </c>
      <c r="H59" s="51">
        <f>58+1-5</f>
        <v>54</v>
      </c>
      <c r="I59" s="51">
        <f>58+1-5</f>
        <v>54</v>
      </c>
      <c r="J59" s="48">
        <v>95705.64</v>
      </c>
      <c r="K59" s="48">
        <f>25496.5+11267.79</f>
        <v>36764.29</v>
      </c>
      <c r="L59" s="49">
        <v>64669.32</v>
      </c>
      <c r="M59" s="48">
        <f t="shared" si="7"/>
        <v>197139.25</v>
      </c>
      <c r="N59" s="48">
        <f>G59*J59</f>
        <v>5168104.5599999996</v>
      </c>
      <c r="O59" s="48">
        <f>G59*K59</f>
        <v>1985271.6600000001</v>
      </c>
      <c r="P59" s="51"/>
      <c r="Q59" s="48">
        <f>G59*L59</f>
        <v>3492143.28</v>
      </c>
      <c r="R59" s="48"/>
      <c r="S59" s="48"/>
      <c r="T59" s="48">
        <f>SUM(N59:Q59)</f>
        <v>10645519.5</v>
      </c>
      <c r="U59" s="48">
        <f t="shared" si="50"/>
        <v>10645519.5</v>
      </c>
      <c r="V59" s="48">
        <f t="shared" si="50"/>
        <v>10645519.5</v>
      </c>
    </row>
    <row r="60" spans="1:29" ht="28.9" hidden="1" customHeight="1" x14ac:dyDescent="0.25">
      <c r="A60" s="47"/>
      <c r="B60" s="41" t="s">
        <v>137</v>
      </c>
      <c r="C60" s="47" t="s">
        <v>45</v>
      </c>
      <c r="D60" s="47"/>
      <c r="E60" s="51"/>
      <c r="F60" s="51"/>
      <c r="G60" s="51"/>
      <c r="H60" s="51"/>
      <c r="I60" s="51"/>
      <c r="J60" s="48"/>
      <c r="K60" s="48">
        <f t="shared" si="47"/>
        <v>25908.217039320003</v>
      </c>
      <c r="L60" s="48">
        <v>0</v>
      </c>
      <c r="M60" s="48">
        <v>0</v>
      </c>
      <c r="N60" s="51"/>
      <c r="O60" s="48"/>
      <c r="P60" s="51"/>
      <c r="Q60" s="48"/>
      <c r="R60" s="48"/>
      <c r="S60" s="48"/>
      <c r="T60" s="48">
        <f>N60</f>
        <v>0</v>
      </c>
      <c r="U60" s="48">
        <f t="shared" si="50"/>
        <v>0</v>
      </c>
      <c r="V60" s="48">
        <f t="shared" si="50"/>
        <v>0</v>
      </c>
    </row>
    <row r="61" spans="1:29" ht="31.15" hidden="1" customHeight="1" x14ac:dyDescent="0.25">
      <c r="A61" s="47"/>
      <c r="B61" s="41" t="s">
        <v>138</v>
      </c>
      <c r="C61" s="47"/>
      <c r="D61" s="47"/>
      <c r="E61" s="51"/>
      <c r="F61" s="51"/>
      <c r="G61" s="51"/>
      <c r="H61" s="51"/>
      <c r="I61" s="51"/>
      <c r="J61" s="48"/>
      <c r="K61" s="48">
        <f t="shared" si="47"/>
        <v>25908.217039320003</v>
      </c>
      <c r="L61" s="48">
        <v>0</v>
      </c>
      <c r="M61" s="48">
        <v>0</v>
      </c>
      <c r="N61" s="51"/>
      <c r="O61" s="48"/>
      <c r="P61" s="51"/>
      <c r="Q61" s="48"/>
      <c r="R61" s="48"/>
      <c r="S61" s="48"/>
      <c r="T61" s="48">
        <f>O61</f>
        <v>0</v>
      </c>
      <c r="U61" s="48">
        <f t="shared" si="50"/>
        <v>0</v>
      </c>
      <c r="V61" s="48">
        <f t="shared" si="50"/>
        <v>0</v>
      </c>
    </row>
    <row r="62" spans="1:29" ht="58.15" customHeight="1" x14ac:dyDescent="0.25">
      <c r="A62" s="43" t="s">
        <v>131</v>
      </c>
      <c r="B62" s="47" t="s">
        <v>132</v>
      </c>
      <c r="C62" s="47" t="s">
        <v>55</v>
      </c>
      <c r="D62" s="47" t="s">
        <v>128</v>
      </c>
      <c r="E62" s="51">
        <f>SUM(E55:E61)</f>
        <v>98</v>
      </c>
      <c r="F62" s="51">
        <f>SUM(F55:F61)</f>
        <v>98</v>
      </c>
      <c r="G62" s="52">
        <f>G55+G56+G58+G59+G57</f>
        <v>98</v>
      </c>
      <c r="H62" s="52">
        <f>SUM(H55:H61)</f>
        <v>98</v>
      </c>
      <c r="I62" s="52">
        <f>SUM(I55:I61)</f>
        <v>98</v>
      </c>
      <c r="J62" s="48">
        <v>0</v>
      </c>
      <c r="K62" s="48">
        <v>0</v>
      </c>
      <c r="L62" s="49">
        <f>70953.15-L63</f>
        <v>53817.899999999994</v>
      </c>
      <c r="M62" s="48">
        <f t="shared" si="7"/>
        <v>53817.899999999994</v>
      </c>
      <c r="N62" s="48">
        <f>G62*J62</f>
        <v>0</v>
      </c>
      <c r="O62" s="48">
        <f>G62*K62</f>
        <v>0</v>
      </c>
      <c r="P62" s="51"/>
      <c r="Q62" s="49">
        <f>G62*L62</f>
        <v>5274154.1999999993</v>
      </c>
      <c r="R62" s="48"/>
      <c r="S62" s="48"/>
      <c r="T62" s="48">
        <f>SUM(N62:Q62)</f>
        <v>5274154.1999999993</v>
      </c>
      <c r="U62" s="48">
        <f>T62</f>
        <v>5274154.1999999993</v>
      </c>
      <c r="V62" s="48">
        <f t="shared" si="50"/>
        <v>5274154.1999999993</v>
      </c>
    </row>
    <row r="63" spans="1:29" ht="21" customHeight="1" x14ac:dyDescent="0.25">
      <c r="A63" s="47" t="s">
        <v>588</v>
      </c>
      <c r="B63" s="47" t="s">
        <v>132</v>
      </c>
      <c r="C63" s="47" t="s">
        <v>133</v>
      </c>
      <c r="D63" s="47"/>
      <c r="E63" s="51"/>
      <c r="F63" s="51"/>
      <c r="G63" s="52">
        <f>G62</f>
        <v>98</v>
      </c>
      <c r="H63" s="52">
        <f>H62</f>
        <v>98</v>
      </c>
      <c r="I63" s="52">
        <f>I62</f>
        <v>98</v>
      </c>
      <c r="J63" s="48"/>
      <c r="K63" s="48"/>
      <c r="L63" s="49">
        <v>17135.25</v>
      </c>
      <c r="M63" s="48">
        <f t="shared" si="7"/>
        <v>17135.25</v>
      </c>
      <c r="N63" s="51"/>
      <c r="O63" s="48"/>
      <c r="P63" s="51"/>
      <c r="Q63" s="48"/>
      <c r="R63" s="48"/>
      <c r="S63" s="48">
        <f>G63*L63</f>
        <v>1679254.5</v>
      </c>
      <c r="T63" s="48">
        <f>S63</f>
        <v>1679254.5</v>
      </c>
      <c r="U63" s="48">
        <f>T63</f>
        <v>1679254.5</v>
      </c>
      <c r="V63" s="48">
        <f>U63</f>
        <v>1679254.5</v>
      </c>
    </row>
    <row r="64" spans="1:29" ht="21" customHeight="1" x14ac:dyDescent="0.25">
      <c r="A64" s="46" t="s">
        <v>142</v>
      </c>
      <c r="B64" s="46"/>
      <c r="C64" s="46"/>
      <c r="D64" s="46"/>
      <c r="E64" s="52"/>
      <c r="F64" s="52"/>
      <c r="G64" s="52"/>
      <c r="H64" s="52"/>
      <c r="I64" s="52"/>
      <c r="J64" s="49"/>
      <c r="K64" s="48"/>
      <c r="L64" s="49"/>
      <c r="M64" s="48">
        <f t="shared" si="7"/>
        <v>0</v>
      </c>
      <c r="N64" s="49">
        <f>N65</f>
        <v>13107508.380000001</v>
      </c>
      <c r="O64" s="49">
        <f>O65</f>
        <v>5072880.1499999994</v>
      </c>
      <c r="P64" s="49"/>
      <c r="Q64" s="49">
        <f>Q65+Q77</f>
        <v>12796623.759999998</v>
      </c>
      <c r="R64" s="49"/>
      <c r="S64" s="49">
        <f>S78</f>
        <v>1850607</v>
      </c>
      <c r="T64" s="49">
        <f>T65+T77+T78</f>
        <v>32827619.289999992</v>
      </c>
      <c r="U64" s="49">
        <f>U65+U77+U78</f>
        <v>32827619.289999992</v>
      </c>
      <c r="V64" s="49">
        <f>V65+V77+V78</f>
        <v>32827619.289999992</v>
      </c>
      <c r="W64" s="38">
        <v>10602392.789999999</v>
      </c>
      <c r="X64" s="44">
        <f>W64-Q64</f>
        <v>-2194230.9699999988</v>
      </c>
      <c r="Y64" s="50">
        <f>X64/G77</f>
        <v>-20316.953425925916</v>
      </c>
      <c r="AA64" s="38">
        <v>11530755.789999999</v>
      </c>
      <c r="AB64" s="44">
        <f>AA64-Q64</f>
        <v>-1265867.9699999988</v>
      </c>
      <c r="AC64" s="38">
        <f>AB64/I77</f>
        <v>-11720.999722222212</v>
      </c>
    </row>
    <row r="65" spans="1:29" ht="73.150000000000006" customHeight="1" x14ac:dyDescent="0.25">
      <c r="A65" s="43" t="s">
        <v>125</v>
      </c>
      <c r="B65" s="41" t="s">
        <v>126</v>
      </c>
      <c r="C65" s="41"/>
      <c r="D65" s="47"/>
      <c r="E65" s="51"/>
      <c r="F65" s="51"/>
      <c r="G65" s="51"/>
      <c r="H65" s="51"/>
      <c r="I65" s="51"/>
      <c r="J65" s="48"/>
      <c r="K65" s="48"/>
      <c r="L65" s="48"/>
      <c r="M65" s="48"/>
      <c r="N65" s="48">
        <f>SUM(N66:N76)</f>
        <v>13107508.380000001</v>
      </c>
      <c r="O65" s="48">
        <f>SUM(O66:O76)</f>
        <v>5072880.1499999994</v>
      </c>
      <c r="P65" s="51"/>
      <c r="Q65" s="49">
        <f>SUM(Q66:Q76)</f>
        <v>6984290.5599999996</v>
      </c>
      <c r="R65" s="48"/>
      <c r="S65" s="48"/>
      <c r="T65" s="48">
        <f>SUM(T66:T76)</f>
        <v>25164679.089999992</v>
      </c>
      <c r="U65" s="48">
        <f>SUM(U66:U76)</f>
        <v>25164679.089999992</v>
      </c>
      <c r="V65" s="48">
        <f>SUM(V66:V76)</f>
        <v>25164679.089999992</v>
      </c>
      <c r="W65" s="44">
        <v>23072309.280000001</v>
      </c>
      <c r="AA65" s="44">
        <f>23072309.28+U78</f>
        <v>24922916.280000001</v>
      </c>
      <c r="AB65" s="44">
        <f>U64-AA65</f>
        <v>7904703.0099999905</v>
      </c>
    </row>
    <row r="66" spans="1:29" ht="48" customHeight="1" x14ac:dyDescent="0.25">
      <c r="A66" s="43"/>
      <c r="B66" s="47" t="s">
        <v>127</v>
      </c>
      <c r="C66" s="261" t="s">
        <v>304</v>
      </c>
      <c r="D66" s="47" t="s">
        <v>128</v>
      </c>
      <c r="E66" s="51">
        <v>17</v>
      </c>
      <c r="F66" s="51">
        <v>17</v>
      </c>
      <c r="G66" s="51">
        <f t="shared" ref="G66:G76" si="59">((E66*8)+(F66*4))/12</f>
        <v>17</v>
      </c>
      <c r="H66" s="51">
        <v>17</v>
      </c>
      <c r="I66" s="51">
        <v>17</v>
      </c>
      <c r="J66" s="48">
        <v>62813.1</v>
      </c>
      <c r="K66" s="48">
        <f>33955.33+10788.57</f>
        <v>44743.9</v>
      </c>
      <c r="L66" s="49">
        <v>64669.32</v>
      </c>
      <c r="M66" s="48">
        <f t="shared" si="7"/>
        <v>172226.32</v>
      </c>
      <c r="N66" s="48">
        <f t="shared" ref="N66:N76" si="60">G66*J66</f>
        <v>1067822.7</v>
      </c>
      <c r="O66" s="48">
        <f t="shared" ref="O66:O76" si="61">G66*K66</f>
        <v>760646.3</v>
      </c>
      <c r="P66" s="51"/>
      <c r="Q66" s="48">
        <f>G66*L66</f>
        <v>1099378.44</v>
      </c>
      <c r="R66" s="48"/>
      <c r="S66" s="48"/>
      <c r="T66" s="48">
        <f t="shared" ref="T66:T71" si="62">SUM(N66:Q66)</f>
        <v>2927847.44</v>
      </c>
      <c r="U66" s="48">
        <f t="shared" ref="U66:V77" si="63">T66</f>
        <v>2927847.44</v>
      </c>
      <c r="V66" s="48">
        <f t="shared" si="63"/>
        <v>2927847.44</v>
      </c>
      <c r="X66" s="44">
        <f>W65-U64</f>
        <v>-9755310.0099999905</v>
      </c>
    </row>
    <row r="67" spans="1:29" ht="51" customHeight="1" x14ac:dyDescent="0.25">
      <c r="A67" s="43"/>
      <c r="B67" s="47" t="s">
        <v>354</v>
      </c>
      <c r="C67" s="262"/>
      <c r="D67" s="47" t="s">
        <v>128</v>
      </c>
      <c r="E67" s="51">
        <v>4</v>
      </c>
      <c r="F67" s="51">
        <v>4</v>
      </c>
      <c r="G67" s="51">
        <f t="shared" ref="G67" si="64">((E67*8)+(F67*4))/12</f>
        <v>4</v>
      </c>
      <c r="H67" s="51">
        <v>4</v>
      </c>
      <c r="I67" s="51">
        <v>4</v>
      </c>
      <c r="J67" s="48">
        <v>62813.1</v>
      </c>
      <c r="K67" s="48">
        <f>33955.33+10788.57</f>
        <v>44743.9</v>
      </c>
      <c r="L67" s="49">
        <v>64670.32</v>
      </c>
      <c r="M67" s="48">
        <f t="shared" ref="M67" si="65">J67+K67+L67</f>
        <v>172227.32</v>
      </c>
      <c r="N67" s="48">
        <f t="shared" ref="N67" si="66">G67*J67</f>
        <v>251252.4</v>
      </c>
      <c r="O67" s="48">
        <f t="shared" ref="O67" si="67">G67*K67</f>
        <v>178975.6</v>
      </c>
      <c r="P67" s="51"/>
      <c r="Q67" s="48">
        <f>G67*L67</f>
        <v>258681.28</v>
      </c>
      <c r="R67" s="48"/>
      <c r="S67" s="48"/>
      <c r="T67" s="48">
        <f t="shared" ref="T67" si="68">SUM(N67:Q67)</f>
        <v>688909.28</v>
      </c>
      <c r="U67" s="48">
        <f t="shared" ref="U67" si="69">T67</f>
        <v>688909.28</v>
      </c>
      <c r="V67" s="48">
        <f t="shared" ref="V67" si="70">U67</f>
        <v>688909.28</v>
      </c>
      <c r="X67" s="44"/>
    </row>
    <row r="68" spans="1:29" ht="108.6" customHeight="1" x14ac:dyDescent="0.25">
      <c r="A68" s="47"/>
      <c r="B68" s="47" t="s">
        <v>356</v>
      </c>
      <c r="C68" s="43" t="s">
        <v>490</v>
      </c>
      <c r="D68" s="47" t="s">
        <v>128</v>
      </c>
      <c r="E68" s="51">
        <v>27</v>
      </c>
      <c r="F68" s="51">
        <v>27</v>
      </c>
      <c r="G68" s="51">
        <f t="shared" si="59"/>
        <v>27</v>
      </c>
      <c r="H68" s="51">
        <v>27</v>
      </c>
      <c r="I68" s="51">
        <v>27</v>
      </c>
      <c r="J68" s="48">
        <v>209100.19</v>
      </c>
      <c r="K68" s="48">
        <f>50873.01+10788.57*2</f>
        <v>72450.149999999994</v>
      </c>
      <c r="L68" s="49">
        <v>64669.32</v>
      </c>
      <c r="M68" s="48">
        <f t="shared" si="7"/>
        <v>346219.66</v>
      </c>
      <c r="N68" s="48">
        <f t="shared" si="60"/>
        <v>5645705.1299999999</v>
      </c>
      <c r="O68" s="48">
        <f t="shared" si="61"/>
        <v>1956154.0499999998</v>
      </c>
      <c r="P68" s="51"/>
      <c r="Q68" s="48">
        <f>G68*L68</f>
        <v>1746071.64</v>
      </c>
      <c r="R68" s="48"/>
      <c r="S68" s="48"/>
      <c r="T68" s="48">
        <f t="shared" si="62"/>
        <v>9347930.8200000003</v>
      </c>
      <c r="U68" s="48">
        <f t="shared" si="63"/>
        <v>9347930.8200000003</v>
      </c>
      <c r="V68" s="48">
        <f t="shared" si="63"/>
        <v>9347930.8200000003</v>
      </c>
    </row>
    <row r="69" spans="1:29" ht="42.6" customHeight="1" x14ac:dyDescent="0.25">
      <c r="A69" s="47" t="s">
        <v>366</v>
      </c>
      <c r="B69" s="47" t="s">
        <v>356</v>
      </c>
      <c r="C69" s="300" t="s">
        <v>489</v>
      </c>
      <c r="D69" s="47" t="s">
        <v>128</v>
      </c>
      <c r="E69" s="51">
        <v>1</v>
      </c>
      <c r="F69" s="51">
        <v>1</v>
      </c>
      <c r="G69" s="52">
        <f t="shared" si="59"/>
        <v>1</v>
      </c>
      <c r="H69" s="52">
        <v>1</v>
      </c>
      <c r="I69" s="52">
        <v>1</v>
      </c>
      <c r="J69" s="48">
        <v>95705.64</v>
      </c>
      <c r="K69" s="48">
        <f>25496.5+10788.57</f>
        <v>36285.07</v>
      </c>
      <c r="L69" s="49">
        <v>64669.32</v>
      </c>
      <c r="M69" s="48">
        <f t="shared" si="7"/>
        <v>196660.03</v>
      </c>
      <c r="N69" s="48">
        <f t="shared" si="60"/>
        <v>95705.64</v>
      </c>
      <c r="O69" s="48">
        <f t="shared" si="61"/>
        <v>36285.07</v>
      </c>
      <c r="P69" s="51"/>
      <c r="Q69" s="48">
        <f t="shared" ref="Q69:Q70" si="71">G69*L69</f>
        <v>64669.32</v>
      </c>
      <c r="R69" s="48"/>
      <c r="S69" s="48"/>
      <c r="T69" s="48">
        <f t="shared" si="62"/>
        <v>196660.03</v>
      </c>
      <c r="U69" s="48">
        <f t="shared" si="63"/>
        <v>196660.03</v>
      </c>
      <c r="V69" s="48">
        <f t="shared" si="63"/>
        <v>196660.03</v>
      </c>
    </row>
    <row r="70" spans="1:29" ht="42.6" customHeight="1" x14ac:dyDescent="0.25">
      <c r="A70" s="43"/>
      <c r="B70" s="47" t="s">
        <v>356</v>
      </c>
      <c r="C70" s="271"/>
      <c r="D70" s="47" t="s">
        <v>128</v>
      </c>
      <c r="E70" s="51">
        <v>11</v>
      </c>
      <c r="F70" s="51">
        <v>11</v>
      </c>
      <c r="G70" s="51">
        <f t="shared" si="59"/>
        <v>11</v>
      </c>
      <c r="H70" s="51">
        <v>11</v>
      </c>
      <c r="I70" s="51">
        <v>11</v>
      </c>
      <c r="J70" s="48">
        <v>95705.64</v>
      </c>
      <c r="K70" s="48">
        <f>25496.5+10788.57</f>
        <v>36285.07</v>
      </c>
      <c r="L70" s="49">
        <v>64669.32</v>
      </c>
      <c r="M70" s="48">
        <f t="shared" si="7"/>
        <v>196660.03</v>
      </c>
      <c r="N70" s="48">
        <f t="shared" si="60"/>
        <v>1052762.04</v>
      </c>
      <c r="O70" s="48">
        <f t="shared" si="61"/>
        <v>399135.77</v>
      </c>
      <c r="P70" s="51"/>
      <c r="Q70" s="48">
        <f t="shared" si="71"/>
        <v>711362.52</v>
      </c>
      <c r="R70" s="48"/>
      <c r="S70" s="48"/>
      <c r="T70" s="48">
        <f t="shared" si="62"/>
        <v>2163260.33</v>
      </c>
      <c r="U70" s="48">
        <f t="shared" si="63"/>
        <v>2163260.33</v>
      </c>
      <c r="V70" s="48">
        <f t="shared" si="63"/>
        <v>2163260.33</v>
      </c>
    </row>
    <row r="71" spans="1:29" ht="46.15" customHeight="1" x14ac:dyDescent="0.25">
      <c r="A71" s="47"/>
      <c r="B71" s="47" t="s">
        <v>354</v>
      </c>
      <c r="C71" s="272"/>
      <c r="D71" s="47" t="s">
        <v>128</v>
      </c>
      <c r="E71" s="51">
        <v>48</v>
      </c>
      <c r="F71" s="51">
        <v>48</v>
      </c>
      <c r="G71" s="51">
        <f t="shared" si="59"/>
        <v>48</v>
      </c>
      <c r="H71" s="51">
        <v>48</v>
      </c>
      <c r="I71" s="51">
        <v>48</v>
      </c>
      <c r="J71" s="48">
        <v>95705.64</v>
      </c>
      <c r="K71" s="48">
        <f>25496.5+10788.57</f>
        <v>36285.07</v>
      </c>
      <c r="L71" s="49">
        <v>64669.32</v>
      </c>
      <c r="M71" s="48">
        <f t="shared" si="7"/>
        <v>196660.03</v>
      </c>
      <c r="N71" s="48">
        <f t="shared" si="60"/>
        <v>4593870.72</v>
      </c>
      <c r="O71" s="49">
        <f t="shared" si="61"/>
        <v>1741683.3599999999</v>
      </c>
      <c r="P71" s="51"/>
      <c r="Q71" s="48">
        <f>G71*L71</f>
        <v>3104127.36</v>
      </c>
      <c r="R71" s="48"/>
      <c r="S71" s="48"/>
      <c r="T71" s="48">
        <f t="shared" si="62"/>
        <v>9439681.4399999995</v>
      </c>
      <c r="U71" s="48">
        <f t="shared" si="63"/>
        <v>9439681.4399999995</v>
      </c>
      <c r="V71" s="48">
        <f t="shared" si="63"/>
        <v>9439681.4399999995</v>
      </c>
      <c r="W71" s="44">
        <f>T71-U71</f>
        <v>0</v>
      </c>
    </row>
    <row r="72" spans="1:29" ht="95.45" customHeight="1" x14ac:dyDescent="0.25">
      <c r="A72" s="47"/>
      <c r="B72" s="47" t="s">
        <v>356</v>
      </c>
      <c r="C72" s="238" t="s">
        <v>491</v>
      </c>
      <c r="D72" s="47" t="s">
        <v>128</v>
      </c>
      <c r="E72" s="51">
        <v>27</v>
      </c>
      <c r="F72" s="51">
        <f>30-3</f>
        <v>27</v>
      </c>
      <c r="G72" s="51">
        <f t="shared" si="59"/>
        <v>27</v>
      </c>
      <c r="H72" s="51">
        <f>30-3</f>
        <v>27</v>
      </c>
      <c r="I72" s="51">
        <f>30-3</f>
        <v>27</v>
      </c>
      <c r="J72" s="48">
        <v>5558.83</v>
      </c>
      <c r="K72" s="48">
        <v>0</v>
      </c>
      <c r="L72" s="48">
        <v>0</v>
      </c>
      <c r="M72" s="48">
        <f t="shared" si="7"/>
        <v>5558.83</v>
      </c>
      <c r="N72" s="48">
        <f t="shared" si="60"/>
        <v>150088.41</v>
      </c>
      <c r="O72" s="48">
        <f t="shared" si="61"/>
        <v>0</v>
      </c>
      <c r="P72" s="51"/>
      <c r="Q72" s="48">
        <f>G72*L72</f>
        <v>0</v>
      </c>
      <c r="R72" s="48"/>
      <c r="S72" s="48"/>
      <c r="T72" s="48">
        <f>N72</f>
        <v>150088.41</v>
      </c>
      <c r="U72" s="48">
        <f t="shared" si="63"/>
        <v>150088.41</v>
      </c>
      <c r="V72" s="48">
        <f t="shared" si="63"/>
        <v>150088.41</v>
      </c>
      <c r="W72" s="44"/>
    </row>
    <row r="73" spans="1:29" ht="66.599999999999994" customHeight="1" x14ac:dyDescent="0.25">
      <c r="A73" s="47"/>
      <c r="B73" s="47" t="s">
        <v>356</v>
      </c>
      <c r="C73" s="261" t="s">
        <v>492</v>
      </c>
      <c r="D73" s="47" t="s">
        <v>128</v>
      </c>
      <c r="E73" s="51">
        <v>12</v>
      </c>
      <c r="F73" s="51">
        <v>12</v>
      </c>
      <c r="G73" s="51">
        <f t="shared" si="59"/>
        <v>12</v>
      </c>
      <c r="H73" s="51">
        <v>12</v>
      </c>
      <c r="I73" s="51">
        <v>12</v>
      </c>
      <c r="J73" s="48">
        <v>3090.14</v>
      </c>
      <c r="K73" s="48">
        <v>0</v>
      </c>
      <c r="L73" s="48">
        <v>0</v>
      </c>
      <c r="M73" s="48">
        <f t="shared" si="7"/>
        <v>3090.14</v>
      </c>
      <c r="N73" s="48">
        <f t="shared" si="60"/>
        <v>37081.68</v>
      </c>
      <c r="O73" s="48">
        <f t="shared" si="61"/>
        <v>0</v>
      </c>
      <c r="P73" s="51"/>
      <c r="Q73" s="48">
        <f>G73*L73</f>
        <v>0</v>
      </c>
      <c r="R73" s="48"/>
      <c r="S73" s="48"/>
      <c r="T73" s="48">
        <f>N73</f>
        <v>37081.68</v>
      </c>
      <c r="U73" s="48">
        <f t="shared" si="63"/>
        <v>37081.68</v>
      </c>
      <c r="V73" s="48">
        <f t="shared" si="63"/>
        <v>37081.68</v>
      </c>
    </row>
    <row r="74" spans="1:29" ht="27" customHeight="1" x14ac:dyDescent="0.25">
      <c r="A74" s="47"/>
      <c r="B74" s="47" t="s">
        <v>359</v>
      </c>
      <c r="C74" s="262"/>
      <c r="D74" s="47" t="s">
        <v>128</v>
      </c>
      <c r="E74" s="51">
        <v>48</v>
      </c>
      <c r="F74" s="51">
        <v>48</v>
      </c>
      <c r="G74" s="51">
        <f t="shared" si="59"/>
        <v>48</v>
      </c>
      <c r="H74" s="51">
        <v>48</v>
      </c>
      <c r="I74" s="51">
        <v>48</v>
      </c>
      <c r="J74" s="48">
        <v>3090.14</v>
      </c>
      <c r="K74" s="48">
        <v>0</v>
      </c>
      <c r="L74" s="48">
        <v>0</v>
      </c>
      <c r="M74" s="48">
        <f t="shared" si="7"/>
        <v>3090.14</v>
      </c>
      <c r="N74" s="48">
        <f t="shared" si="60"/>
        <v>148326.72</v>
      </c>
      <c r="O74" s="48">
        <f t="shared" si="61"/>
        <v>0</v>
      </c>
      <c r="P74" s="51"/>
      <c r="Q74" s="48">
        <f t="shared" ref="Q74:Q77" si="72">G74*L74</f>
        <v>0</v>
      </c>
      <c r="R74" s="48"/>
      <c r="S74" s="48"/>
      <c r="T74" s="48">
        <f>N74</f>
        <v>148326.72</v>
      </c>
      <c r="U74" s="48">
        <f t="shared" si="63"/>
        <v>148326.72</v>
      </c>
      <c r="V74" s="48">
        <f t="shared" si="63"/>
        <v>148326.72</v>
      </c>
    </row>
    <row r="75" spans="1:29" ht="27" customHeight="1" x14ac:dyDescent="0.25">
      <c r="A75" s="47"/>
      <c r="B75" s="47" t="s">
        <v>359</v>
      </c>
      <c r="C75" s="305" t="s">
        <v>306</v>
      </c>
      <c r="D75" s="47"/>
      <c r="E75" s="51">
        <v>4</v>
      </c>
      <c r="F75" s="51">
        <v>4</v>
      </c>
      <c r="G75" s="51">
        <f t="shared" si="59"/>
        <v>4</v>
      </c>
      <c r="H75" s="51">
        <v>4</v>
      </c>
      <c r="I75" s="51">
        <v>4</v>
      </c>
      <c r="J75" s="48">
        <v>3090.14</v>
      </c>
      <c r="K75" s="48">
        <v>0</v>
      </c>
      <c r="L75" s="48">
        <v>0</v>
      </c>
      <c r="M75" s="48">
        <f t="shared" ref="M75" si="73">J75+K75+L75</f>
        <v>3090.14</v>
      </c>
      <c r="N75" s="48">
        <f t="shared" ref="N75" si="74">G75*J75</f>
        <v>12360.56</v>
      </c>
      <c r="O75" s="48">
        <f t="shared" ref="O75" si="75">G75*K75</f>
        <v>0</v>
      </c>
      <c r="P75" s="51"/>
      <c r="Q75" s="48">
        <f t="shared" ref="Q75" si="76">G75*L75</f>
        <v>0</v>
      </c>
      <c r="R75" s="48"/>
      <c r="S75" s="48"/>
      <c r="T75" s="48">
        <f>N75</f>
        <v>12360.56</v>
      </c>
      <c r="U75" s="48">
        <f t="shared" ref="U75" si="77">T75</f>
        <v>12360.56</v>
      </c>
      <c r="V75" s="48">
        <f t="shared" ref="V75" si="78">U75</f>
        <v>12360.56</v>
      </c>
    </row>
    <row r="76" spans="1:29" ht="49.9" customHeight="1" x14ac:dyDescent="0.25">
      <c r="A76" s="47"/>
      <c r="B76" s="47" t="s">
        <v>127</v>
      </c>
      <c r="C76" s="305"/>
      <c r="D76" s="47" t="s">
        <v>128</v>
      </c>
      <c r="E76" s="51">
        <v>17</v>
      </c>
      <c r="F76" s="51">
        <v>17</v>
      </c>
      <c r="G76" s="51">
        <f t="shared" si="59"/>
        <v>17</v>
      </c>
      <c r="H76" s="51">
        <v>17</v>
      </c>
      <c r="I76" s="51">
        <v>17</v>
      </c>
      <c r="J76" s="48">
        <v>3090.14</v>
      </c>
      <c r="K76" s="48">
        <v>0</v>
      </c>
      <c r="L76" s="48">
        <v>0</v>
      </c>
      <c r="M76" s="48">
        <f t="shared" si="7"/>
        <v>3090.14</v>
      </c>
      <c r="N76" s="48">
        <f t="shared" si="60"/>
        <v>52532.38</v>
      </c>
      <c r="O76" s="48">
        <f t="shared" si="61"/>
        <v>0</v>
      </c>
      <c r="P76" s="51"/>
      <c r="Q76" s="48">
        <f t="shared" si="72"/>
        <v>0</v>
      </c>
      <c r="R76" s="48"/>
      <c r="S76" s="48"/>
      <c r="T76" s="48">
        <f>N76</f>
        <v>52532.38</v>
      </c>
      <c r="U76" s="48">
        <f t="shared" si="63"/>
        <v>52532.38</v>
      </c>
      <c r="V76" s="48">
        <f t="shared" si="63"/>
        <v>52532.38</v>
      </c>
    </row>
    <row r="77" spans="1:29" ht="59.45" customHeight="1" x14ac:dyDescent="0.25">
      <c r="A77" s="43" t="s">
        <v>131</v>
      </c>
      <c r="B77" s="47" t="s">
        <v>135</v>
      </c>
      <c r="C77" s="47" t="s">
        <v>55</v>
      </c>
      <c r="D77" s="47" t="s">
        <v>128</v>
      </c>
      <c r="E77" s="51">
        <f>E66+E68+E69+E71+E70+E67</f>
        <v>108</v>
      </c>
      <c r="F77" s="51">
        <f t="shared" ref="F77:I77" si="79">F66+F68+F69+F71+F70+F67</f>
        <v>108</v>
      </c>
      <c r="G77" s="51">
        <f t="shared" si="79"/>
        <v>108</v>
      </c>
      <c r="H77" s="51">
        <f t="shared" si="79"/>
        <v>108</v>
      </c>
      <c r="I77" s="51">
        <f t="shared" si="79"/>
        <v>108</v>
      </c>
      <c r="J77" s="48">
        <v>0</v>
      </c>
      <c r="K77" s="48">
        <v>0</v>
      </c>
      <c r="L77" s="49">
        <f>70953.15-L78</f>
        <v>53817.899999999994</v>
      </c>
      <c r="M77" s="48">
        <f>J77+K77+L77</f>
        <v>53817.899999999994</v>
      </c>
      <c r="N77" s="296">
        <f>E77*J77</f>
        <v>0</v>
      </c>
      <c r="O77" s="48">
        <f>G77*K77</f>
        <v>0</v>
      </c>
      <c r="P77" s="51"/>
      <c r="Q77" s="49">
        <f t="shared" si="72"/>
        <v>5812333.1999999993</v>
      </c>
      <c r="R77" s="48"/>
      <c r="S77" s="48"/>
      <c r="T77" s="48">
        <f>SUM(N77:Q77)</f>
        <v>5812333.1999999993</v>
      </c>
      <c r="U77" s="48">
        <f t="shared" si="63"/>
        <v>5812333.1999999993</v>
      </c>
      <c r="V77" s="48">
        <f t="shared" si="63"/>
        <v>5812333.1999999993</v>
      </c>
    </row>
    <row r="78" spans="1:29" ht="21" customHeight="1" x14ac:dyDescent="0.25">
      <c r="A78" s="47" t="s">
        <v>511</v>
      </c>
      <c r="B78" s="47" t="s">
        <v>135</v>
      </c>
      <c r="C78" s="47" t="s">
        <v>133</v>
      </c>
      <c r="D78" s="47"/>
      <c r="E78" s="51"/>
      <c r="F78" s="51"/>
      <c r="G78" s="52">
        <f>G77</f>
        <v>108</v>
      </c>
      <c r="H78" s="52">
        <f>H77</f>
        <v>108</v>
      </c>
      <c r="I78" s="52">
        <f>I77</f>
        <v>108</v>
      </c>
      <c r="J78" s="48">
        <v>0</v>
      </c>
      <c r="K78" s="48">
        <v>0</v>
      </c>
      <c r="L78" s="49">
        <v>17135.25</v>
      </c>
      <c r="M78" s="48">
        <f t="shared" si="7"/>
        <v>17135.25</v>
      </c>
      <c r="N78" s="51"/>
      <c r="O78" s="48"/>
      <c r="P78" s="51"/>
      <c r="Q78" s="48"/>
      <c r="R78" s="48"/>
      <c r="S78" s="48">
        <f>G78*L78</f>
        <v>1850607</v>
      </c>
      <c r="T78" s="48">
        <f>S78</f>
        <v>1850607</v>
      </c>
      <c r="U78" s="48">
        <f>T78</f>
        <v>1850607</v>
      </c>
      <c r="V78" s="48">
        <f>U78</f>
        <v>1850607</v>
      </c>
    </row>
    <row r="79" spans="1:29" ht="25.9" customHeight="1" x14ac:dyDescent="0.25">
      <c r="A79" s="46" t="s">
        <v>144</v>
      </c>
      <c r="B79" s="46"/>
      <c r="C79" s="46"/>
      <c r="D79" s="46"/>
      <c r="E79" s="52"/>
      <c r="F79" s="52"/>
      <c r="G79" s="52"/>
      <c r="H79" s="52"/>
      <c r="I79" s="52"/>
      <c r="J79" s="49"/>
      <c r="K79" s="48"/>
      <c r="L79" s="49"/>
      <c r="M79" s="48">
        <f t="shared" si="7"/>
        <v>0</v>
      </c>
      <c r="N79" s="49">
        <f>N80</f>
        <v>11040279.900000002</v>
      </c>
      <c r="O79" s="49">
        <f>O80</f>
        <v>4486076.3100000005</v>
      </c>
      <c r="P79" s="52"/>
      <c r="Q79" s="49">
        <f>Q80+Q90</f>
        <v>12441170.099999998</v>
      </c>
      <c r="R79" s="49"/>
      <c r="S79" s="49">
        <f>S91</f>
        <v>1799201.25</v>
      </c>
      <c r="T79" s="49">
        <f>T80+T90+T91</f>
        <v>29766727.559999995</v>
      </c>
      <c r="U79" s="49">
        <f>U80+U90+U91</f>
        <v>29766727.559999995</v>
      </c>
      <c r="V79" s="49">
        <f>V80+V90+V91</f>
        <v>29766727.559999995</v>
      </c>
      <c r="W79" s="44">
        <v>6315385.3799999999</v>
      </c>
      <c r="X79" s="44">
        <f>W79-Q79</f>
        <v>-6125784.7199999979</v>
      </c>
      <c r="Y79" s="38">
        <f>X79/G90</f>
        <v>-58340.806857142838</v>
      </c>
      <c r="AA79" s="38">
        <v>5964695.5300000003</v>
      </c>
      <c r="AB79" s="44">
        <f>AA79-Q79</f>
        <v>-6476474.5699999975</v>
      </c>
      <c r="AC79" s="38">
        <f>AB79/I90</f>
        <v>-61680.710190476166</v>
      </c>
    </row>
    <row r="80" spans="1:29" ht="72" customHeight="1" x14ac:dyDescent="0.25">
      <c r="A80" s="43" t="s">
        <v>125</v>
      </c>
      <c r="B80" s="41" t="s">
        <v>126</v>
      </c>
      <c r="C80" s="41"/>
      <c r="D80" s="47"/>
      <c r="E80" s="51"/>
      <c r="F80" s="51"/>
      <c r="G80" s="51"/>
      <c r="H80" s="51"/>
      <c r="I80" s="51"/>
      <c r="J80" s="48"/>
      <c r="K80" s="48"/>
      <c r="L80" s="48"/>
      <c r="M80" s="48"/>
      <c r="N80" s="48">
        <f>SUM(N81:N89)</f>
        <v>11040279.900000002</v>
      </c>
      <c r="O80" s="48">
        <f>SUM(O81:O89)</f>
        <v>4486076.3100000005</v>
      </c>
      <c r="P80" s="51"/>
      <c r="Q80" s="49">
        <f>SUM(Q81:Q89)</f>
        <v>6790290.5999999996</v>
      </c>
      <c r="R80" s="48"/>
      <c r="S80" s="48"/>
      <c r="T80" s="48">
        <f>SUM(T81:T89)</f>
        <v>22316646.809999995</v>
      </c>
      <c r="U80" s="48">
        <f>SUM(U81:U89)</f>
        <v>22316646.809999995</v>
      </c>
      <c r="V80" s="48">
        <f>SUM(V81:V89)</f>
        <v>22316646.809999995</v>
      </c>
      <c r="W80" s="44">
        <v>15874228.029999999</v>
      </c>
      <c r="AA80" s="44">
        <f>15874228.03+U91</f>
        <v>17673429.280000001</v>
      </c>
      <c r="AB80" s="44">
        <f>U79-AA80</f>
        <v>12093298.279999994</v>
      </c>
    </row>
    <row r="81" spans="1:29" ht="106.9" customHeight="1" x14ac:dyDescent="0.25">
      <c r="A81" s="43"/>
      <c r="B81" s="47" t="s">
        <v>127</v>
      </c>
      <c r="C81" s="43" t="s">
        <v>304</v>
      </c>
      <c r="D81" s="47" t="s">
        <v>128</v>
      </c>
      <c r="E81" s="51">
        <v>22</v>
      </c>
      <c r="F81" s="51">
        <v>22</v>
      </c>
      <c r="G81" s="51">
        <f t="shared" ref="G81:G89" si="80">((E81*8)+(F81*4))/12</f>
        <v>22</v>
      </c>
      <c r="H81" s="51">
        <v>22</v>
      </c>
      <c r="I81" s="51">
        <v>22</v>
      </c>
      <c r="J81" s="48">
        <v>62813.1</v>
      </c>
      <c r="K81" s="48">
        <f>33955.33+11267.79*1</f>
        <v>45223.12</v>
      </c>
      <c r="L81" s="49">
        <v>64669.32</v>
      </c>
      <c r="M81" s="48">
        <f t="shared" si="7"/>
        <v>172705.54</v>
      </c>
      <c r="N81" s="48">
        <f>G81*J81</f>
        <v>1381888.2</v>
      </c>
      <c r="O81" s="48">
        <f>G81*K81</f>
        <v>994908.64</v>
      </c>
      <c r="P81" s="51"/>
      <c r="Q81" s="48">
        <f>G81*L81</f>
        <v>1422725.04</v>
      </c>
      <c r="R81" s="48"/>
      <c r="S81" s="48"/>
      <c r="T81" s="48">
        <f>SUM(N81:Q81)</f>
        <v>3799521.88</v>
      </c>
      <c r="U81" s="48">
        <f>T81</f>
        <v>3799521.88</v>
      </c>
      <c r="V81" s="48">
        <f>U81</f>
        <v>3799521.88</v>
      </c>
    </row>
    <row r="82" spans="1:29" ht="106.9" customHeight="1" x14ac:dyDescent="0.25">
      <c r="A82" s="43"/>
      <c r="B82" s="47" t="s">
        <v>356</v>
      </c>
      <c r="C82" s="43" t="s">
        <v>535</v>
      </c>
      <c r="D82" s="47" t="s">
        <v>128</v>
      </c>
      <c r="E82" s="51">
        <v>12</v>
      </c>
      <c r="F82" s="51">
        <v>12</v>
      </c>
      <c r="G82" s="51">
        <f t="shared" ref="G82" si="81">((E82*8)+(F82*4))/12</f>
        <v>12</v>
      </c>
      <c r="H82" s="51">
        <v>12</v>
      </c>
      <c r="I82" s="51">
        <v>12</v>
      </c>
      <c r="J82" s="48">
        <v>209100.19</v>
      </c>
      <c r="K82" s="48">
        <f>50873.01+11267.79*2</f>
        <v>73408.59</v>
      </c>
      <c r="L82" s="49">
        <v>64670.32</v>
      </c>
      <c r="M82" s="48">
        <f t="shared" ref="M82" si="82">J82+K82+L82</f>
        <v>347179.10000000003</v>
      </c>
      <c r="N82" s="48">
        <f>G82*J82</f>
        <v>2509202.2800000003</v>
      </c>
      <c r="O82" s="48">
        <f>G82*K82</f>
        <v>880903.08</v>
      </c>
      <c r="P82" s="51"/>
      <c r="Q82" s="48">
        <f>G82*L82</f>
        <v>776043.84</v>
      </c>
      <c r="R82" s="48"/>
      <c r="S82" s="48"/>
      <c r="T82" s="48">
        <f>SUM(N82:Q82)</f>
        <v>4166149.2</v>
      </c>
      <c r="U82" s="48">
        <f>T82</f>
        <v>4166149.2</v>
      </c>
      <c r="V82" s="48">
        <f>U82</f>
        <v>4166149.2</v>
      </c>
    </row>
    <row r="83" spans="1:29" ht="48.6" customHeight="1" x14ac:dyDescent="0.25">
      <c r="A83" s="43"/>
      <c r="B83" s="47" t="s">
        <v>354</v>
      </c>
      <c r="C83" s="267" t="s">
        <v>536</v>
      </c>
      <c r="D83" s="47" t="s">
        <v>128</v>
      </c>
      <c r="E83" s="51">
        <v>59</v>
      </c>
      <c r="F83" s="51">
        <v>59</v>
      </c>
      <c r="G83" s="51">
        <f t="shared" si="80"/>
        <v>59</v>
      </c>
      <c r="H83" s="51">
        <v>59</v>
      </c>
      <c r="I83" s="51">
        <v>59</v>
      </c>
      <c r="J83" s="48">
        <v>95705.64</v>
      </c>
      <c r="K83" s="48">
        <f>25496.5+11267.79</f>
        <v>36764.29</v>
      </c>
      <c r="L83" s="49">
        <v>64669.32</v>
      </c>
      <c r="M83" s="48">
        <f t="shared" si="7"/>
        <v>197139.25</v>
      </c>
      <c r="N83" s="48">
        <f t="shared" ref="N83:N90" si="83">G83*J83</f>
        <v>5646632.7599999998</v>
      </c>
      <c r="O83" s="48">
        <f>G83*K83</f>
        <v>2169093.11</v>
      </c>
      <c r="P83" s="51"/>
      <c r="Q83" s="48">
        <f>G83*L83</f>
        <v>3815489.88</v>
      </c>
      <c r="R83" s="48"/>
      <c r="S83" s="48"/>
      <c r="T83" s="48">
        <f t="shared" ref="T83:T90" si="84">SUM(N83:Q83)</f>
        <v>11631215.75</v>
      </c>
      <c r="U83" s="48">
        <f t="shared" ref="U83:V90" si="85">T83</f>
        <v>11631215.75</v>
      </c>
      <c r="V83" s="48">
        <f>U83</f>
        <v>11631215.75</v>
      </c>
      <c r="X83" s="44">
        <f>W80-U79</f>
        <v>-13892499.529999996</v>
      </c>
    </row>
    <row r="84" spans="1:29" ht="40.15" customHeight="1" x14ac:dyDescent="0.25">
      <c r="A84" s="43"/>
      <c r="B84" s="47" t="s">
        <v>356</v>
      </c>
      <c r="C84" s="301"/>
      <c r="D84" s="47" t="s">
        <v>128</v>
      </c>
      <c r="E84" s="51">
        <v>11</v>
      </c>
      <c r="F84" s="51">
        <v>11</v>
      </c>
      <c r="G84" s="51">
        <f t="shared" si="80"/>
        <v>11</v>
      </c>
      <c r="H84" s="51">
        <v>11</v>
      </c>
      <c r="I84" s="51">
        <v>11</v>
      </c>
      <c r="J84" s="48">
        <v>95705.64</v>
      </c>
      <c r="K84" s="48">
        <f>25496.5+11267.79</f>
        <v>36764.29</v>
      </c>
      <c r="L84" s="49">
        <v>64669.32</v>
      </c>
      <c r="M84" s="48">
        <f t="shared" si="7"/>
        <v>197139.25</v>
      </c>
      <c r="N84" s="48">
        <f>G84*J84</f>
        <v>1052762.04</v>
      </c>
      <c r="O84" s="48">
        <f t="shared" ref="O84" si="86">G84*K84</f>
        <v>404407.19</v>
      </c>
      <c r="P84" s="51"/>
      <c r="Q84" s="48">
        <f t="shared" ref="Q84" si="87">G84*L84</f>
        <v>711362.52</v>
      </c>
      <c r="R84" s="48"/>
      <c r="S84" s="48"/>
      <c r="T84" s="48">
        <f>SUM(N84:Q84)</f>
        <v>2168531.75</v>
      </c>
      <c r="U84" s="48">
        <f t="shared" si="85"/>
        <v>2168531.75</v>
      </c>
      <c r="V84" s="48">
        <f t="shared" si="85"/>
        <v>2168531.75</v>
      </c>
    </row>
    <row r="85" spans="1:29" ht="39.6" customHeight="1" x14ac:dyDescent="0.25">
      <c r="A85" s="43" t="s">
        <v>366</v>
      </c>
      <c r="B85" s="47" t="s">
        <v>354</v>
      </c>
      <c r="C85" s="299"/>
      <c r="D85" s="47" t="s">
        <v>128</v>
      </c>
      <c r="E85" s="51">
        <v>1</v>
      </c>
      <c r="F85" s="51">
        <v>1</v>
      </c>
      <c r="G85" s="52">
        <f t="shared" si="80"/>
        <v>1</v>
      </c>
      <c r="H85" s="52">
        <v>1</v>
      </c>
      <c r="I85" s="52">
        <v>1</v>
      </c>
      <c r="J85" s="48">
        <v>95705.64</v>
      </c>
      <c r="K85" s="48">
        <f>25496.5+11267.79</f>
        <v>36764.29</v>
      </c>
      <c r="L85" s="49">
        <v>64669.32</v>
      </c>
      <c r="M85" s="48">
        <f t="shared" si="7"/>
        <v>197139.25</v>
      </c>
      <c r="N85" s="48">
        <f>G85*J85</f>
        <v>95705.64</v>
      </c>
      <c r="O85" s="48">
        <f>G85*K85</f>
        <v>36764.29</v>
      </c>
      <c r="P85" s="51"/>
      <c r="Q85" s="48">
        <f>G85*L85</f>
        <v>64669.32</v>
      </c>
      <c r="R85" s="48"/>
      <c r="S85" s="48"/>
      <c r="T85" s="48">
        <f t="shared" si="84"/>
        <v>197139.25</v>
      </c>
      <c r="U85" s="48">
        <f t="shared" si="85"/>
        <v>197139.25</v>
      </c>
      <c r="V85" s="48">
        <f>U85</f>
        <v>197139.25</v>
      </c>
    </row>
    <row r="86" spans="1:29" ht="85.9" customHeight="1" x14ac:dyDescent="0.25">
      <c r="A86" s="236"/>
      <c r="B86" s="47" t="s">
        <v>143</v>
      </c>
      <c r="C86" s="236" t="s">
        <v>307</v>
      </c>
      <c r="D86" s="47" t="s">
        <v>128</v>
      </c>
      <c r="E86" s="51">
        <v>22</v>
      </c>
      <c r="F86" s="51">
        <f>15+7</f>
        <v>22</v>
      </c>
      <c r="G86" s="51">
        <f t="shared" si="80"/>
        <v>22</v>
      </c>
      <c r="H86" s="51">
        <f>15+7</f>
        <v>22</v>
      </c>
      <c r="I86" s="51">
        <f>15+7</f>
        <v>22</v>
      </c>
      <c r="J86" s="48">
        <v>3090.14</v>
      </c>
      <c r="K86" s="48">
        <v>0</v>
      </c>
      <c r="L86" s="48">
        <v>0</v>
      </c>
      <c r="M86" s="48">
        <f t="shared" si="7"/>
        <v>3090.14</v>
      </c>
      <c r="N86" s="48">
        <f>G86*J86</f>
        <v>67983.08</v>
      </c>
      <c r="O86" s="48">
        <f t="shared" ref="O86:O89" si="88">G86*K86</f>
        <v>0</v>
      </c>
      <c r="P86" s="51"/>
      <c r="Q86" s="48">
        <f>G86*L86</f>
        <v>0</v>
      </c>
      <c r="R86" s="48"/>
      <c r="S86" s="48"/>
      <c r="T86" s="48">
        <f t="shared" si="84"/>
        <v>67983.08</v>
      </c>
      <c r="U86" s="48">
        <f t="shared" si="85"/>
        <v>67983.08</v>
      </c>
      <c r="V86" s="48">
        <f t="shared" si="85"/>
        <v>67983.08</v>
      </c>
    </row>
    <row r="87" spans="1:29" ht="105" customHeight="1" x14ac:dyDescent="0.25">
      <c r="A87" s="236"/>
      <c r="B87" s="47" t="s">
        <v>360</v>
      </c>
      <c r="C87" s="43" t="s">
        <v>535</v>
      </c>
      <c r="D87" s="47" t="s">
        <v>128</v>
      </c>
      <c r="E87" s="51">
        <v>12</v>
      </c>
      <c r="F87" s="51">
        <v>12</v>
      </c>
      <c r="G87" s="51">
        <f t="shared" si="80"/>
        <v>12</v>
      </c>
      <c r="H87" s="51">
        <v>12</v>
      </c>
      <c r="I87" s="51">
        <v>12</v>
      </c>
      <c r="J87" s="48">
        <v>5558.83</v>
      </c>
      <c r="K87" s="48">
        <v>0</v>
      </c>
      <c r="L87" s="48">
        <v>0</v>
      </c>
      <c r="M87" s="48">
        <f t="shared" ref="M87:M153" si="89">J87+K87+L87</f>
        <v>5558.83</v>
      </c>
      <c r="N87" s="48">
        <f t="shared" si="83"/>
        <v>66705.959999999992</v>
      </c>
      <c r="O87" s="48">
        <f t="shared" si="88"/>
        <v>0</v>
      </c>
      <c r="P87" s="51"/>
      <c r="Q87" s="48">
        <f>G87*L87</f>
        <v>0</v>
      </c>
      <c r="R87" s="48"/>
      <c r="S87" s="48"/>
      <c r="T87" s="48">
        <f t="shared" si="84"/>
        <v>66705.959999999992</v>
      </c>
      <c r="U87" s="48">
        <f t="shared" si="85"/>
        <v>66705.959999999992</v>
      </c>
      <c r="V87" s="48">
        <f>U87</f>
        <v>66705.959999999992</v>
      </c>
    </row>
    <row r="88" spans="1:29" ht="47.45" customHeight="1" x14ac:dyDescent="0.25">
      <c r="A88" s="236"/>
      <c r="B88" s="47" t="s">
        <v>360</v>
      </c>
      <c r="C88" s="261" t="s">
        <v>308</v>
      </c>
      <c r="D88" s="47" t="s">
        <v>128</v>
      </c>
      <c r="E88" s="51">
        <v>11</v>
      </c>
      <c r="F88" s="51">
        <v>11</v>
      </c>
      <c r="G88" s="51">
        <f t="shared" si="80"/>
        <v>11</v>
      </c>
      <c r="H88" s="51">
        <v>11</v>
      </c>
      <c r="I88" s="51">
        <v>11</v>
      </c>
      <c r="J88" s="48">
        <v>3090.14</v>
      </c>
      <c r="K88" s="48">
        <v>0</v>
      </c>
      <c r="L88" s="48">
        <v>0</v>
      </c>
      <c r="M88" s="48">
        <f t="shared" si="89"/>
        <v>3090.14</v>
      </c>
      <c r="N88" s="48">
        <f t="shared" si="83"/>
        <v>33991.54</v>
      </c>
      <c r="O88" s="48">
        <f t="shared" si="88"/>
        <v>0</v>
      </c>
      <c r="P88" s="51"/>
      <c r="Q88" s="48">
        <f t="shared" ref="Q88:Q89" si="90">G88*L88</f>
        <v>0</v>
      </c>
      <c r="R88" s="48"/>
      <c r="S88" s="48"/>
      <c r="T88" s="48">
        <f t="shared" si="84"/>
        <v>33991.54</v>
      </c>
      <c r="U88" s="48">
        <f t="shared" si="85"/>
        <v>33991.54</v>
      </c>
      <c r="V88" s="48">
        <f t="shared" si="85"/>
        <v>33991.54</v>
      </c>
    </row>
    <row r="89" spans="1:29" ht="43.15" customHeight="1" x14ac:dyDescent="0.25">
      <c r="A89" s="236"/>
      <c r="B89" s="47" t="s">
        <v>359</v>
      </c>
      <c r="C89" s="262"/>
      <c r="D89" s="47" t="s">
        <v>128</v>
      </c>
      <c r="E89" s="51">
        <v>60</v>
      </c>
      <c r="F89" s="51">
        <v>60</v>
      </c>
      <c r="G89" s="51">
        <f t="shared" si="80"/>
        <v>60</v>
      </c>
      <c r="H89" s="51">
        <v>60</v>
      </c>
      <c r="I89" s="51">
        <v>60</v>
      </c>
      <c r="J89" s="48">
        <v>3090.14</v>
      </c>
      <c r="K89" s="48">
        <v>0</v>
      </c>
      <c r="L89" s="48">
        <v>0</v>
      </c>
      <c r="M89" s="48">
        <f t="shared" si="89"/>
        <v>3090.14</v>
      </c>
      <c r="N89" s="48">
        <f>G89*J89</f>
        <v>185408.4</v>
      </c>
      <c r="O89" s="48">
        <f t="shared" si="88"/>
        <v>0</v>
      </c>
      <c r="P89" s="51"/>
      <c r="Q89" s="48">
        <f t="shared" si="90"/>
        <v>0</v>
      </c>
      <c r="R89" s="48"/>
      <c r="S89" s="48"/>
      <c r="T89" s="48">
        <f t="shared" si="84"/>
        <v>185408.4</v>
      </c>
      <c r="U89" s="48">
        <f t="shared" si="85"/>
        <v>185408.4</v>
      </c>
      <c r="V89" s="48">
        <f t="shared" si="85"/>
        <v>185408.4</v>
      </c>
    </row>
    <row r="90" spans="1:29" ht="58.9" customHeight="1" x14ac:dyDescent="0.25">
      <c r="A90" s="43" t="s">
        <v>131</v>
      </c>
      <c r="B90" s="47" t="s">
        <v>132</v>
      </c>
      <c r="C90" s="47" t="s">
        <v>55</v>
      </c>
      <c r="D90" s="47" t="s">
        <v>128</v>
      </c>
      <c r="E90" s="51">
        <f>E81+E83+E84+E85+E82</f>
        <v>105</v>
      </c>
      <c r="F90" s="51">
        <f t="shared" ref="F90:I90" si="91">F81+F83+F84+F85+F82</f>
        <v>105</v>
      </c>
      <c r="G90" s="51">
        <f t="shared" si="91"/>
        <v>105</v>
      </c>
      <c r="H90" s="51">
        <f t="shared" si="91"/>
        <v>105</v>
      </c>
      <c r="I90" s="51">
        <f t="shared" si="91"/>
        <v>105</v>
      </c>
      <c r="J90" s="48"/>
      <c r="K90" s="48">
        <v>0</v>
      </c>
      <c r="L90" s="49">
        <f>70953.15-L91</f>
        <v>53817.899999999994</v>
      </c>
      <c r="M90" s="48">
        <f t="shared" si="89"/>
        <v>53817.899999999994</v>
      </c>
      <c r="N90" s="48">
        <f t="shared" si="83"/>
        <v>0</v>
      </c>
      <c r="O90" s="48">
        <f>G90*K90</f>
        <v>0</v>
      </c>
      <c r="P90" s="51"/>
      <c r="Q90" s="49">
        <f>G90*L90</f>
        <v>5650879.4999999991</v>
      </c>
      <c r="R90" s="48"/>
      <c r="S90" s="48"/>
      <c r="T90" s="48">
        <f t="shared" si="84"/>
        <v>5650879.4999999991</v>
      </c>
      <c r="U90" s="48">
        <f t="shared" si="85"/>
        <v>5650879.4999999991</v>
      </c>
      <c r="V90" s="48">
        <f t="shared" si="85"/>
        <v>5650879.4999999991</v>
      </c>
    </row>
    <row r="91" spans="1:29" ht="24.6" customHeight="1" x14ac:dyDescent="0.25">
      <c r="A91" s="47" t="s">
        <v>530</v>
      </c>
      <c r="B91" s="47" t="s">
        <v>132</v>
      </c>
      <c r="C91" s="47" t="s">
        <v>133</v>
      </c>
      <c r="D91" s="47"/>
      <c r="E91" s="51"/>
      <c r="F91" s="51"/>
      <c r="G91" s="52">
        <f>G90</f>
        <v>105</v>
      </c>
      <c r="H91" s="52">
        <f>H90</f>
        <v>105</v>
      </c>
      <c r="I91" s="52">
        <f>I90</f>
        <v>105</v>
      </c>
      <c r="J91" s="48"/>
      <c r="K91" s="48">
        <v>0</v>
      </c>
      <c r="L91" s="49">
        <v>17135.25</v>
      </c>
      <c r="M91" s="48">
        <f t="shared" si="89"/>
        <v>17135.25</v>
      </c>
      <c r="N91" s="51"/>
      <c r="O91" s="48"/>
      <c r="P91" s="51"/>
      <c r="Q91" s="48"/>
      <c r="R91" s="48"/>
      <c r="S91" s="48">
        <f>G91*L91</f>
        <v>1799201.25</v>
      </c>
      <c r="T91" s="48">
        <f>S91</f>
        <v>1799201.25</v>
      </c>
      <c r="U91" s="48">
        <f>T91</f>
        <v>1799201.25</v>
      </c>
      <c r="V91" s="48">
        <f>U91</f>
        <v>1799201.25</v>
      </c>
    </row>
    <row r="92" spans="1:29" ht="29.45" customHeight="1" x14ac:dyDescent="0.25">
      <c r="A92" s="46" t="s">
        <v>145</v>
      </c>
      <c r="B92" s="46"/>
      <c r="C92" s="46"/>
      <c r="D92" s="46"/>
      <c r="E92" s="52"/>
      <c r="F92" s="52"/>
      <c r="G92" s="52"/>
      <c r="H92" s="52"/>
      <c r="I92" s="52"/>
      <c r="J92" s="49"/>
      <c r="K92" s="48"/>
      <c r="L92" s="49"/>
      <c r="M92" s="48">
        <f t="shared" si="89"/>
        <v>0</v>
      </c>
      <c r="N92" s="49">
        <f>N93</f>
        <v>20431338.710000001</v>
      </c>
      <c r="O92" s="49">
        <f>O93</f>
        <v>9776191.5999999996</v>
      </c>
      <c r="P92" s="49"/>
      <c r="Q92" s="49">
        <f>Q93+Q117</f>
        <v>13626032.299999997</v>
      </c>
      <c r="R92" s="49"/>
      <c r="S92" s="49">
        <f>S118</f>
        <v>1970553.75</v>
      </c>
      <c r="T92" s="49">
        <f>T93+T117+T118</f>
        <v>45804116.359999999</v>
      </c>
      <c r="U92" s="49">
        <f>U93+U117+U118</f>
        <v>45804116.359999999</v>
      </c>
      <c r="V92" s="49">
        <f>V93+V117+V118</f>
        <v>45804116.359999999</v>
      </c>
      <c r="W92" s="38">
        <v>11124194.529999999</v>
      </c>
      <c r="X92" s="44">
        <f>W92-Q92</f>
        <v>-2501837.7699999977</v>
      </c>
      <c r="Y92" s="38">
        <f>X92/G117</f>
        <v>-21755.111043478242</v>
      </c>
      <c r="AA92" s="38">
        <v>11727438.529999999</v>
      </c>
      <c r="AB92" s="44">
        <f>AA92-Q92</f>
        <v>-1898593.7699999977</v>
      </c>
      <c r="AC92" s="50">
        <f>AB92/I117</f>
        <v>-16509.51104347824</v>
      </c>
    </row>
    <row r="93" spans="1:29" ht="79.150000000000006" customHeight="1" x14ac:dyDescent="0.25">
      <c r="A93" s="43" t="s">
        <v>125</v>
      </c>
      <c r="B93" s="41" t="s">
        <v>126</v>
      </c>
      <c r="C93" s="41"/>
      <c r="D93" s="47"/>
      <c r="E93" s="51"/>
      <c r="F93" s="51"/>
      <c r="G93" s="51"/>
      <c r="H93" s="51"/>
      <c r="I93" s="51"/>
      <c r="J93" s="48"/>
      <c r="K93" s="48"/>
      <c r="L93" s="48"/>
      <c r="M93" s="48"/>
      <c r="N93" s="48">
        <f>SUM(N94:N116)</f>
        <v>20431338.710000001</v>
      </c>
      <c r="O93" s="48">
        <f>SUM(O94:O116)</f>
        <v>9776191.5999999996</v>
      </c>
      <c r="P93" s="48">
        <f>P94+P106+P116+P102+P96+P112+P108+P98+P95+P103+P107+P109+P111+P113</f>
        <v>0</v>
      </c>
      <c r="Q93" s="49">
        <f>SUM(Q94:Q116)</f>
        <v>7436973.7999999989</v>
      </c>
      <c r="R93" s="48">
        <f>R94+R106+R116+R102+R96+R112+R108+R98+R95+R103+R107+R109+R111+R113</f>
        <v>0</v>
      </c>
      <c r="S93" s="48">
        <f>S94+S106+S116+S102+S96+S112+S108+S98+S95+S103+S107+S109+S111+S113</f>
        <v>0</v>
      </c>
      <c r="T93" s="48">
        <f>SUM(T94:T116)</f>
        <v>37644504.109999999</v>
      </c>
      <c r="U93" s="48">
        <f>SUM(U94:U116)</f>
        <v>37644504.109999999</v>
      </c>
      <c r="V93" s="48">
        <f>SUM(V94:V116)</f>
        <v>37644504.109999999</v>
      </c>
      <c r="W93" s="44">
        <v>35333149.530000001</v>
      </c>
      <c r="AA93" s="44">
        <f>35333149.53+U118</f>
        <v>37303703.280000001</v>
      </c>
      <c r="AB93" s="44">
        <f>U92-AA93</f>
        <v>8500413.0799999982</v>
      </c>
    </row>
    <row r="94" spans="1:29" ht="58.9" customHeight="1" x14ac:dyDescent="0.25">
      <c r="A94" s="43"/>
      <c r="B94" s="47" t="s">
        <v>127</v>
      </c>
      <c r="C94" s="261" t="s">
        <v>493</v>
      </c>
      <c r="D94" s="47" t="s">
        <v>128</v>
      </c>
      <c r="E94" s="51">
        <v>0</v>
      </c>
      <c r="F94" s="52">
        <v>0</v>
      </c>
      <c r="G94" s="51">
        <f t="shared" ref="G94:G116" si="92">((E94*8)+(F94*4))/12</f>
        <v>0</v>
      </c>
      <c r="H94" s="52">
        <v>0</v>
      </c>
      <c r="I94" s="52">
        <v>0</v>
      </c>
      <c r="J94" s="48">
        <v>62813.1</v>
      </c>
      <c r="K94" s="48">
        <f>33955.33+14682.07</f>
        <v>48637.4</v>
      </c>
      <c r="L94" s="49">
        <v>64669.32</v>
      </c>
      <c r="M94" s="48">
        <f t="shared" si="89"/>
        <v>176119.82</v>
      </c>
      <c r="N94" s="48">
        <f>G94*J94</f>
        <v>0</v>
      </c>
      <c r="O94" s="48">
        <f>G94*K94</f>
        <v>0</v>
      </c>
      <c r="P94" s="48"/>
      <c r="Q94" s="48">
        <f t="shared" ref="Q94:Q116" si="93">G94*L94</f>
        <v>0</v>
      </c>
      <c r="R94" s="48"/>
      <c r="S94" s="48"/>
      <c r="T94" s="48">
        <f>SUM(N94:Q94)</f>
        <v>0</v>
      </c>
      <c r="U94" s="48">
        <f t="shared" ref="U94:V117" si="94">T94</f>
        <v>0</v>
      </c>
      <c r="V94" s="48">
        <f t="shared" si="94"/>
        <v>0</v>
      </c>
      <c r="X94" s="44">
        <f>W93-U92</f>
        <v>-10470966.829999998</v>
      </c>
      <c r="AA94" s="44"/>
    </row>
    <row r="95" spans="1:29" ht="43.9" customHeight="1" x14ac:dyDescent="0.25">
      <c r="A95" s="43"/>
      <c r="B95" s="47" t="s">
        <v>384</v>
      </c>
      <c r="C95" s="262"/>
      <c r="D95" s="47" t="s">
        <v>128</v>
      </c>
      <c r="E95" s="51">
        <v>0</v>
      </c>
      <c r="F95" s="52">
        <v>0</v>
      </c>
      <c r="G95" s="51">
        <f t="shared" si="92"/>
        <v>0</v>
      </c>
      <c r="H95" s="52">
        <v>0</v>
      </c>
      <c r="I95" s="52">
        <v>0</v>
      </c>
      <c r="J95" s="48">
        <v>62813.1</v>
      </c>
      <c r="K95" s="48">
        <f>33955.33+14682.07</f>
        <v>48637.4</v>
      </c>
      <c r="L95" s="49">
        <v>64669.32</v>
      </c>
      <c r="M95" s="48">
        <f t="shared" si="89"/>
        <v>176119.82</v>
      </c>
      <c r="N95" s="48">
        <f t="shared" ref="N95:N113" si="95">G95*J95</f>
        <v>0</v>
      </c>
      <c r="O95" s="48">
        <f t="shared" ref="O95:O106" si="96">G95*K95</f>
        <v>0</v>
      </c>
      <c r="P95" s="48"/>
      <c r="Q95" s="48">
        <f t="shared" si="93"/>
        <v>0</v>
      </c>
      <c r="R95" s="48"/>
      <c r="S95" s="48"/>
      <c r="T95" s="48">
        <f t="shared" ref="T95:T116" si="97">SUM(N95:Q95)</f>
        <v>0</v>
      </c>
      <c r="U95" s="48">
        <f t="shared" si="94"/>
        <v>0</v>
      </c>
      <c r="V95" s="48">
        <f t="shared" si="94"/>
        <v>0</v>
      </c>
      <c r="X95" s="44"/>
      <c r="AA95" s="44"/>
    </row>
    <row r="96" spans="1:29" ht="20.45" customHeight="1" x14ac:dyDescent="0.25">
      <c r="A96" s="43"/>
      <c r="B96" s="47" t="s">
        <v>356</v>
      </c>
      <c r="C96" s="261" t="s">
        <v>494</v>
      </c>
      <c r="D96" s="47" t="s">
        <v>128</v>
      </c>
      <c r="E96" s="51">
        <v>26</v>
      </c>
      <c r="F96" s="51">
        <v>26</v>
      </c>
      <c r="G96" s="51">
        <f t="shared" si="92"/>
        <v>26</v>
      </c>
      <c r="H96" s="51">
        <v>26</v>
      </c>
      <c r="I96" s="51">
        <v>26</v>
      </c>
      <c r="J96" s="48">
        <v>209100.19</v>
      </c>
      <c r="K96" s="48">
        <f>50873.01+14682.07*2</f>
        <v>80237.149999999994</v>
      </c>
      <c r="L96" s="49">
        <v>64669.32</v>
      </c>
      <c r="M96" s="48">
        <f t="shared" si="89"/>
        <v>354006.66</v>
      </c>
      <c r="N96" s="48">
        <f>G96*J96</f>
        <v>5436604.9400000004</v>
      </c>
      <c r="O96" s="48">
        <f>G96*K96+159699.9</f>
        <v>2245865.7999999998</v>
      </c>
      <c r="P96" s="51"/>
      <c r="Q96" s="48">
        <f t="shared" si="93"/>
        <v>1681402.32</v>
      </c>
      <c r="R96" s="48"/>
      <c r="S96" s="48"/>
      <c r="T96" s="48">
        <f t="shared" si="97"/>
        <v>9363873.0600000005</v>
      </c>
      <c r="U96" s="48">
        <f t="shared" si="94"/>
        <v>9363873.0600000005</v>
      </c>
      <c r="V96" s="48">
        <f t="shared" si="94"/>
        <v>9363873.0600000005</v>
      </c>
    </row>
    <row r="97" spans="1:22" ht="25.15" customHeight="1" x14ac:dyDescent="0.25">
      <c r="A97" s="47" t="s">
        <v>366</v>
      </c>
      <c r="B97" s="47" t="s">
        <v>495</v>
      </c>
      <c r="C97" s="301"/>
      <c r="D97" s="47" t="s">
        <v>128</v>
      </c>
      <c r="E97" s="51">
        <v>1</v>
      </c>
      <c r="F97" s="51">
        <v>1</v>
      </c>
      <c r="G97" s="52">
        <f t="shared" si="92"/>
        <v>1</v>
      </c>
      <c r="H97" s="52">
        <v>1</v>
      </c>
      <c r="I97" s="52">
        <v>1</v>
      </c>
      <c r="J97" s="48">
        <v>338385.36</v>
      </c>
      <c r="K97" s="48">
        <f>84708.34+14682.07*2.5</f>
        <v>121413.515</v>
      </c>
      <c r="L97" s="49">
        <v>64669.32</v>
      </c>
      <c r="M97" s="48">
        <f t="shared" si="89"/>
        <v>524468.19499999995</v>
      </c>
      <c r="N97" s="48">
        <f>G97*J97</f>
        <v>338385.36</v>
      </c>
      <c r="O97" s="48">
        <f t="shared" si="96"/>
        <v>121413.515</v>
      </c>
      <c r="P97" s="48"/>
      <c r="Q97" s="48">
        <f t="shared" si="93"/>
        <v>64669.32</v>
      </c>
      <c r="R97" s="48"/>
      <c r="S97" s="48"/>
      <c r="T97" s="48">
        <f t="shared" si="97"/>
        <v>524468.19499999995</v>
      </c>
      <c r="U97" s="48">
        <f t="shared" si="94"/>
        <v>524468.19499999995</v>
      </c>
      <c r="V97" s="48">
        <f t="shared" si="94"/>
        <v>524468.19499999995</v>
      </c>
    </row>
    <row r="98" spans="1:22" ht="25.9" customHeight="1" x14ac:dyDescent="0.25">
      <c r="A98" s="47" t="s">
        <v>366</v>
      </c>
      <c r="B98" s="47" t="s">
        <v>364</v>
      </c>
      <c r="C98" s="301"/>
      <c r="D98" s="47" t="s">
        <v>128</v>
      </c>
      <c r="E98" s="51">
        <v>5</v>
      </c>
      <c r="F98" s="51">
        <f>5</f>
        <v>5</v>
      </c>
      <c r="G98" s="52">
        <f t="shared" si="92"/>
        <v>5</v>
      </c>
      <c r="H98" s="52">
        <f>5</f>
        <v>5</v>
      </c>
      <c r="I98" s="52">
        <f>5</f>
        <v>5</v>
      </c>
      <c r="J98" s="48">
        <v>338385.36</v>
      </c>
      <c r="K98" s="48">
        <f>84708.34+14682.07*2.5+203012.01</f>
        <v>324425.52500000002</v>
      </c>
      <c r="L98" s="49">
        <v>64669.32</v>
      </c>
      <c r="M98" s="48">
        <f t="shared" si="89"/>
        <v>727480.20499999996</v>
      </c>
      <c r="N98" s="48">
        <f>G98*J98</f>
        <v>1691926.7999999998</v>
      </c>
      <c r="O98" s="48">
        <f>G98*K98+652348.14</f>
        <v>2274475.7650000001</v>
      </c>
      <c r="P98" s="48"/>
      <c r="Q98" s="48">
        <f t="shared" si="93"/>
        <v>323346.59999999998</v>
      </c>
      <c r="R98" s="48"/>
      <c r="S98" s="48"/>
      <c r="T98" s="48">
        <f t="shared" si="97"/>
        <v>4289749.165</v>
      </c>
      <c r="U98" s="48">
        <f t="shared" si="94"/>
        <v>4289749.165</v>
      </c>
      <c r="V98" s="48">
        <f t="shared" si="94"/>
        <v>4289749.165</v>
      </c>
    </row>
    <row r="99" spans="1:22" ht="25.15" customHeight="1" x14ac:dyDescent="0.25">
      <c r="A99" s="47" t="s">
        <v>366</v>
      </c>
      <c r="B99" s="47" t="s">
        <v>386</v>
      </c>
      <c r="C99" s="301"/>
      <c r="D99" s="47" t="s">
        <v>128</v>
      </c>
      <c r="E99" s="51">
        <v>2</v>
      </c>
      <c r="F99" s="51">
        <v>2</v>
      </c>
      <c r="G99" s="52">
        <f t="shared" si="92"/>
        <v>2</v>
      </c>
      <c r="H99" s="52">
        <v>2</v>
      </c>
      <c r="I99" s="52">
        <v>2</v>
      </c>
      <c r="J99" s="48">
        <v>209100.19</v>
      </c>
      <c r="K99" s="48">
        <f>50873.01+14682.07*2</f>
        <v>80237.149999999994</v>
      </c>
      <c r="L99" s="49">
        <v>64669.32</v>
      </c>
      <c r="M99" s="48">
        <f t="shared" si="89"/>
        <v>354006.66</v>
      </c>
      <c r="N99" s="48">
        <f t="shared" ref="N99:N107" si="98">G99*J99</f>
        <v>418200.38</v>
      </c>
      <c r="O99" s="48">
        <f t="shared" si="96"/>
        <v>160474.29999999999</v>
      </c>
      <c r="P99" s="48"/>
      <c r="Q99" s="48">
        <f t="shared" si="93"/>
        <v>129338.64</v>
      </c>
      <c r="R99" s="48"/>
      <c r="S99" s="48"/>
      <c r="T99" s="48">
        <f t="shared" si="97"/>
        <v>708013.32</v>
      </c>
      <c r="U99" s="48">
        <f t="shared" si="94"/>
        <v>708013.32</v>
      </c>
      <c r="V99" s="48">
        <f t="shared" si="94"/>
        <v>708013.32</v>
      </c>
    </row>
    <row r="100" spans="1:22" ht="22.9" customHeight="1" x14ac:dyDescent="0.25">
      <c r="A100" s="47" t="s">
        <v>366</v>
      </c>
      <c r="B100" s="47" t="s">
        <v>345</v>
      </c>
      <c r="C100" s="301"/>
      <c r="D100" s="47" t="s">
        <v>128</v>
      </c>
      <c r="E100" s="51">
        <v>1</v>
      </c>
      <c r="F100" s="51">
        <v>1</v>
      </c>
      <c r="G100" s="52">
        <f t="shared" si="92"/>
        <v>1</v>
      </c>
      <c r="H100" s="52">
        <v>1</v>
      </c>
      <c r="I100" s="52">
        <v>1</v>
      </c>
      <c r="J100" s="48">
        <v>338385.36</v>
      </c>
      <c r="K100" s="48">
        <f>84708.34+14682.07*2.5+203012.01</f>
        <v>324425.52500000002</v>
      </c>
      <c r="L100" s="49">
        <v>64669.32</v>
      </c>
      <c r="M100" s="48">
        <f t="shared" si="89"/>
        <v>727480.20499999996</v>
      </c>
      <c r="N100" s="48">
        <f t="shared" si="98"/>
        <v>338385.36</v>
      </c>
      <c r="O100" s="48">
        <f t="shared" si="96"/>
        <v>324425.52500000002</v>
      </c>
      <c r="P100" s="48"/>
      <c r="Q100" s="48">
        <f t="shared" si="93"/>
        <v>64669.32</v>
      </c>
      <c r="R100" s="48"/>
      <c r="S100" s="48"/>
      <c r="T100" s="48">
        <f t="shared" si="97"/>
        <v>727480.20499999996</v>
      </c>
      <c r="U100" s="48">
        <f t="shared" si="94"/>
        <v>727480.20499999996</v>
      </c>
      <c r="V100" s="48">
        <f t="shared" si="94"/>
        <v>727480.20499999996</v>
      </c>
    </row>
    <row r="101" spans="1:22" ht="25.15" customHeight="1" x14ac:dyDescent="0.25">
      <c r="A101" s="47"/>
      <c r="B101" s="43" t="s">
        <v>496</v>
      </c>
      <c r="C101" s="301"/>
      <c r="D101" s="47" t="s">
        <v>128</v>
      </c>
      <c r="E101" s="51">
        <v>4</v>
      </c>
      <c r="F101" s="51">
        <v>4</v>
      </c>
      <c r="G101" s="51">
        <f t="shared" si="92"/>
        <v>4</v>
      </c>
      <c r="H101" s="51">
        <v>4</v>
      </c>
      <c r="I101" s="51">
        <v>4</v>
      </c>
      <c r="J101" s="48">
        <v>209100.19</v>
      </c>
      <c r="K101" s="48">
        <f>50873.01+14682.07*2</f>
        <v>80237.149999999994</v>
      </c>
      <c r="L101" s="49">
        <v>64669.32</v>
      </c>
      <c r="M101" s="48">
        <f t="shared" si="89"/>
        <v>354006.66</v>
      </c>
      <c r="N101" s="48">
        <f t="shared" si="98"/>
        <v>836400.76</v>
      </c>
      <c r="O101" s="48">
        <f>G101*K101</f>
        <v>320948.59999999998</v>
      </c>
      <c r="P101" s="48"/>
      <c r="Q101" s="48">
        <f t="shared" si="93"/>
        <v>258677.28</v>
      </c>
      <c r="R101" s="48"/>
      <c r="S101" s="48"/>
      <c r="T101" s="48">
        <f t="shared" si="97"/>
        <v>1416026.64</v>
      </c>
      <c r="U101" s="48">
        <f t="shared" si="94"/>
        <v>1416026.64</v>
      </c>
      <c r="V101" s="48">
        <f t="shared" si="94"/>
        <v>1416026.64</v>
      </c>
    </row>
    <row r="102" spans="1:22" ht="18" customHeight="1" x14ac:dyDescent="0.25">
      <c r="A102" s="47"/>
      <c r="B102" s="43" t="s">
        <v>537</v>
      </c>
      <c r="C102" s="299"/>
      <c r="D102" s="47" t="s">
        <v>128</v>
      </c>
      <c r="E102" s="51">
        <v>12</v>
      </c>
      <c r="F102" s="51">
        <v>12</v>
      </c>
      <c r="G102" s="51">
        <f t="shared" si="92"/>
        <v>12</v>
      </c>
      <c r="H102" s="51">
        <v>12</v>
      </c>
      <c r="I102" s="51">
        <v>12</v>
      </c>
      <c r="J102" s="48">
        <v>338385.36</v>
      </c>
      <c r="K102" s="48">
        <f>84708.34+14682.07*2.5</f>
        <v>121413.515</v>
      </c>
      <c r="L102" s="49">
        <v>64669.32</v>
      </c>
      <c r="M102" s="48">
        <f t="shared" si="89"/>
        <v>524468.19499999995</v>
      </c>
      <c r="N102" s="48">
        <f t="shared" si="98"/>
        <v>4060624.32</v>
      </c>
      <c r="O102" s="48">
        <f>G102*K102</f>
        <v>1456962.18</v>
      </c>
      <c r="P102" s="48"/>
      <c r="Q102" s="48">
        <f t="shared" si="93"/>
        <v>776031.84</v>
      </c>
      <c r="R102" s="48"/>
      <c r="S102" s="48"/>
      <c r="T102" s="48">
        <f t="shared" si="97"/>
        <v>6293618.3399999999</v>
      </c>
      <c r="U102" s="48">
        <f t="shared" si="94"/>
        <v>6293618.3399999999</v>
      </c>
      <c r="V102" s="48">
        <f t="shared" si="94"/>
        <v>6293618.3399999999</v>
      </c>
    </row>
    <row r="103" spans="1:22" ht="33.6" customHeight="1" x14ac:dyDescent="0.25">
      <c r="A103" s="47"/>
      <c r="B103" s="47" t="s">
        <v>360</v>
      </c>
      <c r="C103" s="261" t="s">
        <v>497</v>
      </c>
      <c r="D103" s="47" t="s">
        <v>128</v>
      </c>
      <c r="E103" s="51">
        <v>17</v>
      </c>
      <c r="F103" s="51">
        <v>17</v>
      </c>
      <c r="G103" s="51">
        <f t="shared" si="92"/>
        <v>17</v>
      </c>
      <c r="H103" s="51">
        <v>17</v>
      </c>
      <c r="I103" s="51">
        <v>17</v>
      </c>
      <c r="J103" s="48">
        <v>95705.64</v>
      </c>
      <c r="K103" s="48">
        <f>25496.5+14682.07</f>
        <v>40178.57</v>
      </c>
      <c r="L103" s="49">
        <v>64669.32</v>
      </c>
      <c r="M103" s="48">
        <f t="shared" si="89"/>
        <v>200553.53</v>
      </c>
      <c r="N103" s="48">
        <f t="shared" si="98"/>
        <v>1626995.88</v>
      </c>
      <c r="O103" s="48">
        <f t="shared" si="96"/>
        <v>683035.69</v>
      </c>
      <c r="P103" s="48"/>
      <c r="Q103" s="48">
        <f t="shared" si="93"/>
        <v>1099378.44</v>
      </c>
      <c r="R103" s="48"/>
      <c r="S103" s="48"/>
      <c r="T103" s="48">
        <f t="shared" si="97"/>
        <v>3409410.01</v>
      </c>
      <c r="U103" s="48">
        <f t="shared" si="94"/>
        <v>3409410.01</v>
      </c>
      <c r="V103" s="48">
        <f t="shared" si="94"/>
        <v>3409410.01</v>
      </c>
    </row>
    <row r="104" spans="1:22" ht="36" customHeight="1" x14ac:dyDescent="0.25">
      <c r="A104" s="47"/>
      <c r="B104" s="47" t="s">
        <v>360</v>
      </c>
      <c r="C104" s="267"/>
      <c r="D104" s="47" t="s">
        <v>128</v>
      </c>
      <c r="E104" s="51">
        <v>2</v>
      </c>
      <c r="F104" s="51">
        <v>2</v>
      </c>
      <c r="G104" s="51">
        <f t="shared" ref="G104" si="99">((E104*8)+(F104*4))/12</f>
        <v>2</v>
      </c>
      <c r="H104" s="51">
        <v>2</v>
      </c>
      <c r="I104" s="51">
        <v>2</v>
      </c>
      <c r="J104" s="48">
        <v>127527.31</v>
      </c>
      <c r="K104" s="48">
        <f>33955.33+14682.07*1.5</f>
        <v>55978.434999999998</v>
      </c>
      <c r="L104" s="49">
        <v>64670.32</v>
      </c>
      <c r="M104" s="48">
        <f t="shared" ref="M104" si="100">J104+K104+L104</f>
        <v>248176.065</v>
      </c>
      <c r="N104" s="48">
        <f t="shared" ref="N104" si="101">G104*J104</f>
        <v>255054.62</v>
      </c>
      <c r="O104" s="48">
        <f t="shared" ref="O104" si="102">G104*K104</f>
        <v>111956.87</v>
      </c>
      <c r="P104" s="48"/>
      <c r="Q104" s="48">
        <f t="shared" ref="Q104" si="103">G104*L104</f>
        <v>129340.64</v>
      </c>
      <c r="R104" s="48"/>
      <c r="S104" s="48"/>
      <c r="T104" s="48">
        <f t="shared" ref="T104" si="104">SUM(N104:Q104)</f>
        <v>496352.13</v>
      </c>
      <c r="U104" s="48">
        <f t="shared" ref="U104" si="105">T104</f>
        <v>496352.13</v>
      </c>
      <c r="V104" s="48">
        <f t="shared" ref="V104" si="106">U104</f>
        <v>496352.13</v>
      </c>
    </row>
    <row r="105" spans="1:22" ht="34.15" customHeight="1" x14ac:dyDescent="0.25">
      <c r="A105" s="47"/>
      <c r="B105" s="47" t="s">
        <v>354</v>
      </c>
      <c r="C105" s="267"/>
      <c r="D105" s="47" t="s">
        <v>128</v>
      </c>
      <c r="E105" s="51">
        <v>28</v>
      </c>
      <c r="F105" s="51">
        <v>28</v>
      </c>
      <c r="G105" s="51">
        <f t="shared" si="92"/>
        <v>28</v>
      </c>
      <c r="H105" s="51">
        <v>28</v>
      </c>
      <c r="I105" s="51">
        <v>28</v>
      </c>
      <c r="J105" s="48">
        <v>95705.64</v>
      </c>
      <c r="K105" s="48">
        <f>25496.5+14682.07</f>
        <v>40178.57</v>
      </c>
      <c r="L105" s="49">
        <v>64669.32</v>
      </c>
      <c r="M105" s="48">
        <f t="shared" si="89"/>
        <v>200553.53</v>
      </c>
      <c r="N105" s="48">
        <f t="shared" si="98"/>
        <v>2679757.92</v>
      </c>
      <c r="O105" s="48">
        <f t="shared" si="96"/>
        <v>1124999.96</v>
      </c>
      <c r="P105" s="48"/>
      <c r="Q105" s="48">
        <f t="shared" si="93"/>
        <v>1810740.96</v>
      </c>
      <c r="R105" s="48"/>
      <c r="S105" s="48"/>
      <c r="T105" s="48">
        <f t="shared" si="97"/>
        <v>5615498.8399999999</v>
      </c>
      <c r="U105" s="48">
        <f t="shared" si="94"/>
        <v>5615498.8399999999</v>
      </c>
      <c r="V105" s="48">
        <f t="shared" si="94"/>
        <v>5615498.8399999999</v>
      </c>
    </row>
    <row r="106" spans="1:22" ht="30" customHeight="1" x14ac:dyDescent="0.25">
      <c r="A106" s="47"/>
      <c r="B106" s="47" t="s">
        <v>127</v>
      </c>
      <c r="C106" s="262"/>
      <c r="D106" s="47" t="s">
        <v>128</v>
      </c>
      <c r="E106" s="51">
        <v>17</v>
      </c>
      <c r="F106" s="51">
        <v>17</v>
      </c>
      <c r="G106" s="51">
        <f t="shared" si="92"/>
        <v>17</v>
      </c>
      <c r="H106" s="51">
        <v>17</v>
      </c>
      <c r="I106" s="51">
        <v>17</v>
      </c>
      <c r="J106" s="48">
        <v>127527.31</v>
      </c>
      <c r="K106" s="48">
        <f>33955.33+14682.07*1.5</f>
        <v>55978.434999999998</v>
      </c>
      <c r="L106" s="49">
        <v>64669.32</v>
      </c>
      <c r="M106" s="48">
        <f t="shared" si="89"/>
        <v>248175.065</v>
      </c>
      <c r="N106" s="48">
        <f t="shared" si="98"/>
        <v>2167964.27</v>
      </c>
      <c r="O106" s="48">
        <f t="shared" si="96"/>
        <v>951633.39500000002</v>
      </c>
      <c r="P106" s="48"/>
      <c r="Q106" s="48">
        <f t="shared" si="93"/>
        <v>1099378.44</v>
      </c>
      <c r="R106" s="48"/>
      <c r="S106" s="48"/>
      <c r="T106" s="48">
        <f t="shared" si="97"/>
        <v>4218976.1050000004</v>
      </c>
      <c r="U106" s="48">
        <f t="shared" si="94"/>
        <v>4218976.1050000004</v>
      </c>
      <c r="V106" s="48">
        <f t="shared" si="94"/>
        <v>4218976.1050000004</v>
      </c>
    </row>
    <row r="107" spans="1:22" ht="41.45" customHeight="1" x14ac:dyDescent="0.25">
      <c r="A107" s="47"/>
      <c r="B107" s="47" t="s">
        <v>127</v>
      </c>
      <c r="C107" s="261" t="s">
        <v>498</v>
      </c>
      <c r="D107" s="47" t="s">
        <v>128</v>
      </c>
      <c r="E107" s="51">
        <v>0</v>
      </c>
      <c r="F107" s="51">
        <v>0</v>
      </c>
      <c r="G107" s="51">
        <f t="shared" si="92"/>
        <v>0</v>
      </c>
      <c r="H107" s="51">
        <v>0</v>
      </c>
      <c r="I107" s="51">
        <v>0</v>
      </c>
      <c r="J107" s="48">
        <v>3090.14</v>
      </c>
      <c r="K107" s="48">
        <v>0</v>
      </c>
      <c r="L107" s="48">
        <v>0</v>
      </c>
      <c r="M107" s="48">
        <f>J107+K107+L107</f>
        <v>3090.14</v>
      </c>
      <c r="N107" s="48">
        <f t="shared" si="98"/>
        <v>0</v>
      </c>
      <c r="O107" s="48">
        <f>G107*K107</f>
        <v>0</v>
      </c>
      <c r="P107" s="48"/>
      <c r="Q107" s="48">
        <f t="shared" si="93"/>
        <v>0</v>
      </c>
      <c r="R107" s="48"/>
      <c r="S107" s="48"/>
      <c r="T107" s="48">
        <f t="shared" ref="T107" si="107">SUM(N107:Q107)</f>
        <v>0</v>
      </c>
      <c r="U107" s="48">
        <f t="shared" si="94"/>
        <v>0</v>
      </c>
      <c r="V107" s="48">
        <f t="shared" si="94"/>
        <v>0</v>
      </c>
    </row>
    <row r="108" spans="1:22" ht="33.6" customHeight="1" x14ac:dyDescent="0.25">
      <c r="A108" s="47"/>
      <c r="B108" s="47" t="s">
        <v>129</v>
      </c>
      <c r="C108" s="262"/>
      <c r="D108" s="47" t="s">
        <v>128</v>
      </c>
      <c r="E108" s="51">
        <v>0</v>
      </c>
      <c r="F108" s="51">
        <v>0</v>
      </c>
      <c r="G108" s="51">
        <f t="shared" si="92"/>
        <v>0</v>
      </c>
      <c r="H108" s="51">
        <v>0</v>
      </c>
      <c r="I108" s="51">
        <v>0</v>
      </c>
      <c r="J108" s="48">
        <v>3090.14</v>
      </c>
      <c r="K108" s="48">
        <v>0</v>
      </c>
      <c r="L108" s="48">
        <v>0</v>
      </c>
      <c r="M108" s="48">
        <f t="shared" ref="M108:M115" si="108">J108+K108+L108</f>
        <v>3090.14</v>
      </c>
      <c r="N108" s="48">
        <f t="shared" si="95"/>
        <v>0</v>
      </c>
      <c r="O108" s="48">
        <f t="shared" ref="O108:O116" si="109">G108*K108</f>
        <v>0</v>
      </c>
      <c r="P108" s="48"/>
      <c r="Q108" s="48">
        <f t="shared" si="93"/>
        <v>0</v>
      </c>
      <c r="R108" s="48"/>
      <c r="S108" s="48"/>
      <c r="T108" s="48">
        <f t="shared" ref="T108:T111" si="110">SUM(N108:Q108)</f>
        <v>0</v>
      </c>
      <c r="U108" s="48">
        <f t="shared" si="94"/>
        <v>0</v>
      </c>
      <c r="V108" s="48">
        <f t="shared" si="94"/>
        <v>0</v>
      </c>
    </row>
    <row r="109" spans="1:22" ht="28.15" customHeight="1" x14ac:dyDescent="0.25">
      <c r="A109" s="47"/>
      <c r="B109" s="47" t="s">
        <v>356</v>
      </c>
      <c r="C109" s="261" t="s">
        <v>499</v>
      </c>
      <c r="D109" s="47" t="s">
        <v>128</v>
      </c>
      <c r="E109" s="51">
        <v>26</v>
      </c>
      <c r="F109" s="51">
        <f>16+10</f>
        <v>26</v>
      </c>
      <c r="G109" s="51">
        <f t="shared" si="92"/>
        <v>26</v>
      </c>
      <c r="H109" s="51">
        <f>16+10</f>
        <v>26</v>
      </c>
      <c r="I109" s="51">
        <f>16+10</f>
        <v>26</v>
      </c>
      <c r="J109" s="48">
        <v>5558.83</v>
      </c>
      <c r="K109" s="48">
        <v>0</v>
      </c>
      <c r="L109" s="48">
        <v>0</v>
      </c>
      <c r="M109" s="48">
        <f t="shared" si="108"/>
        <v>5558.83</v>
      </c>
      <c r="N109" s="48">
        <f>G109*J109</f>
        <v>144529.57999999999</v>
      </c>
      <c r="O109" s="48">
        <f t="shared" si="109"/>
        <v>0</v>
      </c>
      <c r="P109" s="48"/>
      <c r="Q109" s="48">
        <f t="shared" si="93"/>
        <v>0</v>
      </c>
      <c r="R109" s="48"/>
      <c r="S109" s="48"/>
      <c r="T109" s="48">
        <f t="shared" si="110"/>
        <v>144529.57999999999</v>
      </c>
      <c r="U109" s="48">
        <f t="shared" si="94"/>
        <v>144529.57999999999</v>
      </c>
      <c r="V109" s="48">
        <f t="shared" si="94"/>
        <v>144529.57999999999</v>
      </c>
    </row>
    <row r="110" spans="1:22" ht="43.15" customHeight="1" x14ac:dyDescent="0.25">
      <c r="A110" s="47"/>
      <c r="B110" s="297" t="s">
        <v>538</v>
      </c>
      <c r="C110" s="267"/>
      <c r="D110" s="47" t="s">
        <v>128</v>
      </c>
      <c r="E110" s="51">
        <v>13</v>
      </c>
      <c r="F110" s="51">
        <v>13</v>
      </c>
      <c r="G110" s="51">
        <f t="shared" si="92"/>
        <v>13</v>
      </c>
      <c r="H110" s="51">
        <v>13</v>
      </c>
      <c r="I110" s="51">
        <v>13</v>
      </c>
      <c r="J110" s="48">
        <v>9264.74</v>
      </c>
      <c r="K110" s="48">
        <v>0</v>
      </c>
      <c r="L110" s="48">
        <v>0</v>
      </c>
      <c r="M110" s="48">
        <f t="shared" si="108"/>
        <v>9264.74</v>
      </c>
      <c r="N110" s="48">
        <f>G110*J110</f>
        <v>120441.62</v>
      </c>
      <c r="O110" s="48">
        <f t="shared" si="109"/>
        <v>0</v>
      </c>
      <c r="P110" s="48"/>
      <c r="Q110" s="48">
        <f t="shared" si="93"/>
        <v>0</v>
      </c>
      <c r="R110" s="48"/>
      <c r="S110" s="48"/>
      <c r="T110" s="48">
        <f t="shared" si="110"/>
        <v>120441.62</v>
      </c>
      <c r="U110" s="48">
        <f t="shared" si="94"/>
        <v>120441.62</v>
      </c>
      <c r="V110" s="48">
        <f t="shared" si="94"/>
        <v>120441.62</v>
      </c>
    </row>
    <row r="111" spans="1:22" ht="47.45" customHeight="1" x14ac:dyDescent="0.25">
      <c r="A111" s="47"/>
      <c r="B111" s="297" t="s">
        <v>500</v>
      </c>
      <c r="C111" s="267"/>
      <c r="D111" s="47" t="s">
        <v>128</v>
      </c>
      <c r="E111" s="51">
        <v>6</v>
      </c>
      <c r="F111" s="51">
        <v>6</v>
      </c>
      <c r="G111" s="51">
        <f t="shared" si="92"/>
        <v>6</v>
      </c>
      <c r="H111" s="51">
        <v>6</v>
      </c>
      <c r="I111" s="51">
        <v>6</v>
      </c>
      <c r="J111" s="48">
        <v>9264.74</v>
      </c>
      <c r="K111" s="48">
        <v>0</v>
      </c>
      <c r="L111" s="48">
        <v>0</v>
      </c>
      <c r="M111" s="48">
        <f t="shared" si="108"/>
        <v>9264.74</v>
      </c>
      <c r="N111" s="48">
        <f>G111*J111</f>
        <v>55588.44</v>
      </c>
      <c r="O111" s="48">
        <f t="shared" si="109"/>
        <v>0</v>
      </c>
      <c r="P111" s="48"/>
      <c r="Q111" s="48">
        <f t="shared" si="93"/>
        <v>0</v>
      </c>
      <c r="R111" s="48"/>
      <c r="S111" s="48"/>
      <c r="T111" s="48">
        <f t="shared" si="110"/>
        <v>55588.44</v>
      </c>
      <c r="U111" s="48">
        <f t="shared" si="94"/>
        <v>55588.44</v>
      </c>
      <c r="V111" s="48">
        <f t="shared" si="94"/>
        <v>55588.44</v>
      </c>
    </row>
    <row r="112" spans="1:22" ht="28.9" customHeight="1" x14ac:dyDescent="0.25">
      <c r="A112" s="47"/>
      <c r="B112" s="43" t="s">
        <v>386</v>
      </c>
      <c r="C112" s="262"/>
      <c r="D112" s="47" t="s">
        <v>128</v>
      </c>
      <c r="E112" s="51">
        <v>6</v>
      </c>
      <c r="F112" s="51">
        <v>6</v>
      </c>
      <c r="G112" s="51">
        <f t="shared" si="92"/>
        <v>6</v>
      </c>
      <c r="H112" s="51">
        <v>6</v>
      </c>
      <c r="I112" s="51">
        <v>6</v>
      </c>
      <c r="J112" s="48">
        <v>5558.83</v>
      </c>
      <c r="K112" s="48">
        <v>0</v>
      </c>
      <c r="L112" s="48">
        <v>0</v>
      </c>
      <c r="M112" s="48">
        <f t="shared" si="108"/>
        <v>5558.83</v>
      </c>
      <c r="N112" s="48">
        <f>G112*J112</f>
        <v>33352.979999999996</v>
      </c>
      <c r="O112" s="48">
        <f t="shared" si="109"/>
        <v>0</v>
      </c>
      <c r="P112" s="48"/>
      <c r="Q112" s="48">
        <f t="shared" si="93"/>
        <v>0</v>
      </c>
      <c r="R112" s="48"/>
      <c r="S112" s="48"/>
      <c r="T112" s="48">
        <f t="shared" si="97"/>
        <v>33352.979999999996</v>
      </c>
      <c r="U112" s="48">
        <f t="shared" si="94"/>
        <v>33352.979999999996</v>
      </c>
      <c r="V112" s="48">
        <f t="shared" si="94"/>
        <v>33352.979999999996</v>
      </c>
    </row>
    <row r="113" spans="1:29" ht="28.9" customHeight="1" x14ac:dyDescent="0.25">
      <c r="A113" s="47"/>
      <c r="B113" s="47" t="s">
        <v>360</v>
      </c>
      <c r="C113" s="261" t="s">
        <v>501</v>
      </c>
      <c r="D113" s="47" t="s">
        <v>128</v>
      </c>
      <c r="E113" s="51">
        <v>17</v>
      </c>
      <c r="F113" s="51">
        <v>17</v>
      </c>
      <c r="G113" s="51">
        <f t="shared" si="92"/>
        <v>17</v>
      </c>
      <c r="H113" s="51">
        <v>17</v>
      </c>
      <c r="I113" s="51">
        <v>17</v>
      </c>
      <c r="J113" s="48">
        <v>3090.14</v>
      </c>
      <c r="K113" s="48">
        <v>0</v>
      </c>
      <c r="L113" s="48">
        <v>0</v>
      </c>
      <c r="M113" s="48">
        <f t="shared" si="108"/>
        <v>3090.14</v>
      </c>
      <c r="N113" s="48">
        <f t="shared" si="95"/>
        <v>52532.38</v>
      </c>
      <c r="O113" s="48">
        <f t="shared" si="109"/>
        <v>0</v>
      </c>
      <c r="P113" s="48"/>
      <c r="Q113" s="48">
        <f t="shared" si="93"/>
        <v>0</v>
      </c>
      <c r="R113" s="48"/>
      <c r="S113" s="48"/>
      <c r="T113" s="48">
        <f t="shared" ref="T113" si="111">SUM(N113:Q113)</f>
        <v>52532.38</v>
      </c>
      <c r="U113" s="48">
        <f t="shared" si="94"/>
        <v>52532.38</v>
      </c>
      <c r="V113" s="48">
        <f t="shared" si="94"/>
        <v>52532.38</v>
      </c>
    </row>
    <row r="114" spans="1:29" ht="24.6" customHeight="1" x14ac:dyDescent="0.25">
      <c r="A114" s="47"/>
      <c r="B114" s="47" t="s">
        <v>360</v>
      </c>
      <c r="C114" s="267"/>
      <c r="D114" s="47" t="s">
        <v>128</v>
      </c>
      <c r="E114" s="51">
        <v>2</v>
      </c>
      <c r="F114" s="51">
        <v>2</v>
      </c>
      <c r="G114" s="51">
        <f t="shared" ref="G114" si="112">((E114*8)+(F114*4))/12</f>
        <v>2</v>
      </c>
      <c r="H114" s="51">
        <v>2</v>
      </c>
      <c r="I114" s="51">
        <v>2</v>
      </c>
      <c r="J114" s="48">
        <v>4635.22</v>
      </c>
      <c r="K114" s="48">
        <v>0</v>
      </c>
      <c r="L114" s="48">
        <v>0</v>
      </c>
      <c r="M114" s="48">
        <f t="shared" ref="M114" si="113">J114+K114+L114</f>
        <v>4635.22</v>
      </c>
      <c r="N114" s="48">
        <f t="shared" ref="N114" si="114">G114*J114</f>
        <v>9270.44</v>
      </c>
      <c r="O114" s="48">
        <f t="shared" ref="O114" si="115">G114*K114</f>
        <v>0</v>
      </c>
      <c r="P114" s="48"/>
      <c r="Q114" s="48">
        <f t="shared" ref="Q114" si="116">G114*L114</f>
        <v>0</v>
      </c>
      <c r="R114" s="48"/>
      <c r="S114" s="48"/>
      <c r="T114" s="48">
        <f t="shared" ref="T114" si="117">SUM(N114:Q114)</f>
        <v>9270.44</v>
      </c>
      <c r="U114" s="48">
        <f t="shared" ref="U114" si="118">T114</f>
        <v>9270.44</v>
      </c>
      <c r="V114" s="48">
        <f t="shared" ref="V114" si="119">U114</f>
        <v>9270.44</v>
      </c>
    </row>
    <row r="115" spans="1:29" ht="25.15" customHeight="1" x14ac:dyDescent="0.25">
      <c r="A115" s="47"/>
      <c r="B115" s="47" t="s">
        <v>354</v>
      </c>
      <c r="C115" s="267"/>
      <c r="D115" s="47" t="s">
        <v>128</v>
      </c>
      <c r="E115" s="51">
        <v>28</v>
      </c>
      <c r="F115" s="51">
        <v>28</v>
      </c>
      <c r="G115" s="51">
        <f t="shared" si="92"/>
        <v>28</v>
      </c>
      <c r="H115" s="51">
        <v>28</v>
      </c>
      <c r="I115" s="51">
        <v>28</v>
      </c>
      <c r="J115" s="48">
        <v>3090.14</v>
      </c>
      <c r="K115" s="48">
        <v>0</v>
      </c>
      <c r="L115" s="48">
        <v>0</v>
      </c>
      <c r="M115" s="48">
        <f t="shared" si="108"/>
        <v>3090.14</v>
      </c>
      <c r="N115" s="48">
        <f>G115*J115</f>
        <v>86523.92</v>
      </c>
      <c r="O115" s="48">
        <f t="shared" si="109"/>
        <v>0</v>
      </c>
      <c r="P115" s="48"/>
      <c r="Q115" s="48">
        <f t="shared" si="93"/>
        <v>0</v>
      </c>
      <c r="R115" s="48"/>
      <c r="S115" s="48"/>
      <c r="T115" s="48">
        <f t="shared" ref="T115" si="120">SUM(N115:Q115)</f>
        <v>86523.92</v>
      </c>
      <c r="U115" s="48">
        <f t="shared" si="94"/>
        <v>86523.92</v>
      </c>
      <c r="V115" s="48">
        <f t="shared" si="94"/>
        <v>86523.92</v>
      </c>
    </row>
    <row r="116" spans="1:29" ht="27.6" customHeight="1" x14ac:dyDescent="0.25">
      <c r="A116" s="43"/>
      <c r="B116" s="47" t="s">
        <v>502</v>
      </c>
      <c r="C116" s="262"/>
      <c r="D116" s="47" t="s">
        <v>128</v>
      </c>
      <c r="E116" s="51">
        <v>17</v>
      </c>
      <c r="F116" s="51">
        <v>17</v>
      </c>
      <c r="G116" s="51">
        <f t="shared" si="92"/>
        <v>17</v>
      </c>
      <c r="H116" s="51">
        <v>17</v>
      </c>
      <c r="I116" s="51">
        <v>17</v>
      </c>
      <c r="J116" s="48">
        <v>4635.22</v>
      </c>
      <c r="K116" s="48">
        <v>0</v>
      </c>
      <c r="L116" s="48">
        <v>0</v>
      </c>
      <c r="M116" s="48">
        <f t="shared" si="89"/>
        <v>4635.22</v>
      </c>
      <c r="N116" s="48">
        <f>G116*J116</f>
        <v>78798.740000000005</v>
      </c>
      <c r="O116" s="48">
        <f t="shared" si="109"/>
        <v>0</v>
      </c>
      <c r="P116" s="48"/>
      <c r="Q116" s="48">
        <f t="shared" si="93"/>
        <v>0</v>
      </c>
      <c r="R116" s="48"/>
      <c r="S116" s="48"/>
      <c r="T116" s="48">
        <f t="shared" si="97"/>
        <v>78798.740000000005</v>
      </c>
      <c r="U116" s="48">
        <f t="shared" si="94"/>
        <v>78798.740000000005</v>
      </c>
      <c r="V116" s="48">
        <f t="shared" si="94"/>
        <v>78798.740000000005</v>
      </c>
    </row>
    <row r="117" spans="1:29" ht="62.45" customHeight="1" x14ac:dyDescent="0.25">
      <c r="A117" s="43" t="s">
        <v>131</v>
      </c>
      <c r="B117" s="47" t="s">
        <v>132</v>
      </c>
      <c r="C117" s="47" t="s">
        <v>55</v>
      </c>
      <c r="D117" s="47" t="s">
        <v>128</v>
      </c>
      <c r="E117" s="51">
        <f>E94+E95+E98+E102+E103+E106+E96+E97+E99+E100+E101+E105+E104</f>
        <v>115</v>
      </c>
      <c r="F117" s="51">
        <f t="shared" ref="F117:I117" si="121">F94+F95+F98+F102+F103+F106+F96+F97+F99+F100+F101+F105+F104</f>
        <v>115</v>
      </c>
      <c r="G117" s="51">
        <f t="shared" si="121"/>
        <v>115</v>
      </c>
      <c r="H117" s="51">
        <f t="shared" si="121"/>
        <v>115</v>
      </c>
      <c r="I117" s="51">
        <f t="shared" si="121"/>
        <v>115</v>
      </c>
      <c r="J117" s="48">
        <v>0</v>
      </c>
      <c r="K117" s="48">
        <v>0</v>
      </c>
      <c r="L117" s="49">
        <f>70953.15-L118</f>
        <v>53817.899999999994</v>
      </c>
      <c r="M117" s="48">
        <f t="shared" si="89"/>
        <v>53817.899999999994</v>
      </c>
      <c r="N117" s="48">
        <v>0</v>
      </c>
      <c r="O117" s="48">
        <f>G117*K117</f>
        <v>0</v>
      </c>
      <c r="P117" s="51"/>
      <c r="Q117" s="49">
        <f>G117*L117</f>
        <v>6189058.4999999991</v>
      </c>
      <c r="R117" s="48"/>
      <c r="S117" s="48"/>
      <c r="T117" s="48">
        <f>Q117</f>
        <v>6189058.4999999991</v>
      </c>
      <c r="U117" s="48">
        <f t="shared" si="94"/>
        <v>6189058.4999999991</v>
      </c>
      <c r="V117" s="48">
        <f t="shared" si="94"/>
        <v>6189058.4999999991</v>
      </c>
    </row>
    <row r="118" spans="1:29" ht="28.15" customHeight="1" x14ac:dyDescent="0.25">
      <c r="A118" s="297" t="s">
        <v>531</v>
      </c>
      <c r="B118" s="47" t="s">
        <v>132</v>
      </c>
      <c r="C118" s="47" t="s">
        <v>133</v>
      </c>
      <c r="D118" s="47"/>
      <c r="E118" s="51"/>
      <c r="F118" s="51"/>
      <c r="G118" s="52">
        <f>G117</f>
        <v>115</v>
      </c>
      <c r="H118" s="52">
        <f t="shared" ref="H118:I118" si="122">H117</f>
        <v>115</v>
      </c>
      <c r="I118" s="52">
        <f t="shared" si="122"/>
        <v>115</v>
      </c>
      <c r="J118" s="48"/>
      <c r="K118" s="48"/>
      <c r="L118" s="49">
        <v>17135.25</v>
      </c>
      <c r="M118" s="48">
        <f t="shared" si="89"/>
        <v>17135.25</v>
      </c>
      <c r="N118" s="51">
        <f>SUM(N93:N116)</f>
        <v>40862677.420000002</v>
      </c>
      <c r="O118" s="48"/>
      <c r="P118" s="51"/>
      <c r="Q118" s="48"/>
      <c r="R118" s="48"/>
      <c r="S118" s="48">
        <f>G118*L118</f>
        <v>1970553.75</v>
      </c>
      <c r="T118" s="48">
        <f>S118</f>
        <v>1970553.75</v>
      </c>
      <c r="U118" s="48">
        <f>T118</f>
        <v>1970553.75</v>
      </c>
      <c r="V118" s="48">
        <f>U118</f>
        <v>1970553.75</v>
      </c>
    </row>
    <row r="119" spans="1:29" ht="21.6" customHeight="1" x14ac:dyDescent="0.25">
      <c r="A119" s="46" t="s">
        <v>146</v>
      </c>
      <c r="B119" s="46"/>
      <c r="C119" s="46"/>
      <c r="D119" s="46"/>
      <c r="E119" s="52"/>
      <c r="F119" s="52"/>
      <c r="G119" s="52"/>
      <c r="H119" s="52"/>
      <c r="I119" s="52"/>
      <c r="J119" s="49"/>
      <c r="K119" s="48"/>
      <c r="L119" s="49"/>
      <c r="M119" s="48">
        <f t="shared" si="89"/>
        <v>0</v>
      </c>
      <c r="N119" s="49">
        <f>N120</f>
        <v>12823111.979999999</v>
      </c>
      <c r="O119" s="49">
        <f>O120</f>
        <v>4893845.0299999993</v>
      </c>
      <c r="P119" s="49"/>
      <c r="Q119" s="49">
        <f>Q120+Q126</f>
        <v>15166364.159999998</v>
      </c>
      <c r="R119" s="49"/>
      <c r="S119" s="49">
        <f>S127</f>
        <v>2193312</v>
      </c>
      <c r="T119" s="49">
        <f>T120+T126+T127</f>
        <v>35076633.170000002</v>
      </c>
      <c r="U119" s="49">
        <f>U120+U126+U127</f>
        <v>35076633.170000002</v>
      </c>
      <c r="V119" s="49">
        <f>V120+V126+V127</f>
        <v>35076633.170000002</v>
      </c>
      <c r="W119" s="38">
        <v>6916925.5300000003</v>
      </c>
      <c r="X119" s="44">
        <f>W119-Q119</f>
        <v>-8249438.629999998</v>
      </c>
      <c r="Y119" s="38">
        <f>X119/G126</f>
        <v>-64448.739296874985</v>
      </c>
      <c r="AA119" s="38">
        <v>6466219.5300000003</v>
      </c>
      <c r="AB119" s="44">
        <f>AA119-Q119</f>
        <v>-8700144.629999999</v>
      </c>
      <c r="AC119" s="38">
        <f>AB119/I126</f>
        <v>-67969.879921874992</v>
      </c>
    </row>
    <row r="120" spans="1:29" ht="73.900000000000006" customHeight="1" x14ac:dyDescent="0.25">
      <c r="A120" s="43" t="s">
        <v>125</v>
      </c>
      <c r="B120" s="41" t="s">
        <v>126</v>
      </c>
      <c r="C120" s="41"/>
      <c r="D120" s="47"/>
      <c r="E120" s="51"/>
      <c r="F120" s="51"/>
      <c r="G120" s="51"/>
      <c r="H120" s="51"/>
      <c r="I120" s="51"/>
      <c r="J120" s="48"/>
      <c r="K120" s="48"/>
      <c r="L120" s="48"/>
      <c r="M120" s="48"/>
      <c r="N120" s="48">
        <f>SUM(N121:N125)</f>
        <v>12823111.979999999</v>
      </c>
      <c r="O120" s="48">
        <f>SUM(O121:O125)</f>
        <v>4893845.0299999993</v>
      </c>
      <c r="P120" s="48"/>
      <c r="Q120" s="49">
        <f>SUM(Q121:Q125)</f>
        <v>8277672.959999999</v>
      </c>
      <c r="R120" s="48"/>
      <c r="S120" s="48"/>
      <c r="T120" s="48">
        <f>SUM(T121:T125)</f>
        <v>25994629.969999999</v>
      </c>
      <c r="U120" s="48">
        <f>SUM(U121:U125)</f>
        <v>25994629.969999999</v>
      </c>
      <c r="V120" s="48">
        <f>SUM(V121:V125)</f>
        <v>25994629.969999999</v>
      </c>
      <c r="W120" s="38">
        <v>17989534.530000001</v>
      </c>
      <c r="AA120" s="44">
        <f>17989534.53+U127</f>
        <v>20182846.530000001</v>
      </c>
      <c r="AB120" s="44">
        <f>U119-AA120</f>
        <v>14893786.640000001</v>
      </c>
    </row>
    <row r="121" spans="1:29" ht="103.15" customHeight="1" x14ac:dyDescent="0.25">
      <c r="A121" s="43"/>
      <c r="B121" s="47" t="s">
        <v>127</v>
      </c>
      <c r="C121" s="43" t="s">
        <v>310</v>
      </c>
      <c r="D121" s="47" t="s">
        <v>128</v>
      </c>
      <c r="E121" s="51">
        <f>18-18</f>
        <v>0</v>
      </c>
      <c r="F121" s="51">
        <f>18-18</f>
        <v>0</v>
      </c>
      <c r="G121" s="51">
        <f t="shared" ref="G121:G125" si="123">((E121*8)+(F121*4))/12</f>
        <v>0</v>
      </c>
      <c r="H121" s="51">
        <f>18-18</f>
        <v>0</v>
      </c>
      <c r="I121" s="51">
        <f>18-18</f>
        <v>0</v>
      </c>
      <c r="J121" s="48">
        <v>62813.1</v>
      </c>
      <c r="K121" s="48">
        <f>33955.33+10788.57</f>
        <v>44743.9</v>
      </c>
      <c r="L121" s="49">
        <v>64669.32</v>
      </c>
      <c r="M121" s="48">
        <f t="shared" si="89"/>
        <v>172226.32</v>
      </c>
      <c r="N121" s="48">
        <f>G121*J121</f>
        <v>0</v>
      </c>
      <c r="O121" s="48">
        <f>G121*K121</f>
        <v>0</v>
      </c>
      <c r="P121" s="296"/>
      <c r="Q121" s="48">
        <f>G121*L121</f>
        <v>0</v>
      </c>
      <c r="R121" s="48"/>
      <c r="S121" s="48"/>
      <c r="T121" s="48">
        <f>SUM(N121:Q121)</f>
        <v>0</v>
      </c>
      <c r="U121" s="48">
        <f t="shared" ref="U121:V126" si="124">T121</f>
        <v>0</v>
      </c>
      <c r="V121" s="48">
        <f t="shared" si="124"/>
        <v>0</v>
      </c>
      <c r="W121" s="44"/>
      <c r="X121" s="44">
        <f>W120-U119</f>
        <v>-17087098.640000001</v>
      </c>
    </row>
    <row r="122" spans="1:29" ht="31.15" customHeight="1" x14ac:dyDescent="0.25">
      <c r="A122" s="43"/>
      <c r="B122" s="47" t="s">
        <v>356</v>
      </c>
      <c r="C122" s="261" t="s">
        <v>539</v>
      </c>
      <c r="D122" s="47" t="s">
        <v>128</v>
      </c>
      <c r="E122" s="51">
        <v>21</v>
      </c>
      <c r="F122" s="51">
        <v>21</v>
      </c>
      <c r="G122" s="51">
        <f t="shared" si="123"/>
        <v>21</v>
      </c>
      <c r="H122" s="51">
        <v>21</v>
      </c>
      <c r="I122" s="51">
        <v>21</v>
      </c>
      <c r="J122" s="48">
        <v>95705.64</v>
      </c>
      <c r="K122" s="48">
        <f>25496.5+10788.57</f>
        <v>36285.07</v>
      </c>
      <c r="L122" s="49">
        <v>64669.32</v>
      </c>
      <c r="M122" s="48">
        <f t="shared" si="89"/>
        <v>196660.03</v>
      </c>
      <c r="N122" s="48">
        <f t="shared" ref="N122:N123" si="125">G122*J122</f>
        <v>2009818.44</v>
      </c>
      <c r="O122" s="48">
        <f>G122*K122</f>
        <v>761986.47</v>
      </c>
      <c r="P122" s="51"/>
      <c r="Q122" s="48">
        <f t="shared" ref="Q122:Q123" si="126">G122*L122</f>
        <v>1358055.72</v>
      </c>
      <c r="R122" s="48"/>
      <c r="S122" s="48"/>
      <c r="T122" s="48">
        <f t="shared" ref="T122:T125" si="127">SUM(N122:Q122)</f>
        <v>4129860.63</v>
      </c>
      <c r="U122" s="48">
        <f t="shared" si="124"/>
        <v>4129860.63</v>
      </c>
      <c r="V122" s="48">
        <f t="shared" si="124"/>
        <v>4129860.63</v>
      </c>
    </row>
    <row r="123" spans="1:29" ht="30.6" customHeight="1" x14ac:dyDescent="0.25">
      <c r="A123" s="43"/>
      <c r="B123" s="47" t="s">
        <v>127</v>
      </c>
      <c r="C123" s="267"/>
      <c r="D123" s="47" t="s">
        <v>128</v>
      </c>
      <c r="E123" s="51">
        <v>16</v>
      </c>
      <c r="F123" s="51">
        <v>16</v>
      </c>
      <c r="G123" s="51">
        <v>16</v>
      </c>
      <c r="H123" s="51">
        <v>16</v>
      </c>
      <c r="I123" s="51">
        <v>16</v>
      </c>
      <c r="J123" s="48">
        <v>127527.31</v>
      </c>
      <c r="K123" s="48">
        <f>33955.33+10788.57*1.5</f>
        <v>50138.184999999998</v>
      </c>
      <c r="L123" s="49">
        <v>64669.32</v>
      </c>
      <c r="M123" s="48">
        <f t="shared" si="89"/>
        <v>242334.815</v>
      </c>
      <c r="N123" s="48">
        <f t="shared" si="125"/>
        <v>2040436.96</v>
      </c>
      <c r="O123" s="48">
        <f>G123*K123</f>
        <v>802210.96</v>
      </c>
      <c r="P123" s="51"/>
      <c r="Q123" s="48">
        <f t="shared" si="126"/>
        <v>1034709.12</v>
      </c>
      <c r="R123" s="48"/>
      <c r="S123" s="48"/>
      <c r="T123" s="48">
        <f t="shared" si="127"/>
        <v>3877357.04</v>
      </c>
      <c r="U123" s="48">
        <f t="shared" si="124"/>
        <v>3877357.04</v>
      </c>
      <c r="V123" s="48">
        <f t="shared" si="124"/>
        <v>3877357.04</v>
      </c>
    </row>
    <row r="124" spans="1:29" ht="31.9" customHeight="1" x14ac:dyDescent="0.25">
      <c r="A124" s="47" t="s">
        <v>366</v>
      </c>
      <c r="B124" s="47" t="s">
        <v>356</v>
      </c>
      <c r="C124" s="301"/>
      <c r="D124" s="47" t="s">
        <v>128</v>
      </c>
      <c r="E124" s="51">
        <v>2</v>
      </c>
      <c r="F124" s="51">
        <v>2</v>
      </c>
      <c r="G124" s="52">
        <f t="shared" si="123"/>
        <v>2</v>
      </c>
      <c r="H124" s="52">
        <v>2</v>
      </c>
      <c r="I124" s="52">
        <v>2</v>
      </c>
      <c r="J124" s="48">
        <v>127527.31</v>
      </c>
      <c r="K124" s="48">
        <f>33955.33+10788.57*1.5</f>
        <v>50138.184999999998</v>
      </c>
      <c r="L124" s="49">
        <v>64669.32</v>
      </c>
      <c r="M124" s="48">
        <f t="shared" si="89"/>
        <v>242334.815</v>
      </c>
      <c r="N124" s="48">
        <f>G124*J124</f>
        <v>255054.62</v>
      </c>
      <c r="O124" s="48">
        <f t="shared" ref="O124" si="128">G124*K124</f>
        <v>100276.37</v>
      </c>
      <c r="P124" s="51"/>
      <c r="Q124" s="48">
        <f>G124*L124</f>
        <v>129338.64</v>
      </c>
      <c r="R124" s="48"/>
      <c r="S124" s="48"/>
      <c r="T124" s="48">
        <f>SUM(N124:Q124)</f>
        <v>484669.63</v>
      </c>
      <c r="U124" s="48">
        <f>T124</f>
        <v>484669.63</v>
      </c>
      <c r="V124" s="48">
        <f>U124</f>
        <v>484669.63</v>
      </c>
    </row>
    <row r="125" spans="1:29" ht="28.9" customHeight="1" x14ac:dyDescent="0.25">
      <c r="A125" s="47"/>
      <c r="B125" s="47" t="s">
        <v>354</v>
      </c>
      <c r="C125" s="299"/>
      <c r="D125" s="47" t="s">
        <v>128</v>
      </c>
      <c r="E125" s="51">
        <v>89</v>
      </c>
      <c r="F125" s="51">
        <v>89</v>
      </c>
      <c r="G125" s="51">
        <f t="shared" si="123"/>
        <v>89</v>
      </c>
      <c r="H125" s="51">
        <v>89</v>
      </c>
      <c r="I125" s="51">
        <v>89</v>
      </c>
      <c r="J125" s="48">
        <v>95705.64</v>
      </c>
      <c r="K125" s="48">
        <f>25496.5+10788.57</f>
        <v>36285.07</v>
      </c>
      <c r="L125" s="49">
        <v>64669.32</v>
      </c>
      <c r="M125" s="48">
        <f t="shared" si="89"/>
        <v>196660.03</v>
      </c>
      <c r="N125" s="48">
        <f>G125*J125</f>
        <v>8517801.959999999</v>
      </c>
      <c r="O125" s="49">
        <f>G125*K125</f>
        <v>3229371.23</v>
      </c>
      <c r="P125" s="296"/>
      <c r="Q125" s="48">
        <f>G125*L125</f>
        <v>5755569.4799999995</v>
      </c>
      <c r="R125" s="48"/>
      <c r="S125" s="48"/>
      <c r="T125" s="48">
        <f t="shared" si="127"/>
        <v>17502742.669999998</v>
      </c>
      <c r="U125" s="48">
        <f t="shared" si="124"/>
        <v>17502742.669999998</v>
      </c>
      <c r="V125" s="48">
        <f t="shared" si="124"/>
        <v>17502742.669999998</v>
      </c>
    </row>
    <row r="126" spans="1:29" ht="61.9" customHeight="1" x14ac:dyDescent="0.25">
      <c r="A126" s="43" t="s">
        <v>131</v>
      </c>
      <c r="B126" s="47" t="s">
        <v>132</v>
      </c>
      <c r="C126" s="47" t="s">
        <v>55</v>
      </c>
      <c r="D126" s="47" t="s">
        <v>128</v>
      </c>
      <c r="E126" s="51">
        <f>E121+E122+E123+E124+E125</f>
        <v>128</v>
      </c>
      <c r="F126" s="51">
        <f>F121+F122+F123+F124+F125</f>
        <v>128</v>
      </c>
      <c r="G126" s="52">
        <f>G121+G122+G123+G124+G125</f>
        <v>128</v>
      </c>
      <c r="H126" s="52">
        <f>H121+H122+H123+H124+H125</f>
        <v>128</v>
      </c>
      <c r="I126" s="52">
        <f>I121+I122+I123+I124+I125</f>
        <v>128</v>
      </c>
      <c r="J126" s="48">
        <v>0</v>
      </c>
      <c r="K126" s="48">
        <v>0</v>
      </c>
      <c r="L126" s="49">
        <f>70953.15-L127</f>
        <v>53817.899999999994</v>
      </c>
      <c r="M126" s="48">
        <f t="shared" si="89"/>
        <v>53817.899999999994</v>
      </c>
      <c r="N126" s="48">
        <f>G126*J126</f>
        <v>0</v>
      </c>
      <c r="O126" s="48">
        <f>G126*K126</f>
        <v>0</v>
      </c>
      <c r="P126" s="51"/>
      <c r="Q126" s="49">
        <f>G126*L126</f>
        <v>6888691.1999999993</v>
      </c>
      <c r="R126" s="48"/>
      <c r="S126" s="48"/>
      <c r="T126" s="48">
        <f>SUM(N126:Q126)</f>
        <v>6888691.1999999993</v>
      </c>
      <c r="U126" s="48">
        <f t="shared" si="124"/>
        <v>6888691.1999999993</v>
      </c>
      <c r="V126" s="48">
        <f t="shared" si="124"/>
        <v>6888691.1999999993</v>
      </c>
    </row>
    <row r="127" spans="1:29" ht="30" customHeight="1" x14ac:dyDescent="0.25">
      <c r="A127" s="47" t="s">
        <v>529</v>
      </c>
      <c r="B127" s="47" t="s">
        <v>132</v>
      </c>
      <c r="C127" s="47" t="s">
        <v>133</v>
      </c>
      <c r="D127" s="47"/>
      <c r="E127" s="51"/>
      <c r="F127" s="51"/>
      <c r="G127" s="52">
        <f>G126</f>
        <v>128</v>
      </c>
      <c r="H127" s="52">
        <f t="shared" ref="H127:I127" si="129">H126</f>
        <v>128</v>
      </c>
      <c r="I127" s="52">
        <f t="shared" si="129"/>
        <v>128</v>
      </c>
      <c r="J127" s="48"/>
      <c r="K127" s="48"/>
      <c r="L127" s="49">
        <v>17135.25</v>
      </c>
      <c r="M127" s="48">
        <f t="shared" si="89"/>
        <v>17135.25</v>
      </c>
      <c r="N127" s="51"/>
      <c r="O127" s="48"/>
      <c r="P127" s="51"/>
      <c r="Q127" s="48"/>
      <c r="R127" s="48"/>
      <c r="S127" s="48">
        <f>G127*L127</f>
        <v>2193312</v>
      </c>
      <c r="T127" s="48">
        <f>S127</f>
        <v>2193312</v>
      </c>
      <c r="U127" s="48">
        <f>T127</f>
        <v>2193312</v>
      </c>
      <c r="V127" s="48">
        <f>U127</f>
        <v>2193312</v>
      </c>
    </row>
    <row r="128" spans="1:29" ht="21" customHeight="1" x14ac:dyDescent="0.25">
      <c r="A128" s="46" t="s">
        <v>147</v>
      </c>
      <c r="B128" s="46"/>
      <c r="C128" s="46"/>
      <c r="D128" s="46"/>
      <c r="E128" s="52"/>
      <c r="F128" s="52"/>
      <c r="G128" s="52"/>
      <c r="H128" s="52"/>
      <c r="I128" s="52"/>
      <c r="J128" s="49"/>
      <c r="K128" s="48"/>
      <c r="L128" s="49"/>
      <c r="M128" s="48">
        <f t="shared" si="89"/>
        <v>0</v>
      </c>
      <c r="N128" s="49">
        <f>N129</f>
        <v>12551645.330000002</v>
      </c>
      <c r="O128" s="49">
        <f>O129</f>
        <v>5343143.2450000001</v>
      </c>
      <c r="P128" s="52"/>
      <c r="Q128" s="49">
        <f>Q129+Q138</f>
        <v>15284851.379999999</v>
      </c>
      <c r="R128" s="49"/>
      <c r="S128" s="49">
        <f>S139</f>
        <v>2210447.25</v>
      </c>
      <c r="T128" s="49">
        <f>T129+T138+T139</f>
        <v>35390087.204999991</v>
      </c>
      <c r="U128" s="49">
        <f>U129+U138+U139</f>
        <v>35390087.204999991</v>
      </c>
      <c r="V128" s="49">
        <f>V129+V138+V139</f>
        <v>35390087.204999991</v>
      </c>
      <c r="W128" s="38">
        <v>7637084.2800000003</v>
      </c>
      <c r="X128" s="44">
        <f>W128-Q128</f>
        <v>-7647767.0999999987</v>
      </c>
      <c r="Y128" s="38">
        <f>X128/G138</f>
        <v>-59285.016279069758</v>
      </c>
      <c r="AA128" s="38">
        <v>7421318.2800000003</v>
      </c>
      <c r="AB128" s="44">
        <f>AA128-Q128</f>
        <v>-7863533.0999999987</v>
      </c>
      <c r="AC128" s="38">
        <f>AB128/I138</f>
        <v>-60957.620930232551</v>
      </c>
    </row>
    <row r="129" spans="1:29" ht="79.900000000000006" customHeight="1" x14ac:dyDescent="0.25">
      <c r="A129" s="43" t="s">
        <v>125</v>
      </c>
      <c r="B129" s="41" t="s">
        <v>126</v>
      </c>
      <c r="C129" s="41"/>
      <c r="D129" s="47"/>
      <c r="E129" s="51"/>
      <c r="F129" s="51"/>
      <c r="G129" s="51"/>
      <c r="H129" s="51"/>
      <c r="I129" s="51"/>
      <c r="J129" s="48"/>
      <c r="K129" s="48"/>
      <c r="L129" s="48"/>
      <c r="M129" s="48"/>
      <c r="N129" s="48">
        <f>SUM(N130:N137)</f>
        <v>12551645.330000002</v>
      </c>
      <c r="O129" s="48">
        <f t="shared" ref="O129:V129" si="130">SUM(O130:O137)</f>
        <v>5343143.2450000001</v>
      </c>
      <c r="P129" s="48">
        <f t="shared" si="130"/>
        <v>0</v>
      </c>
      <c r="Q129" s="49">
        <f t="shared" si="130"/>
        <v>8342342.2799999993</v>
      </c>
      <c r="R129" s="48">
        <f t="shared" si="130"/>
        <v>0</v>
      </c>
      <c r="S129" s="48"/>
      <c r="T129" s="48">
        <f t="shared" si="130"/>
        <v>26237130.854999993</v>
      </c>
      <c r="U129" s="48">
        <f t="shared" si="130"/>
        <v>26237130.854999993</v>
      </c>
      <c r="V129" s="48">
        <f t="shared" si="130"/>
        <v>26237130.854999993</v>
      </c>
      <c r="W129" s="44">
        <v>18749103.280000001</v>
      </c>
      <c r="Y129" s="44"/>
      <c r="AA129" s="44">
        <f>18749103.28+U139</f>
        <v>20959550.530000001</v>
      </c>
      <c r="AB129" s="44">
        <f>U128-AA129</f>
        <v>14430536.67499999</v>
      </c>
    </row>
    <row r="130" spans="1:29" ht="108" customHeight="1" x14ac:dyDescent="0.25">
      <c r="A130" s="43"/>
      <c r="B130" s="43" t="s">
        <v>127</v>
      </c>
      <c r="C130" s="236" t="s">
        <v>310</v>
      </c>
      <c r="D130" s="47" t="s">
        <v>128</v>
      </c>
      <c r="E130" s="51">
        <v>16</v>
      </c>
      <c r="F130" s="51">
        <v>16</v>
      </c>
      <c r="G130" s="51">
        <f t="shared" ref="G130:G137" si="131">((E130*8)+(F130*4))/12</f>
        <v>16</v>
      </c>
      <c r="H130" s="51">
        <v>16</v>
      </c>
      <c r="I130" s="51">
        <v>16</v>
      </c>
      <c r="J130" s="48">
        <v>62813.1</v>
      </c>
      <c r="K130" s="48">
        <f>33955.33+10788.57*1</f>
        <v>44743.9</v>
      </c>
      <c r="L130" s="49">
        <v>64669.32</v>
      </c>
      <c r="M130" s="48">
        <f t="shared" ref="M130" si="132">J130+K130+L130</f>
        <v>172226.32</v>
      </c>
      <c r="N130" s="48">
        <f>G130*J130</f>
        <v>1005009.6</v>
      </c>
      <c r="O130" s="48">
        <f>G130*K130</f>
        <v>715902.4</v>
      </c>
      <c r="P130" s="51"/>
      <c r="Q130" s="48">
        <f>G130*L130</f>
        <v>1034709.12</v>
      </c>
      <c r="R130" s="48"/>
      <c r="S130" s="48"/>
      <c r="T130" s="48">
        <f>SUM(N130:Q130)</f>
        <v>2755621.12</v>
      </c>
      <c r="U130" s="48">
        <f t="shared" ref="U130:V136" si="133">T130</f>
        <v>2755621.12</v>
      </c>
      <c r="V130" s="48">
        <f t="shared" si="133"/>
        <v>2755621.12</v>
      </c>
      <c r="W130" s="44"/>
      <c r="Y130" s="44"/>
      <c r="AA130" s="44"/>
      <c r="AB130" s="44"/>
    </row>
    <row r="131" spans="1:29" ht="26.45" customHeight="1" x14ac:dyDescent="0.25">
      <c r="A131" s="43"/>
      <c r="B131" s="47" t="s">
        <v>127</v>
      </c>
      <c r="C131" s="261" t="s">
        <v>385</v>
      </c>
      <c r="D131" s="47" t="s">
        <v>128</v>
      </c>
      <c r="E131" s="51">
        <v>14</v>
      </c>
      <c r="F131" s="51">
        <v>14</v>
      </c>
      <c r="G131" s="51">
        <f t="shared" si="131"/>
        <v>14</v>
      </c>
      <c r="H131" s="51">
        <v>14</v>
      </c>
      <c r="I131" s="51">
        <v>14</v>
      </c>
      <c r="J131" s="48">
        <v>127527.31</v>
      </c>
      <c r="K131" s="48">
        <f>33955.33+10788.57*1.5</f>
        <v>50138.184999999998</v>
      </c>
      <c r="L131" s="49">
        <v>64669.32</v>
      </c>
      <c r="M131" s="48">
        <f t="shared" si="89"/>
        <v>242334.815</v>
      </c>
      <c r="N131" s="48">
        <f>G131*J131</f>
        <v>1785382.3399999999</v>
      </c>
      <c r="O131" s="48">
        <f>G131*K131</f>
        <v>701934.59</v>
      </c>
      <c r="P131" s="51"/>
      <c r="Q131" s="48">
        <f>G131*L131</f>
        <v>905370.48</v>
      </c>
      <c r="R131" s="48"/>
      <c r="S131" s="48"/>
      <c r="T131" s="48">
        <f>SUM(N131:Q131)</f>
        <v>3392687.4099999997</v>
      </c>
      <c r="U131" s="48">
        <f t="shared" si="133"/>
        <v>3392687.4099999997</v>
      </c>
      <c r="V131" s="48">
        <f t="shared" si="133"/>
        <v>3392687.4099999997</v>
      </c>
    </row>
    <row r="132" spans="1:29" ht="25.9" customHeight="1" x14ac:dyDescent="0.25">
      <c r="A132" s="47" t="s">
        <v>368</v>
      </c>
      <c r="B132" s="47" t="s">
        <v>354</v>
      </c>
      <c r="C132" s="306"/>
      <c r="D132" s="47" t="s">
        <v>128</v>
      </c>
      <c r="E132" s="51">
        <v>1</v>
      </c>
      <c r="F132" s="51">
        <v>1</v>
      </c>
      <c r="G132" s="52">
        <f t="shared" si="131"/>
        <v>1</v>
      </c>
      <c r="H132" s="52">
        <v>1</v>
      </c>
      <c r="I132" s="52">
        <v>1</v>
      </c>
      <c r="J132" s="48">
        <v>95705.64</v>
      </c>
      <c r="K132" s="48">
        <f>33955.33+10788.57*1.5</f>
        <v>50138.184999999998</v>
      </c>
      <c r="L132" s="49">
        <v>64669.32</v>
      </c>
      <c r="M132" s="48">
        <f t="shared" si="89"/>
        <v>210513.14500000002</v>
      </c>
      <c r="N132" s="48">
        <f>G132*J132</f>
        <v>95705.64</v>
      </c>
      <c r="O132" s="48">
        <f t="shared" ref="O132:O137" si="134">G132*K132</f>
        <v>50138.184999999998</v>
      </c>
      <c r="P132" s="51"/>
      <c r="Q132" s="48">
        <f>G132*L132</f>
        <v>64669.32</v>
      </c>
      <c r="R132" s="48"/>
      <c r="S132" s="48"/>
      <c r="T132" s="48">
        <f>SUM(N132:Q132)</f>
        <v>210513.14500000002</v>
      </c>
      <c r="U132" s="48">
        <f t="shared" si="133"/>
        <v>210513.14500000002</v>
      </c>
      <c r="V132" s="48">
        <f t="shared" si="133"/>
        <v>210513.14500000002</v>
      </c>
      <c r="X132" s="44">
        <f>W129-U128</f>
        <v>-16640983.92499999</v>
      </c>
    </row>
    <row r="133" spans="1:29" ht="27" customHeight="1" x14ac:dyDescent="0.25">
      <c r="A133" s="43" t="s">
        <v>367</v>
      </c>
      <c r="B133" s="47" t="s">
        <v>356</v>
      </c>
      <c r="C133" s="306"/>
      <c r="D133" s="47" t="s">
        <v>128</v>
      </c>
      <c r="E133" s="51">
        <v>32</v>
      </c>
      <c r="F133" s="51">
        <v>32</v>
      </c>
      <c r="G133" s="51">
        <f t="shared" si="131"/>
        <v>32</v>
      </c>
      <c r="H133" s="51">
        <v>32</v>
      </c>
      <c r="I133" s="51">
        <v>32</v>
      </c>
      <c r="J133" s="48">
        <v>95705.64</v>
      </c>
      <c r="K133" s="48">
        <f>25496.5+10788.57</f>
        <v>36285.07</v>
      </c>
      <c r="L133" s="49">
        <v>64669.32</v>
      </c>
      <c r="M133" s="48">
        <f t="shared" si="89"/>
        <v>196660.03</v>
      </c>
      <c r="N133" s="48">
        <f t="shared" ref="N133" si="135">G133*J133</f>
        <v>3062580.48</v>
      </c>
      <c r="O133" s="48">
        <f t="shared" si="134"/>
        <v>1161122.24</v>
      </c>
      <c r="P133" s="51"/>
      <c r="Q133" s="48">
        <f t="shared" ref="Q133" si="136">G133*L133</f>
        <v>2069418.24</v>
      </c>
      <c r="R133" s="48"/>
      <c r="S133" s="48"/>
      <c r="T133" s="48">
        <f t="shared" ref="T133" si="137">SUM(N133:Q133)</f>
        <v>6293120.96</v>
      </c>
      <c r="U133" s="48">
        <f t="shared" si="133"/>
        <v>6293120.96</v>
      </c>
      <c r="V133" s="48">
        <f t="shared" si="133"/>
        <v>6293120.96</v>
      </c>
    </row>
    <row r="134" spans="1:29" ht="25.15" customHeight="1" x14ac:dyDescent="0.25">
      <c r="A134" s="47"/>
      <c r="B134" s="47" t="s">
        <v>354</v>
      </c>
      <c r="C134" s="306"/>
      <c r="D134" s="47" t="s">
        <v>128</v>
      </c>
      <c r="E134" s="51">
        <v>54</v>
      </c>
      <c r="F134" s="51">
        <v>54</v>
      </c>
      <c r="G134" s="51">
        <f t="shared" si="131"/>
        <v>54</v>
      </c>
      <c r="H134" s="51">
        <v>54</v>
      </c>
      <c r="I134" s="51">
        <v>54</v>
      </c>
      <c r="J134" s="48">
        <v>95705.64</v>
      </c>
      <c r="K134" s="48">
        <f>25496.5+10788.57</f>
        <v>36285.07</v>
      </c>
      <c r="L134" s="49">
        <v>64669.32</v>
      </c>
      <c r="M134" s="48">
        <f t="shared" si="89"/>
        <v>196660.03</v>
      </c>
      <c r="N134" s="48">
        <f>G134*J134</f>
        <v>5168104.5599999996</v>
      </c>
      <c r="O134" s="48">
        <f>G134*K134</f>
        <v>1959393.78</v>
      </c>
      <c r="P134" s="51"/>
      <c r="Q134" s="48">
        <f>G134*L134</f>
        <v>3492143.28</v>
      </c>
      <c r="R134" s="48"/>
      <c r="S134" s="48"/>
      <c r="T134" s="48">
        <f>SUM(N134:Q134)</f>
        <v>10619641.619999999</v>
      </c>
      <c r="U134" s="48">
        <f t="shared" si="133"/>
        <v>10619641.619999999</v>
      </c>
      <c r="V134" s="48">
        <f t="shared" si="133"/>
        <v>10619641.619999999</v>
      </c>
    </row>
    <row r="135" spans="1:29" ht="27" customHeight="1" x14ac:dyDescent="0.25">
      <c r="A135" s="47"/>
      <c r="B135" s="47" t="s">
        <v>354</v>
      </c>
      <c r="C135" s="306"/>
      <c r="D135" s="47" t="s">
        <v>128</v>
      </c>
      <c r="E135" s="51">
        <v>8</v>
      </c>
      <c r="F135" s="51">
        <v>8</v>
      </c>
      <c r="G135" s="51">
        <f t="shared" si="131"/>
        <v>8</v>
      </c>
      <c r="H135" s="51">
        <v>8</v>
      </c>
      <c r="I135" s="51">
        <v>8</v>
      </c>
      <c r="J135" s="48">
        <v>127527.31</v>
      </c>
      <c r="K135" s="48">
        <f>33955.33+10788.57*1.5</f>
        <v>50138.184999999998</v>
      </c>
      <c r="L135" s="49">
        <v>64669.32</v>
      </c>
      <c r="M135" s="48">
        <f t="shared" si="89"/>
        <v>242334.815</v>
      </c>
      <c r="N135" s="48">
        <f>G135*J135</f>
        <v>1020218.48</v>
      </c>
      <c r="O135" s="48">
        <f>G135*K135</f>
        <v>401105.48</v>
      </c>
      <c r="P135" s="51"/>
      <c r="Q135" s="48">
        <f>G135*L135</f>
        <v>517354.56</v>
      </c>
      <c r="R135" s="48"/>
      <c r="S135" s="48"/>
      <c r="T135" s="48">
        <f>SUM(N135:Q135)</f>
        <v>1938678.52</v>
      </c>
      <c r="U135" s="48">
        <f t="shared" si="133"/>
        <v>1938678.52</v>
      </c>
      <c r="V135" s="48">
        <f t="shared" si="133"/>
        <v>1938678.52</v>
      </c>
    </row>
    <row r="136" spans="1:29" ht="27" customHeight="1" x14ac:dyDescent="0.25">
      <c r="A136" s="47" t="s">
        <v>366</v>
      </c>
      <c r="B136" s="43" t="s">
        <v>345</v>
      </c>
      <c r="C136" s="306"/>
      <c r="D136" s="47" t="s">
        <v>128</v>
      </c>
      <c r="E136" s="51">
        <v>1</v>
      </c>
      <c r="F136" s="51">
        <v>1</v>
      </c>
      <c r="G136" s="52">
        <f t="shared" si="131"/>
        <v>1</v>
      </c>
      <c r="H136" s="52">
        <v>1</v>
      </c>
      <c r="I136" s="52">
        <v>1</v>
      </c>
      <c r="J136" s="48">
        <v>127527.31</v>
      </c>
      <c r="K136" s="48">
        <f>33955.33+10788.57*1.5+203012.01</f>
        <v>253150.19500000001</v>
      </c>
      <c r="L136" s="49">
        <v>64669.32</v>
      </c>
      <c r="M136" s="48">
        <f t="shared" si="89"/>
        <v>445346.82500000001</v>
      </c>
      <c r="N136" s="48">
        <f>G136*J136</f>
        <v>127527.31</v>
      </c>
      <c r="O136" s="48">
        <f>G136*K136-50018.18</f>
        <v>203132.01500000001</v>
      </c>
      <c r="P136" s="51"/>
      <c r="Q136" s="48">
        <f>G136*L136</f>
        <v>64669.32</v>
      </c>
      <c r="R136" s="48"/>
      <c r="S136" s="48"/>
      <c r="T136" s="48">
        <f>SUM(N136:Q136)</f>
        <v>395328.64500000002</v>
      </c>
      <c r="U136" s="48">
        <f t="shared" si="133"/>
        <v>395328.64500000002</v>
      </c>
      <c r="V136" s="48">
        <f t="shared" si="133"/>
        <v>395328.64500000002</v>
      </c>
    </row>
    <row r="137" spans="1:29" ht="23.45" customHeight="1" x14ac:dyDescent="0.25">
      <c r="A137" s="47" t="s">
        <v>367</v>
      </c>
      <c r="B137" s="47" t="s">
        <v>127</v>
      </c>
      <c r="C137" s="307"/>
      <c r="D137" s="47" t="s">
        <v>128</v>
      </c>
      <c r="E137" s="51">
        <v>3</v>
      </c>
      <c r="F137" s="51">
        <v>3</v>
      </c>
      <c r="G137" s="51">
        <f t="shared" si="131"/>
        <v>3</v>
      </c>
      <c r="H137" s="51">
        <v>3</v>
      </c>
      <c r="I137" s="51">
        <v>3</v>
      </c>
      <c r="J137" s="48">
        <v>95705.64</v>
      </c>
      <c r="K137" s="48">
        <f>33955.33+10788.57*1.5</f>
        <v>50138.184999999998</v>
      </c>
      <c r="L137" s="49">
        <v>64669.32</v>
      </c>
      <c r="M137" s="48">
        <f t="shared" si="89"/>
        <v>210513.14500000002</v>
      </c>
      <c r="N137" s="48">
        <f>J137*G137</f>
        <v>287116.92</v>
      </c>
      <c r="O137" s="48">
        <f t="shared" si="134"/>
        <v>150414.55499999999</v>
      </c>
      <c r="P137" s="51"/>
      <c r="Q137" s="48">
        <f t="shared" ref="Q137" si="138">G137*L137</f>
        <v>194007.96</v>
      </c>
      <c r="R137" s="48"/>
      <c r="S137" s="48"/>
      <c r="T137" s="48">
        <f>SUM(N137:Q137)</f>
        <v>631539.43499999994</v>
      </c>
      <c r="U137" s="48">
        <f>T137</f>
        <v>631539.43499999994</v>
      </c>
      <c r="V137" s="48">
        <f>U137</f>
        <v>631539.43499999994</v>
      </c>
    </row>
    <row r="138" spans="1:29" ht="61.15" customHeight="1" x14ac:dyDescent="0.25">
      <c r="A138" s="43" t="s">
        <v>131</v>
      </c>
      <c r="B138" s="47" t="s">
        <v>132</v>
      </c>
      <c r="C138" s="47" t="s">
        <v>55</v>
      </c>
      <c r="D138" s="47" t="s">
        <v>128</v>
      </c>
      <c r="E138" s="52">
        <f>E134+E133+E132+E131+E137+E136+E130+E135</f>
        <v>129</v>
      </c>
      <c r="F138" s="52">
        <f>F134+F133+F132+F131+F137+F136+F130+F135</f>
        <v>129</v>
      </c>
      <c r="G138" s="52">
        <f>G134+G133+G132+G131+G137+G136+G130+G135</f>
        <v>129</v>
      </c>
      <c r="H138" s="52">
        <f>H134+H133+H132+H131+H137+H136+H130+H135</f>
        <v>129</v>
      </c>
      <c r="I138" s="52">
        <f>I134+I133+I132+I131+I137+I136+I130+I135</f>
        <v>129</v>
      </c>
      <c r="J138" s="48">
        <v>0</v>
      </c>
      <c r="K138" s="48">
        <v>0</v>
      </c>
      <c r="L138" s="49">
        <f>70953.15-L139</f>
        <v>53817.899999999994</v>
      </c>
      <c r="M138" s="48">
        <f>J138+K138+L138</f>
        <v>53817.899999999994</v>
      </c>
      <c r="N138" s="48">
        <f>G138*J138</f>
        <v>0</v>
      </c>
      <c r="O138" s="48">
        <f>G138*K138</f>
        <v>0</v>
      </c>
      <c r="P138" s="51">
        <f>P134+P133+P132+P131+P137+P136</f>
        <v>0</v>
      </c>
      <c r="Q138" s="49">
        <f>G138*L138</f>
        <v>6942509.0999999996</v>
      </c>
      <c r="R138" s="51">
        <f>R134+R133+R132+R131+R137+R136</f>
        <v>0</v>
      </c>
      <c r="S138" s="51"/>
      <c r="T138" s="48">
        <f>SUM(N138:Q138)</f>
        <v>6942509.0999999996</v>
      </c>
      <c r="U138" s="48">
        <f>T138</f>
        <v>6942509.0999999996</v>
      </c>
      <c r="V138" s="48">
        <f>U138</f>
        <v>6942509.0999999996</v>
      </c>
    </row>
    <row r="139" spans="1:29" ht="31.9" customHeight="1" x14ac:dyDescent="0.25">
      <c r="A139" s="297" t="s">
        <v>568</v>
      </c>
      <c r="B139" s="47" t="s">
        <v>132</v>
      </c>
      <c r="C139" s="47" t="s">
        <v>133</v>
      </c>
      <c r="D139" s="47"/>
      <c r="E139" s="51"/>
      <c r="F139" s="51"/>
      <c r="G139" s="52">
        <f>G138</f>
        <v>129</v>
      </c>
      <c r="H139" s="52">
        <f t="shared" ref="H139:I139" si="139">H138</f>
        <v>129</v>
      </c>
      <c r="I139" s="52">
        <f t="shared" si="139"/>
        <v>129</v>
      </c>
      <c r="J139" s="48"/>
      <c r="K139" s="48"/>
      <c r="L139" s="49">
        <v>17135.25</v>
      </c>
      <c r="M139" s="48">
        <f t="shared" si="89"/>
        <v>17135.25</v>
      </c>
      <c r="N139" s="51"/>
      <c r="O139" s="48"/>
      <c r="P139" s="51"/>
      <c r="Q139" s="48"/>
      <c r="R139" s="48"/>
      <c r="S139" s="48">
        <f>G139*L139</f>
        <v>2210447.25</v>
      </c>
      <c r="T139" s="48">
        <f>S139</f>
        <v>2210447.25</v>
      </c>
      <c r="U139" s="48">
        <f>S139</f>
        <v>2210447.25</v>
      </c>
      <c r="V139" s="48">
        <f>S139</f>
        <v>2210447.25</v>
      </c>
    </row>
    <row r="140" spans="1:29" s="54" customFormat="1" ht="24" customHeight="1" x14ac:dyDescent="0.2">
      <c r="A140" s="46" t="s">
        <v>148</v>
      </c>
      <c r="B140" s="46"/>
      <c r="C140" s="46"/>
      <c r="D140" s="46"/>
      <c r="E140" s="52"/>
      <c r="F140" s="52"/>
      <c r="G140" s="52"/>
      <c r="H140" s="52"/>
      <c r="I140" s="52"/>
      <c r="J140" s="49"/>
      <c r="K140" s="48"/>
      <c r="L140" s="49"/>
      <c r="M140" s="48">
        <f t="shared" si="89"/>
        <v>0</v>
      </c>
      <c r="N140" s="49">
        <f>N141</f>
        <v>19040182.449999999</v>
      </c>
      <c r="O140" s="49">
        <f>O141</f>
        <v>8584205.7200000007</v>
      </c>
      <c r="P140" s="49"/>
      <c r="Q140" s="49">
        <f>Q141+Q152</f>
        <v>21683156.259999998</v>
      </c>
      <c r="R140" s="49"/>
      <c r="S140" s="49">
        <f>S153</f>
        <v>3135750.75</v>
      </c>
      <c r="T140" s="49">
        <f>T141+T152+T153</f>
        <v>52443295.179999992</v>
      </c>
      <c r="U140" s="49">
        <f>U141+U152+U153</f>
        <v>52443295.179999992</v>
      </c>
      <c r="V140" s="49">
        <f>V141+V152+V153</f>
        <v>52443295.179999992</v>
      </c>
      <c r="W140" s="54">
        <v>12135022</v>
      </c>
      <c r="X140" s="55">
        <f>W140-Q140</f>
        <v>-9548134.2599999979</v>
      </c>
      <c r="Y140" s="54">
        <f>X140/G152</f>
        <v>-52175.597049180316</v>
      </c>
      <c r="AA140" s="54">
        <v>12524345</v>
      </c>
      <c r="AB140" s="55">
        <f>AA140-Q140</f>
        <v>-9158811.2599999979</v>
      </c>
      <c r="AC140" s="54">
        <f>AB140/I152</f>
        <v>-50048.148961748622</v>
      </c>
    </row>
    <row r="141" spans="1:29" ht="72.599999999999994" customHeight="1" x14ac:dyDescent="0.25">
      <c r="A141" s="43" t="s">
        <v>125</v>
      </c>
      <c r="B141" s="41" t="s">
        <v>126</v>
      </c>
      <c r="C141" s="41"/>
      <c r="D141" s="47"/>
      <c r="E141" s="51"/>
      <c r="F141" s="51"/>
      <c r="G141" s="51"/>
      <c r="H141" s="51"/>
      <c r="I141" s="51"/>
      <c r="J141" s="48"/>
      <c r="K141" s="48"/>
      <c r="L141" s="48"/>
      <c r="M141" s="48"/>
      <c r="N141" s="48">
        <f>SUM(N142:N151)</f>
        <v>19040182.449999999</v>
      </c>
      <c r="O141" s="48">
        <f t="shared" ref="O141:V141" si="140">SUM(O142:O151)</f>
        <v>8584205.7200000007</v>
      </c>
      <c r="P141" s="48">
        <f t="shared" si="140"/>
        <v>0</v>
      </c>
      <c r="Q141" s="49">
        <f t="shared" si="140"/>
        <v>11834480.560000001</v>
      </c>
      <c r="R141" s="48">
        <f t="shared" si="140"/>
        <v>0</v>
      </c>
      <c r="S141" s="48"/>
      <c r="T141" s="48">
        <f t="shared" si="140"/>
        <v>39458868.729999997</v>
      </c>
      <c r="U141" s="48">
        <f t="shared" si="140"/>
        <v>39458868.729999997</v>
      </c>
      <c r="V141" s="48">
        <f t="shared" si="140"/>
        <v>39458868.729999997</v>
      </c>
      <c r="W141" s="44">
        <v>33911273</v>
      </c>
      <c r="AA141" s="44">
        <f>33911273+U153</f>
        <v>37047023.75</v>
      </c>
      <c r="AB141" s="44">
        <f>U140-AA141</f>
        <v>15396271.429999992</v>
      </c>
    </row>
    <row r="142" spans="1:29" ht="100.15" customHeight="1" x14ac:dyDescent="0.25">
      <c r="A142" s="43"/>
      <c r="B142" s="47" t="s">
        <v>127</v>
      </c>
      <c r="C142" s="43" t="s">
        <v>540</v>
      </c>
      <c r="D142" s="47" t="s">
        <v>128</v>
      </c>
      <c r="E142" s="51">
        <v>39</v>
      </c>
      <c r="F142" s="51">
        <v>39</v>
      </c>
      <c r="G142" s="51">
        <f t="shared" ref="G142:G151" si="141">((E142*8)+(F142*4))/12</f>
        <v>39</v>
      </c>
      <c r="H142" s="51">
        <v>39</v>
      </c>
      <c r="I142" s="51">
        <v>39</v>
      </c>
      <c r="J142" s="48">
        <v>62813.1</v>
      </c>
      <c r="K142" s="48">
        <f>33955.33+13866.12</f>
        <v>47821.450000000004</v>
      </c>
      <c r="L142" s="49">
        <v>64669.32</v>
      </c>
      <c r="M142" s="48">
        <f t="shared" si="89"/>
        <v>175303.87</v>
      </c>
      <c r="N142" s="48">
        <f>G142*J142</f>
        <v>2449710.9</v>
      </c>
      <c r="O142" s="48">
        <f>G142*K142</f>
        <v>1865036.5500000003</v>
      </c>
      <c r="P142" s="51"/>
      <c r="Q142" s="48">
        <f>G142*L142</f>
        <v>2522103.48</v>
      </c>
      <c r="R142" s="48"/>
      <c r="S142" s="48"/>
      <c r="T142" s="48">
        <f t="shared" ref="T142:T152" si="142">SUM(N142:Q142)</f>
        <v>6836850.9299999997</v>
      </c>
      <c r="U142" s="48">
        <f>T142</f>
        <v>6836850.9299999997</v>
      </c>
      <c r="V142" s="48">
        <f t="shared" ref="V142:V151" si="143">U142</f>
        <v>6836850.9299999997</v>
      </c>
      <c r="X142" s="44">
        <f>W141-U140</f>
        <v>-18532022.179999992</v>
      </c>
    </row>
    <row r="143" spans="1:29" ht="124.9" customHeight="1" x14ac:dyDescent="0.25">
      <c r="A143" s="43"/>
      <c r="B143" s="47" t="s">
        <v>127</v>
      </c>
      <c r="C143" s="236" t="s">
        <v>309</v>
      </c>
      <c r="D143" s="47" t="s">
        <v>128</v>
      </c>
      <c r="E143" s="51">
        <v>12</v>
      </c>
      <c r="F143" s="51">
        <v>12</v>
      </c>
      <c r="G143" s="51">
        <f t="shared" si="141"/>
        <v>12</v>
      </c>
      <c r="H143" s="51">
        <v>12</v>
      </c>
      <c r="I143" s="51">
        <v>12</v>
      </c>
      <c r="J143" s="48">
        <v>127527.31</v>
      </c>
      <c r="K143" s="48">
        <f>33955.33+13866.12*1.5</f>
        <v>54754.51</v>
      </c>
      <c r="L143" s="49">
        <v>64669.32</v>
      </c>
      <c r="M143" s="48">
        <f t="shared" si="89"/>
        <v>246951.14</v>
      </c>
      <c r="N143" s="48">
        <f>G143*J143</f>
        <v>1530327.72</v>
      </c>
      <c r="O143" s="48">
        <f>G143*K143</f>
        <v>657054.12</v>
      </c>
      <c r="P143" s="51"/>
      <c r="Q143" s="48">
        <f>G143*L143</f>
        <v>776031.84</v>
      </c>
      <c r="R143" s="48"/>
      <c r="S143" s="48"/>
      <c r="T143" s="48">
        <f t="shared" si="142"/>
        <v>2963413.6799999997</v>
      </c>
      <c r="U143" s="48">
        <f>T143</f>
        <v>2963413.6799999997</v>
      </c>
      <c r="V143" s="48">
        <f t="shared" si="143"/>
        <v>2963413.6799999997</v>
      </c>
      <c r="X143" s="44"/>
    </row>
    <row r="144" spans="1:29" ht="66.599999999999994" customHeight="1" x14ac:dyDescent="0.25">
      <c r="A144" s="43"/>
      <c r="B144" s="47" t="s">
        <v>356</v>
      </c>
      <c r="C144" s="237"/>
      <c r="D144" s="47" t="s">
        <v>128</v>
      </c>
      <c r="E144" s="51">
        <v>5</v>
      </c>
      <c r="F144" s="51">
        <v>5</v>
      </c>
      <c r="G144" s="51">
        <f t="shared" ref="G144" si="144">((E144*8)+(F144*4))/12</f>
        <v>5</v>
      </c>
      <c r="H144" s="51">
        <v>5</v>
      </c>
      <c r="I144" s="51">
        <v>5</v>
      </c>
      <c r="J144" s="48">
        <v>127527.31</v>
      </c>
      <c r="K144" s="48">
        <f>33955.33+13866.12*1.5</f>
        <v>54754.51</v>
      </c>
      <c r="L144" s="49">
        <v>64668.32</v>
      </c>
      <c r="M144" s="48">
        <f t="shared" ref="M144" si="145">J144+K144+L144</f>
        <v>246950.14</v>
      </c>
      <c r="N144" s="48">
        <f t="shared" ref="N144" si="146">G144*J144</f>
        <v>637636.55000000005</v>
      </c>
      <c r="O144" s="48">
        <f>G144*K144+6933.06+260960.38</f>
        <v>541665.99</v>
      </c>
      <c r="P144" s="51"/>
      <c r="Q144" s="48">
        <f t="shared" ref="Q144" si="147">G144*L144</f>
        <v>323341.59999999998</v>
      </c>
      <c r="R144" s="48"/>
      <c r="S144" s="48"/>
      <c r="T144" s="48">
        <f t="shared" ref="T144" si="148">SUM(N144:Q144)</f>
        <v>1502644.1400000001</v>
      </c>
      <c r="U144" s="48">
        <f t="shared" ref="U144" si="149">T144</f>
        <v>1502644.1400000001</v>
      </c>
      <c r="V144" s="48">
        <f t="shared" ref="V144" si="150">U144</f>
        <v>1502644.1400000001</v>
      </c>
      <c r="X144" s="44"/>
    </row>
    <row r="145" spans="1:23" ht="46.15" customHeight="1" x14ac:dyDescent="0.25">
      <c r="A145" s="43"/>
      <c r="B145" s="47" t="s">
        <v>356</v>
      </c>
      <c r="C145" s="302"/>
      <c r="D145" s="47" t="s">
        <v>128</v>
      </c>
      <c r="E145" s="51">
        <v>29</v>
      </c>
      <c r="F145" s="51">
        <v>29</v>
      </c>
      <c r="G145" s="51">
        <f t="shared" si="141"/>
        <v>29</v>
      </c>
      <c r="H145" s="51">
        <v>29</v>
      </c>
      <c r="I145" s="51">
        <v>29</v>
      </c>
      <c r="J145" s="48">
        <v>95705.64</v>
      </c>
      <c r="K145" s="48">
        <f>25496.5+13866.12</f>
        <v>39362.620000000003</v>
      </c>
      <c r="L145" s="49">
        <v>64669.32</v>
      </c>
      <c r="M145" s="48">
        <f t="shared" si="89"/>
        <v>199737.58000000002</v>
      </c>
      <c r="N145" s="48">
        <f t="shared" ref="N145" si="151">G145*J145</f>
        <v>2775463.56</v>
      </c>
      <c r="O145" s="48">
        <f>G145*K145+6933.06+260960.38</f>
        <v>1409409.42</v>
      </c>
      <c r="P145" s="51"/>
      <c r="Q145" s="48">
        <f t="shared" ref="Q145" si="152">G145*L145</f>
        <v>1875410.28</v>
      </c>
      <c r="R145" s="48"/>
      <c r="S145" s="48"/>
      <c r="T145" s="48">
        <f t="shared" si="142"/>
        <v>6060283.2599999998</v>
      </c>
      <c r="U145" s="48">
        <f t="shared" ref="U145:U153" si="153">T145</f>
        <v>6060283.2599999998</v>
      </c>
      <c r="V145" s="48">
        <f t="shared" si="143"/>
        <v>6060283.2599999998</v>
      </c>
    </row>
    <row r="146" spans="1:23" ht="24.6" customHeight="1" x14ac:dyDescent="0.25">
      <c r="A146" s="43" t="s">
        <v>362</v>
      </c>
      <c r="B146" s="47" t="s">
        <v>354</v>
      </c>
      <c r="C146" s="302"/>
      <c r="D146" s="47"/>
      <c r="E146" s="51">
        <v>1</v>
      </c>
      <c r="F146" s="51">
        <v>1</v>
      </c>
      <c r="G146" s="52">
        <f t="shared" si="141"/>
        <v>1</v>
      </c>
      <c r="H146" s="52">
        <v>1</v>
      </c>
      <c r="I146" s="52">
        <v>1</v>
      </c>
      <c r="J146" s="48">
        <v>95705.64</v>
      </c>
      <c r="K146" s="48">
        <f>25496.5+13866.12</f>
        <v>39362.620000000003</v>
      </c>
      <c r="L146" s="49">
        <v>64669.32</v>
      </c>
      <c r="M146" s="48">
        <f t="shared" si="89"/>
        <v>199737.58000000002</v>
      </c>
      <c r="N146" s="48">
        <f>G146*J146</f>
        <v>95705.64</v>
      </c>
      <c r="O146" s="48">
        <f>G146*K146</f>
        <v>39362.620000000003</v>
      </c>
      <c r="P146" s="51"/>
      <c r="Q146" s="48">
        <f>G146*L146</f>
        <v>64669.32</v>
      </c>
      <c r="R146" s="48"/>
      <c r="S146" s="48"/>
      <c r="T146" s="48">
        <f t="shared" si="142"/>
        <v>199737.58000000002</v>
      </c>
      <c r="U146" s="48">
        <f>T146</f>
        <v>199737.58000000002</v>
      </c>
      <c r="V146" s="48">
        <f>U146</f>
        <v>199737.58000000002</v>
      </c>
    </row>
    <row r="147" spans="1:23" ht="27" customHeight="1" x14ac:dyDescent="0.25">
      <c r="A147" s="47"/>
      <c r="B147" s="47" t="s">
        <v>354</v>
      </c>
      <c r="C147" s="303"/>
      <c r="D147" s="47" t="s">
        <v>128</v>
      </c>
      <c r="E147" s="51">
        <v>77</v>
      </c>
      <c r="F147" s="51">
        <v>77</v>
      </c>
      <c r="G147" s="51">
        <f t="shared" si="141"/>
        <v>77</v>
      </c>
      <c r="H147" s="51">
        <v>77</v>
      </c>
      <c r="I147" s="51">
        <v>77</v>
      </c>
      <c r="J147" s="48">
        <v>95705.64</v>
      </c>
      <c r="K147" s="48">
        <f>25496.5+13866.12</f>
        <v>39362.620000000003</v>
      </c>
      <c r="L147" s="49">
        <v>64669.32</v>
      </c>
      <c r="M147" s="48">
        <f t="shared" si="89"/>
        <v>199737.58000000002</v>
      </c>
      <c r="N147" s="48">
        <f>G147*J147</f>
        <v>7369334.2800000003</v>
      </c>
      <c r="O147" s="48">
        <f>G147*K147</f>
        <v>3030921.74</v>
      </c>
      <c r="P147" s="51"/>
      <c r="Q147" s="48">
        <f>G147*L147</f>
        <v>4979537.6399999997</v>
      </c>
      <c r="R147" s="48"/>
      <c r="S147" s="48"/>
      <c r="T147" s="48">
        <f t="shared" si="142"/>
        <v>15379793.66</v>
      </c>
      <c r="U147" s="48">
        <f t="shared" si="153"/>
        <v>15379793.66</v>
      </c>
      <c r="V147" s="48">
        <f t="shared" si="143"/>
        <v>15379793.66</v>
      </c>
    </row>
    <row r="148" spans="1:23" ht="21" hidden="1" customHeight="1" x14ac:dyDescent="0.25">
      <c r="A148" s="47"/>
      <c r="B148" s="46" t="s">
        <v>136</v>
      </c>
      <c r="C148" s="47" t="s">
        <v>55</v>
      </c>
      <c r="D148" s="47" t="s">
        <v>128</v>
      </c>
      <c r="E148" s="51">
        <v>0</v>
      </c>
      <c r="F148" s="51">
        <v>0</v>
      </c>
      <c r="G148" s="51">
        <f t="shared" si="141"/>
        <v>0</v>
      </c>
      <c r="H148" s="51">
        <v>0</v>
      </c>
      <c r="I148" s="51">
        <v>0</v>
      </c>
      <c r="J148" s="48">
        <v>95706.64</v>
      </c>
      <c r="K148" s="48">
        <f t="shared" ref="K148:K150" si="154">25496.5+13866.12</f>
        <v>39362.620000000003</v>
      </c>
      <c r="L148" s="49">
        <v>64670.32</v>
      </c>
      <c r="M148" s="48">
        <f t="shared" si="89"/>
        <v>199739.58000000002</v>
      </c>
      <c r="N148" s="48">
        <f t="shared" ref="N148:N151" si="155">G148*J148</f>
        <v>0</v>
      </c>
      <c r="O148" s="48">
        <f t="shared" ref="O148:O150" si="156">G148*K148</f>
        <v>0</v>
      </c>
      <c r="P148" s="51"/>
      <c r="Q148" s="48">
        <f t="shared" ref="Q148:Q151" si="157">G148*L148</f>
        <v>0</v>
      </c>
      <c r="R148" s="48"/>
      <c r="S148" s="48"/>
      <c r="T148" s="48">
        <f t="shared" ref="T148:T151" si="158">SUM(N148:Q148)</f>
        <v>0</v>
      </c>
      <c r="U148" s="48">
        <f t="shared" si="153"/>
        <v>0</v>
      </c>
      <c r="V148" s="48">
        <f t="shared" si="143"/>
        <v>0</v>
      </c>
    </row>
    <row r="149" spans="1:23" ht="39" hidden="1" customHeight="1" x14ac:dyDescent="0.25">
      <c r="A149" s="47"/>
      <c r="B149" s="41" t="s">
        <v>137</v>
      </c>
      <c r="C149" s="47" t="s">
        <v>45</v>
      </c>
      <c r="D149" s="47" t="s">
        <v>128</v>
      </c>
      <c r="E149" s="51">
        <v>0</v>
      </c>
      <c r="F149" s="51">
        <v>0</v>
      </c>
      <c r="G149" s="51">
        <f t="shared" si="141"/>
        <v>0</v>
      </c>
      <c r="H149" s="51">
        <v>0</v>
      </c>
      <c r="I149" s="51">
        <v>0</v>
      </c>
      <c r="J149" s="48">
        <v>95707.64</v>
      </c>
      <c r="K149" s="48">
        <f t="shared" si="154"/>
        <v>39362.620000000003</v>
      </c>
      <c r="L149" s="49">
        <v>64671.32</v>
      </c>
      <c r="M149" s="48">
        <f t="shared" si="89"/>
        <v>199741.58000000002</v>
      </c>
      <c r="N149" s="48">
        <f t="shared" si="155"/>
        <v>0</v>
      </c>
      <c r="O149" s="48">
        <f t="shared" si="156"/>
        <v>0</v>
      </c>
      <c r="P149" s="51"/>
      <c r="Q149" s="48">
        <f t="shared" si="157"/>
        <v>0</v>
      </c>
      <c r="R149" s="48"/>
      <c r="S149" s="48"/>
      <c r="T149" s="48">
        <f t="shared" si="158"/>
        <v>0</v>
      </c>
      <c r="U149" s="48">
        <f t="shared" si="153"/>
        <v>0</v>
      </c>
      <c r="V149" s="48">
        <f t="shared" si="143"/>
        <v>0</v>
      </c>
    </row>
    <row r="150" spans="1:23" ht="24.6" hidden="1" customHeight="1" x14ac:dyDescent="0.25">
      <c r="A150" s="47"/>
      <c r="B150" s="41" t="s">
        <v>138</v>
      </c>
      <c r="C150" s="47"/>
      <c r="D150" s="47" t="s">
        <v>128</v>
      </c>
      <c r="E150" s="51">
        <v>0</v>
      </c>
      <c r="F150" s="51">
        <v>0</v>
      </c>
      <c r="G150" s="51">
        <f t="shared" si="141"/>
        <v>0</v>
      </c>
      <c r="H150" s="51">
        <v>0</v>
      </c>
      <c r="I150" s="51">
        <v>0</v>
      </c>
      <c r="J150" s="48">
        <v>95708.64</v>
      </c>
      <c r="K150" s="48">
        <f t="shared" si="154"/>
        <v>39362.620000000003</v>
      </c>
      <c r="L150" s="49">
        <v>64672.32</v>
      </c>
      <c r="M150" s="48">
        <f t="shared" si="89"/>
        <v>199743.58000000002</v>
      </c>
      <c r="N150" s="48">
        <f t="shared" si="155"/>
        <v>0</v>
      </c>
      <c r="O150" s="48">
        <f t="shared" si="156"/>
        <v>0</v>
      </c>
      <c r="P150" s="51"/>
      <c r="Q150" s="48">
        <f t="shared" si="157"/>
        <v>0</v>
      </c>
      <c r="R150" s="48"/>
      <c r="S150" s="48"/>
      <c r="T150" s="48">
        <f t="shared" si="158"/>
        <v>0</v>
      </c>
      <c r="U150" s="48">
        <f t="shared" si="153"/>
        <v>0</v>
      </c>
      <c r="V150" s="48">
        <f t="shared" si="143"/>
        <v>0</v>
      </c>
    </row>
    <row r="151" spans="1:23" ht="110.45" customHeight="1" x14ac:dyDescent="0.25">
      <c r="A151" s="47"/>
      <c r="B151" s="47" t="s">
        <v>356</v>
      </c>
      <c r="C151" s="43" t="s">
        <v>490</v>
      </c>
      <c r="D151" s="47" t="s">
        <v>128</v>
      </c>
      <c r="E151" s="51">
        <v>20</v>
      </c>
      <c r="F151" s="51">
        <v>20</v>
      </c>
      <c r="G151" s="51">
        <f t="shared" si="141"/>
        <v>20</v>
      </c>
      <c r="H151" s="51">
        <v>20</v>
      </c>
      <c r="I151" s="51">
        <v>20</v>
      </c>
      <c r="J151" s="48">
        <v>209100.19</v>
      </c>
      <c r="K151" s="48">
        <f>50873.01+13866.12*2</f>
        <v>78605.25</v>
      </c>
      <c r="L151" s="49">
        <v>64669.32</v>
      </c>
      <c r="M151" s="48">
        <f t="shared" si="89"/>
        <v>352374.76</v>
      </c>
      <c r="N151" s="48">
        <f t="shared" si="155"/>
        <v>4182003.8</v>
      </c>
      <c r="O151" s="48">
        <f>G151*K151-531349.72</f>
        <v>1040755.28</v>
      </c>
      <c r="P151" s="51"/>
      <c r="Q151" s="48">
        <f t="shared" si="157"/>
        <v>1293386.3999999999</v>
      </c>
      <c r="R151" s="48"/>
      <c r="S151" s="48"/>
      <c r="T151" s="48">
        <f t="shared" si="158"/>
        <v>6516145.4800000004</v>
      </c>
      <c r="U151" s="48">
        <f t="shared" si="153"/>
        <v>6516145.4800000004</v>
      </c>
      <c r="V151" s="48">
        <f t="shared" si="143"/>
        <v>6516145.4800000004</v>
      </c>
    </row>
    <row r="152" spans="1:23" ht="62.45" customHeight="1" x14ac:dyDescent="0.25">
      <c r="A152" s="43" t="s">
        <v>131</v>
      </c>
      <c r="B152" s="47" t="s">
        <v>132</v>
      </c>
      <c r="C152" s="47" t="s">
        <v>55</v>
      </c>
      <c r="D152" s="47" t="s">
        <v>128</v>
      </c>
      <c r="E152" s="51">
        <f>E142+E145+E147+E143+E151+E146+E144</f>
        <v>183</v>
      </c>
      <c r="F152" s="51">
        <f t="shared" ref="F152:I152" si="159">F142+F145+F147+F143+F151+F146+F144</f>
        <v>183</v>
      </c>
      <c r="G152" s="51">
        <f t="shared" si="159"/>
        <v>183</v>
      </c>
      <c r="H152" s="51">
        <f t="shared" si="159"/>
        <v>183</v>
      </c>
      <c r="I152" s="51">
        <f t="shared" si="159"/>
        <v>183</v>
      </c>
      <c r="J152" s="48">
        <v>0</v>
      </c>
      <c r="K152" s="48">
        <v>0</v>
      </c>
      <c r="L152" s="49">
        <f>70953.15-L153</f>
        <v>53817.899999999994</v>
      </c>
      <c r="M152" s="48">
        <f t="shared" si="89"/>
        <v>53817.899999999994</v>
      </c>
      <c r="N152" s="48">
        <f>G152*J152</f>
        <v>0</v>
      </c>
      <c r="O152" s="48">
        <f>G152*K152</f>
        <v>0</v>
      </c>
      <c r="P152" s="51"/>
      <c r="Q152" s="48">
        <f>G152*L152</f>
        <v>9848675.6999999993</v>
      </c>
      <c r="R152" s="48"/>
      <c r="S152" s="48"/>
      <c r="T152" s="48">
        <f t="shared" si="142"/>
        <v>9848675.6999999993</v>
      </c>
      <c r="U152" s="48">
        <f t="shared" si="153"/>
        <v>9848675.6999999993</v>
      </c>
      <c r="V152" s="48">
        <f>U152</f>
        <v>9848675.6999999993</v>
      </c>
    </row>
    <row r="153" spans="1:23" ht="27.6" customHeight="1" x14ac:dyDescent="0.25">
      <c r="A153" s="47" t="s">
        <v>589</v>
      </c>
      <c r="B153" s="47" t="s">
        <v>132</v>
      </c>
      <c r="C153" s="47" t="s">
        <v>133</v>
      </c>
      <c r="D153" s="47"/>
      <c r="E153" s="51"/>
      <c r="F153" s="51"/>
      <c r="G153" s="52">
        <f>G152</f>
        <v>183</v>
      </c>
      <c r="H153" s="52">
        <f>H152</f>
        <v>183</v>
      </c>
      <c r="I153" s="52">
        <f>I152</f>
        <v>183</v>
      </c>
      <c r="J153" s="48"/>
      <c r="K153" s="48"/>
      <c r="L153" s="49">
        <v>17135.25</v>
      </c>
      <c r="M153" s="48">
        <f t="shared" si="89"/>
        <v>17135.25</v>
      </c>
      <c r="N153" s="51"/>
      <c r="O153" s="48"/>
      <c r="P153" s="51"/>
      <c r="Q153" s="48"/>
      <c r="R153" s="48"/>
      <c r="S153" s="48">
        <f>G153*L153</f>
        <v>3135750.75</v>
      </c>
      <c r="T153" s="48">
        <f>S153</f>
        <v>3135750.75</v>
      </c>
      <c r="U153" s="48">
        <f t="shared" si="153"/>
        <v>3135750.75</v>
      </c>
      <c r="V153" s="48">
        <f>U153</f>
        <v>3135750.75</v>
      </c>
    </row>
    <row r="154" spans="1:23" ht="30.6" customHeight="1" x14ac:dyDescent="0.25">
      <c r="A154" s="219" t="s">
        <v>149</v>
      </c>
      <c r="B154" s="220"/>
      <c r="C154" s="220"/>
      <c r="D154" s="220"/>
      <c r="E154" s="220"/>
      <c r="F154" s="220"/>
      <c r="G154" s="226">
        <f>G153+G139+G127+G118+G91+G78+G63+G52+G39+G22</f>
        <v>1141</v>
      </c>
      <c r="H154" s="220"/>
      <c r="I154" s="220"/>
      <c r="J154" s="220"/>
      <c r="K154" s="220"/>
      <c r="L154" s="220"/>
      <c r="M154" s="221"/>
      <c r="N154" s="49">
        <f>N12+N25+N40+N53+N64+N79+N92+N119+N128+N140</f>
        <v>136491614.59</v>
      </c>
      <c r="O154" s="49">
        <f>O12+O25+O40+O53+O64+O79+O92+O119+O128+O140</f>
        <v>57702000.884999998</v>
      </c>
      <c r="P154" s="49" t="e">
        <f>P12+P25+#REF!+P40+P53+P64+P79+P92+P119+P128+P140+1</f>
        <v>#REF!</v>
      </c>
      <c r="Q154" s="49">
        <f>Q12+Q25+Q40+Q53+Q64+Q79+Q92+Q119+Q128+Q140</f>
        <v>142515215.11999997</v>
      </c>
      <c r="R154" s="49" t="e">
        <f>R12+R25+#REF!+R40+R53+R64+R79+R92+R119+R128+R140+1</f>
        <v>#REF!</v>
      </c>
      <c r="S154" s="49">
        <f>S12+S25+S40+S53+S64+S79+S92+S119+S128+S140</f>
        <v>19551320.25</v>
      </c>
      <c r="T154" s="49">
        <f>T12+T25+T40+T53+T64+T79+T92+T119+T128+T140</f>
        <v>356260150.84500003</v>
      </c>
      <c r="U154" s="49">
        <f>U12+U25+U40+U53+U64+U79+U92+U119+U128+U140</f>
        <v>357345131.60500002</v>
      </c>
      <c r="V154" s="49">
        <f>V12+V25+V40+V53+V64+V79+V92+V119+V128+V140</f>
        <v>357209509.13499999</v>
      </c>
      <c r="W154" s="44"/>
    </row>
    <row r="155" spans="1:23" ht="15" customHeight="1" x14ac:dyDescent="0.25">
      <c r="A155" s="38" t="s">
        <v>150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8"/>
      <c r="O155" s="58"/>
      <c r="P155" s="58"/>
      <c r="Q155" s="57" t="e">
        <f>#REF!+#REF!+#REF!+#REF!+#REF!+#REF!+#REF!+#REF!+#REF!+#REF!+#REF!</f>
        <v>#REF!</v>
      </c>
      <c r="R155" s="57"/>
      <c r="S155" s="57"/>
      <c r="T155" s="57" t="e">
        <f>#REF!+#REF!+#REF!+#REF!+#REF!+#REF!+#REF!+#REF!+#REF!+#REF!+#REF!</f>
        <v>#REF!</v>
      </c>
      <c r="U155" s="56"/>
      <c r="V155" s="58"/>
    </row>
    <row r="156" spans="1:23" ht="16.149999999999999" customHeight="1" x14ac:dyDescent="0.25">
      <c r="A156" s="38" t="s">
        <v>79</v>
      </c>
      <c r="N156" s="308"/>
      <c r="P156" s="44"/>
      <c r="U156" s="44"/>
      <c r="V156" s="58"/>
    </row>
    <row r="160" spans="1:23" ht="21" customHeight="1" x14ac:dyDescent="0.25">
      <c r="S160" s="44"/>
    </row>
  </sheetData>
  <mergeCells count="27">
    <mergeCell ref="C122:C125"/>
    <mergeCell ref="C131:C137"/>
    <mergeCell ref="C31:C34"/>
    <mergeCell ref="C42:C43"/>
    <mergeCell ref="C44:C45"/>
    <mergeCell ref="C46:C47"/>
    <mergeCell ref="C55:C59"/>
    <mergeCell ref="C66:C67"/>
    <mergeCell ref="C75:C76"/>
    <mergeCell ref="C69:C71"/>
    <mergeCell ref="C83:C85"/>
    <mergeCell ref="C96:C102"/>
    <mergeCell ref="C73:C74"/>
    <mergeCell ref="C88:C89"/>
    <mergeCell ref="C103:C106"/>
    <mergeCell ref="C107:C108"/>
    <mergeCell ref="C94:C95"/>
    <mergeCell ref="C109:C112"/>
    <mergeCell ref="C113:C116"/>
    <mergeCell ref="A5:V5"/>
    <mergeCell ref="C16:C20"/>
    <mergeCell ref="C14:C15"/>
    <mergeCell ref="C27:C28"/>
    <mergeCell ref="C29:C30"/>
    <mergeCell ref="E9:I9"/>
    <mergeCell ref="J9:M9"/>
    <mergeCell ref="N9:V9"/>
  </mergeCells>
  <pageMargins left="0.39370078740157483" right="0" top="0" bottom="0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AP39"/>
  <sheetViews>
    <sheetView topLeftCell="A2" zoomScale="81" zoomScaleNormal="81" workbookViewId="0">
      <pane xSplit="1" ySplit="9" topLeftCell="B19" activePane="bottomRight" state="frozen"/>
      <selection activeCell="A2" sqref="A2"/>
      <selection pane="topRight" activeCell="B2" sqref="B2"/>
      <selection pane="bottomLeft" activeCell="A11" sqref="A11"/>
      <selection pane="bottomRight" activeCell="Q8" sqref="Q8:Q9"/>
    </sheetView>
  </sheetViews>
  <sheetFormatPr defaultColWidth="8.85546875" defaultRowHeight="15" x14ac:dyDescent="0.25"/>
  <cols>
    <col min="1" max="1" width="17.5703125" style="195" customWidth="1"/>
    <col min="2" max="2" width="14.5703125" style="195" customWidth="1"/>
    <col min="3" max="3" width="14.42578125" style="195" customWidth="1"/>
    <col min="4" max="4" width="14.7109375" style="195" customWidth="1"/>
    <col min="5" max="5" width="15.5703125" style="195" customWidth="1"/>
    <col min="6" max="6" width="15.140625" style="195" customWidth="1"/>
    <col min="7" max="7" width="15.28515625" style="195" bestFit="1" customWidth="1"/>
    <col min="8" max="8" width="15" style="195" customWidth="1"/>
    <col min="9" max="10" width="14.85546875" style="195" customWidth="1"/>
    <col min="11" max="11" width="16.28515625" style="195" customWidth="1"/>
    <col min="12" max="12" width="15.7109375" style="195" customWidth="1"/>
    <col min="13" max="13" width="0" style="195" hidden="1" customWidth="1"/>
    <col min="14" max="16" width="8.85546875" style="195"/>
    <col min="17" max="17" width="15.140625" style="195" customWidth="1"/>
    <col min="18" max="18" width="13.7109375" style="195" customWidth="1"/>
    <col min="19" max="21" width="14.7109375" style="195" customWidth="1"/>
    <col min="22" max="25" width="16.7109375" style="195" customWidth="1"/>
    <col min="26" max="26" width="17.5703125" style="195" customWidth="1"/>
    <col min="27" max="27" width="14" style="195" hidden="1" customWidth="1"/>
    <col min="28" max="29" width="15.7109375" style="195" hidden="1" customWidth="1"/>
    <col min="30" max="30" width="17.28515625" style="195" hidden="1" customWidth="1"/>
    <col min="31" max="31" width="17.85546875" style="195" hidden="1" customWidth="1"/>
    <col min="32" max="32" width="17.28515625" style="195" customWidth="1"/>
    <col min="33" max="33" width="16.85546875" style="195" customWidth="1"/>
    <col min="34" max="34" width="17.7109375" style="195" hidden="1" customWidth="1"/>
    <col min="35" max="36" width="8.85546875" style="195"/>
    <col min="37" max="37" width="12.5703125" style="195" hidden="1" customWidth="1"/>
    <col min="38" max="16384" width="8.85546875" style="195"/>
  </cols>
  <sheetData>
    <row r="2" spans="1:42" x14ac:dyDescent="0.25">
      <c r="X2" s="312" t="s">
        <v>89</v>
      </c>
      <c r="Y2" s="312"/>
    </row>
    <row r="3" spans="1:42" x14ac:dyDescent="0.25">
      <c r="X3" s="315" t="s">
        <v>579</v>
      </c>
      <c r="Y3" s="315"/>
    </row>
    <row r="4" spans="1:4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Z4" s="396"/>
      <c r="AA4" s="396"/>
      <c r="AB4" s="396"/>
      <c r="AC4" s="396"/>
      <c r="AD4" s="396"/>
      <c r="AE4" s="396"/>
      <c r="AF4" s="396"/>
    </row>
    <row r="5" spans="1:42" ht="18.75" x14ac:dyDescent="0.3">
      <c r="A5" s="397" t="s">
        <v>477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</row>
    <row r="6" spans="1:42" x14ac:dyDescent="0.25">
      <c r="A6" s="398" t="s">
        <v>151</v>
      </c>
      <c r="B6" s="398"/>
      <c r="C6" s="398"/>
      <c r="D6" s="398"/>
      <c r="E6" s="399"/>
      <c r="F6" s="399"/>
      <c r="G6" s="399"/>
      <c r="H6" s="399"/>
      <c r="I6" s="399"/>
      <c r="J6" s="399"/>
      <c r="K6" s="399"/>
      <c r="L6" s="400"/>
      <c r="M6" s="400"/>
      <c r="N6" s="399"/>
      <c r="O6" s="399"/>
      <c r="P6" s="399"/>
      <c r="Q6" s="399"/>
      <c r="R6" s="399"/>
      <c r="S6" s="399"/>
      <c r="T6" s="399"/>
      <c r="U6" s="400"/>
      <c r="V6" s="399"/>
      <c r="W6" s="399"/>
      <c r="X6" s="399"/>
      <c r="Y6" s="399"/>
      <c r="Z6" s="399"/>
    </row>
    <row r="7" spans="1:42" ht="93" customHeight="1" x14ac:dyDescent="0.25">
      <c r="A7" s="272" t="s">
        <v>2</v>
      </c>
      <c r="B7" s="383" t="s">
        <v>8</v>
      </c>
      <c r="C7" s="384"/>
      <c r="D7" s="385"/>
      <c r="E7" s="271" t="s">
        <v>152</v>
      </c>
      <c r="F7" s="383" t="s">
        <v>153</v>
      </c>
      <c r="G7" s="384"/>
      <c r="H7" s="384"/>
      <c r="I7" s="384"/>
      <c r="J7" s="384"/>
      <c r="K7" s="384"/>
      <c r="L7" s="384"/>
      <c r="M7" s="386"/>
      <c r="N7" s="272" t="s">
        <v>503</v>
      </c>
      <c r="O7" s="272"/>
      <c r="P7" s="272"/>
      <c r="Q7" s="258" t="s">
        <v>156</v>
      </c>
      <c r="R7" s="259"/>
      <c r="S7" s="259"/>
      <c r="T7" s="259"/>
      <c r="U7" s="259"/>
      <c r="V7" s="259"/>
      <c r="W7" s="259"/>
      <c r="X7" s="260"/>
      <c r="Y7" s="250" t="s">
        <v>168</v>
      </c>
      <c r="Z7" s="239" t="s">
        <v>156</v>
      </c>
      <c r="AA7" s="387" t="s">
        <v>135</v>
      </c>
      <c r="AB7" s="387" t="s">
        <v>126</v>
      </c>
      <c r="AC7" s="269" t="s">
        <v>154</v>
      </c>
      <c r="AD7" s="269" t="s">
        <v>155</v>
      </c>
      <c r="AE7" s="387" t="s">
        <v>2</v>
      </c>
      <c r="AF7" s="30" t="s">
        <v>361</v>
      </c>
      <c r="AG7" s="30" t="s">
        <v>475</v>
      </c>
      <c r="AH7" s="272" t="s">
        <v>2</v>
      </c>
      <c r="AI7" s="77"/>
      <c r="AJ7" s="77"/>
      <c r="AK7" s="77"/>
      <c r="AL7" s="77"/>
      <c r="AM7" s="77"/>
      <c r="AN7" s="77"/>
      <c r="AO7" s="77"/>
    </row>
    <row r="8" spans="1:42" ht="31.15" customHeight="1" x14ac:dyDescent="0.25">
      <c r="A8" s="388"/>
      <c r="B8" s="37"/>
      <c r="C8" s="37"/>
      <c r="D8" s="37"/>
      <c r="E8" s="271"/>
      <c r="F8" s="388" t="s">
        <v>157</v>
      </c>
      <c r="G8" s="388"/>
      <c r="H8" s="388" t="s">
        <v>158</v>
      </c>
      <c r="I8" s="388"/>
      <c r="J8" s="388"/>
      <c r="K8" s="388"/>
      <c r="L8" s="37"/>
      <c r="M8" s="235"/>
      <c r="Q8" s="269" t="s">
        <v>314</v>
      </c>
      <c r="R8" s="269" t="s">
        <v>313</v>
      </c>
      <c r="S8" s="269" t="s">
        <v>167</v>
      </c>
      <c r="T8" s="258" t="s">
        <v>297</v>
      </c>
      <c r="U8" s="260"/>
      <c r="V8" s="300" t="s">
        <v>312</v>
      </c>
      <c r="W8" s="258" t="s">
        <v>298</v>
      </c>
      <c r="X8" s="260"/>
      <c r="Y8" s="251"/>
      <c r="Z8" s="30"/>
      <c r="AA8" s="387"/>
      <c r="AB8" s="387"/>
      <c r="AC8" s="401"/>
      <c r="AD8" s="401"/>
      <c r="AE8" s="387"/>
      <c r="AF8" s="402"/>
      <c r="AG8" s="403"/>
      <c r="AH8" s="388"/>
      <c r="AI8" s="404"/>
    </row>
    <row r="9" spans="1:42" ht="134.44999999999999" customHeight="1" x14ac:dyDescent="0.25">
      <c r="A9" s="388"/>
      <c r="B9" s="30" t="s">
        <v>126</v>
      </c>
      <c r="C9" s="30" t="s">
        <v>159</v>
      </c>
      <c r="D9" s="30" t="s">
        <v>160</v>
      </c>
      <c r="E9" s="272"/>
      <c r="F9" s="30" t="s">
        <v>161</v>
      </c>
      <c r="G9" s="30" t="s">
        <v>162</v>
      </c>
      <c r="H9" s="30" t="s">
        <v>295</v>
      </c>
      <c r="I9" s="30" t="s">
        <v>163</v>
      </c>
      <c r="J9" s="30" t="s">
        <v>296</v>
      </c>
      <c r="K9" s="30" t="s">
        <v>604</v>
      </c>
      <c r="L9" s="37" t="s">
        <v>10</v>
      </c>
      <c r="M9" s="59" t="s">
        <v>100</v>
      </c>
      <c r="N9" s="30" t="s">
        <v>164</v>
      </c>
      <c r="O9" s="59" t="s">
        <v>165</v>
      </c>
      <c r="P9" s="30" t="s">
        <v>166</v>
      </c>
      <c r="Q9" s="270"/>
      <c r="R9" s="270"/>
      <c r="S9" s="270"/>
      <c r="T9" s="30" t="s">
        <v>295</v>
      </c>
      <c r="U9" s="37" t="s">
        <v>605</v>
      </c>
      <c r="V9" s="272"/>
      <c r="W9" s="30" t="s">
        <v>126</v>
      </c>
      <c r="X9" s="30" t="s">
        <v>159</v>
      </c>
      <c r="Y9" s="252"/>
      <c r="Z9" s="30" t="s">
        <v>169</v>
      </c>
      <c r="AA9" s="387"/>
      <c r="AB9" s="387"/>
      <c r="AC9" s="270"/>
      <c r="AD9" s="270"/>
      <c r="AE9" s="387"/>
      <c r="AF9" s="239" t="s">
        <v>169</v>
      </c>
      <c r="AG9" s="239" t="s">
        <v>169</v>
      </c>
      <c r="AH9" s="388"/>
      <c r="AP9" s="60"/>
    </row>
    <row r="10" spans="1:42" ht="31.15" customHeight="1" x14ac:dyDescent="0.25">
      <c r="A10" s="30" t="s">
        <v>19</v>
      </c>
      <c r="B10" s="30" t="s">
        <v>22</v>
      </c>
      <c r="C10" s="30" t="s">
        <v>22</v>
      </c>
      <c r="D10" s="30" t="s">
        <v>22</v>
      </c>
      <c r="E10" s="30" t="s">
        <v>22</v>
      </c>
      <c r="F10" s="30" t="s">
        <v>22</v>
      </c>
      <c r="G10" s="30" t="s">
        <v>22</v>
      </c>
      <c r="H10" s="30" t="s">
        <v>22</v>
      </c>
      <c r="I10" s="30" t="s">
        <v>22</v>
      </c>
      <c r="J10" s="30" t="s">
        <v>22</v>
      </c>
      <c r="K10" s="30" t="s">
        <v>22</v>
      </c>
      <c r="L10" s="30" t="s">
        <v>22</v>
      </c>
      <c r="M10" s="30" t="s">
        <v>22</v>
      </c>
      <c r="N10" s="30" t="s">
        <v>22</v>
      </c>
      <c r="O10" s="30" t="s">
        <v>22</v>
      </c>
      <c r="P10" s="30" t="s">
        <v>22</v>
      </c>
      <c r="Q10" s="30" t="s">
        <v>22</v>
      </c>
      <c r="R10" s="30" t="s">
        <v>22</v>
      </c>
      <c r="S10" s="30" t="s">
        <v>22</v>
      </c>
      <c r="T10" s="30" t="s">
        <v>22</v>
      </c>
      <c r="U10" s="30" t="s">
        <v>22</v>
      </c>
      <c r="V10" s="30" t="s">
        <v>22</v>
      </c>
      <c r="W10" s="30" t="s">
        <v>22</v>
      </c>
      <c r="X10" s="30" t="s">
        <v>22</v>
      </c>
      <c r="Y10" s="30" t="s">
        <v>22</v>
      </c>
      <c r="Z10" s="30" t="s">
        <v>22</v>
      </c>
      <c r="AA10" s="30" t="s">
        <v>22</v>
      </c>
      <c r="AB10" s="30" t="s">
        <v>22</v>
      </c>
      <c r="AC10" s="30" t="s">
        <v>22</v>
      </c>
      <c r="AD10" s="30" t="s">
        <v>22</v>
      </c>
      <c r="AE10" s="30" t="s">
        <v>22</v>
      </c>
      <c r="AF10" s="30" t="s">
        <v>22</v>
      </c>
      <c r="AG10" s="30" t="s">
        <v>22</v>
      </c>
      <c r="AH10" s="37" t="s">
        <v>19</v>
      </c>
      <c r="AI10" s="405"/>
      <c r="AP10" s="1"/>
    </row>
    <row r="11" spans="1:42" ht="26.45" customHeight="1" x14ac:dyDescent="0.25">
      <c r="A11" s="389" t="s">
        <v>124</v>
      </c>
      <c r="B11" s="61">
        <f>'прилож.3-сады'!T13</f>
        <v>20868086.43</v>
      </c>
      <c r="C11" s="61">
        <f>'прилож.3-сады'!Q21</f>
        <v>8695831.9499999993</v>
      </c>
      <c r="D11" s="61">
        <f>'прилож.3-сады'!S22</f>
        <v>1387955.25</v>
      </c>
      <c r="E11" s="62">
        <f>SUM(B11:D11)</f>
        <v>30951873.629999999</v>
      </c>
      <c r="F11" s="61">
        <f>'прилож.3-сады'!N13</f>
        <v>8778584.9299999997</v>
      </c>
      <c r="G11" s="61">
        <f>'прилож.3-сады'!O12</f>
        <v>3866625.5300000003</v>
      </c>
      <c r="H11" s="61">
        <f>'прилож.3-сады'!Q13</f>
        <v>8222875.9699999997</v>
      </c>
      <c r="I11" s="61">
        <f>'прилож.3-сады'!Q21</f>
        <v>8695831.9499999993</v>
      </c>
      <c r="J11" s="61">
        <f>SUM(H11:I11)</f>
        <v>16918707.919999998</v>
      </c>
      <c r="K11" s="61">
        <f>'прилож.3-сады'!S22</f>
        <v>1387955.25</v>
      </c>
      <c r="L11" s="62">
        <f>F11+G11+J11+K11</f>
        <v>30951873.629999999</v>
      </c>
      <c r="M11" s="61"/>
      <c r="N11" s="61">
        <f>Q11/F11</f>
        <v>1.1718333970712065</v>
      </c>
      <c r="O11" s="61">
        <f>R11/G11</f>
        <v>1.2169019118849089</v>
      </c>
      <c r="P11" s="61">
        <f>S11/J11</f>
        <v>1.0072996129836846</v>
      </c>
      <c r="Q11" s="61">
        <f>9638963+648076</f>
        <v>10287039</v>
      </c>
      <c r="R11" s="61">
        <f>4211156+494148</f>
        <v>4705304</v>
      </c>
      <c r="S11" s="61">
        <f>15665424.27+0.03+1319916+56867.64</f>
        <v>17042207.939999998</v>
      </c>
      <c r="T11" s="61">
        <f>H11*P11</f>
        <v>8282899.7821938405</v>
      </c>
      <c r="U11" s="390">
        <f>I11*P11</f>
        <v>8759308.1578061599</v>
      </c>
      <c r="V11" s="62">
        <f t="shared" ref="V11:V20" si="0">Q11+R11+S11</f>
        <v>32034550.939999998</v>
      </c>
      <c r="W11" s="61">
        <f>Q11+R11+T11</f>
        <v>23275242.78219384</v>
      </c>
      <c r="X11" s="61">
        <f>U11</f>
        <v>8759308.1578061599</v>
      </c>
      <c r="Y11" s="390">
        <v>1387955.25</v>
      </c>
      <c r="Z11" s="61">
        <f t="shared" ref="Z11:Z12" si="1">V11</f>
        <v>32034550.939999998</v>
      </c>
      <c r="AA11" s="61">
        <f>989605.4+36447.59+1328250</f>
        <v>2354302.9900000002</v>
      </c>
      <c r="AB11" s="61">
        <f t="shared" ref="AB11:AB20" si="2">Q11+R11+S11-U11</f>
        <v>23275242.78219384</v>
      </c>
      <c r="AC11" s="391" t="e">
        <f>AA11/#REF!</f>
        <v>#REF!</v>
      </c>
      <c r="AD11" s="391">
        <f t="shared" ref="AD11:AD20" si="3">AB11/B11</f>
        <v>1.1153510821544859</v>
      </c>
      <c r="AE11" s="37" t="s">
        <v>124</v>
      </c>
      <c r="AF11" s="61">
        <v>29515543.300000001</v>
      </c>
      <c r="AG11" s="61">
        <f>AF11</f>
        <v>29515543.300000001</v>
      </c>
      <c r="AH11" s="389" t="s">
        <v>124</v>
      </c>
      <c r="AI11" s="405"/>
      <c r="AK11" s="392">
        <v>1285143.75</v>
      </c>
      <c r="AP11" s="406"/>
    </row>
    <row r="12" spans="1:42" ht="27" customHeight="1" x14ac:dyDescent="0.25">
      <c r="A12" s="389" t="s">
        <v>134</v>
      </c>
      <c r="B12" s="61">
        <f>'прилож.3-сады'!T26</f>
        <v>23049804.645</v>
      </c>
      <c r="C12" s="61">
        <f>'прилож.3-сады'!Q38</f>
        <v>4197796.1999999993</v>
      </c>
      <c r="D12" s="61">
        <f>'прилож.3-сады'!S39</f>
        <v>1336549.5</v>
      </c>
      <c r="E12" s="62">
        <f>SUM(B12:D12)</f>
        <v>28584150.344999999</v>
      </c>
      <c r="F12" s="61">
        <f>'прилож.3-сады'!N26</f>
        <v>12945617.300000001</v>
      </c>
      <c r="G12" s="61">
        <f>'прилож.3-сады'!O26</f>
        <v>5059961.3849999988</v>
      </c>
      <c r="H12" s="61">
        <f>'прилож.3-сады'!Q26</f>
        <v>5044225.959999999</v>
      </c>
      <c r="I12" s="61">
        <f>'прилож.3-сады'!Q38</f>
        <v>4197796.1999999993</v>
      </c>
      <c r="J12" s="61">
        <f t="shared" ref="J12:J21" si="4">SUM(H12:I12)</f>
        <v>9242022.1599999983</v>
      </c>
      <c r="K12" s="61">
        <f>'прилож.3-сады'!S39</f>
        <v>1336549.5</v>
      </c>
      <c r="L12" s="62">
        <f t="shared" ref="L12:L21" si="5">F12+G12+J12+K12</f>
        <v>28584150.344999999</v>
      </c>
      <c r="M12" s="61"/>
      <c r="N12" s="61">
        <f>Q12/F12</f>
        <v>1.1331587100137743</v>
      </c>
      <c r="O12" s="61">
        <f>R12/G12</f>
        <v>1.2552040453960898</v>
      </c>
      <c r="P12" s="61">
        <f t="shared" ref="P12:P21" si="6">S12/J12</f>
        <v>1.0401561296407886</v>
      </c>
      <c r="Q12" s="61">
        <f>13754940+914499</f>
        <v>14669439</v>
      </c>
      <c r="R12" s="61">
        <f>5812212+539072</f>
        <v>6351284</v>
      </c>
      <c r="S12" s="61">
        <f>9163178.57+0.43+509967-60000</f>
        <v>9613146</v>
      </c>
      <c r="T12" s="61">
        <f t="shared" ref="T12:T20" si="7">H12*P12</f>
        <v>5246782.5515871905</v>
      </c>
      <c r="U12" s="390">
        <f>I12*P12</f>
        <v>4366363.4484128095</v>
      </c>
      <c r="V12" s="62">
        <f t="shared" si="0"/>
        <v>30633869</v>
      </c>
      <c r="W12" s="61">
        <f t="shared" ref="W12:W20" si="8">Q12+R12+T12</f>
        <v>26267505.55158719</v>
      </c>
      <c r="X12" s="61">
        <f t="shared" ref="X12:X20" si="9">U12</f>
        <v>4366363.4484128095</v>
      </c>
      <c r="Y12" s="390">
        <v>1319414.25</v>
      </c>
      <c r="Z12" s="61">
        <f t="shared" si="1"/>
        <v>30633869</v>
      </c>
      <c r="AA12" s="61">
        <f>810487.3+1293600</f>
        <v>2104087.2999999998</v>
      </c>
      <c r="AB12" s="61">
        <f t="shared" si="2"/>
        <v>26267505.55158719</v>
      </c>
      <c r="AC12" s="391" t="e">
        <f>AA12/#REF!</f>
        <v>#REF!</v>
      </c>
      <c r="AD12" s="391">
        <f t="shared" si="3"/>
        <v>1.1395977517442943</v>
      </c>
      <c r="AE12" s="37" t="s">
        <v>134</v>
      </c>
      <c r="AF12" s="61">
        <v>28730331</v>
      </c>
      <c r="AG12" s="61">
        <f t="shared" ref="AG12:AG20" si="10">AF12</f>
        <v>28730331</v>
      </c>
      <c r="AH12" s="389" t="s">
        <v>134</v>
      </c>
      <c r="AI12" s="405"/>
      <c r="AK12" s="392">
        <v>1353684.75</v>
      </c>
      <c r="AP12" s="406"/>
    </row>
    <row r="13" spans="1:42" ht="27" customHeight="1" x14ac:dyDescent="0.25">
      <c r="A13" s="389" t="s">
        <v>139</v>
      </c>
      <c r="B13" s="61">
        <f>'прилож.3-сады'!T41</f>
        <v>29942170.32</v>
      </c>
      <c r="C13" s="61">
        <f>'прилож.3-сады'!Q51</f>
        <v>6242876.3999999994</v>
      </c>
      <c r="D13" s="61">
        <f>'прилож.3-сады'!S52</f>
        <v>1987689</v>
      </c>
      <c r="E13" s="62">
        <f t="shared" ref="E13:E18" si="11">SUM(B13:D13)</f>
        <v>38172735.719999999</v>
      </c>
      <c r="F13" s="61">
        <f>'прилож.3-сады'!N41</f>
        <v>15725937.82</v>
      </c>
      <c r="G13" s="61">
        <f>'прилож.3-сады'!O41</f>
        <v>6714590.3799999999</v>
      </c>
      <c r="H13" s="227">
        <f>'прилож.3-сады'!Q41</f>
        <v>7501642.1200000001</v>
      </c>
      <c r="I13" s="61">
        <f>'прилож.3-сады'!Q51</f>
        <v>6242876.3999999994</v>
      </c>
      <c r="J13" s="61">
        <f t="shared" si="4"/>
        <v>13744518.52</v>
      </c>
      <c r="K13" s="61">
        <f>'прилож.3-сады'!S52</f>
        <v>1987689</v>
      </c>
      <c r="L13" s="62">
        <f t="shared" si="5"/>
        <v>38172735.719999999</v>
      </c>
      <c r="M13" s="61"/>
      <c r="N13" s="61">
        <f t="shared" ref="N13:O21" si="12">Q13/F13</f>
        <v>1.1882463999212227</v>
      </c>
      <c r="O13" s="61">
        <f t="shared" si="12"/>
        <v>1.1460043821764747</v>
      </c>
      <c r="P13" s="61">
        <f t="shared" si="6"/>
        <v>1.0814359970755818</v>
      </c>
      <c r="Q13" s="61">
        <f>17375506+1310783</f>
        <v>18686289</v>
      </c>
      <c r="R13" s="61">
        <f>6976189+718761</f>
        <v>7694950</v>
      </c>
      <c r="S13" s="61">
        <f>13033594.2+0.02+1561222.87+269000</f>
        <v>14863817.09</v>
      </c>
      <c r="T13" s="61">
        <f>H13*P13</f>
        <v>8112545.8257463817</v>
      </c>
      <c r="U13" s="390">
        <f>I13*P13</f>
        <v>6751271.2642536182</v>
      </c>
      <c r="V13" s="62">
        <f>Q13+R13+S13</f>
        <v>41245056.090000004</v>
      </c>
      <c r="W13" s="61">
        <f>Q13+R13+T13</f>
        <v>34493784.82574638</v>
      </c>
      <c r="X13" s="61">
        <f t="shared" si="9"/>
        <v>6751271.2642536182</v>
      </c>
      <c r="Y13" s="390">
        <v>1884877.5</v>
      </c>
      <c r="Z13" s="61">
        <f>V13</f>
        <v>41245056.090000004</v>
      </c>
      <c r="AA13" s="61">
        <f>2299256.17+2483250</f>
        <v>4782506.17</v>
      </c>
      <c r="AB13" s="61">
        <f t="shared" si="2"/>
        <v>34493784.825746387</v>
      </c>
      <c r="AC13" s="391" t="e">
        <f>AA13/#REF!</f>
        <v>#REF!</v>
      </c>
      <c r="AD13" s="391">
        <f t="shared" si="3"/>
        <v>1.152013513285846</v>
      </c>
      <c r="AE13" s="37" t="s">
        <v>139</v>
      </c>
      <c r="AF13" s="61">
        <v>38213442.670000002</v>
      </c>
      <c r="AG13" s="61">
        <f t="shared" si="10"/>
        <v>38213442.670000002</v>
      </c>
      <c r="AH13" s="389" t="s">
        <v>139</v>
      </c>
      <c r="AI13" s="405"/>
      <c r="AK13" s="392">
        <v>1884877.5</v>
      </c>
      <c r="AP13" s="406"/>
    </row>
    <row r="14" spans="1:42" ht="27" customHeight="1" x14ac:dyDescent="0.25">
      <c r="A14" s="389" t="s">
        <v>140</v>
      </c>
      <c r="B14" s="61">
        <f>'прилож.3-сады'!T54</f>
        <v>20289503.685000002</v>
      </c>
      <c r="C14" s="61">
        <f>'прилож.3-сады'!Q62</f>
        <v>5274154.1999999993</v>
      </c>
      <c r="D14" s="61">
        <f>'прилож.3-сады'!S63</f>
        <v>1679254.5</v>
      </c>
      <c r="E14" s="62">
        <f t="shared" si="11"/>
        <v>27242912.385000002</v>
      </c>
      <c r="F14" s="61">
        <f>'прилож.3-сады'!N54</f>
        <v>10047407.789999999</v>
      </c>
      <c r="G14" s="61">
        <f>'прилож.3-сады'!O54</f>
        <v>3904481.5350000001</v>
      </c>
      <c r="H14" s="61">
        <f>'прилож.3-сады'!Q54</f>
        <v>6337614.3599999994</v>
      </c>
      <c r="I14" s="61">
        <f>'прилож.3-сады'!Q62</f>
        <v>5274154.1999999993</v>
      </c>
      <c r="J14" s="61">
        <f t="shared" si="4"/>
        <v>11611768.559999999</v>
      </c>
      <c r="K14" s="61">
        <f>'прилож.3-сады'!S63</f>
        <v>1679254.5</v>
      </c>
      <c r="L14" s="62">
        <f t="shared" si="5"/>
        <v>27242912.384999998</v>
      </c>
      <c r="M14" s="61"/>
      <c r="N14" s="61">
        <f t="shared" si="12"/>
        <v>1.2288859234208509</v>
      </c>
      <c r="O14" s="61">
        <f t="shared" si="12"/>
        <v>1.2581245309948685</v>
      </c>
      <c r="P14" s="61">
        <f t="shared" si="6"/>
        <v>0.96427869296079061</v>
      </c>
      <c r="Q14" s="61">
        <f>11615519+731599</f>
        <v>12347118</v>
      </c>
      <c r="R14" s="61">
        <f>4469086+443238</f>
        <v>4912324</v>
      </c>
      <c r="S14" s="61">
        <f>10712057.81+749952-121028.8-144000</f>
        <v>11196981.01</v>
      </c>
      <c r="T14" s="61">
        <f t="shared" si="7"/>
        <v>6111226.4915503366</v>
      </c>
      <c r="U14" s="390">
        <f>I14*P14</f>
        <v>5085754.5184496632</v>
      </c>
      <c r="V14" s="62">
        <f t="shared" si="0"/>
        <v>28456423.009999998</v>
      </c>
      <c r="W14" s="61">
        <f t="shared" si="8"/>
        <v>23370668.491550338</v>
      </c>
      <c r="X14" s="61">
        <f t="shared" si="9"/>
        <v>5085754.5184496632</v>
      </c>
      <c r="Y14" s="390">
        <v>1644984</v>
      </c>
      <c r="Z14" s="61">
        <f>V14</f>
        <v>28456423.009999998</v>
      </c>
      <c r="AA14" s="61">
        <f>1023799.35+1178100</f>
        <v>2201899.35</v>
      </c>
      <c r="AB14" s="61">
        <f t="shared" si="2"/>
        <v>23370668.491550334</v>
      </c>
      <c r="AC14" s="391" t="e">
        <f>AA14/#REF!</f>
        <v>#REF!</v>
      </c>
      <c r="AD14" s="391">
        <f t="shared" si="3"/>
        <v>1.1518600382930131</v>
      </c>
      <c r="AE14" s="37" t="s">
        <v>140</v>
      </c>
      <c r="AF14" s="61">
        <v>26796662.809999999</v>
      </c>
      <c r="AG14" s="61">
        <f t="shared" si="10"/>
        <v>26796662.809999999</v>
      </c>
      <c r="AH14" s="389" t="s">
        <v>140</v>
      </c>
      <c r="AI14" s="405"/>
      <c r="AK14" s="392">
        <v>1679254.5</v>
      </c>
      <c r="AP14" s="406"/>
    </row>
    <row r="15" spans="1:42" ht="27" customHeight="1" x14ac:dyDescent="0.25">
      <c r="A15" s="389" t="s">
        <v>142</v>
      </c>
      <c r="B15" s="61">
        <f>'прилож.3-сады'!T65</f>
        <v>25164679.089999992</v>
      </c>
      <c r="C15" s="61">
        <f>'прилож.3-сады'!Q77</f>
        <v>5812333.1999999993</v>
      </c>
      <c r="D15" s="61">
        <f>'прилож.3-сады'!S78</f>
        <v>1850607</v>
      </c>
      <c r="E15" s="62">
        <f t="shared" si="11"/>
        <v>32827619.289999992</v>
      </c>
      <c r="F15" s="61">
        <f>'прилож.3-сады'!N65</f>
        <v>13107508.380000001</v>
      </c>
      <c r="G15" s="61">
        <f>'прилож.3-сады'!O65</f>
        <v>5072880.1499999994</v>
      </c>
      <c r="H15" s="61">
        <f>'прилож.3-сады'!Q65</f>
        <v>6984290.5599999996</v>
      </c>
      <c r="I15" s="61">
        <f>'прилож.3-сады'!Q77</f>
        <v>5812333.1999999993</v>
      </c>
      <c r="J15" s="61">
        <f t="shared" si="4"/>
        <v>12796623.759999998</v>
      </c>
      <c r="K15" s="61">
        <f>'прилож.3-сады'!S78</f>
        <v>1850607</v>
      </c>
      <c r="L15" s="62">
        <f t="shared" si="5"/>
        <v>32827619.289999999</v>
      </c>
      <c r="M15" s="61"/>
      <c r="N15" s="61">
        <f t="shared" si="12"/>
        <v>1.2313738455912395</v>
      </c>
      <c r="O15" s="61">
        <f t="shared" si="12"/>
        <v>1.2714540476577199</v>
      </c>
      <c r="P15" s="61">
        <f t="shared" si="6"/>
        <v>1.1140349124400608</v>
      </c>
      <c r="Q15" s="61">
        <f>15225744+914499</f>
        <v>16140243</v>
      </c>
      <c r="R15" s="61">
        <f>5910862+539072</f>
        <v>6449934</v>
      </c>
      <c r="S15" s="61">
        <f>12915106.98-0.01+1139778.66+201000</f>
        <v>14255885.630000001</v>
      </c>
      <c r="T15" s="61">
        <f t="shared" si="7"/>
        <v>7780743.5224655429</v>
      </c>
      <c r="U15" s="390">
        <f t="shared" ref="U15:U20" si="13">I15*P15</f>
        <v>6475142.1075344579</v>
      </c>
      <c r="V15" s="62">
        <f t="shared" si="0"/>
        <v>36846062.630000003</v>
      </c>
      <c r="W15" s="61">
        <f t="shared" si="8"/>
        <v>30370920.522465542</v>
      </c>
      <c r="X15" s="61">
        <f t="shared" si="9"/>
        <v>6475142.1075344579</v>
      </c>
      <c r="Y15" s="390">
        <v>1799201.25</v>
      </c>
      <c r="Z15" s="61">
        <f>V15</f>
        <v>36846062.630000003</v>
      </c>
      <c r="AA15" s="61">
        <f>1631026.83+1744050</f>
        <v>3375076.83</v>
      </c>
      <c r="AB15" s="61">
        <f t="shared" si="2"/>
        <v>30370920.522465546</v>
      </c>
      <c r="AC15" s="391" t="e">
        <f>AA15/#REF!</f>
        <v>#REF!</v>
      </c>
      <c r="AD15" s="391">
        <f t="shared" si="3"/>
        <v>1.2068868597070417</v>
      </c>
      <c r="AE15" s="37" t="s">
        <v>142</v>
      </c>
      <c r="AF15" s="61">
        <v>35627318.090000004</v>
      </c>
      <c r="AG15" s="61">
        <f t="shared" si="10"/>
        <v>35627318.090000004</v>
      </c>
      <c r="AH15" s="389" t="s">
        <v>142</v>
      </c>
      <c r="AI15" s="405"/>
      <c r="AK15" s="392">
        <v>1867742.25</v>
      </c>
      <c r="AP15" s="406"/>
    </row>
    <row r="16" spans="1:42" ht="27" customHeight="1" x14ac:dyDescent="0.25">
      <c r="A16" s="389" t="s">
        <v>144</v>
      </c>
      <c r="B16" s="61">
        <f>'прилож.3-сады'!T80</f>
        <v>22316646.809999995</v>
      </c>
      <c r="C16" s="61">
        <f>'прилож.3-сады'!Q90</f>
        <v>5650879.4999999991</v>
      </c>
      <c r="D16" s="61">
        <f>'прилож.3-сады'!S91</f>
        <v>1799201.25</v>
      </c>
      <c r="E16" s="62">
        <f t="shared" si="11"/>
        <v>29766727.559999995</v>
      </c>
      <c r="F16" s="61">
        <f>'прилож.3-сады'!N80</f>
        <v>11040279.900000002</v>
      </c>
      <c r="G16" s="61">
        <f>'прилож.3-сады'!O80</f>
        <v>4486076.3100000005</v>
      </c>
      <c r="H16" s="61">
        <f>'прилож.3-сады'!Q80</f>
        <v>6790290.5999999996</v>
      </c>
      <c r="I16" s="61">
        <f>'прилож.3-сады'!Q90</f>
        <v>5650879.4999999991</v>
      </c>
      <c r="J16" s="61">
        <f t="shared" si="4"/>
        <v>12441170.099999998</v>
      </c>
      <c r="K16" s="61">
        <f>'прилож.3-сады'!S91</f>
        <v>1799201.25</v>
      </c>
      <c r="L16" s="62">
        <f t="shared" si="5"/>
        <v>29766727.560000002</v>
      </c>
      <c r="M16" s="61"/>
      <c r="N16" s="61">
        <f t="shared" si="12"/>
        <v>1.082594201257524</v>
      </c>
      <c r="O16" s="61">
        <f t="shared" si="12"/>
        <v>1.1541145629776413</v>
      </c>
      <c r="P16" s="61">
        <f t="shared" si="6"/>
        <v>0.87069152442502185</v>
      </c>
      <c r="Q16" s="61">
        <f>11220544+731599</f>
        <v>11952143</v>
      </c>
      <c r="R16" s="61">
        <f>4698273+479173</f>
        <v>5177446</v>
      </c>
      <c r="S16" s="61">
        <f>10512453.25+0.11+503968-184000</f>
        <v>10832421.359999999</v>
      </c>
      <c r="T16" s="61">
        <f t="shared" si="7"/>
        <v>5912248.4738028962</v>
      </c>
      <c r="U16" s="390">
        <f t="shared" si="13"/>
        <v>4920172.8861971041</v>
      </c>
      <c r="V16" s="62">
        <f t="shared" si="0"/>
        <v>27962010.359999999</v>
      </c>
      <c r="W16" s="61">
        <f t="shared" si="8"/>
        <v>23041837.473802894</v>
      </c>
      <c r="X16" s="61">
        <f t="shared" si="9"/>
        <v>4920172.8861971041</v>
      </c>
      <c r="Y16" s="390">
        <v>1782066</v>
      </c>
      <c r="Z16" s="61">
        <f t="shared" ref="Z16:Z20" si="14">V16</f>
        <v>27962010.359999999</v>
      </c>
      <c r="AA16" s="61">
        <f>1223824.58+1293600</f>
        <v>2517424.58</v>
      </c>
      <c r="AB16" s="61">
        <f t="shared" si="2"/>
        <v>23041837.473802894</v>
      </c>
      <c r="AC16" s="391" t="e">
        <f>AA16/#REF!</f>
        <v>#REF!</v>
      </c>
      <c r="AD16" s="391">
        <f t="shared" si="3"/>
        <v>1.0324955030196536</v>
      </c>
      <c r="AE16" s="37" t="s">
        <v>144</v>
      </c>
      <c r="AF16" s="61">
        <v>26431270.359999999</v>
      </c>
      <c r="AG16" s="61">
        <f t="shared" si="10"/>
        <v>26431270.359999999</v>
      </c>
      <c r="AH16" s="389" t="s">
        <v>144</v>
      </c>
      <c r="AI16" s="405"/>
      <c r="AK16" s="392">
        <v>1799201.25</v>
      </c>
      <c r="AP16" s="406"/>
    </row>
    <row r="17" spans="1:42" ht="27" customHeight="1" x14ac:dyDescent="0.25">
      <c r="A17" s="389" t="s">
        <v>145</v>
      </c>
      <c r="B17" s="61">
        <f>'прилож.3-сады'!T93</f>
        <v>37644504.109999999</v>
      </c>
      <c r="C17" s="61">
        <f>'прилож.3-сады'!Q117</f>
        <v>6189058.4999999991</v>
      </c>
      <c r="D17" s="61">
        <f>'прилож.3-сады'!S118</f>
        <v>1970553.75</v>
      </c>
      <c r="E17" s="62">
        <f t="shared" si="11"/>
        <v>45804116.359999999</v>
      </c>
      <c r="F17" s="61">
        <f>'прилож.3-сады'!N93</f>
        <v>20431338.710000001</v>
      </c>
      <c r="G17" s="61">
        <f>'прилож.3-сады'!O93</f>
        <v>9776191.5999999996</v>
      </c>
      <c r="H17" s="227">
        <f>'прилож.3-сады'!Q93</f>
        <v>7436973.7999999989</v>
      </c>
      <c r="I17" s="61">
        <f>'прилож.3-сады'!Q117</f>
        <v>6189058.4999999991</v>
      </c>
      <c r="J17" s="61">
        <f t="shared" si="4"/>
        <v>13626032.299999997</v>
      </c>
      <c r="K17" s="61">
        <f>'прилож.3-сады'!S118</f>
        <v>1970553.75</v>
      </c>
      <c r="L17" s="62">
        <f t="shared" si="5"/>
        <v>45804116.359999999</v>
      </c>
      <c r="M17" s="61"/>
      <c r="N17" s="61">
        <f t="shared" si="12"/>
        <v>1.2002990282764492</v>
      </c>
      <c r="O17" s="61">
        <f t="shared" si="12"/>
        <v>1.2626399425314045</v>
      </c>
      <c r="P17" s="61">
        <f t="shared" si="6"/>
        <v>1.1740600622236896</v>
      </c>
      <c r="Q17" s="61">
        <f>22923343+1600373</f>
        <v>24523716</v>
      </c>
      <c r="R17" s="61">
        <f>11355514+988296</f>
        <v>12343810</v>
      </c>
      <c r="S17" s="61">
        <f>13744517.52+0.01+1940262.8+313000</f>
        <v>15997780.33</v>
      </c>
      <c r="T17" s="61">
        <f t="shared" si="7"/>
        <v>8731453.9223839492</v>
      </c>
      <c r="U17" s="390">
        <f t="shared" si="13"/>
        <v>7266326.4076160537</v>
      </c>
      <c r="V17" s="62">
        <f t="shared" si="0"/>
        <v>52865306.329999998</v>
      </c>
      <c r="W17" s="61">
        <f t="shared" si="8"/>
        <v>45598979.922383949</v>
      </c>
      <c r="X17" s="61">
        <f t="shared" si="9"/>
        <v>7266326.4076160537</v>
      </c>
      <c r="Y17" s="390">
        <v>1764930.75</v>
      </c>
      <c r="Z17" s="61">
        <f t="shared" si="14"/>
        <v>52865306.329999998</v>
      </c>
      <c r="AA17" s="61">
        <f>2214748.2+2621850</f>
        <v>4836598.2</v>
      </c>
      <c r="AB17" s="61">
        <f t="shared" si="2"/>
        <v>45598979.922383942</v>
      </c>
      <c r="AC17" s="391" t="e">
        <f>AA17/#REF!</f>
        <v>#REF!</v>
      </c>
      <c r="AD17" s="391">
        <f t="shared" si="3"/>
        <v>1.2113051028415829</v>
      </c>
      <c r="AE17" s="37" t="s">
        <v>170</v>
      </c>
      <c r="AF17" s="61">
        <v>54247378.229999997</v>
      </c>
      <c r="AG17" s="61">
        <f>AF17+4000</f>
        <v>54251378.229999997</v>
      </c>
      <c r="AH17" s="389" t="s">
        <v>145</v>
      </c>
      <c r="AI17" s="405"/>
      <c r="AK17" s="392">
        <v>1987689</v>
      </c>
      <c r="AP17" s="406"/>
    </row>
    <row r="18" spans="1:42" ht="27" customHeight="1" x14ac:dyDescent="0.25">
      <c r="A18" s="389" t="s">
        <v>146</v>
      </c>
      <c r="B18" s="61">
        <f>'прилож.3-сады'!T120</f>
        <v>25994629.969999999</v>
      </c>
      <c r="C18" s="61">
        <f>'прилож.3-сады'!Q126</f>
        <v>6888691.1999999993</v>
      </c>
      <c r="D18" s="61">
        <f>'прилож.3-сады'!S127</f>
        <v>2193312</v>
      </c>
      <c r="E18" s="62">
        <f t="shared" si="11"/>
        <v>35076633.170000002</v>
      </c>
      <c r="F18" s="61">
        <f>'прилож.3-сады'!N120</f>
        <v>12823111.979999999</v>
      </c>
      <c r="G18" s="61">
        <f>'прилож.3-сады'!O120</f>
        <v>4893845.0299999993</v>
      </c>
      <c r="H18" s="61">
        <f>'прилож.3-сады'!Q120</f>
        <v>8277672.959999999</v>
      </c>
      <c r="I18" s="61">
        <f>'прилож.3-сады'!Q126</f>
        <v>6888691.1999999993</v>
      </c>
      <c r="J18" s="61">
        <f t="shared" si="4"/>
        <v>15166364.159999998</v>
      </c>
      <c r="K18" s="61">
        <f>'прилож.3-сады'!S127</f>
        <v>2193312</v>
      </c>
      <c r="L18" s="62">
        <f t="shared" si="5"/>
        <v>35076633.169999994</v>
      </c>
      <c r="M18" s="61"/>
      <c r="N18" s="61">
        <f t="shared" si="12"/>
        <v>1.1137388507777815</v>
      </c>
      <c r="O18" s="61">
        <f t="shared" si="12"/>
        <v>1.2310128259210531</v>
      </c>
      <c r="P18" s="61">
        <f>S18/J18</f>
        <v>0.73580407289917016</v>
      </c>
      <c r="Q18" s="61">
        <f>13374415+907183</f>
        <v>14281598</v>
      </c>
      <c r="R18" s="61">
        <f>5455367+569019</f>
        <v>6024386</v>
      </c>
      <c r="S18" s="61">
        <f>10439518.5+0.02+719954</f>
        <v>11159472.52</v>
      </c>
      <c r="T18" s="61">
        <f t="shared" si="7"/>
        <v>6090745.4780953294</v>
      </c>
      <c r="U18" s="390">
        <f t="shared" si="13"/>
        <v>5068727.0419046711</v>
      </c>
      <c r="V18" s="62">
        <f t="shared" si="0"/>
        <v>31465456.52</v>
      </c>
      <c r="W18" s="61">
        <f t="shared" si="8"/>
        <v>26396729.47809533</v>
      </c>
      <c r="X18" s="61">
        <f t="shared" si="9"/>
        <v>5068727.0419046711</v>
      </c>
      <c r="Y18" s="390">
        <v>2159041.5</v>
      </c>
      <c r="Z18" s="61">
        <f t="shared" si="14"/>
        <v>31465456.52</v>
      </c>
      <c r="AA18" s="61">
        <f>1343296.5+1570800</f>
        <v>2914096.5</v>
      </c>
      <c r="AB18" s="61">
        <f t="shared" si="2"/>
        <v>26396729.47809533</v>
      </c>
      <c r="AC18" s="391" t="e">
        <f>AA18/#REF!</f>
        <v>#REF!</v>
      </c>
      <c r="AD18" s="391">
        <f t="shared" si="3"/>
        <v>1.0154685605665243</v>
      </c>
      <c r="AE18" s="37" t="s">
        <v>146</v>
      </c>
      <c r="AF18" s="61">
        <v>29269300.52</v>
      </c>
      <c r="AG18" s="61">
        <f t="shared" si="10"/>
        <v>29269300.52</v>
      </c>
      <c r="AH18" s="389" t="s">
        <v>146</v>
      </c>
      <c r="AI18" s="405"/>
      <c r="AK18" s="392">
        <v>2159041.5</v>
      </c>
      <c r="AP18" s="406"/>
    </row>
    <row r="19" spans="1:42" ht="27" customHeight="1" x14ac:dyDescent="0.25">
      <c r="A19" s="389" t="s">
        <v>147</v>
      </c>
      <c r="B19" s="61">
        <f>'прилож.3-сады'!T129</f>
        <v>26237130.854999993</v>
      </c>
      <c r="C19" s="61">
        <f>'прилож.3-сады'!Q138</f>
        <v>6942509.0999999996</v>
      </c>
      <c r="D19" s="61">
        <f>'прилож.3-сады'!S139</f>
        <v>2210447.25</v>
      </c>
      <c r="E19" s="62">
        <f>SUM(B19:D19)</f>
        <v>35390087.204999991</v>
      </c>
      <c r="F19" s="61">
        <f>'прилож.3-сады'!N129</f>
        <v>12551645.330000002</v>
      </c>
      <c r="G19" s="61">
        <f>'прилож.3-сады'!O129</f>
        <v>5343143.2450000001</v>
      </c>
      <c r="H19" s="61">
        <f>'прилож.3-сады'!Q129</f>
        <v>8342342.2799999993</v>
      </c>
      <c r="I19" s="61">
        <f>'прилож.3-сады'!Q138</f>
        <v>6942509.0999999996</v>
      </c>
      <c r="J19" s="61">
        <f t="shared" si="4"/>
        <v>15284851.379999999</v>
      </c>
      <c r="K19" s="61">
        <f>'прилож.3-сады'!S139</f>
        <v>2210447.25</v>
      </c>
      <c r="L19" s="62">
        <f t="shared" si="5"/>
        <v>35390087.204999998</v>
      </c>
      <c r="M19" s="61"/>
      <c r="N19" s="61">
        <f t="shared" si="12"/>
        <v>1.2115026038582304</v>
      </c>
      <c r="O19" s="61">
        <f t="shared" si="12"/>
        <v>1.267338472786911</v>
      </c>
      <c r="P19" s="61">
        <f t="shared" si="6"/>
        <v>0.94236727148340782</v>
      </c>
      <c r="Q19" s="61">
        <f>14300997+905354</f>
        <v>15206351</v>
      </c>
      <c r="R19" s="61">
        <f>6112706+658865</f>
        <v>6771571</v>
      </c>
      <c r="S19" s="61">
        <f>13588001.69+899942-84000</f>
        <v>14403943.689999999</v>
      </c>
      <c r="T19" s="61">
        <f t="shared" si="7"/>
        <v>7861550.332184271</v>
      </c>
      <c r="U19" s="390">
        <f t="shared" si="13"/>
        <v>6542393.3578157285</v>
      </c>
      <c r="V19" s="62">
        <f t="shared" si="0"/>
        <v>36381865.689999998</v>
      </c>
      <c r="W19" s="61">
        <f t="shared" si="8"/>
        <v>29839472.33218427</v>
      </c>
      <c r="X19" s="61">
        <f t="shared" si="9"/>
        <v>6542393.3578157285</v>
      </c>
      <c r="Y19" s="390">
        <v>2176176.75</v>
      </c>
      <c r="Z19" s="61">
        <f t="shared" si="14"/>
        <v>36381865.689999998</v>
      </c>
      <c r="AA19" s="61">
        <f>1403294.08+1593900</f>
        <v>2997194.08</v>
      </c>
      <c r="AB19" s="61">
        <f t="shared" si="2"/>
        <v>29839472.33218427</v>
      </c>
      <c r="AC19" s="391" t="e">
        <f>AA19/#REF!</f>
        <v>#REF!</v>
      </c>
      <c r="AD19" s="391">
        <f t="shared" si="3"/>
        <v>1.1372993677202239</v>
      </c>
      <c r="AE19" s="37" t="s">
        <v>147</v>
      </c>
      <c r="AF19" s="61">
        <v>34001704.689999998</v>
      </c>
      <c r="AG19" s="61">
        <f t="shared" si="10"/>
        <v>34001704.689999998</v>
      </c>
      <c r="AH19" s="389" t="s">
        <v>147</v>
      </c>
      <c r="AI19" s="405"/>
      <c r="AK19" s="392">
        <v>2193312</v>
      </c>
      <c r="AP19" s="406"/>
    </row>
    <row r="20" spans="1:42" ht="27" customHeight="1" x14ac:dyDescent="0.25">
      <c r="A20" s="389" t="s">
        <v>171</v>
      </c>
      <c r="B20" s="61">
        <f>'прилож.3-сады'!T141</f>
        <v>39458868.729999997</v>
      </c>
      <c r="C20" s="61">
        <f>'прилож.3-сады'!Q152</f>
        <v>9848675.6999999993</v>
      </c>
      <c r="D20" s="61">
        <f>'прилож.3-сады'!S153</f>
        <v>3135750.75</v>
      </c>
      <c r="E20" s="62">
        <f>SUM(B20:D20)</f>
        <v>52443295.179999992</v>
      </c>
      <c r="F20" s="61">
        <f>'прилож.3-сады'!N141</f>
        <v>19040182.449999999</v>
      </c>
      <c r="G20" s="61">
        <f>'прилож.3-сады'!O141</f>
        <v>8584205.7200000007</v>
      </c>
      <c r="H20" s="61">
        <f>'прилож.3-сады'!Q141</f>
        <v>11834480.560000001</v>
      </c>
      <c r="I20" s="61">
        <f>'прилож.3-сады'!Q152</f>
        <v>9848675.6999999993</v>
      </c>
      <c r="J20" s="61">
        <f t="shared" si="4"/>
        <v>21683156.259999998</v>
      </c>
      <c r="K20" s="61">
        <f>'прилож.3-сады'!S153</f>
        <v>3135750.75</v>
      </c>
      <c r="L20" s="62">
        <f t="shared" si="5"/>
        <v>52443295.18</v>
      </c>
      <c r="M20" s="61"/>
      <c r="N20" s="61">
        <f t="shared" si="12"/>
        <v>1.1684532991436749</v>
      </c>
      <c r="O20" s="61">
        <f t="shared" si="12"/>
        <v>1.2350578895492732</v>
      </c>
      <c r="P20" s="61">
        <f t="shared" si="6"/>
        <v>1.0543813961335167</v>
      </c>
      <c r="Q20" s="61">
        <f>21034255+74+1213235</f>
        <v>22247564</v>
      </c>
      <c r="R20" s="61">
        <f>9763463-28+28-28+838556</f>
        <v>10601991</v>
      </c>
      <c r="S20" s="61">
        <f>21801648.48+0.01+1131668.08-71000</f>
        <v>22862316.57</v>
      </c>
      <c r="T20" s="61">
        <f t="shared" si="7"/>
        <v>12478056.135367762</v>
      </c>
      <c r="U20" s="390">
        <f t="shared" si="13"/>
        <v>10384260.434632238</v>
      </c>
      <c r="V20" s="62">
        <f t="shared" si="0"/>
        <v>55711871.57</v>
      </c>
      <c r="W20" s="61">
        <f t="shared" si="8"/>
        <v>45327611.135367766</v>
      </c>
      <c r="X20" s="61">
        <f t="shared" si="9"/>
        <v>10384260.434632238</v>
      </c>
      <c r="Y20" s="390">
        <v>3118615.5</v>
      </c>
      <c r="Z20" s="61">
        <f t="shared" si="14"/>
        <v>55711871.57</v>
      </c>
      <c r="AA20" s="61">
        <f>2304254.93+89977.11+2772000</f>
        <v>5166232.04</v>
      </c>
      <c r="AB20" s="61">
        <f t="shared" si="2"/>
        <v>45327611.135367766</v>
      </c>
      <c r="AC20" s="391" t="e">
        <f>AA20/#REF!</f>
        <v>#REF!</v>
      </c>
      <c r="AD20" s="391">
        <f t="shared" si="3"/>
        <v>1.1487306300017124</v>
      </c>
      <c r="AE20" s="37" t="s">
        <v>171</v>
      </c>
      <c r="AF20" s="61">
        <f>53049204.75+28-28</f>
        <v>53049204.75</v>
      </c>
      <c r="AG20" s="61">
        <f t="shared" si="10"/>
        <v>53049204.75</v>
      </c>
      <c r="AH20" s="389" t="s">
        <v>171</v>
      </c>
      <c r="AI20" s="405"/>
      <c r="AK20" s="392">
        <v>3152886</v>
      </c>
      <c r="AP20" s="406"/>
    </row>
    <row r="21" spans="1:42" ht="27" customHeight="1" x14ac:dyDescent="0.25">
      <c r="A21" s="10" t="s">
        <v>116</v>
      </c>
      <c r="B21" s="62">
        <f t="shared" ref="B21:M21" si="15">SUM(B11:B20)</f>
        <v>270966024.64499998</v>
      </c>
      <c r="C21" s="62">
        <f t="shared" si="15"/>
        <v>65742805.949999988</v>
      </c>
      <c r="D21" s="62">
        <f t="shared" si="15"/>
        <v>19551320.25</v>
      </c>
      <c r="E21" s="62">
        <f t="shared" si="15"/>
        <v>356260150.84500003</v>
      </c>
      <c r="F21" s="62">
        <f t="shared" si="15"/>
        <v>136491614.59</v>
      </c>
      <c r="G21" s="62">
        <f t="shared" si="15"/>
        <v>57702000.884999998</v>
      </c>
      <c r="H21" s="62">
        <f t="shared" si="15"/>
        <v>76772409.170000002</v>
      </c>
      <c r="I21" s="62">
        <f t="shared" si="15"/>
        <v>65742805.949999988</v>
      </c>
      <c r="J21" s="62">
        <f t="shared" si="4"/>
        <v>142515215.12</v>
      </c>
      <c r="K21" s="62">
        <f t="shared" si="15"/>
        <v>19551320.25</v>
      </c>
      <c r="L21" s="62">
        <f t="shared" si="5"/>
        <v>356260150.84500003</v>
      </c>
      <c r="M21" s="61">
        <f t="shared" si="15"/>
        <v>0</v>
      </c>
      <c r="N21" s="61">
        <f t="shared" si="12"/>
        <v>1.1747351694947812</v>
      </c>
      <c r="O21" s="61">
        <f t="shared" si="12"/>
        <v>1.2310318344344533</v>
      </c>
      <c r="P21" s="61">
        <f t="shared" si="6"/>
        <v>0.99798447499266552</v>
      </c>
      <c r="Q21" s="62">
        <f t="shared" ref="Q21:Z21" si="16">SUM(Q11:Q20)</f>
        <v>160341500</v>
      </c>
      <c r="R21" s="62">
        <f t="shared" si="16"/>
        <v>71033000</v>
      </c>
      <c r="S21" s="62">
        <f>SUM(S11:S20)</f>
        <v>142227972.13999999</v>
      </c>
      <c r="T21" s="62">
        <f t="shared" si="16"/>
        <v>76608252.515377507</v>
      </c>
      <c r="U21" s="393">
        <f t="shared" si="16"/>
        <v>65619719.624622509</v>
      </c>
      <c r="V21" s="62">
        <f t="shared" si="16"/>
        <v>373602472.13999993</v>
      </c>
      <c r="W21" s="62">
        <f t="shared" si="16"/>
        <v>307982752.51537752</v>
      </c>
      <c r="X21" s="62">
        <f t="shared" si="16"/>
        <v>65619719.624622509</v>
      </c>
      <c r="Y21" s="393">
        <f t="shared" si="16"/>
        <v>19037262.75</v>
      </c>
      <c r="Z21" s="62">
        <f t="shared" si="16"/>
        <v>373602472.13999993</v>
      </c>
      <c r="AA21" s="62" t="e">
        <f>M21-L21-#REF!</f>
        <v>#REF!</v>
      </c>
      <c r="AB21" s="62" t="e">
        <f>#REF!-M21-#REF!</f>
        <v>#REF!</v>
      </c>
      <c r="AC21" s="62" t="e">
        <f>#REF!-#REF!-Q21</f>
        <v>#REF!</v>
      </c>
      <c r="AD21" s="62" t="e">
        <f>Q21-#REF!-R21</f>
        <v>#REF!</v>
      </c>
      <c r="AE21" s="62">
        <f>R21-Q21-S21</f>
        <v>-231536472.13999999</v>
      </c>
      <c r="AF21" s="62">
        <f>SUM(AF11:AF20)</f>
        <v>355882156.42000002</v>
      </c>
      <c r="AG21" s="62">
        <f>SUM(AG11:AG20)</f>
        <v>355886156.42000002</v>
      </c>
      <c r="AH21" s="10" t="s">
        <v>116</v>
      </c>
      <c r="AI21" s="405"/>
      <c r="AK21" s="394">
        <f t="shared" ref="AK21" si="17">SUM(AK11:AK20)</f>
        <v>19362832.5</v>
      </c>
      <c r="AP21" s="395"/>
    </row>
    <row r="22" spans="1:42" x14ac:dyDescent="0.25">
      <c r="V22" s="309"/>
      <c r="W22" s="309"/>
      <c r="X22" s="309"/>
      <c r="Y22" s="309"/>
    </row>
    <row r="23" spans="1:42" hidden="1" x14ac:dyDescent="0.25">
      <c r="S23" s="309">
        <v>9093938.6199999992</v>
      </c>
      <c r="V23" s="309"/>
      <c r="W23" s="309"/>
      <c r="X23" s="309"/>
      <c r="Y23" s="309"/>
      <c r="Z23" s="309"/>
    </row>
    <row r="24" spans="1:42" hidden="1" x14ac:dyDescent="0.25">
      <c r="S24" s="309">
        <f>S21+S23</f>
        <v>151321910.75999999</v>
      </c>
      <c r="V24" s="309"/>
      <c r="W24" s="309"/>
      <c r="X24" s="309"/>
      <c r="Y24" s="309"/>
    </row>
    <row r="25" spans="1:42" x14ac:dyDescent="0.25">
      <c r="V25" s="309"/>
      <c r="W25" s="309"/>
      <c r="X25" s="309"/>
      <c r="Y25" s="309"/>
    </row>
    <row r="26" spans="1:42" x14ac:dyDescent="0.25">
      <c r="V26" s="309"/>
      <c r="W26" s="309"/>
      <c r="X26" s="309"/>
      <c r="Y26" s="309"/>
    </row>
    <row r="27" spans="1:42" x14ac:dyDescent="0.25">
      <c r="V27" s="309"/>
      <c r="W27" s="309"/>
      <c r="X27" s="309"/>
      <c r="Y27" s="309"/>
    </row>
    <row r="28" spans="1:42" x14ac:dyDescent="0.25">
      <c r="V28" s="309"/>
      <c r="W28" s="309"/>
      <c r="X28" s="309"/>
      <c r="Y28" s="309"/>
    </row>
    <row r="29" spans="1:42" x14ac:dyDescent="0.25">
      <c r="V29" s="309"/>
      <c r="W29" s="309"/>
      <c r="X29" s="309"/>
      <c r="Y29" s="309"/>
    </row>
    <row r="30" spans="1:42" x14ac:dyDescent="0.25">
      <c r="V30" s="309"/>
      <c r="W30" s="309"/>
      <c r="X30" s="309"/>
      <c r="Y30" s="309"/>
    </row>
    <row r="31" spans="1:42" x14ac:dyDescent="0.25">
      <c r="H31" s="351"/>
      <c r="S31" s="351"/>
      <c r="T31" s="351"/>
    </row>
    <row r="32" spans="1:42" x14ac:dyDescent="0.25">
      <c r="A32" s="195" t="s">
        <v>79</v>
      </c>
    </row>
    <row r="33" spans="3:33" hidden="1" x14ac:dyDescent="0.25">
      <c r="H33" s="407">
        <f>H21+I21</f>
        <v>142515215.12</v>
      </c>
      <c r="I33" s="407"/>
      <c r="J33" s="408"/>
      <c r="L33" s="309"/>
      <c r="S33" s="407">
        <f>S21+U21</f>
        <v>207847691.76462251</v>
      </c>
      <c r="T33" s="407"/>
      <c r="U33" s="407"/>
    </row>
    <row r="34" spans="3:33" x14ac:dyDescent="0.25">
      <c r="I34" s="309"/>
      <c r="J34" s="309"/>
      <c r="AF34" s="309"/>
      <c r="AG34" s="309"/>
    </row>
    <row r="36" spans="3:33" x14ac:dyDescent="0.25">
      <c r="C36" s="309"/>
      <c r="H36" s="309"/>
      <c r="L36" s="309"/>
    </row>
    <row r="39" spans="3:33" x14ac:dyDescent="0.25">
      <c r="H39" s="309"/>
    </row>
  </sheetData>
  <mergeCells count="28">
    <mergeCell ref="AH7:AH9"/>
    <mergeCell ref="Z4:AF4"/>
    <mergeCell ref="A5:U5"/>
    <mergeCell ref="A6:D6"/>
    <mergeCell ref="A7:A9"/>
    <mergeCell ref="B7:D7"/>
    <mergeCell ref="E7:E9"/>
    <mergeCell ref="F7:L7"/>
    <mergeCell ref="N7:P7"/>
    <mergeCell ref="AA7:AA9"/>
    <mergeCell ref="F8:G8"/>
    <mergeCell ref="H8:K8"/>
    <mergeCell ref="AE7:AE9"/>
    <mergeCell ref="W8:X8"/>
    <mergeCell ref="V8:V9"/>
    <mergeCell ref="AC7:AC9"/>
    <mergeCell ref="AD7:AD9"/>
    <mergeCell ref="T8:U8"/>
    <mergeCell ref="Q7:X7"/>
    <mergeCell ref="S8:S9"/>
    <mergeCell ref="Q8:Q9"/>
    <mergeCell ref="R8:R9"/>
    <mergeCell ref="Y7:Y9"/>
    <mergeCell ref="X2:Y2"/>
    <mergeCell ref="X3:Y3"/>
    <mergeCell ref="H33:I33"/>
    <mergeCell ref="S33:U33"/>
    <mergeCell ref="AB7:AB9"/>
  </mergeCells>
  <pageMargins left="0" right="0" top="0.55118110236220474" bottom="0.55118110236220474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M73"/>
  <sheetViews>
    <sheetView topLeftCell="A31" zoomScale="90" zoomScaleNormal="90" workbookViewId="0">
      <selection activeCell="G9" sqref="G9"/>
    </sheetView>
  </sheetViews>
  <sheetFormatPr defaultColWidth="9.140625" defaultRowHeight="15" x14ac:dyDescent="0.25"/>
  <cols>
    <col min="1" max="1" width="14" style="1" customWidth="1"/>
    <col min="2" max="2" width="24.7109375" style="1" customWidth="1"/>
    <col min="3" max="3" width="9" style="1" customWidth="1"/>
    <col min="4" max="4" width="11.28515625" style="1" customWidth="1"/>
    <col min="5" max="5" width="18.28515625" style="1" hidden="1" customWidth="1"/>
    <col min="6" max="6" width="13.28515625" style="1" hidden="1" customWidth="1"/>
    <col min="7" max="7" width="11.5703125" style="1" customWidth="1"/>
    <col min="8" max="8" width="12" style="1" customWidth="1"/>
    <col min="9" max="9" width="10.28515625" style="1" customWidth="1"/>
    <col min="10" max="10" width="15.28515625" style="1" customWidth="1"/>
    <col min="11" max="11" width="11.140625" style="1" customWidth="1"/>
    <col min="12" max="12" width="15.28515625" style="1" customWidth="1"/>
    <col min="13" max="13" width="12.42578125" style="1" customWidth="1"/>
    <col min="14" max="14" width="15.140625" style="1" customWidth="1"/>
    <col min="15" max="16" width="5.28515625" style="1" customWidth="1"/>
    <col min="17" max="17" width="9.42578125" style="1" hidden="1" customWidth="1"/>
    <col min="18" max="18" width="9.85546875" style="1" hidden="1" customWidth="1"/>
    <col min="19" max="19" width="13.28515625" style="1" hidden="1" customWidth="1"/>
    <col min="20" max="20" width="5.28515625" style="1" hidden="1" customWidth="1"/>
    <col min="21" max="21" width="9.140625" style="1" hidden="1" customWidth="1"/>
    <col min="22" max="22" width="11.28515625" style="1" hidden="1" customWidth="1"/>
    <col min="23" max="23" width="12.5703125" style="1" hidden="1" customWidth="1"/>
    <col min="24" max="24" width="5.28515625" style="1" hidden="1" customWidth="1"/>
    <col min="25" max="25" width="8.85546875" style="1" hidden="1" customWidth="1"/>
    <col min="26" max="27" width="12.7109375" style="1" hidden="1" customWidth="1"/>
    <col min="28" max="29" width="5.28515625" style="1" hidden="1" customWidth="1"/>
    <col min="30" max="30" width="12" style="1" hidden="1" customWidth="1"/>
    <col min="31" max="31" width="10.5703125" style="1" hidden="1" customWidth="1"/>
    <col min="32" max="32" width="11.28515625" style="1" hidden="1" customWidth="1"/>
    <col min="33" max="33" width="10.28515625" style="1" hidden="1" customWidth="1"/>
    <col min="34" max="34" width="10.5703125" style="1" hidden="1" customWidth="1"/>
    <col min="35" max="35" width="13.140625" style="1" hidden="1" customWidth="1"/>
    <col min="36" max="36" width="11.140625" style="1" hidden="1" customWidth="1"/>
    <col min="37" max="37" width="10.7109375" style="1" hidden="1" customWidth="1"/>
    <col min="38" max="38" width="12.28515625" style="1" hidden="1" customWidth="1"/>
    <col min="39" max="39" width="5.5703125" style="1" hidden="1" customWidth="1"/>
    <col min="40" max="40" width="9" style="1" hidden="1" customWidth="1"/>
    <col min="41" max="41" width="12.28515625" style="1" hidden="1" customWidth="1"/>
    <col min="42" max="42" width="10.42578125" style="1" hidden="1" customWidth="1"/>
    <col min="43" max="43" width="11.7109375" style="1" hidden="1" customWidth="1"/>
    <col min="44" max="44" width="9.28515625" style="1" hidden="1" customWidth="1"/>
    <col min="45" max="45" width="11.7109375" style="1" hidden="1" customWidth="1"/>
    <col min="46" max="46" width="9.140625" style="1" hidden="1" customWidth="1"/>
    <col min="47" max="47" width="12.85546875" style="1" hidden="1" customWidth="1"/>
    <col min="48" max="48" width="10.28515625" style="1" hidden="1" customWidth="1"/>
    <col min="49" max="61" width="5.28515625" style="1" customWidth="1"/>
    <col min="62" max="62" width="6.5703125" style="1" customWidth="1"/>
    <col min="63" max="63" width="9.85546875" style="1" hidden="1" customWidth="1"/>
    <col min="64" max="64" width="8" style="1" hidden="1" customWidth="1"/>
    <col min="65" max="65" width="11.7109375" style="1" hidden="1" customWidth="1"/>
    <col min="66" max="66" width="3.7109375" style="1" hidden="1" customWidth="1"/>
    <col min="67" max="67" width="4.85546875" style="1" hidden="1" customWidth="1"/>
    <col min="68" max="68" width="14.140625" style="1" hidden="1" customWidth="1"/>
    <col min="69" max="69" width="13" style="1" hidden="1" customWidth="1"/>
    <col min="70" max="70" width="10.85546875" style="1" hidden="1" customWidth="1"/>
    <col min="71" max="71" width="11.42578125" style="1" hidden="1" customWidth="1"/>
    <col min="72" max="72" width="5.28515625" style="1" hidden="1" customWidth="1"/>
    <col min="73" max="73" width="11.7109375" style="1" hidden="1" customWidth="1"/>
    <col min="74" max="74" width="12.28515625" style="1" hidden="1" customWidth="1"/>
    <col min="75" max="75" width="10" style="1" hidden="1" customWidth="1"/>
    <col min="76" max="76" width="15.7109375" style="1" hidden="1" customWidth="1"/>
    <col min="77" max="77" width="15.28515625" style="1" hidden="1" customWidth="1"/>
    <col min="78" max="79" width="12.28515625" style="1" hidden="1" customWidth="1"/>
    <col min="80" max="80" width="12.42578125" style="1" hidden="1" customWidth="1"/>
    <col min="81" max="81" width="25.85546875" style="1" hidden="1" customWidth="1"/>
    <col min="82" max="82" width="13.5703125" style="1" hidden="1" customWidth="1"/>
    <col min="83" max="83" width="10.5703125" style="1" hidden="1" customWidth="1"/>
    <col min="84" max="84" width="9.85546875" style="1" hidden="1" customWidth="1"/>
    <col min="85" max="85" width="9" style="1" hidden="1" customWidth="1"/>
    <col min="86" max="86" width="11.28515625" style="1" hidden="1" customWidth="1"/>
    <col min="87" max="87" width="10.140625" style="1" hidden="1" customWidth="1"/>
    <col min="88" max="88" width="15.42578125" style="1" hidden="1" customWidth="1"/>
    <col min="89" max="89" width="7.85546875" style="1" hidden="1" customWidth="1"/>
    <col min="90" max="90" width="12.28515625" style="1" hidden="1" customWidth="1"/>
    <col min="91" max="91" width="13.28515625" style="1" hidden="1" customWidth="1"/>
    <col min="92" max="92" width="12.28515625" style="1" hidden="1" customWidth="1"/>
    <col min="93" max="93" width="11.42578125" style="1" hidden="1" customWidth="1"/>
    <col min="94" max="94" width="17" style="1" hidden="1" customWidth="1"/>
    <col min="95" max="95" width="11.140625" style="1" hidden="1" customWidth="1"/>
    <col min="96" max="98" width="10.28515625" style="1" hidden="1" customWidth="1"/>
    <col min="99" max="99" width="9.7109375" style="1" hidden="1" customWidth="1"/>
    <col min="100" max="100" width="9.42578125" style="1" hidden="1" customWidth="1"/>
    <col min="101" max="101" width="3.7109375" style="1" hidden="1" customWidth="1"/>
    <col min="102" max="102" width="12.7109375" style="1" hidden="1" customWidth="1"/>
    <col min="103" max="103" width="11.7109375" style="1" hidden="1" customWidth="1"/>
    <col min="104" max="106" width="10.28515625" style="1" hidden="1" customWidth="1"/>
    <col min="107" max="107" width="11" style="1" hidden="1" customWidth="1"/>
    <col min="108" max="108" width="10.28515625" style="1" hidden="1" customWidth="1"/>
    <col min="109" max="109" width="9.85546875" style="1" hidden="1" customWidth="1"/>
    <col min="110" max="110" width="10.28515625" style="1" hidden="1" customWidth="1"/>
    <col min="111" max="111" width="9.85546875" style="1" hidden="1" customWidth="1"/>
    <col min="112" max="112" width="3.85546875" style="1" hidden="1" customWidth="1"/>
    <col min="113" max="113" width="14.7109375" style="1" hidden="1" customWidth="1"/>
    <col min="114" max="114" width="12.5703125" style="1" hidden="1" customWidth="1"/>
    <col min="115" max="123" width="9.85546875" style="1" hidden="1" customWidth="1"/>
    <col min="124" max="124" width="3.5703125" style="1" hidden="1" customWidth="1"/>
    <col min="125" max="125" width="13.85546875" style="1" hidden="1" customWidth="1"/>
    <col min="126" max="126" width="13.7109375" style="1" hidden="1" customWidth="1"/>
    <col min="127" max="127" width="10" style="1" hidden="1" customWidth="1"/>
    <col min="128" max="128" width="9.7109375" style="1" hidden="1" customWidth="1"/>
    <col min="129" max="129" width="9.85546875" style="1" hidden="1" customWidth="1"/>
    <col min="130" max="130" width="11.28515625" style="1" hidden="1" customWidth="1"/>
    <col min="131" max="131" width="10.140625" style="1" hidden="1" customWidth="1"/>
    <col min="132" max="132" width="11.28515625" style="1" hidden="1" customWidth="1"/>
    <col min="133" max="133" width="9.28515625" style="1" hidden="1" customWidth="1"/>
    <col min="134" max="134" width="9.85546875" style="1" hidden="1" customWidth="1"/>
    <col min="135" max="135" width="8.42578125" style="1" hidden="1" customWidth="1"/>
    <col min="136" max="136" width="7.7109375" style="1" hidden="1" customWidth="1"/>
    <col min="137" max="137" width="11.28515625" style="1" hidden="1" customWidth="1"/>
    <col min="138" max="138" width="10.140625" style="1" hidden="1" customWidth="1"/>
    <col min="139" max="139" width="9.85546875" style="1" hidden="1" customWidth="1"/>
    <col min="140" max="140" width="10.85546875" style="1" hidden="1" customWidth="1"/>
    <col min="141" max="141" width="12.28515625" style="1" hidden="1" customWidth="1"/>
    <col min="142" max="142" width="11" style="1" hidden="1" customWidth="1"/>
    <col min="143" max="143" width="12.42578125" style="1" hidden="1" customWidth="1"/>
    <col min="144" max="144" width="12.7109375" style="1" hidden="1" customWidth="1"/>
    <col min="145" max="145" width="10.28515625" style="1" customWidth="1"/>
    <col min="146" max="148" width="9.85546875" style="1" customWidth="1"/>
    <col min="149" max="149" width="10.7109375" style="1" customWidth="1"/>
    <col min="150" max="159" width="9.85546875" style="1" customWidth="1"/>
    <col min="160" max="160" width="8.28515625" style="1" customWidth="1"/>
    <col min="161" max="161" width="8.28515625" style="1" hidden="1" customWidth="1"/>
    <col min="162" max="162" width="12.28515625" style="1" hidden="1" customWidth="1"/>
    <col min="163" max="163" width="12.85546875" style="1" hidden="1" customWidth="1"/>
    <col min="164" max="164" width="12.140625" style="1" hidden="1" customWidth="1"/>
    <col min="165" max="165" width="12.5703125" style="1" hidden="1" customWidth="1"/>
    <col min="166" max="166" width="7.42578125" style="1" hidden="1" customWidth="1"/>
    <col min="167" max="167" width="9.42578125" style="1" hidden="1" customWidth="1"/>
    <col min="168" max="168" width="10.85546875" style="1" hidden="1" customWidth="1"/>
    <col min="169" max="169" width="12.7109375" style="1" hidden="1" customWidth="1"/>
    <col min="170" max="170" width="11.85546875" style="1" hidden="1" customWidth="1"/>
    <col min="171" max="171" width="17.5703125" style="1" hidden="1" customWidth="1"/>
    <col min="172" max="172" width="13.5703125" style="1" hidden="1" customWidth="1"/>
    <col min="173" max="173" width="12.7109375" style="1" hidden="1" customWidth="1"/>
    <col min="174" max="174" width="15.28515625" style="1" hidden="1" customWidth="1"/>
    <col min="175" max="175" width="12.7109375" style="1" hidden="1" customWidth="1"/>
    <col min="176" max="176" width="13.7109375" style="1" hidden="1" customWidth="1"/>
    <col min="177" max="177" width="5.140625" style="1" hidden="1" customWidth="1"/>
    <col min="178" max="178" width="12.28515625" style="1" hidden="1" customWidth="1"/>
    <col min="179" max="180" width="12.7109375" style="1" hidden="1" customWidth="1"/>
    <col min="181" max="181" width="14.5703125" style="1" hidden="1" customWidth="1"/>
    <col min="182" max="186" width="12.7109375" style="1" hidden="1" customWidth="1"/>
    <col min="187" max="187" width="12.28515625" style="1" hidden="1" customWidth="1"/>
    <col min="188" max="188" width="10.140625" style="1" hidden="1" customWidth="1"/>
    <col min="189" max="191" width="12.7109375" style="1" hidden="1" customWidth="1"/>
    <col min="192" max="192" width="5.7109375" style="1" hidden="1" customWidth="1"/>
    <col min="193" max="193" width="14.28515625" style="1" hidden="1" customWidth="1"/>
    <col min="194" max="194" width="10.85546875" style="1" hidden="1" customWidth="1"/>
    <col min="195" max="195" width="12" style="1" hidden="1" customWidth="1"/>
    <col min="196" max="196" width="5.85546875" style="1" hidden="1" customWidth="1"/>
    <col min="197" max="197" width="14.7109375" style="1" hidden="1" customWidth="1"/>
    <col min="198" max="198" width="10.85546875" style="1" hidden="1" customWidth="1"/>
    <col min="199" max="199" width="12.5703125" style="1" hidden="1" customWidth="1"/>
    <col min="200" max="200" width="4.85546875" style="1" hidden="1" customWidth="1"/>
    <col min="201" max="201" width="16.28515625" style="1" hidden="1" customWidth="1"/>
    <col min="202" max="202" width="14.28515625" style="1" hidden="1" customWidth="1"/>
    <col min="203" max="203" width="12.85546875" style="1" hidden="1" customWidth="1"/>
    <col min="204" max="204" width="10.28515625" style="1" hidden="1" customWidth="1"/>
    <col min="205" max="205" width="7" style="1" hidden="1" customWidth="1"/>
    <col min="206" max="206" width="17.28515625" style="1" hidden="1" customWidth="1"/>
    <col min="207" max="207" width="15" style="1" hidden="1" customWidth="1"/>
    <col min="208" max="208" width="12.85546875" style="1" hidden="1" customWidth="1"/>
    <col min="209" max="209" width="15.42578125" style="1" hidden="1" customWidth="1"/>
    <col min="210" max="210" width="15.140625" style="1" hidden="1" customWidth="1"/>
    <col min="211" max="211" width="13.7109375" style="1" hidden="1" customWidth="1"/>
    <col min="212" max="212" width="5.7109375" style="1" hidden="1" customWidth="1"/>
    <col min="213" max="213" width="13.5703125" style="1" hidden="1" customWidth="1"/>
    <col min="214" max="214" width="18" style="1" hidden="1" customWidth="1"/>
    <col min="215" max="215" width="16.85546875" style="1" hidden="1" customWidth="1"/>
    <col min="216" max="216" width="14" style="1" hidden="1" customWidth="1"/>
    <col min="217" max="217" width="10.28515625" style="1" hidden="1" customWidth="1"/>
    <col min="218" max="218" width="10.85546875" style="1" hidden="1" customWidth="1"/>
    <col min="219" max="219" width="8.42578125" style="1" hidden="1" customWidth="1"/>
    <col min="220" max="220" width="6.85546875" style="1" hidden="1" customWidth="1"/>
    <col min="221" max="221" width="7.140625" style="1" hidden="1" customWidth="1"/>
    <col min="222" max="222" width="7.7109375" style="1" hidden="1" customWidth="1"/>
    <col min="223" max="223" width="10.85546875" style="1" hidden="1" customWidth="1"/>
    <col min="224" max="224" width="12.42578125" style="1" hidden="1" customWidth="1"/>
    <col min="225" max="225" width="11.42578125" style="1" hidden="1" customWidth="1"/>
    <col min="226" max="226" width="12" style="1" hidden="1" customWidth="1"/>
    <col min="227" max="227" width="11.140625" style="1" hidden="1" customWidth="1"/>
    <col min="228" max="228" width="12" style="1" hidden="1" customWidth="1"/>
    <col min="229" max="229" width="12.28515625" style="1" hidden="1" customWidth="1"/>
    <col min="230" max="231" width="13" style="1" hidden="1" customWidth="1"/>
    <col min="232" max="232" width="4.28515625" style="1" hidden="1" customWidth="1"/>
    <col min="233" max="233" width="12" style="113" hidden="1" customWidth="1"/>
    <col min="234" max="234" width="9.140625" style="113" hidden="1" customWidth="1"/>
    <col min="235" max="235" width="9.5703125" style="113" hidden="1" customWidth="1"/>
    <col min="236" max="236" width="10.7109375" style="113" hidden="1" customWidth="1"/>
    <col min="237" max="237" width="6.5703125" style="113" hidden="1" customWidth="1"/>
    <col min="238" max="238" width="10.28515625" style="113" hidden="1" customWidth="1"/>
    <col min="239" max="239" width="10.7109375" style="113" hidden="1" customWidth="1"/>
    <col min="240" max="240" width="7.140625" style="113" hidden="1" customWidth="1"/>
    <col min="241" max="241" width="1.28515625" style="113" hidden="1" customWidth="1"/>
    <col min="242" max="242" width="10" style="113" hidden="1" customWidth="1"/>
    <col min="243" max="243" width="12.85546875" style="113" hidden="1" customWidth="1"/>
    <col min="244" max="244" width="11.28515625" style="113" hidden="1" customWidth="1"/>
    <col min="245" max="245" width="12.7109375" style="1" hidden="1" customWidth="1"/>
    <col min="246" max="246" width="9.7109375" style="1" hidden="1" customWidth="1"/>
    <col min="247" max="247" width="0" style="1" hidden="1" customWidth="1"/>
    <col min="248" max="16384" width="9.140625" style="1"/>
  </cols>
  <sheetData>
    <row r="1" spans="1:247" ht="9.6" customHeight="1" x14ac:dyDescent="0.25">
      <c r="L1" s="2"/>
      <c r="M1" s="2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/>
      <c r="DK1" s="195"/>
      <c r="DL1" s="195"/>
      <c r="DM1" s="195"/>
      <c r="DN1" s="195"/>
      <c r="DO1" s="195"/>
      <c r="DP1" s="195"/>
      <c r="DQ1" s="195"/>
      <c r="DR1" s="195"/>
      <c r="DS1" s="195"/>
      <c r="DT1" s="195"/>
      <c r="DU1" s="195"/>
      <c r="DV1" s="195"/>
      <c r="DW1" s="195"/>
      <c r="DX1" s="195"/>
      <c r="DY1" s="195"/>
      <c r="DZ1" s="195"/>
      <c r="EA1" s="195"/>
      <c r="EB1" s="195"/>
      <c r="EC1" s="195"/>
      <c r="ED1" s="195"/>
      <c r="EE1" s="195"/>
      <c r="EF1" s="195"/>
      <c r="EG1" s="195"/>
      <c r="EH1" s="195"/>
      <c r="EI1" s="195"/>
      <c r="EJ1" s="195"/>
      <c r="EK1" s="195"/>
      <c r="EL1" s="195"/>
      <c r="EM1" s="195"/>
      <c r="EN1" s="195"/>
      <c r="EO1" s="195"/>
      <c r="EP1" s="195"/>
      <c r="EQ1" s="195"/>
      <c r="ER1" s="195"/>
      <c r="ES1" s="195"/>
      <c r="ET1" s="195"/>
      <c r="EU1" s="195"/>
      <c r="EV1" s="195"/>
      <c r="EW1" s="195"/>
      <c r="EX1" s="195"/>
      <c r="EY1" s="195"/>
      <c r="EZ1" s="195"/>
      <c r="FA1" s="195"/>
      <c r="FB1" s="195"/>
      <c r="FC1" s="195"/>
      <c r="FD1" s="195"/>
      <c r="FE1" s="195"/>
      <c r="FF1" s="195"/>
      <c r="FG1" s="195"/>
      <c r="FH1" s="195"/>
      <c r="FI1" s="195"/>
      <c r="FJ1" s="195"/>
      <c r="FK1" s="195"/>
      <c r="FL1" s="195"/>
      <c r="FM1" s="195"/>
      <c r="FN1" s="195"/>
      <c r="FO1" s="195"/>
      <c r="FP1" s="195"/>
      <c r="FQ1" s="195"/>
      <c r="FR1" s="195"/>
      <c r="FS1" s="195"/>
      <c r="FT1" s="195"/>
      <c r="FU1" s="195"/>
      <c r="FV1" s="195"/>
      <c r="FW1" s="195"/>
      <c r="FX1" s="195"/>
      <c r="FY1" s="195"/>
      <c r="FZ1" s="195"/>
      <c r="GA1" s="195"/>
      <c r="GB1" s="195"/>
      <c r="GC1" s="195"/>
      <c r="GD1" s="195"/>
      <c r="GE1" s="195"/>
      <c r="GF1" s="195"/>
      <c r="GG1" s="195"/>
      <c r="GH1" s="195"/>
      <c r="GI1" s="195"/>
      <c r="GJ1" s="195"/>
      <c r="GK1" s="195"/>
      <c r="GL1" s="195"/>
      <c r="GM1" s="195"/>
      <c r="GN1" s="195"/>
      <c r="GO1" s="195"/>
      <c r="GP1" s="195"/>
      <c r="GQ1" s="195"/>
      <c r="GR1" s="195"/>
      <c r="GS1" s="195"/>
      <c r="GT1" s="195"/>
      <c r="GU1" s="195"/>
      <c r="GV1" s="195"/>
      <c r="GW1" s="195"/>
      <c r="GX1" s="195"/>
      <c r="GY1" s="195"/>
      <c r="GZ1" s="195"/>
      <c r="HA1" s="195"/>
      <c r="HB1" s="195"/>
      <c r="HC1" s="195"/>
      <c r="HD1" s="195"/>
      <c r="HE1" s="195"/>
      <c r="HF1" s="195"/>
      <c r="HG1" s="195"/>
      <c r="HH1" s="195"/>
      <c r="HI1" s="195"/>
      <c r="HJ1" s="195"/>
      <c r="HK1" s="195"/>
      <c r="HL1" s="195"/>
      <c r="HQ1" s="2"/>
    </row>
    <row r="2" spans="1:247" x14ac:dyDescent="0.25">
      <c r="L2" s="409" t="s">
        <v>0</v>
      </c>
      <c r="M2" s="409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/>
      <c r="EH2" s="195"/>
      <c r="EI2" s="195"/>
      <c r="EJ2" s="195"/>
      <c r="EK2" s="195"/>
      <c r="EL2" s="195"/>
      <c r="EM2" s="195"/>
      <c r="EN2" s="195"/>
      <c r="EO2" s="195"/>
      <c r="EP2" s="195"/>
      <c r="EQ2" s="195"/>
      <c r="ER2" s="195"/>
      <c r="ES2" s="195"/>
      <c r="ET2" s="195"/>
      <c r="EU2" s="195"/>
      <c r="EV2" s="195"/>
      <c r="EW2" s="195"/>
      <c r="EX2" s="195"/>
      <c r="EY2" s="195"/>
      <c r="EZ2" s="195"/>
      <c r="FA2" s="195"/>
      <c r="FB2" s="195"/>
      <c r="FC2" s="195"/>
      <c r="FD2" s="195"/>
      <c r="FE2" s="195"/>
      <c r="FF2" s="195"/>
      <c r="FG2" s="195"/>
      <c r="FH2" s="195"/>
      <c r="FI2" s="195"/>
      <c r="FJ2" s="195"/>
      <c r="FK2" s="195"/>
      <c r="FL2" s="195"/>
      <c r="FM2" s="195"/>
      <c r="FN2" s="195"/>
      <c r="FO2" s="195"/>
      <c r="FP2" s="195"/>
      <c r="FQ2" s="195"/>
      <c r="FR2" s="195"/>
      <c r="FS2" s="195"/>
      <c r="FT2" s="195"/>
      <c r="FU2" s="195"/>
      <c r="FV2" s="195"/>
      <c r="FW2" s="195"/>
      <c r="FX2" s="195"/>
      <c r="FY2" s="195"/>
      <c r="FZ2" s="195"/>
      <c r="GA2" s="195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5"/>
      <c r="HI2" s="195"/>
      <c r="HJ2" s="195"/>
      <c r="HK2" s="195"/>
      <c r="HL2" s="195"/>
      <c r="HQ2" s="2"/>
    </row>
    <row r="3" spans="1:247" x14ac:dyDescent="0.25">
      <c r="L3" s="409" t="s">
        <v>580</v>
      </c>
      <c r="M3" s="409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195"/>
      <c r="GE3" s="195"/>
      <c r="GF3" s="195"/>
      <c r="GG3" s="195"/>
      <c r="GH3" s="195"/>
      <c r="GI3" s="195"/>
      <c r="GJ3" s="195"/>
      <c r="GK3" s="195"/>
      <c r="GL3" s="195"/>
      <c r="GM3" s="195"/>
      <c r="GN3" s="195"/>
      <c r="GO3" s="195"/>
      <c r="GP3" s="195"/>
      <c r="GQ3" s="195"/>
      <c r="GR3" s="195"/>
      <c r="GS3" s="195"/>
      <c r="GT3" s="195"/>
      <c r="GU3" s="195"/>
      <c r="GV3" s="195"/>
      <c r="GW3" s="195"/>
      <c r="GX3" s="195"/>
      <c r="GY3" s="195"/>
      <c r="GZ3" s="195"/>
      <c r="HA3" s="195"/>
      <c r="HB3" s="195"/>
      <c r="HC3" s="195"/>
      <c r="HD3" s="195"/>
      <c r="HE3" s="195"/>
      <c r="HF3" s="195"/>
      <c r="HG3" s="195"/>
      <c r="HH3" s="195"/>
      <c r="HI3" s="195"/>
      <c r="HJ3" s="195"/>
      <c r="HK3" s="195"/>
      <c r="HL3" s="195"/>
      <c r="HQ3" s="2"/>
    </row>
    <row r="4" spans="1:247" ht="18.600000000000001" customHeight="1" x14ac:dyDescent="0.25">
      <c r="A4" s="278" t="s">
        <v>472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 t="s">
        <v>465</v>
      </c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64"/>
      <c r="HN4" s="64"/>
      <c r="HO4" s="64"/>
      <c r="HP4" s="64"/>
      <c r="HQ4" s="64"/>
      <c r="HR4" s="64"/>
      <c r="HS4" s="64"/>
    </row>
    <row r="5" spans="1:247" ht="13.9" x14ac:dyDescent="0.2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64"/>
      <c r="HN5" s="64"/>
      <c r="HO5" s="64"/>
      <c r="HP5" s="64"/>
      <c r="HQ5" s="64"/>
      <c r="HR5" s="64"/>
      <c r="HS5" s="64"/>
    </row>
    <row r="6" spans="1:247" ht="19.899999999999999" customHeight="1" x14ac:dyDescent="0.25">
      <c r="A6" s="65" t="s">
        <v>172</v>
      </c>
    </row>
    <row r="7" spans="1:247" ht="75.599999999999994" customHeight="1" x14ac:dyDescent="0.25">
      <c r="A7" s="279" t="s">
        <v>2</v>
      </c>
      <c r="B7" s="279" t="s">
        <v>112</v>
      </c>
      <c r="C7" s="279" t="s">
        <v>5</v>
      </c>
      <c r="D7" s="281" t="s">
        <v>6</v>
      </c>
      <c r="E7" s="282"/>
      <c r="F7" s="282"/>
      <c r="G7" s="282"/>
      <c r="H7" s="283"/>
      <c r="I7" s="284" t="s">
        <v>547</v>
      </c>
      <c r="J7" s="243" t="s">
        <v>8</v>
      </c>
      <c r="K7" s="284" t="s">
        <v>512</v>
      </c>
      <c r="L7" s="242" t="s">
        <v>8</v>
      </c>
      <c r="M7" s="284" t="s">
        <v>513</v>
      </c>
      <c r="N7" s="243" t="s">
        <v>8</v>
      </c>
      <c r="O7" s="66"/>
      <c r="P7" s="66"/>
      <c r="Q7" s="410" t="s">
        <v>549</v>
      </c>
      <c r="R7" s="277" t="s">
        <v>550</v>
      </c>
      <c r="S7" s="277" t="s">
        <v>551</v>
      </c>
      <c r="T7" s="66"/>
      <c r="U7" s="410" t="s">
        <v>552</v>
      </c>
      <c r="V7" s="277" t="s">
        <v>553</v>
      </c>
      <c r="W7" s="277" t="s">
        <v>554</v>
      </c>
      <c r="X7" s="66"/>
      <c r="Y7" s="410" t="s">
        <v>555</v>
      </c>
      <c r="Z7" s="277" t="s">
        <v>556</v>
      </c>
      <c r="AA7" s="277" t="s">
        <v>557</v>
      </c>
      <c r="AB7" s="66"/>
      <c r="AC7" s="66"/>
      <c r="AD7" s="240" t="s">
        <v>560</v>
      </c>
      <c r="AE7" s="276" t="s">
        <v>562</v>
      </c>
      <c r="AF7" s="277" t="s">
        <v>563</v>
      </c>
      <c r="AG7" s="66"/>
      <c r="AH7" s="276" t="s">
        <v>564</v>
      </c>
      <c r="AI7" s="277" t="s">
        <v>565</v>
      </c>
      <c r="AJ7" s="66"/>
      <c r="AK7" s="276" t="s">
        <v>566</v>
      </c>
      <c r="AL7" s="277" t="s">
        <v>567</v>
      </c>
      <c r="AM7" s="67"/>
      <c r="AN7" s="66"/>
      <c r="AO7" s="240" t="s">
        <v>576</v>
      </c>
      <c r="AP7" s="276" t="s">
        <v>569</v>
      </c>
      <c r="AQ7" s="277" t="s">
        <v>570</v>
      </c>
      <c r="AR7" s="66"/>
      <c r="AS7" s="240" t="s">
        <v>582</v>
      </c>
      <c r="AT7" s="276" t="s">
        <v>586</v>
      </c>
      <c r="AU7" s="277" t="s">
        <v>587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410" t="s">
        <v>387</v>
      </c>
      <c r="BL7" s="277" t="s">
        <v>389</v>
      </c>
      <c r="BM7" s="277" t="s">
        <v>388</v>
      </c>
      <c r="BN7" s="66"/>
      <c r="BO7" s="66"/>
      <c r="BP7" s="67"/>
      <c r="BQ7" s="240" t="s">
        <v>395</v>
      </c>
      <c r="BR7" s="276" t="s">
        <v>389</v>
      </c>
      <c r="BS7" s="277" t="s">
        <v>388</v>
      </c>
      <c r="BT7" s="67"/>
      <c r="BU7" s="67"/>
      <c r="BV7" s="67"/>
      <c r="BW7" s="66"/>
      <c r="BX7" s="66"/>
      <c r="BY7" s="67"/>
      <c r="BZ7" s="240" t="s">
        <v>390</v>
      </c>
      <c r="CA7" s="276" t="s">
        <v>392</v>
      </c>
      <c r="CB7" s="277" t="s">
        <v>393</v>
      </c>
      <c r="CC7" s="66"/>
      <c r="CD7" s="66"/>
      <c r="CE7" s="66"/>
      <c r="CF7" s="66"/>
      <c r="CG7" s="66"/>
      <c r="CH7" s="66"/>
      <c r="CI7" s="66"/>
      <c r="CJ7" s="66"/>
      <c r="CK7" s="66"/>
      <c r="CL7" s="67"/>
      <c r="CM7" s="240" t="s">
        <v>418</v>
      </c>
      <c r="CN7" s="276" t="s">
        <v>421</v>
      </c>
      <c r="CO7" s="277" t="s">
        <v>422</v>
      </c>
      <c r="CP7" s="66"/>
      <c r="CQ7" s="66"/>
      <c r="CR7" s="66"/>
      <c r="CS7" s="66"/>
      <c r="CT7" s="66"/>
      <c r="CU7" s="66"/>
      <c r="CV7" s="66"/>
      <c r="CW7" s="66"/>
      <c r="CX7" s="68"/>
      <c r="CY7" s="240" t="s">
        <v>434</v>
      </c>
      <c r="CZ7" s="276" t="s">
        <v>438</v>
      </c>
      <c r="DA7" s="277" t="s">
        <v>439</v>
      </c>
      <c r="DB7" s="68"/>
      <c r="DC7" s="68"/>
      <c r="DD7" s="68"/>
      <c r="DE7" s="68"/>
      <c r="DF7" s="66"/>
      <c r="DG7" s="66"/>
      <c r="DH7" s="66"/>
      <c r="DI7" s="68"/>
      <c r="DJ7" s="240" t="s">
        <v>440</v>
      </c>
      <c r="DK7" s="276" t="s">
        <v>443</v>
      </c>
      <c r="DL7" s="277" t="s">
        <v>444</v>
      </c>
      <c r="DM7" s="68"/>
      <c r="DN7" s="68"/>
      <c r="DO7" s="68"/>
      <c r="DP7" s="68"/>
      <c r="DQ7" s="66"/>
      <c r="DR7" s="66"/>
      <c r="DS7" s="66"/>
      <c r="DT7" s="66"/>
      <c r="DU7" s="66"/>
      <c r="DV7" s="240" t="s">
        <v>447</v>
      </c>
      <c r="DW7" s="276" t="s">
        <v>450</v>
      </c>
      <c r="DX7" s="277" t="s">
        <v>451</v>
      </c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277" t="s">
        <v>461</v>
      </c>
      <c r="EJ7" s="277" t="s">
        <v>450</v>
      </c>
      <c r="EK7" s="277" t="s">
        <v>462</v>
      </c>
      <c r="EL7" s="277" t="s">
        <v>464</v>
      </c>
      <c r="EM7" s="277" t="s">
        <v>463</v>
      </c>
      <c r="EN7" s="277" t="s">
        <v>462</v>
      </c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E7" s="66"/>
      <c r="FF7" s="66"/>
      <c r="FG7" s="66"/>
      <c r="FH7" s="66"/>
      <c r="FI7" s="66"/>
      <c r="FJ7" s="441"/>
      <c r="FK7" s="68"/>
      <c r="FL7" s="68"/>
      <c r="FM7" s="240" t="s">
        <v>287</v>
      </c>
      <c r="FN7" s="276" t="s">
        <v>289</v>
      </c>
      <c r="FO7" s="277" t="s">
        <v>290</v>
      </c>
      <c r="FP7" s="67"/>
      <c r="FQ7" s="68"/>
      <c r="FR7" s="240" t="s">
        <v>315</v>
      </c>
      <c r="FS7" s="276" t="s">
        <v>317</v>
      </c>
      <c r="FT7" s="277" t="s">
        <v>318</v>
      </c>
      <c r="FU7" s="67"/>
      <c r="FV7" s="67"/>
      <c r="FW7" s="240" t="s">
        <v>323</v>
      </c>
      <c r="FX7" s="276" t="s">
        <v>324</v>
      </c>
      <c r="FY7" s="277" t="s">
        <v>325</v>
      </c>
      <c r="FZ7" s="67"/>
      <c r="GA7" s="67"/>
      <c r="GB7" s="67"/>
      <c r="GC7" s="277" t="s">
        <v>606</v>
      </c>
      <c r="GD7" s="277" t="s">
        <v>271</v>
      </c>
      <c r="GE7" s="68"/>
      <c r="GF7" s="68"/>
      <c r="GG7" s="67" t="s">
        <v>173</v>
      </c>
      <c r="GH7" s="277" t="s">
        <v>174</v>
      </c>
      <c r="GI7" s="277" t="s">
        <v>175</v>
      </c>
      <c r="GJ7" s="66"/>
      <c r="GK7" s="67" t="s">
        <v>176</v>
      </c>
      <c r="GL7" s="277" t="s">
        <v>177</v>
      </c>
      <c r="GM7" s="277" t="s">
        <v>178</v>
      </c>
      <c r="GN7" s="67"/>
      <c r="GO7" s="67" t="s">
        <v>179</v>
      </c>
      <c r="GP7" s="277" t="s">
        <v>180</v>
      </c>
      <c r="GQ7" s="277" t="s">
        <v>181</v>
      </c>
      <c r="GR7" s="66"/>
      <c r="GS7" s="67" t="s">
        <v>182</v>
      </c>
      <c r="GT7" s="277" t="s">
        <v>183</v>
      </c>
      <c r="GU7" s="277" t="s">
        <v>184</v>
      </c>
      <c r="GV7" s="66"/>
      <c r="GW7" s="66"/>
      <c r="GX7" s="67" t="s">
        <v>185</v>
      </c>
      <c r="GY7" s="277" t="s">
        <v>186</v>
      </c>
      <c r="GZ7" s="277" t="s">
        <v>187</v>
      </c>
      <c r="HA7" s="66"/>
      <c r="HB7" s="66"/>
      <c r="HC7" s="66"/>
      <c r="HD7" s="66"/>
      <c r="HE7" s="67" t="s">
        <v>188</v>
      </c>
      <c r="HF7" s="277" t="s">
        <v>189</v>
      </c>
      <c r="HG7" s="277" t="s">
        <v>190</v>
      </c>
      <c r="HH7" s="66"/>
      <c r="HI7" s="66"/>
      <c r="HJ7" s="66"/>
      <c r="HK7" s="66"/>
      <c r="HL7" s="66"/>
      <c r="HO7" s="277" t="s">
        <v>191</v>
      </c>
      <c r="HP7" s="277" t="s">
        <v>192</v>
      </c>
      <c r="HQ7" s="277" t="s">
        <v>193</v>
      </c>
      <c r="HR7" s="277" t="s">
        <v>194</v>
      </c>
      <c r="HS7" s="277" t="s">
        <v>195</v>
      </c>
      <c r="HT7" s="277" t="s">
        <v>196</v>
      </c>
      <c r="HU7" s="277" t="s">
        <v>197</v>
      </c>
      <c r="HV7" s="277" t="s">
        <v>198</v>
      </c>
      <c r="HW7" s="277" t="s">
        <v>199</v>
      </c>
      <c r="HX7" s="277" t="s">
        <v>200</v>
      </c>
      <c r="HY7" s="67"/>
    </row>
    <row r="8" spans="1:247" ht="23.45" customHeight="1" x14ac:dyDescent="0.25">
      <c r="A8" s="280"/>
      <c r="B8" s="280"/>
      <c r="C8" s="280"/>
      <c r="D8" s="69" t="s">
        <v>9</v>
      </c>
      <c r="E8" s="442" t="s">
        <v>201</v>
      </c>
      <c r="F8" s="30" t="s">
        <v>202</v>
      </c>
      <c r="G8" s="69" t="s">
        <v>352</v>
      </c>
      <c r="H8" s="69" t="s">
        <v>473</v>
      </c>
      <c r="I8" s="284"/>
      <c r="J8" s="69" t="s">
        <v>9</v>
      </c>
      <c r="K8" s="284"/>
      <c r="L8" s="69" t="s">
        <v>352</v>
      </c>
      <c r="M8" s="284"/>
      <c r="N8" s="69" t="s">
        <v>473</v>
      </c>
      <c r="O8" s="70"/>
      <c r="P8" s="70"/>
      <c r="Q8" s="410"/>
      <c r="R8" s="277"/>
      <c r="S8" s="277"/>
      <c r="T8" s="70"/>
      <c r="U8" s="410"/>
      <c r="V8" s="277"/>
      <c r="W8" s="277"/>
      <c r="X8" s="70"/>
      <c r="Y8" s="410"/>
      <c r="Z8" s="277"/>
      <c r="AA8" s="277"/>
      <c r="AB8" s="70"/>
      <c r="AC8" s="70"/>
      <c r="AD8" s="73" t="s">
        <v>561</v>
      </c>
      <c r="AE8" s="276"/>
      <c r="AF8" s="277"/>
      <c r="AG8" s="70"/>
      <c r="AH8" s="276"/>
      <c r="AI8" s="277"/>
      <c r="AJ8" s="70"/>
      <c r="AK8" s="276"/>
      <c r="AL8" s="277"/>
      <c r="AM8" s="67"/>
      <c r="AN8" s="70"/>
      <c r="AO8" s="73" t="s">
        <v>577</v>
      </c>
      <c r="AP8" s="276"/>
      <c r="AQ8" s="277"/>
      <c r="AR8" s="70"/>
      <c r="AS8" s="73" t="s">
        <v>583</v>
      </c>
      <c r="AT8" s="276"/>
      <c r="AU8" s="277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410"/>
      <c r="BL8" s="277"/>
      <c r="BM8" s="277"/>
      <c r="BN8" s="70"/>
      <c r="BO8" s="70"/>
      <c r="BP8" s="67"/>
      <c r="BQ8" s="73" t="s">
        <v>396</v>
      </c>
      <c r="BR8" s="276"/>
      <c r="BS8" s="277"/>
      <c r="BT8" s="67"/>
      <c r="BU8" s="67"/>
      <c r="BV8" s="67"/>
      <c r="BW8" s="70"/>
      <c r="BX8" s="70"/>
      <c r="BY8" s="67"/>
      <c r="BZ8" s="73" t="s">
        <v>391</v>
      </c>
      <c r="CA8" s="276"/>
      <c r="CB8" s="277"/>
      <c r="CC8" s="70"/>
      <c r="CD8" s="70"/>
      <c r="CE8" s="70"/>
      <c r="CF8" s="70"/>
      <c r="CG8" s="70"/>
      <c r="CH8" s="70"/>
      <c r="CI8" s="70"/>
      <c r="CJ8" s="70"/>
      <c r="CK8" s="70"/>
      <c r="CL8" s="67"/>
      <c r="CM8" s="73" t="s">
        <v>419</v>
      </c>
      <c r="CN8" s="276"/>
      <c r="CO8" s="277"/>
      <c r="CP8" s="70"/>
      <c r="CQ8" s="70"/>
      <c r="CR8" s="70"/>
      <c r="CS8" s="70"/>
      <c r="CT8" s="70"/>
      <c r="CU8" s="70"/>
      <c r="CV8" s="70"/>
      <c r="CW8" s="70"/>
      <c r="CX8" s="68"/>
      <c r="CY8" s="73" t="s">
        <v>435</v>
      </c>
      <c r="CZ8" s="276"/>
      <c r="DA8" s="277"/>
      <c r="DB8" s="68"/>
      <c r="DC8" s="68"/>
      <c r="DD8" s="68"/>
      <c r="DE8" s="68"/>
      <c r="DF8" s="70"/>
      <c r="DG8" s="70"/>
      <c r="DH8" s="70"/>
      <c r="DI8" s="68"/>
      <c r="DJ8" s="73" t="s">
        <v>441</v>
      </c>
      <c r="DK8" s="276"/>
      <c r="DL8" s="277"/>
      <c r="DM8" s="68"/>
      <c r="DN8" s="68"/>
      <c r="DO8" s="68"/>
      <c r="DP8" s="68"/>
      <c r="DQ8" s="70"/>
      <c r="DR8" s="70"/>
      <c r="DS8" s="70"/>
      <c r="DT8" s="70"/>
      <c r="DU8" s="70"/>
      <c r="DV8" s="73" t="s">
        <v>449</v>
      </c>
      <c r="DW8" s="276"/>
      <c r="DX8" s="277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277"/>
      <c r="EJ8" s="277"/>
      <c r="EK8" s="277"/>
      <c r="EL8" s="277"/>
      <c r="EM8" s="277"/>
      <c r="EN8" s="27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E8" s="70"/>
      <c r="FF8" s="70"/>
      <c r="FG8" s="70"/>
      <c r="FH8" s="70"/>
      <c r="FI8" s="70"/>
      <c r="FJ8" s="441"/>
      <c r="FK8" s="68"/>
      <c r="FL8" s="68"/>
      <c r="FM8" s="73" t="s">
        <v>288</v>
      </c>
      <c r="FN8" s="276"/>
      <c r="FO8" s="277"/>
      <c r="FP8" s="67"/>
      <c r="FQ8" s="68"/>
      <c r="FR8" s="73" t="s">
        <v>316</v>
      </c>
      <c r="FS8" s="276"/>
      <c r="FT8" s="277"/>
      <c r="FU8" s="67"/>
      <c r="FV8" s="67"/>
      <c r="FW8" s="73" t="s">
        <v>322</v>
      </c>
      <c r="FX8" s="276"/>
      <c r="FY8" s="277"/>
      <c r="FZ8" s="67"/>
      <c r="GA8" s="67"/>
      <c r="GB8" s="67"/>
      <c r="GC8" s="277"/>
      <c r="GD8" s="277"/>
      <c r="GE8" s="68"/>
      <c r="GF8" s="68"/>
      <c r="GG8" s="101" t="s">
        <v>203</v>
      </c>
      <c r="GH8" s="277"/>
      <c r="GI8" s="277"/>
      <c r="GJ8" s="70"/>
      <c r="GK8" s="101" t="s">
        <v>204</v>
      </c>
      <c r="GL8" s="277"/>
      <c r="GM8" s="277"/>
      <c r="GN8" s="67"/>
      <c r="GO8" s="101" t="s">
        <v>205</v>
      </c>
      <c r="GP8" s="277"/>
      <c r="GQ8" s="277"/>
      <c r="GR8" s="70"/>
      <c r="GS8" s="101" t="s">
        <v>206</v>
      </c>
      <c r="GT8" s="277"/>
      <c r="GU8" s="277"/>
      <c r="GV8" s="70"/>
      <c r="GW8" s="70"/>
      <c r="GX8" s="101" t="s">
        <v>207</v>
      </c>
      <c r="GY8" s="277"/>
      <c r="GZ8" s="277"/>
      <c r="HA8" s="70"/>
      <c r="HB8" s="70"/>
      <c r="HC8" s="70"/>
      <c r="HD8" s="70"/>
      <c r="HE8" s="101" t="s">
        <v>208</v>
      </c>
      <c r="HF8" s="277"/>
      <c r="HG8" s="277"/>
      <c r="HH8" s="70"/>
      <c r="HI8" s="70"/>
      <c r="HJ8" s="70"/>
      <c r="HK8" s="70"/>
      <c r="HL8" s="70"/>
      <c r="HO8" s="277"/>
      <c r="HP8" s="277"/>
      <c r="HQ8" s="277"/>
      <c r="HR8" s="277"/>
      <c r="HS8" s="277"/>
      <c r="HT8" s="277"/>
      <c r="HU8" s="277"/>
      <c r="HV8" s="277"/>
      <c r="HW8" s="277"/>
      <c r="HX8" s="277"/>
      <c r="HY8" s="67"/>
    </row>
    <row r="9" spans="1:247" ht="25.15" customHeight="1" x14ac:dyDescent="0.25">
      <c r="A9" s="59" t="s">
        <v>19</v>
      </c>
      <c r="B9" s="59" t="s">
        <v>117</v>
      </c>
      <c r="C9" s="59" t="s">
        <v>20</v>
      </c>
      <c r="D9" s="59" t="s">
        <v>21</v>
      </c>
      <c r="E9" s="59" t="s">
        <v>21</v>
      </c>
      <c r="F9" s="59" t="s">
        <v>21</v>
      </c>
      <c r="G9" s="59" t="s">
        <v>21</v>
      </c>
      <c r="H9" s="59" t="s">
        <v>21</v>
      </c>
      <c r="I9" s="59" t="s">
        <v>22</v>
      </c>
      <c r="J9" s="59" t="s">
        <v>22</v>
      </c>
      <c r="K9" s="59" t="s">
        <v>22</v>
      </c>
      <c r="L9" s="59" t="s">
        <v>22</v>
      </c>
      <c r="M9" s="59" t="s">
        <v>22</v>
      </c>
      <c r="N9" s="59" t="s">
        <v>22</v>
      </c>
      <c r="O9" s="71"/>
      <c r="P9" s="71"/>
      <c r="Q9" s="101" t="s">
        <v>209</v>
      </c>
      <c r="S9" s="123" t="s">
        <v>212</v>
      </c>
      <c r="T9" s="71"/>
      <c r="U9" s="101" t="s">
        <v>209</v>
      </c>
      <c r="W9" s="123" t="s">
        <v>559</v>
      </c>
      <c r="X9" s="71"/>
      <c r="Y9" s="101" t="s">
        <v>209</v>
      </c>
      <c r="AA9" s="123" t="s">
        <v>558</v>
      </c>
      <c r="AB9" s="71"/>
      <c r="AC9" s="71"/>
      <c r="AD9" s="92">
        <f>24922888.44</f>
        <v>24922888.440000001</v>
      </c>
      <c r="AE9" s="72">
        <f>AD9-S17</f>
        <v>5680410.0000000037</v>
      </c>
      <c r="AF9" s="101">
        <f>AE9/Q17</f>
        <v>82.482575361561302</v>
      </c>
      <c r="AG9" s="71"/>
      <c r="AH9" s="92">
        <v>15242171.380000001</v>
      </c>
      <c r="AI9" s="72">
        <f>AH9-W17</f>
        <v>-4000307.0615579989</v>
      </c>
      <c r="AJ9" s="71"/>
      <c r="AK9" s="92">
        <v>12196137.380000001</v>
      </c>
      <c r="AL9" s="72">
        <f>AK9-AA17</f>
        <v>-7046341.0603419971</v>
      </c>
      <c r="AM9" s="72"/>
      <c r="AN9" s="71"/>
      <c r="AO9" s="92">
        <f>24922888.44</f>
        <v>24922888.440000001</v>
      </c>
      <c r="AP9" s="72" t="s">
        <v>571</v>
      </c>
      <c r="AQ9" s="101"/>
      <c r="AR9" s="71"/>
      <c r="AS9" s="92">
        <v>25005238.440000001</v>
      </c>
      <c r="AT9" s="72" t="s">
        <v>584</v>
      </c>
      <c r="AU9" s="92">
        <f>AS9-AO9</f>
        <v>82350</v>
      </c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101" t="s">
        <v>209</v>
      </c>
      <c r="BM9" s="123" t="s">
        <v>211</v>
      </c>
      <c r="BN9" s="71"/>
      <c r="BO9" s="71"/>
      <c r="BP9" s="188"/>
      <c r="BQ9" s="73" t="s">
        <v>394</v>
      </c>
      <c r="BR9" s="123"/>
      <c r="BS9" s="188"/>
      <c r="BT9" s="188"/>
      <c r="BU9" s="73" t="s">
        <v>394</v>
      </c>
      <c r="BV9" s="443"/>
      <c r="BW9" s="71"/>
      <c r="BX9" s="71"/>
      <c r="BY9" s="188"/>
      <c r="BZ9" s="73" t="s">
        <v>404</v>
      </c>
      <c r="CA9" s="123">
        <v>69.806147100000004</v>
      </c>
      <c r="CB9" s="112">
        <f>69.81-0.0159+0.00006</f>
        <v>69.794160000000005</v>
      </c>
      <c r="CC9" s="73" t="s">
        <v>404</v>
      </c>
      <c r="CD9" s="30"/>
      <c r="CE9" s="71"/>
      <c r="CF9" s="71"/>
      <c r="CG9" s="71"/>
      <c r="CH9" s="71"/>
      <c r="CI9" s="71"/>
      <c r="CJ9" s="71"/>
      <c r="CK9" s="71"/>
      <c r="CL9" s="188"/>
      <c r="CM9" s="73" t="s">
        <v>420</v>
      </c>
      <c r="CN9" s="174">
        <f>CU17</f>
        <v>25.504340357650563</v>
      </c>
      <c r="CO9" s="112">
        <v>25.8</v>
      </c>
      <c r="CP9" s="73" t="s">
        <v>420</v>
      </c>
      <c r="CQ9" s="30"/>
      <c r="CR9" s="71"/>
      <c r="CS9" s="71"/>
      <c r="CT9" s="71"/>
      <c r="CU9" s="71"/>
      <c r="CV9" s="171"/>
      <c r="CW9" s="171"/>
      <c r="CX9" s="123"/>
      <c r="CY9" s="73" t="s">
        <v>436</v>
      </c>
      <c r="CZ9" s="444">
        <f>DG17</f>
        <v>0.87981359602201492</v>
      </c>
      <c r="DA9" s="445">
        <v>0.88</v>
      </c>
      <c r="DB9" s="73" t="s">
        <v>436</v>
      </c>
      <c r="DC9" s="30"/>
      <c r="DD9" s="123"/>
      <c r="DE9" s="112"/>
      <c r="DF9" s="71"/>
      <c r="DG9" s="71"/>
      <c r="DH9" s="71"/>
      <c r="DI9" s="123"/>
      <c r="DJ9" s="73" t="s">
        <v>442</v>
      </c>
      <c r="DK9" s="444">
        <f>DR17</f>
        <v>0</v>
      </c>
      <c r="DL9" s="445">
        <v>0.88</v>
      </c>
      <c r="DM9" s="73" t="s">
        <v>442</v>
      </c>
      <c r="DN9" s="30"/>
      <c r="DO9" s="123"/>
      <c r="DP9" s="112"/>
      <c r="DQ9" s="71"/>
      <c r="DR9" s="71"/>
      <c r="DS9" s="71"/>
      <c r="DT9" s="71"/>
      <c r="DU9" s="71"/>
      <c r="DV9" s="73" t="s">
        <v>448</v>
      </c>
      <c r="DW9" s="444">
        <f>FH17</f>
        <v>0</v>
      </c>
      <c r="DX9" s="445">
        <v>0.88</v>
      </c>
      <c r="DY9" s="73" t="s">
        <v>448</v>
      </c>
      <c r="DZ9" s="101"/>
      <c r="EA9" s="101"/>
      <c r="EB9" s="101"/>
      <c r="EC9" s="101"/>
      <c r="ED9" s="101"/>
      <c r="EE9" s="101"/>
      <c r="EF9" s="101"/>
      <c r="EG9" s="101"/>
      <c r="EH9" s="101"/>
      <c r="EI9" s="73" t="s">
        <v>209</v>
      </c>
      <c r="EJ9" s="17"/>
      <c r="EK9" s="411" t="s">
        <v>211</v>
      </c>
      <c r="EL9" s="59" t="s">
        <v>22</v>
      </c>
      <c r="EM9" s="59" t="s">
        <v>22</v>
      </c>
      <c r="EN9" s="59" t="s">
        <v>22</v>
      </c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E9" s="71"/>
      <c r="FF9" s="71"/>
      <c r="FG9" s="71"/>
      <c r="FH9" s="71"/>
      <c r="FI9" s="71"/>
      <c r="FL9" s="188"/>
      <c r="FM9" s="30"/>
      <c r="FN9" s="123">
        <v>18.9381585</v>
      </c>
      <c r="FO9" s="188"/>
      <c r="FP9" s="188"/>
      <c r="FQ9" s="188"/>
      <c r="FR9" s="30"/>
      <c r="FS9" s="123">
        <v>1.9072069</v>
      </c>
      <c r="FT9" s="188"/>
      <c r="FU9" s="188"/>
      <c r="FV9" s="188"/>
      <c r="FW9" s="30"/>
      <c r="FX9" s="123">
        <v>9.6734697000000001</v>
      </c>
      <c r="FY9" s="188"/>
      <c r="FZ9" s="188"/>
      <c r="GA9" s="188"/>
      <c r="GB9" s="188"/>
      <c r="GD9" s="188">
        <v>304168.17</v>
      </c>
      <c r="GF9" s="188"/>
      <c r="GG9" s="71"/>
      <c r="GI9" s="188">
        <f>145778.83</f>
        <v>145778.82999999999</v>
      </c>
      <c r="GJ9" s="71"/>
      <c r="GK9" s="71"/>
      <c r="GM9" s="188">
        <v>167609</v>
      </c>
      <c r="GN9" s="188"/>
      <c r="GO9" s="71"/>
      <c r="GP9" s="71"/>
      <c r="GQ9" s="185">
        <v>-27213.64</v>
      </c>
      <c r="GR9" s="71"/>
      <c r="GS9" s="71"/>
      <c r="GT9" s="72">
        <f>44803360.28-9993200</f>
        <v>34810160.280000001</v>
      </c>
      <c r="GU9" s="185">
        <v>91792.17</v>
      </c>
      <c r="GV9" s="73" t="s">
        <v>213</v>
      </c>
      <c r="GW9" s="71"/>
      <c r="GX9" s="71"/>
      <c r="GY9" s="72">
        <f>44803360.28-9993200+1277754</f>
        <v>36087914.280000001</v>
      </c>
      <c r="GZ9" s="185">
        <v>212959</v>
      </c>
      <c r="HA9" s="73" t="s">
        <v>213</v>
      </c>
      <c r="HB9" s="71"/>
      <c r="HC9" s="71"/>
      <c r="HD9" s="71"/>
      <c r="HE9" s="71"/>
      <c r="HF9" s="72">
        <f>44803360.28-9993200+1277754+595148.68</f>
        <v>36683062.960000001</v>
      </c>
      <c r="HG9" s="446">
        <v>99191.444000000003</v>
      </c>
      <c r="HH9" s="73" t="s">
        <v>213</v>
      </c>
      <c r="HI9" s="71"/>
      <c r="HJ9" s="71"/>
      <c r="HK9" s="71"/>
      <c r="HL9" s="71"/>
      <c r="HN9" s="170" t="s">
        <v>214</v>
      </c>
      <c r="HP9" s="74" t="s">
        <v>215</v>
      </c>
      <c r="HR9" s="111">
        <v>182795.33</v>
      </c>
      <c r="HT9" s="111">
        <v>288911</v>
      </c>
      <c r="HV9" s="447">
        <v>11366.666670000001</v>
      </c>
      <c r="HW9" s="111"/>
      <c r="HX9" s="447">
        <v>8333.3333299999995</v>
      </c>
      <c r="HY9" s="111"/>
    </row>
    <row r="10" spans="1:247" ht="19.899999999999999" customHeight="1" x14ac:dyDescent="0.2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  <c r="P10" s="77"/>
      <c r="Q10" s="77"/>
      <c r="S10" s="74" t="s">
        <v>216</v>
      </c>
      <c r="T10" s="77"/>
      <c r="U10" s="77"/>
      <c r="W10" s="74" t="s">
        <v>216</v>
      </c>
      <c r="X10" s="77"/>
      <c r="Y10" s="77"/>
      <c r="AA10" s="74" t="s">
        <v>216</v>
      </c>
      <c r="AB10" s="77"/>
      <c r="AC10" s="77"/>
      <c r="AD10" s="77"/>
      <c r="AE10" s="77"/>
      <c r="AF10" s="77"/>
      <c r="AG10" s="77"/>
      <c r="AH10" s="77"/>
      <c r="AI10" s="67">
        <f>AI9/U17</f>
        <v>-58.082369891800838</v>
      </c>
      <c r="AJ10" s="77"/>
      <c r="AK10" s="77"/>
      <c r="AL10" s="122">
        <f>AL9/Y17</f>
        <v>-102.30176631641449</v>
      </c>
      <c r="AM10" s="122"/>
      <c r="AN10" s="77"/>
      <c r="AO10" s="77"/>
      <c r="AP10" s="77"/>
      <c r="AQ10" s="77"/>
      <c r="AR10" s="77"/>
      <c r="AS10" s="77"/>
      <c r="AT10" s="77"/>
      <c r="AU10" s="412">
        <f>AU9/Q17</f>
        <v>1.1957658128593831</v>
      </c>
      <c r="AV10" s="72" t="s">
        <v>575</v>
      </c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M10" s="74" t="s">
        <v>216</v>
      </c>
      <c r="BN10" s="77"/>
      <c r="BO10" s="77"/>
      <c r="BP10" s="74"/>
      <c r="BQ10" s="157"/>
      <c r="BR10" s="78"/>
      <c r="BS10" s="74" t="s">
        <v>216</v>
      </c>
      <c r="BT10" s="74"/>
      <c r="BU10" s="196"/>
      <c r="BV10" s="196"/>
      <c r="BW10" s="77"/>
      <c r="BX10" s="77"/>
      <c r="BY10" s="74"/>
      <c r="BZ10" s="157"/>
      <c r="CA10" s="78"/>
      <c r="CB10" s="74" t="s">
        <v>216</v>
      </c>
      <c r="CC10" s="76"/>
      <c r="CD10" s="76"/>
      <c r="CE10" s="77"/>
      <c r="CF10" s="77"/>
      <c r="CG10" s="77"/>
      <c r="CH10" s="77"/>
      <c r="CI10" s="77"/>
      <c r="CJ10" s="77"/>
      <c r="CK10" s="77"/>
      <c r="CL10" s="74"/>
      <c r="CM10" s="157"/>
      <c r="CN10" s="78"/>
      <c r="CO10" s="74" t="s">
        <v>216</v>
      </c>
      <c r="CP10" s="92">
        <f>SUM(CP11:CP17)</f>
        <v>52440014.129999995</v>
      </c>
      <c r="CQ10" s="76"/>
      <c r="CR10" s="77"/>
      <c r="CS10" s="77"/>
      <c r="CT10" s="77"/>
      <c r="CU10" s="77"/>
      <c r="CV10" s="77"/>
      <c r="CW10" s="77"/>
      <c r="CX10" s="78"/>
      <c r="CY10" s="78"/>
      <c r="CZ10" s="78"/>
      <c r="DA10" s="74" t="s">
        <v>216</v>
      </c>
      <c r="DB10" s="92">
        <f>SUM(DB11:DB17)</f>
        <v>52496455.93</v>
      </c>
      <c r="DC10" s="76"/>
      <c r="DD10" s="78"/>
      <c r="DE10" s="74"/>
      <c r="DF10" s="77"/>
      <c r="DG10" s="77"/>
      <c r="DH10" s="77"/>
      <c r="DI10" s="78"/>
      <c r="DJ10" s="78"/>
      <c r="DK10" s="78"/>
      <c r="DL10" s="74" t="s">
        <v>216</v>
      </c>
      <c r="DM10" s="92">
        <f>SUM(DM11:DM17)</f>
        <v>52930724.07</v>
      </c>
      <c r="DN10" s="76"/>
      <c r="DO10" s="78"/>
      <c r="DP10" s="74"/>
      <c r="DQ10" s="77"/>
      <c r="DR10" s="77"/>
      <c r="DS10" s="77"/>
      <c r="DT10" s="77"/>
      <c r="DU10" s="77"/>
      <c r="DV10" s="78"/>
      <c r="DW10" s="78"/>
      <c r="DX10" s="74" t="s">
        <v>216</v>
      </c>
      <c r="DY10" s="92">
        <f>SUM(DY11:DY18)</f>
        <v>56226747.870000005</v>
      </c>
      <c r="DZ10" s="92"/>
      <c r="EA10" s="92"/>
      <c r="EB10" s="92"/>
      <c r="EC10" s="92"/>
      <c r="ED10" s="92"/>
      <c r="EE10" s="92"/>
      <c r="EF10" s="92"/>
      <c r="EG10" s="92"/>
      <c r="EH10" s="92"/>
      <c r="EI10" s="76"/>
      <c r="EJ10" s="196" t="s">
        <v>216</v>
      </c>
      <c r="EK10" s="196" t="s">
        <v>216</v>
      </c>
      <c r="EL10" s="196"/>
      <c r="EM10" s="196"/>
      <c r="EN10" s="196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E10" s="77"/>
      <c r="FF10" s="77"/>
      <c r="FG10" s="77"/>
      <c r="FH10" s="77"/>
      <c r="FI10" s="77"/>
      <c r="FL10" s="74"/>
      <c r="FM10" s="157"/>
      <c r="FN10" s="78"/>
      <c r="FO10" s="74" t="s">
        <v>216</v>
      </c>
      <c r="FP10" s="74"/>
      <c r="FQ10" s="74"/>
      <c r="FR10" s="157"/>
      <c r="FS10" s="78"/>
      <c r="FT10" s="74" t="s">
        <v>216</v>
      </c>
      <c r="FU10" s="74"/>
      <c r="FV10" s="74"/>
      <c r="FW10" s="157"/>
      <c r="FX10" s="78"/>
      <c r="FY10" s="74" t="s">
        <v>216</v>
      </c>
      <c r="FZ10" s="74"/>
      <c r="GA10" s="74"/>
      <c r="GB10" s="74"/>
      <c r="GD10" s="74" t="s">
        <v>216</v>
      </c>
      <c r="GF10" s="74"/>
      <c r="GG10" s="68" t="s">
        <v>217</v>
      </c>
      <c r="GH10" s="78" t="s">
        <v>218</v>
      </c>
      <c r="GI10" s="74" t="s">
        <v>216</v>
      </c>
      <c r="GJ10" s="77"/>
      <c r="GK10" s="68" t="s">
        <v>219</v>
      </c>
      <c r="GL10" s="78" t="s">
        <v>220</v>
      </c>
      <c r="GM10" s="74" t="s">
        <v>216</v>
      </c>
      <c r="GN10" s="74"/>
      <c r="GO10" s="68" t="s">
        <v>219</v>
      </c>
      <c r="GP10" s="78" t="s">
        <v>221</v>
      </c>
      <c r="GQ10" s="74" t="s">
        <v>216</v>
      </c>
      <c r="GR10" s="77"/>
      <c r="GS10" s="68" t="s">
        <v>219</v>
      </c>
      <c r="GT10" s="78" t="s">
        <v>222</v>
      </c>
      <c r="GU10" s="74" t="s">
        <v>216</v>
      </c>
      <c r="GV10" s="76"/>
      <c r="GW10" s="77"/>
      <c r="GX10" s="68" t="s">
        <v>219</v>
      </c>
      <c r="GY10" s="78" t="s">
        <v>223</v>
      </c>
      <c r="GZ10" s="74" t="s">
        <v>216</v>
      </c>
      <c r="HA10" s="76"/>
      <c r="HB10" s="77"/>
      <c r="HC10" s="77"/>
      <c r="HD10" s="77"/>
      <c r="HE10" s="68" t="s">
        <v>219</v>
      </c>
      <c r="HF10" s="78" t="s">
        <v>224</v>
      </c>
      <c r="HG10" s="74" t="s">
        <v>216</v>
      </c>
      <c r="HH10" s="76"/>
      <c r="HI10" s="77"/>
      <c r="HJ10" s="77"/>
      <c r="HK10" s="77"/>
      <c r="HL10" s="77"/>
      <c r="HP10" s="74" t="s">
        <v>216</v>
      </c>
      <c r="HR10" s="74" t="s">
        <v>216</v>
      </c>
      <c r="HT10" s="74" t="s">
        <v>216</v>
      </c>
      <c r="HV10" s="74" t="s">
        <v>216</v>
      </c>
      <c r="HW10" s="74"/>
      <c r="HX10" s="74"/>
      <c r="HY10" s="74"/>
    </row>
    <row r="11" spans="1:247" ht="72" x14ac:dyDescent="0.25">
      <c r="A11" s="79" t="s">
        <v>225</v>
      </c>
      <c r="B11" s="80" t="s">
        <v>226</v>
      </c>
      <c r="C11" s="59" t="s">
        <v>227</v>
      </c>
      <c r="D11" s="201">
        <v>11016</v>
      </c>
      <c r="E11" s="201">
        <v>11016</v>
      </c>
      <c r="F11" s="201">
        <v>11016</v>
      </c>
      <c r="G11" s="201">
        <v>11017</v>
      </c>
      <c r="H11" s="201">
        <v>11018</v>
      </c>
      <c r="I11" s="81">
        <f>279.4+82.48+$AU$10</f>
        <v>363.0757658128594</v>
      </c>
      <c r="J11" s="81">
        <f t="shared" ref="J11:J16" si="0">D11*I11</f>
        <v>3999642.6361944592</v>
      </c>
      <c r="K11" s="81">
        <f>279.4-0.04-58.08</f>
        <v>221.27999999999997</v>
      </c>
      <c r="L11" s="81">
        <f>G11*K11</f>
        <v>2437841.7599999998</v>
      </c>
      <c r="M11" s="81">
        <f>279.4-0.05-0.02-102.3</f>
        <v>177.02999999999997</v>
      </c>
      <c r="N11" s="81">
        <f>H11*M11</f>
        <v>1950516.5399999998</v>
      </c>
      <c r="O11" s="82"/>
      <c r="P11" s="82"/>
      <c r="Q11" s="193">
        <v>11016</v>
      </c>
      <c r="R11" s="97">
        <v>279.39999999999998</v>
      </c>
      <c r="S11" s="85">
        <f t="shared" ref="S11:S16" si="1">R11*Q11</f>
        <v>3077870.4</v>
      </c>
      <c r="T11" s="82"/>
      <c r="U11" s="193">
        <v>11017</v>
      </c>
      <c r="V11" s="97">
        <f>279.4-0.04</f>
        <v>279.35999999999996</v>
      </c>
      <c r="W11" s="85">
        <f>U11*V11</f>
        <v>3077709.1199999996</v>
      </c>
      <c r="X11" s="82"/>
      <c r="Y11" s="193">
        <v>11018</v>
      </c>
      <c r="Z11" s="97">
        <f>279.4-0.05-0.02</f>
        <v>279.33</v>
      </c>
      <c r="AA11" s="85">
        <f>Y11*Z11</f>
        <v>3077657.94</v>
      </c>
      <c r="AB11" s="82"/>
      <c r="AC11" s="82"/>
      <c r="AD11" s="82"/>
      <c r="AE11" s="81">
        <f>R11+$AF$9</f>
        <v>361.88257536156129</v>
      </c>
      <c r="AF11" s="85">
        <f>AE11*Q11</f>
        <v>3986498.4501829594</v>
      </c>
      <c r="AG11" s="82"/>
      <c r="AH11" s="81">
        <f>V11+AI10</f>
        <v>221.27763010819911</v>
      </c>
      <c r="AI11" s="85">
        <f>AH11*U11</f>
        <v>2437815.6509020296</v>
      </c>
      <c r="AJ11" s="82"/>
      <c r="AK11" s="81">
        <f>Z11+$AL$10</f>
        <v>177.02823368358548</v>
      </c>
      <c r="AL11" s="85">
        <f>AK11*Y11</f>
        <v>1950497.078725745</v>
      </c>
      <c r="AM11" s="72"/>
      <c r="AN11" s="82"/>
      <c r="AO11" s="82"/>
      <c r="AP11" s="81">
        <f>R11+$AF$9</f>
        <v>361.88257536156129</v>
      </c>
      <c r="AQ11" s="85">
        <f>AP11*Q11</f>
        <v>3986498.4501829594</v>
      </c>
      <c r="AR11" s="82"/>
      <c r="AS11" s="82"/>
      <c r="AT11" s="81">
        <f>R11+$AF$9+$AU$10</f>
        <v>363.0783411744207</v>
      </c>
      <c r="AU11" s="85">
        <f>AT11*Q11</f>
        <v>3999671.0063774185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193">
        <v>9720</v>
      </c>
      <c r="BL11" s="97">
        <v>266.89999999999998</v>
      </c>
      <c r="BM11" s="85">
        <f t="shared" ref="BM11:BM16" si="2">BL11*BK11</f>
        <v>2594268</v>
      </c>
      <c r="BN11" s="82"/>
      <c r="BO11" s="82"/>
      <c r="BP11" s="157" t="s">
        <v>397</v>
      </c>
      <c r="BQ11" s="413">
        <f>BU11+BU12+BU13+BU14</f>
        <v>17873470.350000001</v>
      </c>
      <c r="BR11" s="414">
        <v>266.89999999999998</v>
      </c>
      <c r="BS11" s="85">
        <f>BR11*BK11</f>
        <v>2594268</v>
      </c>
      <c r="BT11" s="72"/>
      <c r="BU11" s="85">
        <v>1733600</v>
      </c>
      <c r="BV11" s="197" t="s">
        <v>399</v>
      </c>
      <c r="BW11" s="82"/>
      <c r="BX11" s="82"/>
      <c r="BY11" s="157" t="s">
        <v>397</v>
      </c>
      <c r="BZ11" s="413">
        <f>CC11+CC12+CC13+CC14</f>
        <v>22351690.350000001</v>
      </c>
      <c r="CA11" s="84">
        <f>$BR$11+69.8</f>
        <v>336.7</v>
      </c>
      <c r="CB11" s="85">
        <f t="shared" ref="CB11:CB16" si="3">CA11*BK11</f>
        <v>3272724</v>
      </c>
      <c r="CC11" s="85">
        <v>1733600</v>
      </c>
      <c r="CD11" s="197" t="s">
        <v>399</v>
      </c>
      <c r="CE11" s="82"/>
      <c r="CF11" s="82"/>
      <c r="CG11" s="84">
        <f>$BR$11+70.74</f>
        <v>337.64</v>
      </c>
      <c r="CH11" s="85">
        <f>CG11*BK11</f>
        <v>3281860.8</v>
      </c>
      <c r="CI11" s="82"/>
      <c r="CJ11" s="82"/>
      <c r="CK11" s="82"/>
      <c r="CL11" s="157" t="s">
        <v>397</v>
      </c>
      <c r="CM11" s="413">
        <f>CP11+CP12+CP13+CP14</f>
        <v>24047729.91</v>
      </c>
      <c r="CN11" s="84">
        <f>$BR$11+70.74+25.8</f>
        <v>363.44</v>
      </c>
      <c r="CO11" s="85">
        <f>CN11*$BK$11</f>
        <v>3532636.8</v>
      </c>
      <c r="CP11" s="85">
        <v>1733600</v>
      </c>
      <c r="CQ11" s="197" t="s">
        <v>399</v>
      </c>
      <c r="CR11" s="78"/>
      <c r="CS11" s="78"/>
      <c r="CT11" s="78"/>
      <c r="CU11" s="78"/>
      <c r="CV11" s="78"/>
      <c r="CW11" s="78"/>
      <c r="CX11" s="157" t="s">
        <v>397</v>
      </c>
      <c r="CY11" s="413">
        <f>DB11+DB12+DB13+DB14</f>
        <v>24104171.710000001</v>
      </c>
      <c r="CZ11" s="84">
        <f>$BR$11+70.74+25.8+0.88</f>
        <v>364.32</v>
      </c>
      <c r="DA11" s="85">
        <f>CZ11*$BK$11</f>
        <v>3541190.4</v>
      </c>
      <c r="DB11" s="85">
        <v>1790041.8</v>
      </c>
      <c r="DC11" s="197" t="s">
        <v>399</v>
      </c>
      <c r="DD11" s="92"/>
      <c r="DE11" s="72"/>
      <c r="DF11" s="78"/>
      <c r="DG11" s="78"/>
      <c r="DH11" s="78"/>
      <c r="DI11" s="157" t="s">
        <v>397</v>
      </c>
      <c r="DJ11" s="413">
        <f>DM11+DM12+DM13+DM14</f>
        <v>24104171.710000001</v>
      </c>
      <c r="DK11" s="84">
        <f>$BR$11+70.74+25.8+0.88</f>
        <v>364.32</v>
      </c>
      <c r="DL11" s="85">
        <f>DK11*$BK$11</f>
        <v>3541190.4</v>
      </c>
      <c r="DM11" s="85">
        <v>1790041.8</v>
      </c>
      <c r="DN11" s="197" t="s">
        <v>399</v>
      </c>
      <c r="DO11" s="92"/>
      <c r="DP11" s="72"/>
      <c r="DQ11" s="78"/>
      <c r="DR11" s="78"/>
      <c r="DS11" s="78"/>
      <c r="DT11" s="78"/>
      <c r="DU11" s="157" t="s">
        <v>397</v>
      </c>
      <c r="DV11" s="413">
        <f>DY11+DY12+DY13+DY14+0.06</f>
        <v>28972374.57</v>
      </c>
      <c r="DW11" s="84">
        <f>$BR$11+70.74+25.8+0.88+75.89</f>
        <v>440.21</v>
      </c>
      <c r="DX11" s="85">
        <f>DW11*$BK$11</f>
        <v>4278841.2</v>
      </c>
      <c r="DY11" s="85">
        <v>1790041.8</v>
      </c>
      <c r="DZ11" s="197" t="s">
        <v>399</v>
      </c>
      <c r="EA11" s="78"/>
      <c r="EB11" s="78"/>
      <c r="EC11" s="78"/>
      <c r="ED11" s="78"/>
      <c r="EE11" s="78"/>
      <c r="EF11" s="78"/>
      <c r="EG11" s="78"/>
      <c r="EH11" s="214" t="s">
        <v>466</v>
      </c>
      <c r="EI11" s="96">
        <f>9720-4536</f>
        <v>5184</v>
      </c>
      <c r="EJ11" s="81">
        <f>364.32+263.61</f>
        <v>627.93000000000006</v>
      </c>
      <c r="EK11" s="85">
        <f t="shared" ref="EK11:EK16" si="4">EJ11*EI11</f>
        <v>3255189.12</v>
      </c>
      <c r="EL11" s="97">
        <v>266.89999999999998</v>
      </c>
      <c r="EM11" s="81">
        <f>266.9+113.87</f>
        <v>380.77</v>
      </c>
      <c r="EN11" s="85">
        <f>EM11*EI11</f>
        <v>1973911.68</v>
      </c>
      <c r="EO11" s="72"/>
      <c r="EP11" s="72"/>
      <c r="EQ11" s="72"/>
      <c r="ER11" s="72"/>
      <c r="ES11" s="180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E11" s="92"/>
      <c r="FF11" s="72"/>
      <c r="FG11" s="78"/>
      <c r="FH11" s="78"/>
      <c r="FI11" s="78"/>
      <c r="FJ11" s="88"/>
      <c r="FK11" s="82"/>
      <c r="FL11" s="157" t="s">
        <v>293</v>
      </c>
      <c r="FM11" s="413">
        <v>32825669</v>
      </c>
      <c r="FN11" s="414">
        <f>FF11+$FN$9</f>
        <v>18.9381585</v>
      </c>
      <c r="FO11" s="85">
        <f>FN11*FE11</f>
        <v>0</v>
      </c>
      <c r="FP11" s="72"/>
      <c r="FQ11" s="157" t="s">
        <v>293</v>
      </c>
      <c r="FR11" s="413">
        <v>32943694.59</v>
      </c>
      <c r="FS11" s="414">
        <f>FN11+$FS$9</f>
        <v>20.845365399999999</v>
      </c>
      <c r="FT11" s="85">
        <f>FS11*FE11</f>
        <v>0</v>
      </c>
      <c r="FU11" s="72"/>
      <c r="FV11" s="157" t="s">
        <v>293</v>
      </c>
      <c r="FW11" s="413">
        <v>33542327.59</v>
      </c>
      <c r="FX11" s="414">
        <f>FS11+$FX$9</f>
        <v>30.518835099999997</v>
      </c>
      <c r="FY11" s="85">
        <f>FX11*FE11</f>
        <v>0</v>
      </c>
      <c r="FZ11" s="72"/>
      <c r="GA11" s="72"/>
      <c r="GB11" s="72"/>
      <c r="GC11" s="83">
        <v>347.2314878358751</v>
      </c>
      <c r="GD11" s="91">
        <v>3825102.07</v>
      </c>
      <c r="GE11" s="82"/>
      <c r="GF11" s="82"/>
      <c r="GG11" s="136">
        <f>33417035.12-4916897.38</f>
        <v>28500137.740000002</v>
      </c>
      <c r="GH11" s="84" t="e">
        <f t="shared" ref="GH11:GH15" si="5">GI11/FO11</f>
        <v>#DIV/0!</v>
      </c>
      <c r="GI11" s="85">
        <f>GD11+$FO$9+0.02</f>
        <v>3825102.09</v>
      </c>
      <c r="GJ11" s="82"/>
      <c r="GK11" s="136">
        <f>34422689.12-4916897.38</f>
        <v>29505791.739999998</v>
      </c>
      <c r="GL11" s="84" t="e">
        <f t="shared" ref="GL11:GL15" si="6">GM11/FE11</f>
        <v>#DIV/0!</v>
      </c>
      <c r="GM11" s="85">
        <f>FO11+$GM$9</f>
        <v>167609</v>
      </c>
      <c r="GN11" s="72"/>
      <c r="GO11" s="136">
        <f>34259407.28-4916897.38</f>
        <v>29342509.900000002</v>
      </c>
      <c r="GP11" s="84" t="e">
        <f t="shared" ref="GP11:GP15" si="7">GQ11/FE11</f>
        <v>#DIV/0!</v>
      </c>
      <c r="GQ11" s="85">
        <f>GM11+$GQ$9</f>
        <v>140395.35999999999</v>
      </c>
      <c r="GR11" s="82"/>
      <c r="GS11" s="136">
        <f>GT9-4916897.38</f>
        <v>29893262.900000002</v>
      </c>
      <c r="GT11" s="84" t="e">
        <f t="shared" ref="GT11:GT15" si="8">GU11/FE11</f>
        <v>#DIV/0!</v>
      </c>
      <c r="GU11" s="86">
        <f>GQ11+$GU$9</f>
        <v>232187.52999999997</v>
      </c>
      <c r="GV11" s="81" t="e">
        <f>GT11-GP11</f>
        <v>#DIV/0!</v>
      </c>
      <c r="GW11" s="82" t="e">
        <f>GP11+GV11</f>
        <v>#DIV/0!</v>
      </c>
      <c r="GX11" s="136">
        <f>GY9-4916897.38</f>
        <v>31171016.900000002</v>
      </c>
      <c r="GY11" s="84" t="e">
        <f t="shared" ref="GY11:GY15" si="9">GZ11/FE11</f>
        <v>#DIV/0!</v>
      </c>
      <c r="GZ11" s="86">
        <f>GU11+$GZ$9</f>
        <v>445146.52999999997</v>
      </c>
      <c r="HA11" s="81" t="e">
        <f>GY11-GT11</f>
        <v>#DIV/0!</v>
      </c>
      <c r="HB11" s="82" t="e">
        <f>GT11+HA11</f>
        <v>#DIV/0!</v>
      </c>
      <c r="HC11" s="82"/>
      <c r="HD11" s="82"/>
      <c r="HE11" s="136">
        <f>HF9-4916897.38</f>
        <v>31766165.580000002</v>
      </c>
      <c r="HF11" s="84" t="e">
        <f t="shared" ref="HF11:HF15" si="10">HG11/FE11</f>
        <v>#DIV/0!</v>
      </c>
      <c r="HG11" s="86">
        <f>GZ11+$HG$9</f>
        <v>544337.97399999993</v>
      </c>
      <c r="HH11" s="81" t="e">
        <f>HF11-HA11</f>
        <v>#DIV/0!</v>
      </c>
      <c r="HI11" s="82" t="e">
        <f>HA11+HH11</f>
        <v>#DIV/0!</v>
      </c>
      <c r="HJ11" s="82"/>
      <c r="HK11" s="82"/>
      <c r="HL11" s="82"/>
      <c r="HM11" s="87">
        <v>221.75</v>
      </c>
      <c r="HN11" s="176">
        <v>21600</v>
      </c>
      <c r="HO11" s="88">
        <v>199</v>
      </c>
      <c r="HP11" s="89">
        <v>4298400</v>
      </c>
      <c r="HQ11" s="88">
        <f t="shared" ref="HQ11:HQ16" si="11">HR11/HN11</f>
        <v>207.46274675925926</v>
      </c>
      <c r="HR11" s="89">
        <f t="shared" ref="HR11:HR16" si="12">HP11+$HR$9</f>
        <v>4481195.33</v>
      </c>
      <c r="HS11" s="88">
        <f t="shared" ref="HS11:HS16" si="13">HT11/HN11</f>
        <v>220.83825601851854</v>
      </c>
      <c r="HT11" s="89">
        <f>HR11+$HT$9</f>
        <v>4770106.33</v>
      </c>
      <c r="HU11" s="88">
        <f t="shared" ref="HU11:HU16" si="14">HV11/HN11</f>
        <v>221.36449058657408</v>
      </c>
      <c r="HV11" s="89">
        <f>HT11+$HV$9</f>
        <v>4781472.9966700003</v>
      </c>
      <c r="HW11" s="88">
        <f t="shared" ref="HW11:HW16" si="15">HX11/HN11</f>
        <v>221.75029305555555</v>
      </c>
      <c r="HX11" s="89">
        <f>HV11+$HX$9</f>
        <v>4789806.33</v>
      </c>
      <c r="HY11" s="89"/>
    </row>
    <row r="12" spans="1:247" ht="60" x14ac:dyDescent="0.25">
      <c r="A12" s="79" t="s">
        <v>225</v>
      </c>
      <c r="B12" s="80" t="s">
        <v>228</v>
      </c>
      <c r="C12" s="59" t="s">
        <v>227</v>
      </c>
      <c r="D12" s="201">
        <v>10620</v>
      </c>
      <c r="E12" s="201">
        <v>10620</v>
      </c>
      <c r="F12" s="201">
        <v>10620</v>
      </c>
      <c r="G12" s="201">
        <v>10621</v>
      </c>
      <c r="H12" s="201">
        <v>10622</v>
      </c>
      <c r="I12" s="81">
        <f>279.41+82.48+$AU$10</f>
        <v>363.08576581285945</v>
      </c>
      <c r="J12" s="81">
        <f t="shared" si="0"/>
        <v>3855970.8329325672</v>
      </c>
      <c r="K12" s="81">
        <f>279.41-0.02-58.08</f>
        <v>221.31000000000006</v>
      </c>
      <c r="L12" s="81">
        <f t="shared" ref="L12:L16" si="16">G12*K12</f>
        <v>2350533.5100000007</v>
      </c>
      <c r="M12" s="81">
        <f>279.41-0.04-102.3</f>
        <v>177.07</v>
      </c>
      <c r="N12" s="81">
        <f t="shared" ref="N12:N16" si="17">H12*M12</f>
        <v>1880837.54</v>
      </c>
      <c r="O12" s="90"/>
      <c r="P12" s="90"/>
      <c r="Q12" s="193">
        <v>10620</v>
      </c>
      <c r="R12" s="85">
        <v>279.41000000000003</v>
      </c>
      <c r="S12" s="85">
        <f t="shared" si="1"/>
        <v>2967334.2</v>
      </c>
      <c r="T12" s="90"/>
      <c r="U12" s="193">
        <v>10621</v>
      </c>
      <c r="V12" s="81">
        <f>279.41-0.02</f>
        <v>279.39000000000004</v>
      </c>
      <c r="W12" s="85">
        <f t="shared" ref="W12:W16" si="18">U12*V12</f>
        <v>2967401.1900000004</v>
      </c>
      <c r="X12" s="90"/>
      <c r="Y12" s="193">
        <v>10622</v>
      </c>
      <c r="Z12" s="81">
        <f>279.41-0.04</f>
        <v>279.37</v>
      </c>
      <c r="AA12" s="85">
        <f t="shared" ref="AA12:AA16" si="19">Y12*Z12</f>
        <v>2967468.14</v>
      </c>
      <c r="AB12" s="90"/>
      <c r="AC12" s="90"/>
      <c r="AD12" s="90"/>
      <c r="AE12" s="81">
        <f t="shared" ref="AE12:AE16" si="20">R12+$AF$9</f>
        <v>361.89257536156134</v>
      </c>
      <c r="AF12" s="85">
        <f t="shared" ref="AF12:AF16" si="21">AE12*Q12</f>
        <v>3843299.1503397813</v>
      </c>
      <c r="AG12" s="90"/>
      <c r="AH12" s="81">
        <f>V12+AI10</f>
        <v>221.30763010819919</v>
      </c>
      <c r="AI12" s="85">
        <f t="shared" ref="AI12:AI16" si="22">AH12*U12</f>
        <v>2350508.3393791835</v>
      </c>
      <c r="AJ12" s="90"/>
      <c r="AK12" s="81">
        <f t="shared" ref="AK12:AK16" si="23">Z12+$AL$10</f>
        <v>177.0682336835855</v>
      </c>
      <c r="AL12" s="85">
        <f t="shared" ref="AL12:AL16" si="24">AK12*Y12</f>
        <v>1880818.7781870451</v>
      </c>
      <c r="AM12" s="72"/>
      <c r="AN12" s="90"/>
      <c r="AO12" s="90"/>
      <c r="AP12" s="81">
        <f t="shared" ref="AP12:AP16" si="25">R12+$AF$9</f>
        <v>361.89257536156134</v>
      </c>
      <c r="AQ12" s="85">
        <f t="shared" ref="AQ12:AQ16" si="26">AP12*Q12</f>
        <v>3843299.1503397813</v>
      </c>
      <c r="AR12" s="90"/>
      <c r="AS12" s="90"/>
      <c r="AT12" s="81">
        <f>R12+$AF$9+$AU$10</f>
        <v>363.08834117442075</v>
      </c>
      <c r="AU12" s="85">
        <f t="shared" ref="AU12:AU16" si="27">AT12*Q12</f>
        <v>3855998.1832723483</v>
      </c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193">
        <v>9468</v>
      </c>
      <c r="BL12" s="85">
        <v>266.93</v>
      </c>
      <c r="BM12" s="85">
        <f t="shared" si="2"/>
        <v>2527293.2400000002</v>
      </c>
      <c r="BN12" s="72"/>
      <c r="BO12" s="72"/>
      <c r="BP12" s="157" t="s">
        <v>401</v>
      </c>
      <c r="BQ12" s="413">
        <v>763350.6</v>
      </c>
      <c r="BR12" s="414">
        <v>266.93</v>
      </c>
      <c r="BS12" s="85">
        <f t="shared" ref="BS12:BS16" si="28">BR12*BK12</f>
        <v>2527293.2400000002</v>
      </c>
      <c r="BT12" s="72"/>
      <c r="BU12" s="85">
        <v>3665300</v>
      </c>
      <c r="BV12" s="197" t="s">
        <v>398</v>
      </c>
      <c r="BW12" s="72"/>
      <c r="BX12" s="72"/>
      <c r="BY12" s="157" t="s">
        <v>401</v>
      </c>
      <c r="BZ12" s="413">
        <v>763350.6</v>
      </c>
      <c r="CA12" s="433">
        <f>$BR$12+69.79416</f>
        <v>336.72415999999998</v>
      </c>
      <c r="CB12" s="85">
        <f t="shared" si="3"/>
        <v>3188104.3468799996</v>
      </c>
      <c r="CC12" s="85">
        <v>3824352</v>
      </c>
      <c r="CD12" s="85" t="s">
        <v>398</v>
      </c>
      <c r="CE12" s="72"/>
      <c r="CF12" s="72"/>
      <c r="CG12" s="448">
        <f>$BR$12+70.735832</f>
        <v>337.66583200000002</v>
      </c>
      <c r="CH12" s="85">
        <f t="shared" ref="CH12:CH16" si="29">CG12*BK12</f>
        <v>3197020.0973760001</v>
      </c>
      <c r="CI12" s="72"/>
      <c r="CJ12" s="90"/>
      <c r="CK12" s="90"/>
      <c r="CL12" s="157" t="s">
        <v>401</v>
      </c>
      <c r="CM12" s="413">
        <v>763350.6</v>
      </c>
      <c r="CN12" s="448">
        <f>$BR$12+70.735832+23.796709</f>
        <v>361.46254100000004</v>
      </c>
      <c r="CO12" s="85">
        <f>CN12*$BK$12</f>
        <v>3422327.3381880005</v>
      </c>
      <c r="CP12" s="85">
        <v>3824352</v>
      </c>
      <c r="CQ12" s="85" t="s">
        <v>398</v>
      </c>
      <c r="CR12" s="72"/>
      <c r="CS12" s="72"/>
      <c r="CT12" s="72"/>
      <c r="CU12" s="72"/>
      <c r="CV12" s="72"/>
      <c r="CW12" s="72"/>
      <c r="CX12" s="157" t="s">
        <v>401</v>
      </c>
      <c r="CY12" s="413">
        <v>763366.65</v>
      </c>
      <c r="CZ12" s="448">
        <f>$BR$12+70.735832+23.796709+0.878737</f>
        <v>362.34127800000005</v>
      </c>
      <c r="DA12" s="85">
        <f>CZ12*$BK$12</f>
        <v>3430647.2201040005</v>
      </c>
      <c r="DB12" s="85">
        <v>3824352</v>
      </c>
      <c r="DC12" s="85" t="s">
        <v>398</v>
      </c>
      <c r="DD12" s="182"/>
      <c r="DE12" s="72"/>
      <c r="DF12" s="72"/>
      <c r="DG12" s="72"/>
      <c r="DH12" s="72"/>
      <c r="DI12" s="157" t="s">
        <v>401</v>
      </c>
      <c r="DJ12" s="413">
        <v>763366.65</v>
      </c>
      <c r="DK12" s="448">
        <f>$BR$12+70.735832+23.796709+0.878737</f>
        <v>362.34127800000005</v>
      </c>
      <c r="DL12" s="85">
        <f>DK12*$BK$12</f>
        <v>3430647.2201040005</v>
      </c>
      <c r="DM12" s="85">
        <v>3824352</v>
      </c>
      <c r="DN12" s="85" t="s">
        <v>398</v>
      </c>
      <c r="DO12" s="182"/>
      <c r="DP12" s="72"/>
      <c r="DQ12" s="72"/>
      <c r="DR12" s="72"/>
      <c r="DS12" s="72"/>
      <c r="DT12" s="72"/>
      <c r="DU12" s="157" t="s">
        <v>401</v>
      </c>
      <c r="DV12" s="413">
        <v>763366.65</v>
      </c>
      <c r="DW12" s="199">
        <f>$BR$12+70.735832+23.796709+0.878737+75.892879</f>
        <v>438.23415700000004</v>
      </c>
      <c r="DX12" s="85">
        <f>DW12*$BK$12</f>
        <v>4149200.9984760005</v>
      </c>
      <c r="DY12" s="85">
        <v>3824352</v>
      </c>
      <c r="DZ12" s="85" t="s">
        <v>398</v>
      </c>
      <c r="EA12" s="72"/>
      <c r="EB12" s="72"/>
      <c r="EC12" s="72"/>
      <c r="ED12" s="72"/>
      <c r="EE12" s="72"/>
      <c r="EF12" s="72"/>
      <c r="EG12" s="72"/>
      <c r="EH12" s="214" t="s">
        <v>337</v>
      </c>
      <c r="EI12" s="96">
        <f>9468-3276</f>
        <v>6192</v>
      </c>
      <c r="EJ12" s="415">
        <f>362.34+263.61</f>
        <v>625.95000000000005</v>
      </c>
      <c r="EK12" s="85">
        <f t="shared" si="4"/>
        <v>3875882.4000000004</v>
      </c>
      <c r="EL12" s="97">
        <f>266.93</f>
        <v>266.93</v>
      </c>
      <c r="EM12" s="81">
        <f>266.93+113.87</f>
        <v>380.8</v>
      </c>
      <c r="EN12" s="85">
        <f t="shared" ref="EN12:EN16" si="30">EM12*EI12</f>
        <v>2357913.6000000001</v>
      </c>
      <c r="EO12" s="72"/>
      <c r="EP12" s="72"/>
      <c r="EQ12" s="72"/>
      <c r="ER12" s="72"/>
      <c r="ES12" s="180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E12" s="182"/>
      <c r="FF12" s="72"/>
      <c r="FG12" s="72"/>
      <c r="FH12" s="72"/>
      <c r="FI12" s="72"/>
      <c r="FJ12" s="88"/>
      <c r="FK12" s="90"/>
      <c r="FL12" s="157" t="s">
        <v>292</v>
      </c>
      <c r="FM12" s="413">
        <v>8330911.2800000003</v>
      </c>
      <c r="FN12" s="414">
        <f t="shared" ref="FN12:FN16" si="31">FF12+$FN$9</f>
        <v>18.9381585</v>
      </c>
      <c r="FO12" s="85">
        <f t="shared" ref="FO12:FO16" si="32">FN12*FE12</f>
        <v>0</v>
      </c>
      <c r="FP12" s="72"/>
      <c r="FQ12" s="157" t="s">
        <v>292</v>
      </c>
      <c r="FR12" s="413">
        <v>8330911.2800000003</v>
      </c>
      <c r="FS12" s="414">
        <f t="shared" ref="FS12:FS16" si="33">FN12+$FS$9</f>
        <v>20.845365399999999</v>
      </c>
      <c r="FT12" s="85">
        <f t="shared" ref="FT12:FT16" si="34">FS12*FE12</f>
        <v>0</v>
      </c>
      <c r="FU12" s="72"/>
      <c r="FV12" s="157" t="s">
        <v>292</v>
      </c>
      <c r="FW12" s="413">
        <v>8330911.2800000003</v>
      </c>
      <c r="FX12" s="414">
        <f t="shared" ref="FX12:FX16" si="35">FS12+$FX$9</f>
        <v>30.518835099999997</v>
      </c>
      <c r="FY12" s="85">
        <f t="shared" ref="FY12:FY16" si="36">FX12*FE12</f>
        <v>0</v>
      </c>
      <c r="FZ12" s="72"/>
      <c r="GA12" s="72"/>
      <c r="GB12" s="72"/>
      <c r="GC12" s="83">
        <v>407.30630218855219</v>
      </c>
      <c r="GD12" s="91">
        <v>2903279.3220000002</v>
      </c>
      <c r="GE12" s="90"/>
      <c r="GF12" s="90"/>
      <c r="GG12" s="92">
        <f>(GG11-GE19)/6</f>
        <v>4750022.956666667</v>
      </c>
      <c r="GH12" s="84" t="e">
        <f t="shared" si="5"/>
        <v>#DIV/0!</v>
      </c>
      <c r="GI12" s="85">
        <f t="shared" ref="GI12:GI15" si="37">GD12+$FO$9</f>
        <v>2903279.3220000002</v>
      </c>
      <c r="GJ12" s="90"/>
      <c r="GK12" s="92">
        <f>(GK11-FM13)/6</f>
        <v>835172.33666666655</v>
      </c>
      <c r="GL12" s="84" t="e">
        <f t="shared" si="6"/>
        <v>#DIV/0!</v>
      </c>
      <c r="GM12" s="85">
        <f>FO12+$GM$9</f>
        <v>167609</v>
      </c>
      <c r="GN12" s="72"/>
      <c r="GO12" s="92">
        <f>(GO11-GK11)/6</f>
        <v>-27213.639999999355</v>
      </c>
      <c r="GP12" s="84" t="e">
        <f t="shared" si="7"/>
        <v>#DIV/0!</v>
      </c>
      <c r="GQ12" s="85">
        <f t="shared" ref="GQ12:GQ15" si="38">GM12+$GQ$9</f>
        <v>140395.35999999999</v>
      </c>
      <c r="GR12" s="90"/>
      <c r="GS12" s="92">
        <f>(GS11-GO11)/6</f>
        <v>91792.166666666672</v>
      </c>
      <c r="GT12" s="84" t="e">
        <f t="shared" si="8"/>
        <v>#DIV/0!</v>
      </c>
      <c r="GU12" s="86">
        <f t="shared" ref="GU12:GU15" si="39">GQ12+$GU$9</f>
        <v>232187.52999999997</v>
      </c>
      <c r="GV12" s="81" t="e">
        <f t="shared" ref="GV12:GV15" si="40">GT12-GP12</f>
        <v>#DIV/0!</v>
      </c>
      <c r="GW12" s="90"/>
      <c r="GX12" s="92">
        <f>(GX11-GS11)/6</f>
        <v>212959</v>
      </c>
      <c r="GY12" s="84" t="e">
        <f t="shared" si="9"/>
        <v>#DIV/0!</v>
      </c>
      <c r="GZ12" s="86">
        <f t="shared" ref="GZ12:GZ15" si="41">GU12+$GZ$9</f>
        <v>445146.52999999997</v>
      </c>
      <c r="HA12" s="81" t="e">
        <f t="shared" ref="HA12:HA15" si="42">GY12-GT12</f>
        <v>#DIV/0!</v>
      </c>
      <c r="HB12" s="90"/>
      <c r="HC12" s="90"/>
      <c r="HD12" s="90"/>
      <c r="HE12" s="224">
        <f>(HE11-GX11)/6</f>
        <v>99191.446666666612</v>
      </c>
      <c r="HF12" s="84" t="e">
        <f t="shared" si="10"/>
        <v>#DIV/0!</v>
      </c>
      <c r="HG12" s="86">
        <f t="shared" ref="HG12:HG15" si="43">GZ12+$HG$9</f>
        <v>544337.97399999993</v>
      </c>
      <c r="HH12" s="81" t="e">
        <f t="shared" ref="HH12:HH15" si="44">HF12-HA12</f>
        <v>#DIV/0!</v>
      </c>
      <c r="HI12" s="90"/>
      <c r="HJ12" s="90"/>
      <c r="HK12" s="90"/>
      <c r="HL12" s="90"/>
      <c r="HM12" s="87">
        <v>229.88</v>
      </c>
      <c r="HN12" s="176">
        <v>15696</v>
      </c>
      <c r="HO12" s="88">
        <v>198.58</v>
      </c>
      <c r="HP12" s="89">
        <v>3116836.4</v>
      </c>
      <c r="HQ12" s="88">
        <f t="shared" si="11"/>
        <v>210.22118565239552</v>
      </c>
      <c r="HR12" s="89">
        <f t="shared" si="12"/>
        <v>3299631.73</v>
      </c>
      <c r="HS12" s="88">
        <f t="shared" si="13"/>
        <v>228.6278497706422</v>
      </c>
      <c r="HT12" s="89">
        <f t="shared" ref="HT12:HT16" si="45">HR12+$HT$9</f>
        <v>3588542.73</v>
      </c>
      <c r="HU12" s="88">
        <f t="shared" si="14"/>
        <v>229.35202578172783</v>
      </c>
      <c r="HV12" s="89">
        <f t="shared" ref="HV12:HV16" si="46">HT12+$HV$9</f>
        <v>3599909.3966700002</v>
      </c>
      <c r="HW12" s="88">
        <f t="shared" si="15"/>
        <v>229.88294661060144</v>
      </c>
      <c r="HX12" s="89">
        <f t="shared" ref="HX12:HX16" si="47">HV12+$HX$9</f>
        <v>3608242.73</v>
      </c>
      <c r="HY12" s="89"/>
    </row>
    <row r="13" spans="1:247" ht="60" x14ac:dyDescent="0.25">
      <c r="A13" s="79" t="s">
        <v>225</v>
      </c>
      <c r="B13" s="80" t="s">
        <v>229</v>
      </c>
      <c r="C13" s="59" t="s">
        <v>227</v>
      </c>
      <c r="D13" s="201">
        <v>10080</v>
      </c>
      <c r="E13" s="201">
        <v>10080</v>
      </c>
      <c r="F13" s="201">
        <v>10080</v>
      </c>
      <c r="G13" s="201">
        <v>10080</v>
      </c>
      <c r="H13" s="201">
        <v>10080</v>
      </c>
      <c r="I13" s="81">
        <f>279.39+82.48+$AU$10</f>
        <v>363.06576581285941</v>
      </c>
      <c r="J13" s="81">
        <f t="shared" si="0"/>
        <v>3659702.9193936228</v>
      </c>
      <c r="K13" s="81">
        <f>279.39-58.08</f>
        <v>221.31</v>
      </c>
      <c r="L13" s="81">
        <f t="shared" si="16"/>
        <v>2230804.7999999998</v>
      </c>
      <c r="M13" s="81">
        <f>279.39-102.3</f>
        <v>177.08999999999997</v>
      </c>
      <c r="N13" s="81">
        <f t="shared" si="17"/>
        <v>1785067.1999999997</v>
      </c>
      <c r="O13" s="90"/>
      <c r="P13" s="90"/>
      <c r="Q13" s="193">
        <v>10080</v>
      </c>
      <c r="R13" s="85">
        <v>279.39</v>
      </c>
      <c r="S13" s="85">
        <f t="shared" si="1"/>
        <v>2816251.1999999997</v>
      </c>
      <c r="T13" s="90"/>
      <c r="U13" s="193">
        <v>10080</v>
      </c>
      <c r="V13" s="81">
        <f>279.39</f>
        <v>279.39</v>
      </c>
      <c r="W13" s="85">
        <f t="shared" si="18"/>
        <v>2816251.1999999997</v>
      </c>
      <c r="X13" s="90"/>
      <c r="Y13" s="193">
        <v>10080</v>
      </c>
      <c r="Z13" s="81">
        <v>279.39</v>
      </c>
      <c r="AA13" s="85">
        <f t="shared" si="19"/>
        <v>2816251.1999999997</v>
      </c>
      <c r="AB13" s="90"/>
      <c r="AC13" s="90"/>
      <c r="AD13" s="90"/>
      <c r="AE13" s="81">
        <f t="shared" si="20"/>
        <v>361.8725753615613</v>
      </c>
      <c r="AF13" s="85">
        <f t="shared" si="21"/>
        <v>3647675.559644538</v>
      </c>
      <c r="AG13" s="90"/>
      <c r="AH13" s="81">
        <f>V13+AI10</f>
        <v>221.30763010819913</v>
      </c>
      <c r="AI13" s="85">
        <f t="shared" si="22"/>
        <v>2230780.9114906471</v>
      </c>
      <c r="AJ13" s="90"/>
      <c r="AK13" s="81">
        <f t="shared" si="23"/>
        <v>177.08823368358549</v>
      </c>
      <c r="AL13" s="85">
        <f t="shared" si="24"/>
        <v>1785049.3955305417</v>
      </c>
      <c r="AM13" s="72"/>
      <c r="AN13" s="90"/>
      <c r="AO13" s="90"/>
      <c r="AP13" s="81">
        <f t="shared" si="25"/>
        <v>361.8725753615613</v>
      </c>
      <c r="AQ13" s="85">
        <f t="shared" si="26"/>
        <v>3647675.559644538</v>
      </c>
      <c r="AR13" s="90"/>
      <c r="AS13" s="90"/>
      <c r="AT13" s="81">
        <f t="shared" ref="AT13:AT16" si="48">R13+$AF$9+$AU$10</f>
        <v>363.06834117442071</v>
      </c>
      <c r="AU13" s="85">
        <f t="shared" si="27"/>
        <v>3659728.8790381607</v>
      </c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193">
        <v>10080</v>
      </c>
      <c r="BL13" s="85">
        <v>266.58</v>
      </c>
      <c r="BM13" s="85">
        <f t="shared" si="2"/>
        <v>2687126.4</v>
      </c>
      <c r="BN13" s="72"/>
      <c r="BO13" s="72"/>
      <c r="BP13" s="157" t="s">
        <v>402</v>
      </c>
      <c r="BQ13" s="97">
        <f>BQ11-BQ12</f>
        <v>17110119.75</v>
      </c>
      <c r="BR13" s="414">
        <v>266.58</v>
      </c>
      <c r="BS13" s="85">
        <f t="shared" si="28"/>
        <v>2687126.4</v>
      </c>
      <c r="BT13" s="72"/>
      <c r="BU13" s="85">
        <v>10361400</v>
      </c>
      <c r="BV13" s="197" t="s">
        <v>400</v>
      </c>
      <c r="BW13" s="72">
        <f>BU11+BU12+BU13</f>
        <v>15760300</v>
      </c>
      <c r="BX13" s="72">
        <f>BZ13-BQ13</f>
        <v>4478220</v>
      </c>
      <c r="BY13" s="157" t="s">
        <v>402</v>
      </c>
      <c r="BZ13" s="97">
        <f>BZ11-BZ12</f>
        <v>21588339.75</v>
      </c>
      <c r="CA13" s="84">
        <f>$BR$13+69.81</f>
        <v>336.39</v>
      </c>
      <c r="CB13" s="85">
        <f t="shared" si="3"/>
        <v>3390811.1999999997</v>
      </c>
      <c r="CC13" s="85">
        <v>14680568</v>
      </c>
      <c r="CD13" s="197" t="s">
        <v>400</v>
      </c>
      <c r="CE13" s="72">
        <f>CC11+CC12+CC13</f>
        <v>20238520</v>
      </c>
      <c r="CF13" s="72" t="s">
        <v>412</v>
      </c>
      <c r="CG13" s="84">
        <f>$BR$13+70.74</f>
        <v>337.32</v>
      </c>
      <c r="CH13" s="85">
        <f t="shared" si="29"/>
        <v>3400185.6</v>
      </c>
      <c r="CI13" s="72"/>
      <c r="CJ13" s="90"/>
      <c r="CK13" s="90"/>
      <c r="CL13" s="157" t="s">
        <v>402</v>
      </c>
      <c r="CM13" s="97">
        <f>CM11-CM12</f>
        <v>23284379.309999999</v>
      </c>
      <c r="CN13" s="84">
        <f>$BR$13+70.74+25.8</f>
        <v>363.12</v>
      </c>
      <c r="CO13" s="85">
        <f>CN13*$BK$13</f>
        <v>3660249.6</v>
      </c>
      <c r="CP13" s="85">
        <f>14680568+1562388</f>
        <v>16242956</v>
      </c>
      <c r="CQ13" s="197" t="s">
        <v>400</v>
      </c>
      <c r="CR13" s="92">
        <f>CP11+CP12+CP13</f>
        <v>21800908</v>
      </c>
      <c r="CS13" s="78"/>
      <c r="CT13" s="78"/>
      <c r="CU13" s="78"/>
      <c r="CV13" s="78"/>
      <c r="CW13" s="78"/>
      <c r="CX13" s="157" t="s">
        <v>402</v>
      </c>
      <c r="CY13" s="97">
        <f>CY11-CY12</f>
        <v>23340805.060000002</v>
      </c>
      <c r="CZ13" s="84">
        <f>$BR$13+70.74+25.8+0.88</f>
        <v>364</v>
      </c>
      <c r="DA13" s="85">
        <f>CZ13*$BK$13</f>
        <v>3669120</v>
      </c>
      <c r="DB13" s="85">
        <f>14680568+1562388</f>
        <v>16242956</v>
      </c>
      <c r="DC13" s="197" t="s">
        <v>400</v>
      </c>
      <c r="DD13" s="92">
        <f>DB11+DB12+DB13</f>
        <v>21857349.800000001</v>
      </c>
      <c r="DE13" s="72"/>
      <c r="DF13" s="78"/>
      <c r="DG13" s="78"/>
      <c r="DH13" s="78"/>
      <c r="DI13" s="157" t="s">
        <v>402</v>
      </c>
      <c r="DJ13" s="97">
        <f>DJ11-DJ12</f>
        <v>23340805.060000002</v>
      </c>
      <c r="DK13" s="84">
        <f>$BR$13+70.74+25.8+0.88</f>
        <v>364</v>
      </c>
      <c r="DL13" s="85">
        <f>DK13*$BK$13</f>
        <v>3669120</v>
      </c>
      <c r="DM13" s="85">
        <f>14680568+1562388</f>
        <v>16242956</v>
      </c>
      <c r="DN13" s="197" t="s">
        <v>400</v>
      </c>
      <c r="DO13" s="92">
        <f>DM11+DM12+DM13</f>
        <v>21857349.800000001</v>
      </c>
      <c r="DP13" s="72"/>
      <c r="DQ13" s="78"/>
      <c r="DR13" s="78"/>
      <c r="DS13" s="78"/>
      <c r="DT13" s="78"/>
      <c r="DU13" s="157" t="s">
        <v>402</v>
      </c>
      <c r="DV13" s="97">
        <f>DV11-DV12</f>
        <v>28209007.920000002</v>
      </c>
      <c r="DW13" s="84">
        <f>$BR$13+70.74+25.8+0.88+75.89</f>
        <v>439.89</v>
      </c>
      <c r="DX13" s="85">
        <f>DW13*$BK$13</f>
        <v>4434091.2</v>
      </c>
      <c r="DY13" s="85">
        <f>14680568+1562388+4868202.8</f>
        <v>21111158.800000001</v>
      </c>
      <c r="DZ13" s="197" t="s">
        <v>400</v>
      </c>
      <c r="EA13" s="78"/>
      <c r="EB13" s="78"/>
      <c r="EC13" s="78"/>
      <c r="ED13" s="78"/>
      <c r="EE13" s="78"/>
      <c r="EF13" s="78"/>
      <c r="EG13" s="78"/>
      <c r="EH13" s="214" t="s">
        <v>467</v>
      </c>
      <c r="EI13" s="96">
        <f>10080-5984</f>
        <v>4096</v>
      </c>
      <c r="EJ13" s="85">
        <f>364+263.61</f>
        <v>627.61</v>
      </c>
      <c r="EK13" s="85">
        <f t="shared" si="4"/>
        <v>2570690.5600000001</v>
      </c>
      <c r="EL13" s="97">
        <f>266.58</f>
        <v>266.58</v>
      </c>
      <c r="EM13" s="449">
        <f>266.58+113.875313</f>
        <v>380.45531299999999</v>
      </c>
      <c r="EN13" s="85">
        <f t="shared" si="30"/>
        <v>1558344.962048</v>
      </c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E13" s="92">
        <f>DY11+DY12+DY13</f>
        <v>26725552.600000001</v>
      </c>
      <c r="FF13" s="72"/>
      <c r="FG13" s="78"/>
      <c r="FH13" s="78"/>
      <c r="FI13" s="78"/>
      <c r="FJ13" s="88"/>
      <c r="FK13" s="90"/>
      <c r="FL13" s="157" t="s">
        <v>291</v>
      </c>
      <c r="FM13" s="97">
        <f>FM11-FM12</f>
        <v>24494757.719999999</v>
      </c>
      <c r="FN13" s="414">
        <f t="shared" si="31"/>
        <v>18.9381585</v>
      </c>
      <c r="FO13" s="85">
        <f t="shared" si="32"/>
        <v>506132751.13888711</v>
      </c>
      <c r="FP13" s="72"/>
      <c r="FQ13" s="157" t="s">
        <v>291</v>
      </c>
      <c r="FR13" s="97">
        <f>FR11-FR12</f>
        <v>24612783.309999999</v>
      </c>
      <c r="FS13" s="414">
        <f t="shared" si="33"/>
        <v>20.845365399999999</v>
      </c>
      <c r="FT13" s="85">
        <f t="shared" si="34"/>
        <v>557103909.46392</v>
      </c>
      <c r="FU13" s="72"/>
      <c r="FV13" s="157" t="s">
        <v>291</v>
      </c>
      <c r="FW13" s="97">
        <f>FW11-FW12</f>
        <v>25211416.309999999</v>
      </c>
      <c r="FX13" s="414">
        <f t="shared" si="35"/>
        <v>30.518835099999997</v>
      </c>
      <c r="FY13" s="85">
        <f t="shared" si="36"/>
        <v>815632732.75577617</v>
      </c>
      <c r="FZ13" s="72"/>
      <c r="GA13" s="72"/>
      <c r="GB13" s="72"/>
      <c r="GC13" s="83">
        <v>433.15557916666666</v>
      </c>
      <c r="GD13" s="91">
        <v>3118720.17</v>
      </c>
      <c r="GE13" s="90"/>
      <c r="GF13" s="90"/>
      <c r="GG13" s="90"/>
      <c r="GH13" s="84">
        <f t="shared" si="5"/>
        <v>6.1618620075115371E-3</v>
      </c>
      <c r="GI13" s="85">
        <f t="shared" si="37"/>
        <v>3118720.17</v>
      </c>
      <c r="GJ13" s="90"/>
      <c r="GK13" s="92"/>
      <c r="GL13" s="84">
        <f t="shared" si="6"/>
        <v>18.944429988657635</v>
      </c>
      <c r="GM13" s="85">
        <f>FO13+$GM$9</f>
        <v>506300360.13888711</v>
      </c>
      <c r="GN13" s="72"/>
      <c r="GO13" s="90"/>
      <c r="GP13" s="84">
        <f t="shared" si="7"/>
        <v>18.943411725708792</v>
      </c>
      <c r="GQ13" s="85">
        <f t="shared" si="38"/>
        <v>506273146.49888712</v>
      </c>
      <c r="GR13" s="90"/>
      <c r="GS13" s="90"/>
      <c r="GT13" s="84">
        <f t="shared" si="8"/>
        <v>18.946846347674288</v>
      </c>
      <c r="GU13" s="86">
        <f t="shared" si="39"/>
        <v>506364938.66888714</v>
      </c>
      <c r="GV13" s="81">
        <f t="shared" si="40"/>
        <v>3.4346219654963761E-3</v>
      </c>
      <c r="GW13" s="90"/>
      <c r="GX13" s="90"/>
      <c r="GY13" s="84">
        <f t="shared" si="9"/>
        <v>18.954814714247934</v>
      </c>
      <c r="GZ13" s="86">
        <f t="shared" si="41"/>
        <v>506577897.66888714</v>
      </c>
      <c r="HA13" s="81">
        <f t="shared" si="42"/>
        <v>7.9683665736460796E-3</v>
      </c>
      <c r="HB13" s="90"/>
      <c r="HC13" s="90"/>
      <c r="HD13" s="90"/>
      <c r="HE13" s="90"/>
      <c r="HF13" s="84">
        <f t="shared" si="10"/>
        <v>18.958526197616848</v>
      </c>
      <c r="HG13" s="86">
        <f t="shared" si="43"/>
        <v>506677089.11288714</v>
      </c>
      <c r="HH13" s="81">
        <f t="shared" si="44"/>
        <v>18.950557831043202</v>
      </c>
      <c r="HI13" s="90"/>
      <c r="HJ13" s="90"/>
      <c r="HK13" s="90"/>
      <c r="HL13" s="90"/>
      <c r="HM13" s="87">
        <v>267.45</v>
      </c>
      <c r="HN13" s="176">
        <v>7200</v>
      </c>
      <c r="HO13" s="88">
        <v>199.2</v>
      </c>
      <c r="HP13" s="89">
        <v>1434240</v>
      </c>
      <c r="HQ13" s="88">
        <f t="shared" si="11"/>
        <v>224.5882402777778</v>
      </c>
      <c r="HR13" s="89">
        <f t="shared" si="12"/>
        <v>1617035.33</v>
      </c>
      <c r="HS13" s="88">
        <f t="shared" si="13"/>
        <v>264.71476805555557</v>
      </c>
      <c r="HT13" s="89">
        <f t="shared" si="45"/>
        <v>1905946.33</v>
      </c>
      <c r="HU13" s="88">
        <f t="shared" si="14"/>
        <v>266.29347175972225</v>
      </c>
      <c r="HV13" s="89">
        <f t="shared" si="46"/>
        <v>1917312.99667</v>
      </c>
      <c r="HW13" s="88">
        <f t="shared" si="15"/>
        <v>267.45087916666665</v>
      </c>
      <c r="HX13" s="89">
        <f t="shared" si="47"/>
        <v>1925646.33</v>
      </c>
      <c r="HY13" s="89"/>
    </row>
    <row r="14" spans="1:247" ht="67.5" x14ac:dyDescent="0.25">
      <c r="A14" s="79" t="s">
        <v>225</v>
      </c>
      <c r="B14" s="80" t="s">
        <v>230</v>
      </c>
      <c r="C14" s="59" t="s">
        <v>227</v>
      </c>
      <c r="D14" s="201">
        <v>3132</v>
      </c>
      <c r="E14" s="201">
        <v>3132</v>
      </c>
      <c r="F14" s="201">
        <v>3132</v>
      </c>
      <c r="G14" s="201">
        <v>3133</v>
      </c>
      <c r="H14" s="201">
        <v>3134</v>
      </c>
      <c r="I14" s="81">
        <f>279.42+82.48+0.056627+$AU$10</f>
        <v>363.15239281285943</v>
      </c>
      <c r="J14" s="81">
        <f t="shared" si="0"/>
        <v>1137393.2942898758</v>
      </c>
      <c r="K14" s="81">
        <f>279.42-0.020274-58.132098</f>
        <v>221.26762800000006</v>
      </c>
      <c r="L14" s="81">
        <f t="shared" si="16"/>
        <v>693231.47852400015</v>
      </c>
      <c r="M14" s="81">
        <f>279.42-0.040587-102.33882</f>
        <v>177.040593</v>
      </c>
      <c r="N14" s="81">
        <f t="shared" si="17"/>
        <v>554845.21846200002</v>
      </c>
      <c r="O14" s="90"/>
      <c r="P14" s="90"/>
      <c r="Q14" s="193">
        <v>3132</v>
      </c>
      <c r="R14" s="85">
        <v>279.42</v>
      </c>
      <c r="S14" s="85">
        <f t="shared" si="1"/>
        <v>875143.44000000006</v>
      </c>
      <c r="T14" s="90"/>
      <c r="U14" s="193">
        <v>3133</v>
      </c>
      <c r="V14" s="178">
        <f>279.42-0.020274</f>
        <v>279.39972600000004</v>
      </c>
      <c r="W14" s="85">
        <f t="shared" si="18"/>
        <v>875359.34155800019</v>
      </c>
      <c r="X14" s="90"/>
      <c r="Y14" s="193">
        <v>3134</v>
      </c>
      <c r="Z14" s="178">
        <f>279.42-0.040587</f>
        <v>279.379413</v>
      </c>
      <c r="AA14" s="85">
        <f t="shared" si="19"/>
        <v>875575.080342</v>
      </c>
      <c r="AB14" s="90"/>
      <c r="AC14" s="90"/>
      <c r="AD14" s="90"/>
      <c r="AE14" s="81">
        <f t="shared" si="20"/>
        <v>361.90257536156133</v>
      </c>
      <c r="AF14" s="85">
        <f t="shared" si="21"/>
        <v>1133478.8660324102</v>
      </c>
      <c r="AG14" s="90"/>
      <c r="AH14" s="81">
        <f>V14+AI10</f>
        <v>221.31735610819919</v>
      </c>
      <c r="AI14" s="85">
        <f t="shared" si="22"/>
        <v>693387.27668698807</v>
      </c>
      <c r="AJ14" s="90"/>
      <c r="AK14" s="81">
        <f t="shared" si="23"/>
        <v>177.0776466835855</v>
      </c>
      <c r="AL14" s="85">
        <f t="shared" si="24"/>
        <v>554961.34470635699</v>
      </c>
      <c r="AM14" s="72"/>
      <c r="AN14" s="90"/>
      <c r="AO14" s="90"/>
      <c r="AP14" s="81">
        <f t="shared" si="25"/>
        <v>361.90257536156133</v>
      </c>
      <c r="AQ14" s="85">
        <f t="shared" si="26"/>
        <v>1133478.8660324102</v>
      </c>
      <c r="AR14" s="90"/>
      <c r="AS14" s="90"/>
      <c r="AT14" s="81">
        <f t="shared" si="48"/>
        <v>363.09834117442074</v>
      </c>
      <c r="AU14" s="85">
        <f t="shared" si="27"/>
        <v>1137224.0045582857</v>
      </c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193">
        <v>2916</v>
      </c>
      <c r="BL14" s="85">
        <v>266.06</v>
      </c>
      <c r="BM14" s="85">
        <f t="shared" si="2"/>
        <v>775830.96</v>
      </c>
      <c r="BN14" s="72"/>
      <c r="BO14" s="72"/>
      <c r="BP14" s="6"/>
      <c r="BQ14" s="199">
        <f>(BQ13-BM17)/BK17</f>
        <v>-2.5018705575422526E-4</v>
      </c>
      <c r="BR14" s="414">
        <v>266.06</v>
      </c>
      <c r="BS14" s="85">
        <f t="shared" si="28"/>
        <v>775830.96</v>
      </c>
      <c r="BT14" s="72"/>
      <c r="BU14" s="85">
        <v>2113170.35</v>
      </c>
      <c r="BV14" s="197" t="s">
        <v>406</v>
      </c>
      <c r="BW14" s="72">
        <f>BU11+BU12+BU13+BU14</f>
        <v>17873470.350000001</v>
      </c>
      <c r="BX14" s="72">
        <f>69.8063*64152</f>
        <v>4478213.7575999992</v>
      </c>
      <c r="BY14" s="6"/>
      <c r="BZ14" s="199">
        <f>(BZ13-BQ13)/BK17</f>
        <v>69.806397306397301</v>
      </c>
      <c r="CA14" s="84">
        <f>$BR$14+69.81</f>
        <v>335.87</v>
      </c>
      <c r="CB14" s="85">
        <f t="shared" si="3"/>
        <v>979396.92</v>
      </c>
      <c r="CC14" s="85">
        <v>2113170.35</v>
      </c>
      <c r="CD14" s="197" t="s">
        <v>406</v>
      </c>
      <c r="CE14" s="72">
        <f>CC11+CC12+CC13+CC14</f>
        <v>22351690.350000001</v>
      </c>
      <c r="CF14" s="72" t="s">
        <v>413</v>
      </c>
      <c r="CG14" s="84">
        <f>$BR$14+70.74</f>
        <v>336.8</v>
      </c>
      <c r="CH14" s="85">
        <f t="shared" si="29"/>
        <v>982108.8</v>
      </c>
      <c r="CI14" s="72">
        <f>CE14+CC17</f>
        <v>22411559.420000002</v>
      </c>
      <c r="CJ14" s="78" t="s">
        <v>416</v>
      </c>
      <c r="CK14" s="78"/>
      <c r="CL14" s="6"/>
      <c r="CM14" s="199">
        <f>(CM13-BZ13)/BK17</f>
        <v>26.437828282828264</v>
      </c>
      <c r="CN14" s="84">
        <f>$BR$14+70.74+25.8</f>
        <v>362.6</v>
      </c>
      <c r="CO14" s="85">
        <f>CN14*$BK$14</f>
        <v>1057341.6000000001</v>
      </c>
      <c r="CP14" s="85">
        <f>2113170.35+133651.56</f>
        <v>2246821.91</v>
      </c>
      <c r="CQ14" s="197" t="s">
        <v>406</v>
      </c>
      <c r="CR14" s="72" t="s">
        <v>426</v>
      </c>
      <c r="CS14" s="416" t="s">
        <v>428</v>
      </c>
      <c r="CT14" s="202">
        <f>CP11+CP12+CP13+CP14</f>
        <v>24047729.91</v>
      </c>
      <c r="CU14" s="416" t="s">
        <v>431</v>
      </c>
      <c r="CV14" s="202">
        <f>CT14-CO25</f>
        <v>23284363.260000002</v>
      </c>
      <c r="CW14" s="202"/>
      <c r="CX14" s="6"/>
      <c r="CY14" s="199">
        <f>(CY13-CM13)/$BK$17</f>
        <v>0.87956338072084617</v>
      </c>
      <c r="CZ14" s="84">
        <f>$BR$14+70.74+25.8+0.88</f>
        <v>363.48</v>
      </c>
      <c r="DA14" s="85">
        <f>CZ14*$BK$14</f>
        <v>1059907.6800000002</v>
      </c>
      <c r="DB14" s="85">
        <f>2113170.35+133651.56</f>
        <v>2246821.91</v>
      </c>
      <c r="DC14" s="197" t="s">
        <v>406</v>
      </c>
      <c r="DD14" s="416" t="s">
        <v>428</v>
      </c>
      <c r="DE14" s="92">
        <f>DB11+DB12+DB13+DB14</f>
        <v>24104171.710000001</v>
      </c>
      <c r="DF14" s="416" t="s">
        <v>431</v>
      </c>
      <c r="DG14" s="202">
        <f>DE14-DA25</f>
        <v>23340805.060000002</v>
      </c>
      <c r="DH14" s="202"/>
      <c r="DI14" s="6"/>
      <c r="DJ14" s="199">
        <f>(DJ13-CM13)/$BK$17</f>
        <v>0.87956338072084617</v>
      </c>
      <c r="DK14" s="84">
        <f>$BR$14+70.74+25.8+0.88</f>
        <v>363.48</v>
      </c>
      <c r="DL14" s="85">
        <f>DK14*$BK$14</f>
        <v>1059907.6800000002</v>
      </c>
      <c r="DM14" s="85">
        <f>2113170.35+133651.56</f>
        <v>2246821.91</v>
      </c>
      <c r="DN14" s="197" t="s">
        <v>406</v>
      </c>
      <c r="DO14" s="416" t="s">
        <v>428</v>
      </c>
      <c r="DP14" s="92">
        <f>DM11+DM12+DM13+DM14</f>
        <v>24104171.710000001</v>
      </c>
      <c r="DQ14" s="416" t="s">
        <v>431</v>
      </c>
      <c r="DR14" s="202">
        <f>DP14-DL25</f>
        <v>23340805.060000002</v>
      </c>
      <c r="DS14" s="202"/>
      <c r="DT14" s="202"/>
      <c r="DU14" s="6"/>
      <c r="DV14" s="199">
        <f>(DV13-DJ13)/$BK$17</f>
        <v>75.88544176331213</v>
      </c>
      <c r="DW14" s="84">
        <f>$BR$14+70.74+25.8+0.88+75.89</f>
        <v>439.37</v>
      </c>
      <c r="DX14" s="85">
        <f>DW14*$BK$14</f>
        <v>1281202.92</v>
      </c>
      <c r="DY14" s="417">
        <f>2113170.35+133651.56</f>
        <v>2246821.91</v>
      </c>
      <c r="DZ14" s="197" t="s">
        <v>406</v>
      </c>
      <c r="EA14" s="416" t="s">
        <v>428</v>
      </c>
      <c r="EB14" s="92">
        <f>DY11+DY12+DY13+DY14+0.06</f>
        <v>28972374.57</v>
      </c>
      <c r="EC14" s="416" t="s">
        <v>431</v>
      </c>
      <c r="ED14" s="202">
        <f>EB14-DV12</f>
        <v>28209007.920000002</v>
      </c>
      <c r="EE14" s="197">
        <f>ED14-DR14</f>
        <v>4868202.8599999994</v>
      </c>
      <c r="EF14" s="418">
        <f>EE14/$BK$17</f>
        <v>75.88544176331213</v>
      </c>
      <c r="EG14" s="197" t="s">
        <v>456</v>
      </c>
      <c r="EH14" s="215" t="s">
        <v>468</v>
      </c>
      <c r="EI14" s="96">
        <f>2916-1620</f>
        <v>1296</v>
      </c>
      <c r="EJ14" s="85">
        <f>363.48+263.6</f>
        <v>627.08000000000004</v>
      </c>
      <c r="EK14" s="85">
        <f t="shared" si="4"/>
        <v>812695.68</v>
      </c>
      <c r="EL14" s="97">
        <f>266.06</f>
        <v>266.06</v>
      </c>
      <c r="EM14" s="81">
        <f>266.06+113.87</f>
        <v>379.93</v>
      </c>
      <c r="EN14" s="85">
        <f t="shared" si="30"/>
        <v>492389.28</v>
      </c>
      <c r="EO14" s="72"/>
      <c r="EP14" s="72"/>
      <c r="EQ14" s="72"/>
      <c r="ER14" s="72"/>
      <c r="ES14" s="181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E14" s="416" t="s">
        <v>428</v>
      </c>
      <c r="FF14" s="92">
        <f>DY11+DY12+DY13+DY14</f>
        <v>28972374.510000002</v>
      </c>
      <c r="FG14" s="416" t="s">
        <v>431</v>
      </c>
      <c r="FH14" s="202">
        <f>FF14-DX25</f>
        <v>1718001.1476000026</v>
      </c>
      <c r="FI14" s="202"/>
      <c r="FJ14" s="88"/>
      <c r="FK14" s="90"/>
      <c r="FL14" s="6"/>
      <c r="FM14" s="199">
        <f>(FM13-FG17)/FE17</f>
        <v>14.257707425992386</v>
      </c>
      <c r="FN14" s="414">
        <f t="shared" si="31"/>
        <v>28972393.448158503</v>
      </c>
      <c r="FO14" s="85" t="e">
        <f t="shared" si="32"/>
        <v>#VALUE!</v>
      </c>
      <c r="FP14" s="72"/>
      <c r="FQ14" s="6"/>
      <c r="FR14" s="199">
        <f>(FR13-FM13)/FE17</f>
        <v>6.8699366216884175E-2</v>
      </c>
      <c r="FS14" s="414">
        <f t="shared" si="33"/>
        <v>28972395.355365403</v>
      </c>
      <c r="FT14" s="85" t="e">
        <f t="shared" si="34"/>
        <v>#VALUE!</v>
      </c>
      <c r="FU14" s="72"/>
      <c r="FV14" s="6"/>
      <c r="FW14" s="199">
        <f>(FW13-FR13)/FE17</f>
        <v>0.34844738074609138</v>
      </c>
      <c r="FX14" s="414">
        <f t="shared" si="35"/>
        <v>28972405.028835103</v>
      </c>
      <c r="FY14" s="85" t="e">
        <f t="shared" si="36"/>
        <v>#VALUE!</v>
      </c>
      <c r="FZ14" s="72"/>
      <c r="GA14" s="72"/>
      <c r="GB14" s="72"/>
      <c r="GC14" s="83">
        <v>416.0113127853881</v>
      </c>
      <c r="GD14" s="91">
        <v>1093277.73</v>
      </c>
      <c r="GE14" s="90"/>
      <c r="GF14" s="90"/>
      <c r="GG14" s="90"/>
      <c r="GH14" s="84" t="e">
        <f t="shared" si="5"/>
        <v>#VALUE!</v>
      </c>
      <c r="GI14" s="85">
        <f t="shared" si="37"/>
        <v>1093277.73</v>
      </c>
      <c r="GJ14" s="90"/>
      <c r="GK14" s="92"/>
      <c r="GL14" s="84" t="e">
        <f t="shared" si="6"/>
        <v>#VALUE!</v>
      </c>
      <c r="GM14" s="85" t="e">
        <f t="shared" ref="GM14:GM15" si="49">FO14+$GM$9</f>
        <v>#VALUE!</v>
      </c>
      <c r="GN14" s="72"/>
      <c r="GO14" s="90"/>
      <c r="GP14" s="84" t="e">
        <f t="shared" si="7"/>
        <v>#VALUE!</v>
      </c>
      <c r="GQ14" s="85" t="e">
        <f t="shared" si="38"/>
        <v>#VALUE!</v>
      </c>
      <c r="GR14" s="90"/>
      <c r="GS14" s="90"/>
      <c r="GT14" s="84" t="e">
        <f t="shared" si="8"/>
        <v>#VALUE!</v>
      </c>
      <c r="GU14" s="86" t="e">
        <f t="shared" si="39"/>
        <v>#VALUE!</v>
      </c>
      <c r="GV14" s="81" t="e">
        <f t="shared" si="40"/>
        <v>#VALUE!</v>
      </c>
      <c r="GW14" s="90"/>
      <c r="GX14" s="90"/>
      <c r="GY14" s="84" t="e">
        <f t="shared" si="9"/>
        <v>#VALUE!</v>
      </c>
      <c r="GZ14" s="86" t="e">
        <f t="shared" si="41"/>
        <v>#VALUE!</v>
      </c>
      <c r="HA14" s="81" t="e">
        <f t="shared" si="42"/>
        <v>#VALUE!</v>
      </c>
      <c r="HB14" s="90"/>
      <c r="HC14" s="90"/>
      <c r="HD14" s="90"/>
      <c r="HE14" s="90"/>
      <c r="HF14" s="84" t="e">
        <f t="shared" si="10"/>
        <v>#VALUE!</v>
      </c>
      <c r="HG14" s="86" t="e">
        <f t="shared" si="43"/>
        <v>#VALUE!</v>
      </c>
      <c r="HH14" s="81" t="e">
        <f t="shared" si="44"/>
        <v>#VALUE!</v>
      </c>
      <c r="HI14" s="90"/>
      <c r="HJ14" s="90"/>
      <c r="HK14" s="90"/>
      <c r="HL14" s="90"/>
      <c r="HM14" s="87">
        <v>238.88</v>
      </c>
      <c r="HN14" s="176">
        <v>12240</v>
      </c>
      <c r="HO14" s="88">
        <v>198.73</v>
      </c>
      <c r="HP14" s="89">
        <v>2432455.2000000002</v>
      </c>
      <c r="HQ14" s="88">
        <f t="shared" si="11"/>
        <v>213.66425898692813</v>
      </c>
      <c r="HR14" s="89">
        <f t="shared" si="12"/>
        <v>2615250.5300000003</v>
      </c>
      <c r="HS14" s="88">
        <f t="shared" si="13"/>
        <v>237.26809885620918</v>
      </c>
      <c r="HT14" s="89">
        <f t="shared" si="45"/>
        <v>2904161.5300000003</v>
      </c>
      <c r="HU14" s="88">
        <f t="shared" si="14"/>
        <v>238.19674809395428</v>
      </c>
      <c r="HV14" s="89">
        <f t="shared" si="46"/>
        <v>2915528.1966700004</v>
      </c>
      <c r="HW14" s="88">
        <f t="shared" si="15"/>
        <v>238.87757598039218</v>
      </c>
      <c r="HX14" s="89">
        <f t="shared" si="47"/>
        <v>2923861.5300000003</v>
      </c>
      <c r="HY14" s="89"/>
    </row>
    <row r="15" spans="1:247" ht="67.5" x14ac:dyDescent="0.25">
      <c r="A15" s="79" t="s">
        <v>225</v>
      </c>
      <c r="B15" s="80" t="s">
        <v>231</v>
      </c>
      <c r="C15" s="59" t="s">
        <v>227</v>
      </c>
      <c r="D15" s="201">
        <v>23040</v>
      </c>
      <c r="E15" s="201">
        <v>23040</v>
      </c>
      <c r="F15" s="201">
        <v>23040</v>
      </c>
      <c r="G15" s="201">
        <v>23041</v>
      </c>
      <c r="H15" s="201">
        <v>23042</v>
      </c>
      <c r="I15" s="81">
        <f>279.43+82.48+$AU$10</f>
        <v>363.10576581285943</v>
      </c>
      <c r="J15" s="81">
        <f t="shared" si="0"/>
        <v>8365956.8443282815</v>
      </c>
      <c r="K15" s="81">
        <f>279.43-0.02-58.08</f>
        <v>221.33000000000004</v>
      </c>
      <c r="L15" s="81">
        <f t="shared" si="16"/>
        <v>5099664.5300000012</v>
      </c>
      <c r="M15" s="81">
        <f>279.43-0.04-102.3</f>
        <v>177.08999999999997</v>
      </c>
      <c r="N15" s="81">
        <f t="shared" si="17"/>
        <v>4080507.7799999993</v>
      </c>
      <c r="O15" s="90"/>
      <c r="P15" s="90"/>
      <c r="Q15" s="193">
        <v>23040</v>
      </c>
      <c r="R15" s="85">
        <v>279.43</v>
      </c>
      <c r="S15" s="85">
        <f t="shared" si="1"/>
        <v>6438067.2000000002</v>
      </c>
      <c r="T15" s="90"/>
      <c r="U15" s="193">
        <v>23041</v>
      </c>
      <c r="V15" s="81">
        <f>279.43-0.02</f>
        <v>279.41000000000003</v>
      </c>
      <c r="W15" s="85">
        <f t="shared" si="18"/>
        <v>6437885.8100000005</v>
      </c>
      <c r="X15" s="90"/>
      <c r="Y15" s="193">
        <v>23042</v>
      </c>
      <c r="Z15" s="81">
        <f>279.43-0.04</f>
        <v>279.39</v>
      </c>
      <c r="AA15" s="85">
        <f t="shared" si="19"/>
        <v>6437704.3799999999</v>
      </c>
      <c r="AB15" s="90"/>
      <c r="AC15" s="90"/>
      <c r="AD15" s="90"/>
      <c r="AE15" s="81">
        <f t="shared" si="20"/>
        <v>361.91257536156132</v>
      </c>
      <c r="AF15" s="85">
        <f t="shared" si="21"/>
        <v>8338465.7363303732</v>
      </c>
      <c r="AG15" s="90"/>
      <c r="AH15" s="81">
        <f>V15+AI10</f>
        <v>221.32763010819917</v>
      </c>
      <c r="AI15" s="85">
        <f t="shared" si="22"/>
        <v>5099609.9253230169</v>
      </c>
      <c r="AJ15" s="90"/>
      <c r="AK15" s="81">
        <f t="shared" si="23"/>
        <v>177.08823368358549</v>
      </c>
      <c r="AL15" s="85">
        <f t="shared" si="24"/>
        <v>4080467.0805371767</v>
      </c>
      <c r="AM15" s="72"/>
      <c r="AN15" s="90"/>
      <c r="AO15" s="90"/>
      <c r="AP15" s="81">
        <f t="shared" si="25"/>
        <v>361.91257536156132</v>
      </c>
      <c r="AQ15" s="85">
        <f t="shared" si="26"/>
        <v>8338465.7363303732</v>
      </c>
      <c r="AR15" s="90"/>
      <c r="AS15" s="90"/>
      <c r="AT15" s="81">
        <f t="shared" si="48"/>
        <v>363.10834117442073</v>
      </c>
      <c r="AU15" s="85">
        <f t="shared" si="27"/>
        <v>8366016.1806586534</v>
      </c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193">
        <v>20196</v>
      </c>
      <c r="BL15" s="85">
        <v>266.95</v>
      </c>
      <c r="BM15" s="85">
        <f t="shared" si="2"/>
        <v>5391322.2000000002</v>
      </c>
      <c r="BN15" s="72"/>
      <c r="BO15" s="72"/>
      <c r="BP15" s="157" t="s">
        <v>403</v>
      </c>
      <c r="BQ15" s="413">
        <f>BU15+BU16</f>
        <v>27957415.149999999</v>
      </c>
      <c r="BR15" s="414">
        <v>266.95</v>
      </c>
      <c r="BS15" s="85">
        <f t="shared" si="28"/>
        <v>5391322.2000000002</v>
      </c>
      <c r="BT15" s="72"/>
      <c r="BU15" s="85">
        <v>24652200</v>
      </c>
      <c r="BV15" s="197" t="s">
        <v>405</v>
      </c>
      <c r="BW15" s="72"/>
      <c r="BX15" s="72"/>
      <c r="BY15" s="157" t="s">
        <v>294</v>
      </c>
      <c r="BZ15" s="413">
        <f>CC15+CC16+CC17</f>
        <v>28017284.219999999</v>
      </c>
      <c r="CA15" s="84">
        <f>$BR$15+69.81</f>
        <v>336.76</v>
      </c>
      <c r="CB15" s="85">
        <f t="shared" si="3"/>
        <v>6801204.96</v>
      </c>
      <c r="CC15" s="85">
        <v>24652200</v>
      </c>
      <c r="CD15" s="85" t="s">
        <v>405</v>
      </c>
      <c r="CE15" s="72"/>
      <c r="CF15" s="72"/>
      <c r="CG15" s="84">
        <f>$BR$15+70.74</f>
        <v>337.69</v>
      </c>
      <c r="CH15" s="85">
        <f t="shared" si="29"/>
        <v>6819987.2400000002</v>
      </c>
      <c r="CI15" s="92">
        <f>CI14-BZ12</f>
        <v>21648208.82</v>
      </c>
      <c r="CJ15" s="78" t="s">
        <v>417</v>
      </c>
      <c r="CK15" s="78"/>
      <c r="CL15" s="157" t="s">
        <v>294</v>
      </c>
      <c r="CM15" s="413">
        <f>CP15+CP16+CP17</f>
        <v>28392284.219999999</v>
      </c>
      <c r="CN15" s="84">
        <f>$BR$15+70.74+25.8</f>
        <v>363.49</v>
      </c>
      <c r="CO15" s="85">
        <f>CN15*$BK$15</f>
        <v>7341044.04</v>
      </c>
      <c r="CP15" s="85">
        <v>24652200</v>
      </c>
      <c r="CQ15" s="85" t="s">
        <v>405</v>
      </c>
      <c r="CS15" s="416" t="s">
        <v>429</v>
      </c>
      <c r="CT15" s="202">
        <f>CP15+CP16+CP17</f>
        <v>28392284.219999999</v>
      </c>
      <c r="CU15" s="78"/>
      <c r="CV15" s="202"/>
      <c r="CW15" s="202"/>
      <c r="CX15" s="157" t="s">
        <v>294</v>
      </c>
      <c r="CY15" s="413">
        <f>DB15+DB16+DB17</f>
        <v>28392284.219999999</v>
      </c>
      <c r="CZ15" s="84">
        <f>$BR$15+70.74+25.8+0.88</f>
        <v>364.37</v>
      </c>
      <c r="DA15" s="85">
        <f>CZ15*$BK$15</f>
        <v>7358816.5200000005</v>
      </c>
      <c r="DB15" s="85">
        <v>24652200</v>
      </c>
      <c r="DC15" s="85" t="s">
        <v>405</v>
      </c>
      <c r="DD15" s="416" t="s">
        <v>429</v>
      </c>
      <c r="DE15" s="92">
        <f>DB15+DB16+DB17</f>
        <v>28392284.219999999</v>
      </c>
      <c r="DF15" s="78"/>
      <c r="DG15" s="78"/>
      <c r="DH15" s="78"/>
      <c r="DI15" s="157" t="s">
        <v>446</v>
      </c>
      <c r="DJ15" s="413">
        <f>DM15+DM16+DM17</f>
        <v>28826552.359999999</v>
      </c>
      <c r="DK15" s="84">
        <f>$BR$15+70.74+25.8+0.88</f>
        <v>364.37</v>
      </c>
      <c r="DL15" s="85">
        <f>DK15*$BK$15</f>
        <v>7358816.5200000005</v>
      </c>
      <c r="DM15" s="85">
        <f>24652200+434268.14</f>
        <v>25086468.140000001</v>
      </c>
      <c r="DN15" s="85" t="s">
        <v>405</v>
      </c>
      <c r="DO15" s="416" t="s">
        <v>429</v>
      </c>
      <c r="DP15" s="92">
        <f>DM15+DM16+DM17</f>
        <v>28826552.359999999</v>
      </c>
      <c r="DQ15" s="85">
        <f>DP15-DE15</f>
        <v>434268.1400000006</v>
      </c>
      <c r="DR15" s="419">
        <f>DQ15/$BK$24</f>
        <v>4.140619183829144</v>
      </c>
      <c r="DS15" s="197" t="s">
        <v>445</v>
      </c>
      <c r="DT15" s="78"/>
      <c r="DU15" s="157" t="s">
        <v>446</v>
      </c>
      <c r="DV15" s="413">
        <f>DY15+DY16+DY17+DY18</f>
        <v>27254373.359999999</v>
      </c>
      <c r="DW15" s="84">
        <f>$BR$15+70.74+25.8+0.88+75.88</f>
        <v>440.25</v>
      </c>
      <c r="DX15" s="85">
        <f>DW15*$BK$15</f>
        <v>8891289</v>
      </c>
      <c r="DY15" s="85">
        <f>24652200+434268.14-1572179</f>
        <v>23514289.140000001</v>
      </c>
      <c r="DZ15" s="85" t="s">
        <v>405</v>
      </c>
      <c r="EA15" s="416" t="s">
        <v>429</v>
      </c>
      <c r="EB15" s="92">
        <f>DY15+DY16+DY17+DY18</f>
        <v>27254373.359999999</v>
      </c>
      <c r="EC15" s="85">
        <f>EB15-DP15</f>
        <v>-1572179</v>
      </c>
      <c r="ED15" s="419">
        <f>EC15/$BK$24</f>
        <v>-14.990265064836002</v>
      </c>
      <c r="EE15" s="420" t="s">
        <v>455</v>
      </c>
      <c r="EF15" s="72"/>
      <c r="EG15" s="72" t="s">
        <v>457</v>
      </c>
      <c r="EH15" s="214" t="s">
        <v>469</v>
      </c>
      <c r="EI15" s="96">
        <f>20196-1836</f>
        <v>18360</v>
      </c>
      <c r="EJ15" s="415">
        <f>364.37+263.606161</f>
        <v>627.97616100000005</v>
      </c>
      <c r="EK15" s="85">
        <f t="shared" si="4"/>
        <v>11529642.315960001</v>
      </c>
      <c r="EL15" s="97">
        <f>266.95</f>
        <v>266.95</v>
      </c>
      <c r="EM15" s="81">
        <f>266.95+113.87</f>
        <v>380.82</v>
      </c>
      <c r="EN15" s="85">
        <f t="shared" si="30"/>
        <v>6991855.2000000002</v>
      </c>
      <c r="EO15" s="72"/>
      <c r="EP15" s="181"/>
      <c r="EQ15" s="72"/>
      <c r="ER15" s="72"/>
      <c r="ES15" s="180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E15" s="416" t="s">
        <v>429</v>
      </c>
      <c r="FF15" s="92">
        <f>DY15+DY16+DY17</f>
        <v>27254373.359999999</v>
      </c>
      <c r="FG15" s="85">
        <f>FF15-DQ15</f>
        <v>26820105.219999999</v>
      </c>
      <c r="FH15" s="419">
        <f>FG15/$BK$24</f>
        <v>255.72182704042714</v>
      </c>
      <c r="FI15" s="197" t="s">
        <v>445</v>
      </c>
      <c r="FJ15" s="88"/>
      <c r="FK15" s="90"/>
      <c r="FL15" s="157" t="s">
        <v>294</v>
      </c>
      <c r="FM15" s="413">
        <v>10745500</v>
      </c>
      <c r="FN15" s="414">
        <f t="shared" si="31"/>
        <v>27254392.2981585</v>
      </c>
      <c r="FO15" s="85" t="e">
        <f t="shared" si="32"/>
        <v>#VALUE!</v>
      </c>
      <c r="FP15" s="72"/>
      <c r="FQ15" s="157" t="s">
        <v>294</v>
      </c>
      <c r="FR15" s="413">
        <v>10745500</v>
      </c>
      <c r="FS15" s="414">
        <f t="shared" si="33"/>
        <v>27254394.205365401</v>
      </c>
      <c r="FT15" s="85" t="e">
        <f t="shared" si="34"/>
        <v>#VALUE!</v>
      </c>
      <c r="FU15" s="72"/>
      <c r="FV15" s="157" t="s">
        <v>294</v>
      </c>
      <c r="FW15" s="413">
        <v>10745500</v>
      </c>
      <c r="FX15" s="414">
        <f t="shared" si="35"/>
        <v>27254403.878835101</v>
      </c>
      <c r="FY15" s="85" t="e">
        <f t="shared" si="36"/>
        <v>#VALUE!</v>
      </c>
      <c r="FZ15" s="72"/>
      <c r="GA15" s="72"/>
      <c r="GB15" s="72"/>
      <c r="GC15" s="83">
        <v>505.41846575750634</v>
      </c>
      <c r="GD15" s="91">
        <v>9534213.9380495995</v>
      </c>
      <c r="GE15" s="90"/>
      <c r="GF15" s="90"/>
      <c r="GG15" s="90"/>
      <c r="GH15" s="84" t="e">
        <f t="shared" si="5"/>
        <v>#VALUE!</v>
      </c>
      <c r="GI15" s="85">
        <f t="shared" si="37"/>
        <v>9534213.9380495995</v>
      </c>
      <c r="GJ15" s="90"/>
      <c r="GK15" s="92"/>
      <c r="GL15" s="84" t="e">
        <f t="shared" si="6"/>
        <v>#VALUE!</v>
      </c>
      <c r="GM15" s="85" t="e">
        <f t="shared" si="49"/>
        <v>#VALUE!</v>
      </c>
      <c r="GN15" s="72"/>
      <c r="GO15" s="90"/>
      <c r="GP15" s="84" t="e">
        <f t="shared" si="7"/>
        <v>#VALUE!</v>
      </c>
      <c r="GQ15" s="85" t="e">
        <f t="shared" si="38"/>
        <v>#VALUE!</v>
      </c>
      <c r="GR15" s="90"/>
      <c r="GS15" s="90"/>
      <c r="GT15" s="84" t="e">
        <f t="shared" si="8"/>
        <v>#VALUE!</v>
      </c>
      <c r="GU15" s="86" t="e">
        <f t="shared" si="39"/>
        <v>#VALUE!</v>
      </c>
      <c r="GV15" s="81" t="e">
        <f t="shared" si="40"/>
        <v>#VALUE!</v>
      </c>
      <c r="GW15" s="90"/>
      <c r="GX15" s="90"/>
      <c r="GY15" s="84" t="e">
        <f t="shared" si="9"/>
        <v>#VALUE!</v>
      </c>
      <c r="GZ15" s="86" t="e">
        <f t="shared" si="41"/>
        <v>#VALUE!</v>
      </c>
      <c r="HA15" s="81" t="e">
        <f t="shared" si="42"/>
        <v>#VALUE!</v>
      </c>
      <c r="HB15" s="90"/>
      <c r="HC15" s="90"/>
      <c r="HD15" s="90"/>
      <c r="HE15" s="90"/>
      <c r="HF15" s="84" t="e">
        <f t="shared" si="10"/>
        <v>#VALUE!</v>
      </c>
      <c r="HG15" s="86" t="e">
        <f t="shared" si="43"/>
        <v>#VALUE!</v>
      </c>
      <c r="HH15" s="81" t="e">
        <f t="shared" si="44"/>
        <v>#VALUE!</v>
      </c>
      <c r="HI15" s="90"/>
      <c r="HJ15" s="90"/>
      <c r="HK15" s="90"/>
      <c r="HL15" s="90"/>
      <c r="HM15" s="87">
        <v>212.43</v>
      </c>
      <c r="HN15" s="176">
        <v>38916</v>
      </c>
      <c r="HO15" s="88">
        <v>199.8</v>
      </c>
      <c r="HP15" s="89">
        <v>7775416.7999999998</v>
      </c>
      <c r="HQ15" s="88">
        <f t="shared" si="11"/>
        <v>204.49717673964435</v>
      </c>
      <c r="HR15" s="89">
        <f t="shared" si="12"/>
        <v>7958212.1299999999</v>
      </c>
      <c r="HS15" s="88">
        <f t="shared" si="13"/>
        <v>211.92114117586596</v>
      </c>
      <c r="HT15" s="89">
        <f t="shared" si="45"/>
        <v>8247123.1299999999</v>
      </c>
      <c r="HU15" s="88">
        <f t="shared" si="14"/>
        <v>212.21322326729367</v>
      </c>
      <c r="HV15" s="89">
        <f t="shared" si="46"/>
        <v>8258489.7966700001</v>
      </c>
      <c r="HW15" s="88">
        <f t="shared" si="15"/>
        <v>212.42735969781066</v>
      </c>
      <c r="HX15" s="89">
        <f t="shared" si="47"/>
        <v>8266823.1299999999</v>
      </c>
      <c r="HY15" s="89"/>
      <c r="IC15" s="74" t="s">
        <v>232</v>
      </c>
      <c r="IF15" s="74" t="s">
        <v>232</v>
      </c>
    </row>
    <row r="16" spans="1:247" ht="84" x14ac:dyDescent="0.25">
      <c r="A16" s="80" t="s">
        <v>225</v>
      </c>
      <c r="B16" s="80" t="s">
        <v>233</v>
      </c>
      <c r="C16" s="59" t="s">
        <v>227</v>
      </c>
      <c r="D16" s="201">
        <v>10980</v>
      </c>
      <c r="E16" s="201">
        <v>10980</v>
      </c>
      <c r="F16" s="201">
        <v>10980</v>
      </c>
      <c r="G16" s="201">
        <v>10981</v>
      </c>
      <c r="H16" s="201">
        <v>10982</v>
      </c>
      <c r="I16" s="81">
        <f>279.4+82.48+$AU$10</f>
        <v>363.0757658128594</v>
      </c>
      <c r="J16" s="81">
        <f t="shared" si="0"/>
        <v>3986571.9086251962</v>
      </c>
      <c r="K16" s="81">
        <f>279.4-0.02-58.08</f>
        <v>221.3</v>
      </c>
      <c r="L16" s="81">
        <f t="shared" si="16"/>
        <v>2430095.3000000003</v>
      </c>
      <c r="M16" s="81">
        <f>279.4-0.05-102.3</f>
        <v>177.04999999999995</v>
      </c>
      <c r="N16" s="81">
        <f t="shared" si="17"/>
        <v>1944363.0999999994</v>
      </c>
      <c r="O16" s="90"/>
      <c r="P16" s="90"/>
      <c r="Q16" s="193">
        <v>10980</v>
      </c>
      <c r="R16" s="85">
        <v>279.39999999999998</v>
      </c>
      <c r="S16" s="85">
        <f t="shared" si="1"/>
        <v>3067811.9999999995</v>
      </c>
      <c r="T16" s="90"/>
      <c r="U16" s="193">
        <v>10981</v>
      </c>
      <c r="V16" s="81">
        <f>279.4-0.02</f>
        <v>279.38</v>
      </c>
      <c r="W16" s="85">
        <f t="shared" si="18"/>
        <v>3067871.78</v>
      </c>
      <c r="X16" s="90"/>
      <c r="Y16" s="421">
        <v>10982</v>
      </c>
      <c r="Z16" s="422">
        <f>279.4-0.05</f>
        <v>279.34999999999997</v>
      </c>
      <c r="AA16" s="85">
        <f t="shared" si="19"/>
        <v>3067821.6999999997</v>
      </c>
      <c r="AB16" s="90"/>
      <c r="AC16" s="90"/>
      <c r="AD16" s="90"/>
      <c r="AE16" s="81">
        <f t="shared" si="20"/>
        <v>361.88257536156129</v>
      </c>
      <c r="AF16" s="85">
        <f t="shared" si="21"/>
        <v>3973470.6774699432</v>
      </c>
      <c r="AG16" s="90"/>
      <c r="AH16" s="81">
        <f>V16+AI10</f>
        <v>221.29763010819914</v>
      </c>
      <c r="AI16" s="85">
        <f t="shared" si="22"/>
        <v>2430069.2762181349</v>
      </c>
      <c r="AJ16" s="90"/>
      <c r="AK16" s="81">
        <f t="shared" si="23"/>
        <v>177.04823368358547</v>
      </c>
      <c r="AL16" s="85">
        <f t="shared" si="24"/>
        <v>1944343.7023131356</v>
      </c>
      <c r="AM16" s="72"/>
      <c r="AN16" s="90"/>
      <c r="AO16" s="90"/>
      <c r="AP16" s="81">
        <f t="shared" si="25"/>
        <v>361.88257536156129</v>
      </c>
      <c r="AQ16" s="85">
        <f t="shared" si="26"/>
        <v>3973470.6774699432</v>
      </c>
      <c r="AR16" s="90"/>
      <c r="AS16" s="90"/>
      <c r="AT16" s="81">
        <f t="shared" si="48"/>
        <v>363.0783411744207</v>
      </c>
      <c r="AU16" s="85">
        <f t="shared" si="27"/>
        <v>3986600.1860951395</v>
      </c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193">
        <v>11772</v>
      </c>
      <c r="BL16" s="85">
        <v>266.25</v>
      </c>
      <c r="BM16" s="85">
        <f t="shared" si="2"/>
        <v>3134295</v>
      </c>
      <c r="BN16" s="72"/>
      <c r="BO16" s="72"/>
      <c r="BP16" s="157" t="s">
        <v>258</v>
      </c>
      <c r="BQ16" s="413">
        <f>BQ11+BQ15</f>
        <v>45830885.5</v>
      </c>
      <c r="BR16" s="414">
        <v>266.25</v>
      </c>
      <c r="BS16" s="85">
        <f t="shared" si="28"/>
        <v>3134295</v>
      </c>
      <c r="BT16" s="72"/>
      <c r="BU16" s="85">
        <v>3305215.15</v>
      </c>
      <c r="BV16" s="197" t="s">
        <v>407</v>
      </c>
      <c r="BW16" s="72"/>
      <c r="BX16" s="72"/>
      <c r="BY16" s="157" t="s">
        <v>258</v>
      </c>
      <c r="BZ16" s="413">
        <f>BZ11+BZ15</f>
        <v>50368974.57</v>
      </c>
      <c r="CA16" s="84">
        <f>$BR$16+69.81</f>
        <v>336.06</v>
      </c>
      <c r="CB16" s="85">
        <f t="shared" si="3"/>
        <v>3956098.32</v>
      </c>
      <c r="CC16" s="85">
        <v>3305215.15</v>
      </c>
      <c r="CD16" s="197" t="s">
        <v>407</v>
      </c>
      <c r="CE16" s="72"/>
      <c r="CF16" s="72"/>
      <c r="CG16" s="84">
        <f>$BR$16+70.74</f>
        <v>336.99</v>
      </c>
      <c r="CH16" s="85">
        <f t="shared" si="29"/>
        <v>3967046.2800000003</v>
      </c>
      <c r="CI16" s="72"/>
      <c r="CJ16" s="90"/>
      <c r="CK16" s="90"/>
      <c r="CL16" s="157" t="s">
        <v>258</v>
      </c>
      <c r="CM16" s="413">
        <f>CM11+CM15</f>
        <v>52440014.129999995</v>
      </c>
      <c r="CN16" s="84">
        <f>$BR$16+70.74+25.8</f>
        <v>362.79</v>
      </c>
      <c r="CO16" s="85">
        <f>CN16*$BK$16</f>
        <v>4270763.88</v>
      </c>
      <c r="CP16" s="85">
        <f>3305215.15+375000</f>
        <v>3680215.15</v>
      </c>
      <c r="CQ16" s="197" t="s">
        <v>407</v>
      </c>
      <c r="CR16" s="72" t="s">
        <v>427</v>
      </c>
      <c r="CS16" s="416" t="s">
        <v>430</v>
      </c>
      <c r="CT16" s="202">
        <f>CT15+CT14</f>
        <v>52440014.129999995</v>
      </c>
      <c r="CU16" s="78"/>
      <c r="CV16" s="450"/>
      <c r="CW16" s="450"/>
      <c r="CX16" s="157" t="s">
        <v>258</v>
      </c>
      <c r="CY16" s="413">
        <f>CY11+CY15</f>
        <v>52496455.93</v>
      </c>
      <c r="CZ16" s="84">
        <f>$BR$16+70.74+25.8+0.88</f>
        <v>363.67</v>
      </c>
      <c r="DA16" s="85">
        <f>CZ16*$BK$16</f>
        <v>4281123.24</v>
      </c>
      <c r="DB16" s="85">
        <f>3305215.15+375000</f>
        <v>3680215.15</v>
      </c>
      <c r="DC16" s="197" t="s">
        <v>407</v>
      </c>
      <c r="DD16" s="416" t="s">
        <v>430</v>
      </c>
      <c r="DE16" s="92">
        <f>DE15+DE14</f>
        <v>52496455.93</v>
      </c>
      <c r="DF16" s="78"/>
      <c r="DG16" s="451" t="s">
        <v>437</v>
      </c>
      <c r="DH16" s="451"/>
      <c r="DI16" s="157" t="s">
        <v>258</v>
      </c>
      <c r="DJ16" s="413">
        <f>DJ11+DJ15</f>
        <v>52930724.07</v>
      </c>
      <c r="DK16" s="84">
        <f>$BR$16+70.74+25.8+0.88</f>
        <v>363.67</v>
      </c>
      <c r="DL16" s="85">
        <f>DK16*$BK$16</f>
        <v>4281123.24</v>
      </c>
      <c r="DM16" s="85">
        <f>3305215.15+375000</f>
        <v>3680215.15</v>
      </c>
      <c r="DN16" s="197" t="s">
        <v>407</v>
      </c>
      <c r="DO16" s="416" t="s">
        <v>430</v>
      </c>
      <c r="DP16" s="92">
        <f>DP15+DP14</f>
        <v>52930724.07</v>
      </c>
      <c r="DQ16" s="78"/>
      <c r="DR16" s="451" t="s">
        <v>437</v>
      </c>
      <c r="DS16" s="451"/>
      <c r="DT16" s="451"/>
      <c r="DU16" s="423" t="s">
        <v>258</v>
      </c>
      <c r="DV16" s="424">
        <f>DV11+DV15</f>
        <v>56226747.93</v>
      </c>
      <c r="DW16" s="84">
        <f>$BR$16+70.74+25.8+0.88+75.88</f>
        <v>439.55</v>
      </c>
      <c r="DX16" s="85">
        <f>DW16*$BK$16</f>
        <v>5174382.6000000006</v>
      </c>
      <c r="DY16" s="85">
        <f>3305215.15+375000</f>
        <v>3680215.15</v>
      </c>
      <c r="DZ16" s="197" t="s">
        <v>407</v>
      </c>
      <c r="EA16" s="416" t="s">
        <v>430</v>
      </c>
      <c r="EB16" s="136">
        <f>EB15+EB14</f>
        <v>56226747.93</v>
      </c>
      <c r="EC16" s="78"/>
      <c r="ED16" s="78"/>
      <c r="EE16" s="78"/>
      <c r="EF16" s="78"/>
      <c r="EG16" s="78"/>
      <c r="EH16" s="214" t="s">
        <v>470</v>
      </c>
      <c r="EI16" s="96">
        <f>11772-1944</f>
        <v>9828</v>
      </c>
      <c r="EJ16" s="85">
        <f>363.67+263.61</f>
        <v>627.28</v>
      </c>
      <c r="EK16" s="85">
        <f t="shared" si="4"/>
        <v>6164907.8399999999</v>
      </c>
      <c r="EL16" s="97">
        <f>266.25</f>
        <v>266.25</v>
      </c>
      <c r="EM16" s="81">
        <f>266.25+113.86</f>
        <v>380.11</v>
      </c>
      <c r="EN16" s="85">
        <f t="shared" si="30"/>
        <v>3735721.08</v>
      </c>
      <c r="EO16" s="92"/>
      <c r="EP16" s="72"/>
      <c r="EQ16" s="72"/>
      <c r="ER16" s="72"/>
      <c r="ES16" s="225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E16" s="416" t="s">
        <v>430</v>
      </c>
      <c r="FF16" s="92">
        <f>FF15+FF14</f>
        <v>56226747.870000005</v>
      </c>
      <c r="FG16" s="78"/>
      <c r="FH16" s="451" t="s">
        <v>437</v>
      </c>
      <c r="FI16" s="451"/>
      <c r="FJ16" s="88"/>
      <c r="FK16" s="90"/>
      <c r="FL16" s="157" t="s">
        <v>116</v>
      </c>
      <c r="FM16" s="413">
        <f>FM11+FM15</f>
        <v>43571169</v>
      </c>
      <c r="FN16" s="414">
        <f t="shared" si="31"/>
        <v>56226766.808158502</v>
      </c>
      <c r="FO16" s="85" t="e">
        <f t="shared" si="32"/>
        <v>#VALUE!</v>
      </c>
      <c r="FP16" s="72"/>
      <c r="FQ16" s="157" t="s">
        <v>116</v>
      </c>
      <c r="FR16" s="413">
        <f>FR11+FR15</f>
        <v>43689194.590000004</v>
      </c>
      <c r="FS16" s="414">
        <f t="shared" si="33"/>
        <v>56226768.715365402</v>
      </c>
      <c r="FT16" s="85" t="e">
        <f t="shared" si="34"/>
        <v>#VALUE!</v>
      </c>
      <c r="FU16" s="72"/>
      <c r="FV16" s="157" t="s">
        <v>116</v>
      </c>
      <c r="FW16" s="413">
        <f>FW11+FW15</f>
        <v>44287827.590000004</v>
      </c>
      <c r="FX16" s="414">
        <f t="shared" si="35"/>
        <v>56226778.388835102</v>
      </c>
      <c r="FY16" s="85" t="e">
        <f t="shared" si="36"/>
        <v>#VALUE!</v>
      </c>
      <c r="FZ16" s="72"/>
      <c r="GA16" s="72"/>
      <c r="GB16" s="72"/>
      <c r="GC16" s="83"/>
      <c r="GD16" s="91"/>
      <c r="GE16" s="90"/>
      <c r="GF16" s="90"/>
      <c r="GG16" s="90"/>
      <c r="GH16" s="84"/>
      <c r="GI16" s="85"/>
      <c r="GJ16" s="90"/>
      <c r="GK16" s="92"/>
      <c r="GL16" s="84"/>
      <c r="GM16" s="85"/>
      <c r="GN16" s="72"/>
      <c r="GO16" s="90"/>
      <c r="GP16" s="84"/>
      <c r="GQ16" s="85"/>
      <c r="GR16" s="90"/>
      <c r="GS16" s="90"/>
      <c r="GT16" s="84"/>
      <c r="GU16" s="86"/>
      <c r="GV16" s="81"/>
      <c r="GW16" s="90"/>
      <c r="GX16" s="90"/>
      <c r="GY16" s="84"/>
      <c r="GZ16" s="86"/>
      <c r="HA16" s="81"/>
      <c r="HB16" s="277"/>
      <c r="HC16" s="277"/>
      <c r="HD16" s="90"/>
      <c r="HE16" s="90"/>
      <c r="HF16" s="84"/>
      <c r="HG16" s="86"/>
      <c r="HH16" s="81"/>
      <c r="HI16" s="277"/>
      <c r="HJ16" s="277"/>
      <c r="HK16" s="90"/>
      <c r="HL16" s="90"/>
      <c r="HM16" s="93">
        <v>219.87</v>
      </c>
      <c r="HN16" s="176">
        <v>18540</v>
      </c>
      <c r="HO16" s="88">
        <v>193.36</v>
      </c>
      <c r="HP16" s="89">
        <v>3584894.4</v>
      </c>
      <c r="HQ16" s="88">
        <f t="shared" si="11"/>
        <v>203.21951078748651</v>
      </c>
      <c r="HR16" s="89">
        <f t="shared" si="12"/>
        <v>3767689.73</v>
      </c>
      <c r="HS16" s="88">
        <f t="shared" si="13"/>
        <v>218.80262837108953</v>
      </c>
      <c r="HT16" s="89">
        <f t="shared" si="45"/>
        <v>4056600.73</v>
      </c>
      <c r="HU16" s="88">
        <f t="shared" si="14"/>
        <v>219.41571718824164</v>
      </c>
      <c r="HV16" s="89">
        <f t="shared" si="46"/>
        <v>4067967.3966700002</v>
      </c>
      <c r="HW16" s="88">
        <f t="shared" si="15"/>
        <v>219.86519579288026</v>
      </c>
      <c r="HX16" s="89">
        <f t="shared" si="47"/>
        <v>4076300.73</v>
      </c>
      <c r="HY16" s="185" t="s">
        <v>369</v>
      </c>
      <c r="IA16" s="452"/>
      <c r="IB16" s="452"/>
      <c r="IC16" s="453"/>
      <c r="ID16" s="454"/>
      <c r="IE16" s="453"/>
      <c r="IF16" s="453"/>
      <c r="IG16" s="455"/>
      <c r="IH16" s="130" t="s">
        <v>370</v>
      </c>
      <c r="II16" s="184" t="s">
        <v>371</v>
      </c>
      <c r="IJ16" s="187" t="s">
        <v>372</v>
      </c>
      <c r="IK16" s="130" t="s">
        <v>376</v>
      </c>
      <c r="IL16" s="130"/>
      <c r="IM16" s="130" t="s">
        <v>373</v>
      </c>
    </row>
    <row r="17" spans="1:247" ht="27" customHeight="1" x14ac:dyDescent="0.25">
      <c r="A17" s="94" t="s">
        <v>234</v>
      </c>
      <c r="B17" s="95" t="s">
        <v>235</v>
      </c>
      <c r="C17" s="59"/>
      <c r="D17" s="96">
        <f>SUM(D11:D16)</f>
        <v>68868</v>
      </c>
      <c r="E17" s="96">
        <f>SUM(E11:E16)</f>
        <v>68868</v>
      </c>
      <c r="F17" s="96">
        <f>SUM(F11:F16)</f>
        <v>68868</v>
      </c>
      <c r="G17" s="96">
        <f>SUM(G11:G16)</f>
        <v>68873</v>
      </c>
      <c r="H17" s="96">
        <f>SUM(H11:H16)</f>
        <v>68878</v>
      </c>
      <c r="I17" s="97">
        <f>J17/D17</f>
        <v>363.08936568165188</v>
      </c>
      <c r="J17" s="97">
        <f>SUM(J11:J16)</f>
        <v>25005238.435764004</v>
      </c>
      <c r="K17" s="97">
        <f>L17/G17</f>
        <v>221.30837016717729</v>
      </c>
      <c r="L17" s="97">
        <f>SUM(L11:L16)</f>
        <v>15242171.378524002</v>
      </c>
      <c r="M17" s="97">
        <f>N17/H17</f>
        <v>177.06869215804753</v>
      </c>
      <c r="N17" s="97">
        <f>SUM(N11:N16)</f>
        <v>12196137.378461998</v>
      </c>
      <c r="O17" s="82"/>
      <c r="P17" s="82"/>
      <c r="Q17" s="425">
        <f>SUM(Q11:Q16)</f>
        <v>68868</v>
      </c>
      <c r="R17" s="84">
        <f>S17/Q17</f>
        <v>279.41102456874017</v>
      </c>
      <c r="S17" s="84">
        <f>SUM(S11:S16)</f>
        <v>19242478.439999998</v>
      </c>
      <c r="T17" s="82"/>
      <c r="U17" s="194">
        <f>SUM(U11:U16)</f>
        <v>68873</v>
      </c>
      <c r="V17" s="97">
        <f>W17/U17</f>
        <v>279.39074008040888</v>
      </c>
      <c r="W17" s="84">
        <f>SUM(W11:W16)</f>
        <v>19242478.441558</v>
      </c>
      <c r="X17" s="82"/>
      <c r="Y17" s="194">
        <f>SUM(Y11:Y16)</f>
        <v>68878</v>
      </c>
      <c r="Z17" s="97">
        <f>AA17/Y17</f>
        <v>279.3704584967914</v>
      </c>
      <c r="AA17" s="84">
        <f>SUM(AA11:AA16)</f>
        <v>19242478.440341998</v>
      </c>
      <c r="AB17" s="82"/>
      <c r="AC17" s="82"/>
      <c r="AD17" s="82"/>
      <c r="AE17" s="97">
        <f>AF17/Q17</f>
        <v>361.89359993030155</v>
      </c>
      <c r="AF17" s="97">
        <f>SUM(AF11:AF16)</f>
        <v>24922888.440000005</v>
      </c>
      <c r="AG17" s="82"/>
      <c r="AH17" s="229">
        <f>AI17/U17</f>
        <v>221.308370188608</v>
      </c>
      <c r="AI17" s="97">
        <f>SUM(AI11:AI16)</f>
        <v>15242171.379999999</v>
      </c>
      <c r="AJ17" s="82"/>
      <c r="AK17" s="97">
        <f>AL17/Y17</f>
        <v>177.06869218037693</v>
      </c>
      <c r="AL17" s="97">
        <f>SUM(AL11:AL16)</f>
        <v>12196137.380000003</v>
      </c>
      <c r="AM17" s="136"/>
      <c r="AN17" s="82"/>
      <c r="AO17" s="82"/>
      <c r="AP17" s="97">
        <f>AQ17/Q17</f>
        <v>361.89359993030155</v>
      </c>
      <c r="AQ17" s="97">
        <f>SUM(AQ11:AQ16)</f>
        <v>24922888.440000005</v>
      </c>
      <c r="AR17" s="82"/>
      <c r="AS17" s="82"/>
      <c r="AT17" s="97">
        <f>AU17/Q17</f>
        <v>363.0893657431609</v>
      </c>
      <c r="AU17" s="97">
        <f>SUM(AU11:AU16)</f>
        <v>25005238.440000005</v>
      </c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194">
        <f>SUM(BK11:BK16)</f>
        <v>64152</v>
      </c>
      <c r="BL17" s="84">
        <f>BM17/BK17</f>
        <v>266.71242985409651</v>
      </c>
      <c r="BM17" s="84">
        <f>SUM(BM11:BM16)</f>
        <v>17110135.800000001</v>
      </c>
      <c r="BN17" s="72"/>
      <c r="BO17" s="72"/>
      <c r="BP17" s="84"/>
      <c r="BQ17" s="156"/>
      <c r="BR17" s="81"/>
      <c r="BS17" s="84">
        <f>SUM(BS11:BS16)</f>
        <v>17110135.800000001</v>
      </c>
      <c r="BT17" s="92"/>
      <c r="BU17" s="84">
        <f>SUM(BU11:BU16)</f>
        <v>45830885.5</v>
      </c>
      <c r="BV17" s="84"/>
      <c r="BW17" s="72"/>
      <c r="BX17" s="78" t="s">
        <v>409</v>
      </c>
      <c r="BY17" s="456">
        <f>BZ16-BQ16</f>
        <v>4538089.07</v>
      </c>
      <c r="BZ17" s="457"/>
      <c r="CA17" s="81"/>
      <c r="CB17" s="84">
        <f>SUM(CB11:CB16)</f>
        <v>21588339.746879999</v>
      </c>
      <c r="CC17" s="85">
        <v>59869.07</v>
      </c>
      <c r="CD17" s="85" t="s">
        <v>408</v>
      </c>
      <c r="CE17" s="92">
        <f>CE14-CB25</f>
        <v>21588323.700000003</v>
      </c>
      <c r="CF17" s="202" t="s">
        <v>414</v>
      </c>
      <c r="CG17" s="81"/>
      <c r="CH17" s="84">
        <f>SUM(CH11:CH16)</f>
        <v>21648208.817376003</v>
      </c>
      <c r="CI17" s="92">
        <f>CI15-BS17</f>
        <v>4538073.0199999996</v>
      </c>
      <c r="CJ17" s="432">
        <f>CI17/BK17</f>
        <v>70.739384898366367</v>
      </c>
      <c r="CK17" s="432"/>
      <c r="CL17" s="456"/>
      <c r="CM17" s="457"/>
      <c r="CN17" s="426" t="s">
        <v>424</v>
      </c>
      <c r="CO17" s="84">
        <f>SUM(CO11:CO16)</f>
        <v>23284363.258187998</v>
      </c>
      <c r="CP17" s="85">
        <v>59869.07</v>
      </c>
      <c r="CQ17" s="85" t="s">
        <v>408</v>
      </c>
      <c r="CR17" s="92">
        <f>CT14-CO25</f>
        <v>23284363.260000002</v>
      </c>
      <c r="CS17" s="202" t="s">
        <v>423</v>
      </c>
      <c r="CT17" s="202">
        <f>CV14-CH17</f>
        <v>1636154.442623999</v>
      </c>
      <c r="CU17" s="458">
        <f>CT17/BK17</f>
        <v>25.504340357650563</v>
      </c>
      <c r="CV17" s="202"/>
      <c r="CW17" s="202"/>
      <c r="CX17" s="456"/>
      <c r="CY17" s="457"/>
      <c r="CZ17" s="215" t="s">
        <v>424</v>
      </c>
      <c r="DA17" s="84">
        <f>SUM(DA11:DA16)</f>
        <v>23340805.060103998</v>
      </c>
      <c r="DB17" s="85">
        <v>59869.07</v>
      </c>
      <c r="DC17" s="85" t="s">
        <v>408</v>
      </c>
      <c r="DD17" s="92">
        <f>DE14-DA25</f>
        <v>23340805.060000002</v>
      </c>
      <c r="DE17" s="202" t="s">
        <v>423</v>
      </c>
      <c r="DF17" s="202">
        <f>DD17-CO17</f>
        <v>56441.801812004298</v>
      </c>
      <c r="DG17" s="458">
        <f>DF17/$BK$17</f>
        <v>0.87981359602201492</v>
      </c>
      <c r="DH17" s="458"/>
      <c r="DI17" s="456"/>
      <c r="DJ17" s="457"/>
      <c r="DK17" s="215" t="s">
        <v>424</v>
      </c>
      <c r="DL17" s="84">
        <f>SUM(DL11:DL16)</f>
        <v>23340805.060103998</v>
      </c>
      <c r="DM17" s="85">
        <v>59869.07</v>
      </c>
      <c r="DN17" s="85" t="s">
        <v>408</v>
      </c>
      <c r="DO17" s="92">
        <f>DP14-DL25</f>
        <v>23340805.060000002</v>
      </c>
      <c r="DP17" s="202" t="s">
        <v>423</v>
      </c>
      <c r="DQ17" s="202"/>
      <c r="DR17" s="458">
        <f>DQ17/$BK$17</f>
        <v>0</v>
      </c>
      <c r="DS17" s="458"/>
      <c r="DT17" s="458"/>
      <c r="DU17" s="456"/>
      <c r="DV17" s="457"/>
      <c r="DW17" s="215" t="s">
        <v>424</v>
      </c>
      <c r="DX17" s="84">
        <f>SUM(DX11:DX16)</f>
        <v>28209007.918476</v>
      </c>
      <c r="DY17" s="85">
        <v>59869.07</v>
      </c>
      <c r="DZ17" s="85" t="s">
        <v>408</v>
      </c>
      <c r="EA17" s="72"/>
      <c r="EB17" s="72"/>
      <c r="EC17" s="72"/>
      <c r="ED17" s="72"/>
      <c r="EE17" s="72"/>
      <c r="EF17" s="72"/>
      <c r="EG17" s="92">
        <v>16358248.109999999</v>
      </c>
      <c r="EH17" s="92">
        <v>28209007.920000002</v>
      </c>
      <c r="EI17" s="216">
        <f>SUM(EI11:EI16)</f>
        <v>44956</v>
      </c>
      <c r="EJ17" s="84">
        <f>EK17/EI17</f>
        <v>627.48037894741526</v>
      </c>
      <c r="EK17" s="84">
        <f>SUM(EK11:EK16)</f>
        <v>28209007.915960003</v>
      </c>
      <c r="EL17" s="97">
        <f>EN17/EI17</f>
        <v>380.59737970566772</v>
      </c>
      <c r="EM17" s="97">
        <f>EN17/EI17</f>
        <v>380.59737970566772</v>
      </c>
      <c r="EN17" s="84">
        <f>SUM(EN11:EN16)</f>
        <v>17110135.802047998</v>
      </c>
      <c r="EO17" s="92"/>
      <c r="EP17" s="182"/>
      <c r="EQ17" s="92"/>
      <c r="ER17" s="92"/>
      <c r="ES17" s="92"/>
      <c r="ET17" s="224"/>
      <c r="EU17" s="92"/>
      <c r="EV17" s="92"/>
      <c r="EW17" s="92"/>
      <c r="EX17" s="92"/>
      <c r="EY17" s="92"/>
      <c r="EZ17" s="92"/>
      <c r="FA17" s="92"/>
      <c r="FB17" s="92"/>
      <c r="FC17" s="92"/>
      <c r="FE17" s="92">
        <f>FF14-DX25</f>
        <v>1718001.1476000026</v>
      </c>
      <c r="FF17" s="202" t="s">
        <v>423</v>
      </c>
      <c r="FG17" s="202"/>
      <c r="FH17" s="458">
        <f>FG17/$BK$17</f>
        <v>0</v>
      </c>
      <c r="FI17" s="458"/>
      <c r="FJ17" s="92"/>
      <c r="FK17" s="82"/>
      <c r="FL17" s="84"/>
      <c r="FM17" s="156"/>
      <c r="FN17" s="81"/>
      <c r="FO17" s="84" t="e">
        <f>SUM(FO11:FO16)</f>
        <v>#VALUE!</v>
      </c>
      <c r="FP17" s="92"/>
      <c r="FQ17" s="84"/>
      <c r="FR17" s="156"/>
      <c r="FS17" s="81"/>
      <c r="FT17" s="84" t="e">
        <f>SUM(FT11:FT16)</f>
        <v>#VALUE!</v>
      </c>
      <c r="FU17" s="92"/>
      <c r="FV17" s="84"/>
      <c r="FW17" s="156"/>
      <c r="FX17" s="81"/>
      <c r="FY17" s="84" t="e">
        <f>SUM(FY11:FY16)</f>
        <v>#VALUE!</v>
      </c>
      <c r="FZ17" s="92"/>
      <c r="GA17" s="92"/>
      <c r="GB17" s="92"/>
      <c r="GC17" s="84"/>
      <c r="GD17" s="84"/>
      <c r="GE17" s="82"/>
      <c r="GF17" s="84"/>
      <c r="GG17" s="427"/>
      <c r="GH17" s="81"/>
      <c r="GI17" s="84"/>
      <c r="GJ17" s="82"/>
      <c r="GK17" s="82"/>
      <c r="GL17" s="81"/>
      <c r="GM17" s="84"/>
      <c r="GN17" s="92"/>
      <c r="GO17" s="82"/>
      <c r="GP17" s="84"/>
      <c r="GQ17" s="84"/>
      <c r="GR17" s="82"/>
      <c r="GS17" s="82"/>
      <c r="GT17" s="84"/>
      <c r="GU17" s="84"/>
      <c r="GV17" s="82"/>
      <c r="GW17" s="82"/>
      <c r="GX17" s="136"/>
      <c r="GY17" s="84"/>
      <c r="GZ17" s="84"/>
      <c r="HA17" s="101"/>
      <c r="HB17" s="277"/>
      <c r="HC17" s="277"/>
      <c r="HD17" s="82"/>
      <c r="HE17" s="136"/>
      <c r="HF17" s="84"/>
      <c r="HG17" s="84"/>
      <c r="HH17" s="101"/>
      <c r="HI17" s="277"/>
      <c r="HJ17" s="277"/>
      <c r="HK17" s="459"/>
      <c r="HL17" s="82"/>
      <c r="HM17" s="87">
        <v>231.71</v>
      </c>
      <c r="HN17" s="428">
        <f>SUM(HN11:HN16)</f>
        <v>114192</v>
      </c>
      <c r="HP17" s="98">
        <f>SUM(HP11:HP16)</f>
        <v>22642242.800000001</v>
      </c>
      <c r="HQ17" s="87">
        <f>1388260+5445800+21848112</f>
        <v>28682172</v>
      </c>
      <c r="HR17" s="88">
        <f>SUM(HR11:HR16)+0.02</f>
        <v>23739014.800000001</v>
      </c>
      <c r="HS17" s="98"/>
      <c r="HT17" s="429">
        <f>SUM(HT11:HT16)+0.02</f>
        <v>25472480.800000001</v>
      </c>
      <c r="HU17" s="99"/>
      <c r="HV17" s="88">
        <f>SUM(HV11:HV16)+0.02</f>
        <v>25540680.800020002</v>
      </c>
      <c r="HX17" s="88">
        <f>SUM(HX11:HX16)+0.02</f>
        <v>25590680.800000001</v>
      </c>
      <c r="HY17" s="186">
        <v>18070083</v>
      </c>
      <c r="HZ17" s="100"/>
      <c r="IA17" s="460"/>
      <c r="IB17" s="461"/>
      <c r="IC17" s="462"/>
      <c r="ID17" s="461"/>
      <c r="IE17" s="463"/>
      <c r="IF17" s="462"/>
      <c r="IG17" s="461"/>
      <c r="IH17" s="111">
        <v>15760300</v>
      </c>
      <c r="II17" s="103">
        <v>2113170.35</v>
      </c>
      <c r="IJ17" s="121">
        <f>IH17+II17</f>
        <v>17873470.350000001</v>
      </c>
      <c r="IK17" s="121">
        <f>IJ17-J26</f>
        <v>17106015.010000002</v>
      </c>
      <c r="IL17" s="103">
        <f>HY17-IK17</f>
        <v>964067.98999999836</v>
      </c>
      <c r="IM17" s="113">
        <f>IL17/D17</f>
        <v>13.998780130103944</v>
      </c>
    </row>
    <row r="18" spans="1:247" ht="86.45" customHeight="1" x14ac:dyDescent="0.25">
      <c r="A18" s="79" t="s">
        <v>225</v>
      </c>
      <c r="B18" s="80" t="s">
        <v>327</v>
      </c>
      <c r="C18" s="59" t="s">
        <v>227</v>
      </c>
      <c r="D18" s="201">
        <v>17568</v>
      </c>
      <c r="E18" s="201">
        <f t="shared" ref="E18:F18" si="50">13968+8712</f>
        <v>22680</v>
      </c>
      <c r="F18" s="201">
        <f t="shared" si="50"/>
        <v>22680</v>
      </c>
      <c r="G18" s="201">
        <v>17569</v>
      </c>
      <c r="H18" s="201">
        <v>17570</v>
      </c>
      <c r="I18" s="81">
        <f>279.4+6.25</f>
        <v>285.64999999999998</v>
      </c>
      <c r="J18" s="81">
        <f t="shared" ref="J18:J23" si="51">D18*I18</f>
        <v>5018299.1999999993</v>
      </c>
      <c r="K18" s="81">
        <f>296.16-16.78+46.4</f>
        <v>325.77999999999997</v>
      </c>
      <c r="L18" s="81">
        <f>G18*K18</f>
        <v>5723628.8199999994</v>
      </c>
      <c r="M18" s="81">
        <f>279.4-0.03+76.04</f>
        <v>355.41</v>
      </c>
      <c r="N18" s="81">
        <f>H18*M18</f>
        <v>6244553.7000000002</v>
      </c>
      <c r="O18" s="90"/>
      <c r="P18" s="90"/>
      <c r="Q18" s="193">
        <v>17568</v>
      </c>
      <c r="R18" s="85">
        <v>279.39999999999998</v>
      </c>
      <c r="S18" s="85">
        <f>R18*Q18</f>
        <v>4908499.1999999993</v>
      </c>
      <c r="T18" s="90"/>
      <c r="U18" s="193">
        <v>17569</v>
      </c>
      <c r="V18" s="81">
        <f>296.16-16.78</f>
        <v>279.38</v>
      </c>
      <c r="W18" s="85">
        <f>U18*V18</f>
        <v>4908427.22</v>
      </c>
      <c r="X18" s="90"/>
      <c r="Y18" s="193">
        <v>17570</v>
      </c>
      <c r="Z18" s="81">
        <f>279.4-0.03</f>
        <v>279.37</v>
      </c>
      <c r="AA18" s="85">
        <f>Y18*Z18</f>
        <v>4908530.9000000004</v>
      </c>
      <c r="AB18" s="90"/>
      <c r="AC18" s="90"/>
      <c r="AD18" s="193">
        <v>17568</v>
      </c>
      <c r="AE18" s="85">
        <v>279.39999999999998</v>
      </c>
      <c r="AF18" s="85">
        <f>AE18*AD18</f>
        <v>4908499.1999999993</v>
      </c>
      <c r="AG18" s="92">
        <v>33475912</v>
      </c>
      <c r="AH18" s="85">
        <f>V18+$AG$20</f>
        <v>325.78158052340143</v>
      </c>
      <c r="AI18" s="85">
        <f>AH18*U18</f>
        <v>5723656.5882156398</v>
      </c>
      <c r="AJ18" s="92">
        <v>36521946</v>
      </c>
      <c r="AK18" s="85">
        <f>Z18+$AJ$20</f>
        <v>355.41223989546108</v>
      </c>
      <c r="AL18" s="85">
        <f>AK18*Y18</f>
        <v>6244593.0549632516</v>
      </c>
      <c r="AM18" s="72"/>
      <c r="AN18" s="72" t="s">
        <v>572</v>
      </c>
      <c r="AO18" s="92">
        <f>28708149.6</f>
        <v>28708149.600000001</v>
      </c>
      <c r="AP18" s="86">
        <f>279.4+6.25</f>
        <v>285.64999999999998</v>
      </c>
      <c r="AQ18" s="85">
        <f>AP18*AD18</f>
        <v>5018299.1999999993</v>
      </c>
      <c r="AR18" s="90"/>
      <c r="AS18" s="90"/>
      <c r="AT18" s="86">
        <f>279.4+6.25</f>
        <v>285.64999999999998</v>
      </c>
      <c r="AU18" s="85">
        <f>AT18*AD18</f>
        <v>5018299.1999999993</v>
      </c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193">
        <v>13968</v>
      </c>
      <c r="BL18" s="85">
        <v>266.89999999999998</v>
      </c>
      <c r="BM18" s="85">
        <f>BL18*BK18</f>
        <v>3728059.1999999997</v>
      </c>
      <c r="BN18" s="72"/>
      <c r="BO18" s="72"/>
      <c r="BP18" s="72"/>
      <c r="BQ18" s="72"/>
      <c r="BR18" s="85">
        <v>266.89999999999998</v>
      </c>
      <c r="BS18" s="85">
        <f>BR18*BK18</f>
        <v>3728059.1999999997</v>
      </c>
      <c r="BT18" s="72"/>
      <c r="BU18" s="72"/>
      <c r="BV18" s="72"/>
      <c r="BW18" s="72"/>
      <c r="BX18" s="78" t="s">
        <v>410</v>
      </c>
      <c r="BY18" s="72">
        <f>BZ16-BQ16-CC17</f>
        <v>4478220</v>
      </c>
      <c r="BZ18" s="72"/>
      <c r="CA18" s="85">
        <v>266.89999999999998</v>
      </c>
      <c r="CB18" s="85">
        <f>CA18*BK18</f>
        <v>3728059.1999999997</v>
      </c>
      <c r="CC18" s="198">
        <f>SUM(CC11:CC17)</f>
        <v>50368974.57</v>
      </c>
      <c r="CD18" s="72"/>
      <c r="CE18" s="200"/>
      <c r="CF18" s="72"/>
      <c r="CG18" s="72"/>
      <c r="CH18" s="72"/>
      <c r="CI18" s="72"/>
      <c r="CJ18" s="90"/>
      <c r="CK18" s="90"/>
      <c r="CL18" s="72"/>
      <c r="CM18" s="72"/>
      <c r="CN18" s="85">
        <f>266.9+4.14</f>
        <v>271.03999999999996</v>
      </c>
      <c r="CO18" s="85">
        <f>CN18*BK18</f>
        <v>3785886.7199999993</v>
      </c>
      <c r="CQ18" s="72"/>
      <c r="CR18" s="92">
        <f>CT15-CB24</f>
        <v>434885.10000000149</v>
      </c>
      <c r="CS18" s="202" t="s">
        <v>432</v>
      </c>
      <c r="CT18" s="200">
        <f>CR18/BK24</f>
        <v>4.1465017162471538</v>
      </c>
      <c r="CU18" s="200"/>
      <c r="CV18" s="200"/>
      <c r="CW18" s="200"/>
      <c r="CX18" s="204"/>
      <c r="CY18" s="206"/>
      <c r="CZ18" s="85">
        <f>266.9+4.14</f>
        <v>271.03999999999996</v>
      </c>
      <c r="DA18" s="85">
        <f>CZ18*$BK$18</f>
        <v>3785886.7199999993</v>
      </c>
      <c r="DC18" s="205"/>
      <c r="DD18" s="206"/>
      <c r="DE18" s="181"/>
      <c r="DF18" s="200"/>
      <c r="DG18" s="200"/>
      <c r="DH18" s="200"/>
      <c r="DI18" s="200"/>
      <c r="DJ18" s="200"/>
      <c r="DK18" s="85">
        <f>266.9+4.14+4.14</f>
        <v>275.17999999999995</v>
      </c>
      <c r="DL18" s="85">
        <f>DK18*$BK$18</f>
        <v>3843714.2399999993</v>
      </c>
      <c r="DN18" s="200"/>
      <c r="DO18" s="200"/>
      <c r="DP18" s="200"/>
      <c r="DQ18" s="200"/>
      <c r="DR18" s="200"/>
      <c r="DS18" s="200"/>
      <c r="DT18" s="200"/>
      <c r="DU18" s="157" t="s">
        <v>452</v>
      </c>
      <c r="DV18" s="208" t="s">
        <v>453</v>
      </c>
      <c r="DW18" s="208"/>
      <c r="DX18" s="208"/>
      <c r="DY18" s="417">
        <f>133651.56-133651.56</f>
        <v>0</v>
      </c>
      <c r="DZ18" s="197" t="s">
        <v>454</v>
      </c>
      <c r="EA18" s="200"/>
      <c r="EB18" s="200"/>
      <c r="EC18" s="200"/>
      <c r="ED18" s="200"/>
      <c r="EE18" s="200"/>
      <c r="EF18" s="214" t="s">
        <v>466</v>
      </c>
      <c r="EG18" s="210">
        <f>EH18/EI17</f>
        <v>263.60796801316849</v>
      </c>
      <c r="EH18" s="209">
        <f>EH17-EG17</f>
        <v>11850759.810000002</v>
      </c>
      <c r="EI18" s="96">
        <f>13968+8712</f>
        <v>22680</v>
      </c>
      <c r="EJ18" s="464">
        <f>266.9-28.3410051</f>
        <v>238.55899489999999</v>
      </c>
      <c r="EK18" s="85">
        <f t="shared" ref="EK18:EK23" si="52">EJ18*EI18</f>
        <v>5410518.0043319995</v>
      </c>
      <c r="EL18" s="97">
        <f>266.9-51.67</f>
        <v>215.22999999999996</v>
      </c>
      <c r="EM18" s="464">
        <f>215.23-17.88-0.0469972</f>
        <v>197.3030028</v>
      </c>
      <c r="EN18" s="85">
        <f>EM18*EI18</f>
        <v>4474832.1035040002</v>
      </c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E18" s="72"/>
      <c r="FF18" s="72"/>
      <c r="FG18" s="72"/>
      <c r="FH18" s="72"/>
      <c r="FI18" s="90"/>
      <c r="FJ18" s="72"/>
      <c r="FK18" s="101"/>
      <c r="FL18" s="72"/>
      <c r="FM18" s="101"/>
      <c r="FN18" s="101"/>
      <c r="FO18" s="101"/>
      <c r="FP18" s="101" t="s">
        <v>339</v>
      </c>
      <c r="FQ18" s="193">
        <v>15948</v>
      </c>
      <c r="FR18" s="84">
        <f>112.12+38.15+7.617302</f>
        <v>157.88730200000001</v>
      </c>
      <c r="FS18" s="85">
        <f>FQ18*FR18+1.75</f>
        <v>2517988.4422960002</v>
      </c>
      <c r="FT18" s="101"/>
      <c r="FU18" s="101"/>
      <c r="FV18" s="101"/>
      <c r="FW18" s="101"/>
      <c r="FX18" s="101"/>
      <c r="FY18" s="101"/>
      <c r="FZ18" s="101"/>
      <c r="GA18" s="178">
        <f>112.12+38.15+7.617302-7.62-2.3038</f>
        <v>147.96350200000001</v>
      </c>
      <c r="GB18" s="101"/>
      <c r="GC18" s="85"/>
      <c r="GD18" s="91"/>
      <c r="GE18" s="101"/>
      <c r="GF18" s="85"/>
      <c r="GG18" s="73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92"/>
      <c r="GY18" s="85"/>
      <c r="GZ18" s="91"/>
      <c r="HA18" s="98"/>
      <c r="HB18" s="85"/>
      <c r="HC18" s="91"/>
      <c r="HD18" s="101"/>
      <c r="HE18" s="92"/>
      <c r="HF18" s="85"/>
      <c r="HG18" s="91"/>
      <c r="HH18" s="98"/>
      <c r="HI18" s="85"/>
      <c r="HJ18" s="91"/>
      <c r="HK18" s="101"/>
      <c r="HL18" s="72"/>
      <c r="HM18" s="102"/>
      <c r="HN18" s="103"/>
      <c r="HO18" s="89">
        <v>112.98</v>
      </c>
      <c r="HP18" s="87">
        <f>HO18*D18</f>
        <v>1984832.6400000001</v>
      </c>
      <c r="HQ18" s="104"/>
      <c r="HR18" s="101" t="s">
        <v>237</v>
      </c>
      <c r="HS18" s="101" t="s">
        <v>238</v>
      </c>
      <c r="HT18" s="88">
        <f>HT34</f>
        <v>25472480.800000001</v>
      </c>
      <c r="HU18" s="101" t="s">
        <v>239</v>
      </c>
      <c r="HV18" s="88">
        <f>HT39</f>
        <v>25540680.800000001</v>
      </c>
      <c r="HW18" s="101" t="s">
        <v>240</v>
      </c>
      <c r="HX18" s="88">
        <f>HT42</f>
        <v>25590680.800000001</v>
      </c>
      <c r="HY18" s="190">
        <v>18070083</v>
      </c>
      <c r="HZ18" s="100" t="s">
        <v>241</v>
      </c>
      <c r="IA18" s="89">
        <v>22132020.66</v>
      </c>
      <c r="IB18" s="465">
        <v>23739014.800000001</v>
      </c>
      <c r="IC18" s="466">
        <f>IB18/IA18</f>
        <v>1.0726094632156375</v>
      </c>
      <c r="ID18" s="465">
        <f>IB18-IA18</f>
        <v>1606994.1400000006</v>
      </c>
      <c r="IE18" s="465">
        <v>23992138</v>
      </c>
      <c r="IF18" s="467">
        <f>IE18/IB18</f>
        <v>1.0106627508400221</v>
      </c>
      <c r="IG18" s="465">
        <f>IE18-IB18</f>
        <v>253123.19999999925</v>
      </c>
      <c r="IH18" s="87">
        <v>15760300</v>
      </c>
      <c r="II18" s="99">
        <v>0</v>
      </c>
      <c r="IJ18" s="87">
        <f>IH18</f>
        <v>15760300</v>
      </c>
      <c r="IK18" s="88">
        <f>IJ18-L26</f>
        <v>15760300</v>
      </c>
      <c r="IL18" s="192">
        <f>HY18-IK18</f>
        <v>2309783</v>
      </c>
      <c r="IM18" s="191">
        <f>IL18/G17</f>
        <v>33.536843175119422</v>
      </c>
    </row>
    <row r="19" spans="1:247" ht="78" customHeight="1" x14ac:dyDescent="0.25">
      <c r="A19" s="79" t="s">
        <v>225</v>
      </c>
      <c r="B19" s="80" t="s">
        <v>242</v>
      </c>
      <c r="C19" s="59" t="s">
        <v>227</v>
      </c>
      <c r="D19" s="201">
        <v>17784</v>
      </c>
      <c r="E19" s="201">
        <f t="shared" ref="E19:F19" si="53">14508+4176</f>
        <v>18684</v>
      </c>
      <c r="F19" s="201">
        <f t="shared" si="53"/>
        <v>18684</v>
      </c>
      <c r="G19" s="201">
        <v>17785</v>
      </c>
      <c r="H19" s="201">
        <v>17786</v>
      </c>
      <c r="I19" s="81">
        <f>279.41+6.25</f>
        <v>285.66000000000003</v>
      </c>
      <c r="J19" s="81">
        <f t="shared" si="51"/>
        <v>5080177.4400000004</v>
      </c>
      <c r="K19" s="81">
        <f>296.17-16.78+46.4</f>
        <v>325.78999999999996</v>
      </c>
      <c r="L19" s="81">
        <f t="shared" ref="L19:L23" si="54">G19*K19</f>
        <v>5794175.1499999994</v>
      </c>
      <c r="M19" s="81">
        <f>279.41-0.03-0.015193+76.04</f>
        <v>355.40480700000006</v>
      </c>
      <c r="N19" s="81">
        <f t="shared" ref="N19:N23" si="55">H19*M19</f>
        <v>6321229.8973020008</v>
      </c>
      <c r="O19" s="173"/>
      <c r="P19" s="173"/>
      <c r="Q19" s="193">
        <v>17784</v>
      </c>
      <c r="R19" s="85">
        <v>279.41000000000003</v>
      </c>
      <c r="S19" s="85">
        <f t="shared" ref="S19:S23" si="56">R19*Q19</f>
        <v>4969027.4400000004</v>
      </c>
      <c r="T19" s="173"/>
      <c r="U19" s="193">
        <v>17785</v>
      </c>
      <c r="V19" s="81">
        <f>296.17-16.78</f>
        <v>279.39</v>
      </c>
      <c r="W19" s="85">
        <f t="shared" ref="W19:W23" si="57">U19*V19</f>
        <v>4968951.1499999994</v>
      </c>
      <c r="X19" s="173"/>
      <c r="Y19" s="193">
        <v>17786</v>
      </c>
      <c r="Z19" s="178">
        <f>279.41-0.03-0.015193</f>
        <v>279.36480700000004</v>
      </c>
      <c r="AA19" s="85">
        <f t="shared" ref="AA19:AA23" si="58">Y19*Z19</f>
        <v>4968782.4573020004</v>
      </c>
      <c r="AB19" s="173"/>
      <c r="AC19" s="173"/>
      <c r="AD19" s="193">
        <v>17784</v>
      </c>
      <c r="AE19" s="85">
        <v>279.41000000000003</v>
      </c>
      <c r="AF19" s="85">
        <f t="shared" ref="AF19:AF23" si="59">AE19*AD19</f>
        <v>4969027.4400000004</v>
      </c>
      <c r="AG19" s="72">
        <f>AG18-W24</f>
        <v>4767762.3987795003</v>
      </c>
      <c r="AH19" s="85">
        <f t="shared" ref="AH19:AH23" si="60">V19+$AG$20</f>
        <v>325.79158052340142</v>
      </c>
      <c r="AI19" s="85">
        <f t="shared" ref="AI19:AI23" si="61">AH19*U19</f>
        <v>5794203.2596086944</v>
      </c>
      <c r="AJ19" s="173">
        <f>AJ18-AA24</f>
        <v>7813796.4026979953</v>
      </c>
      <c r="AK19" s="85">
        <f t="shared" ref="AK19:AK23" si="62">Z19+$AJ$20</f>
        <v>355.40704689546112</v>
      </c>
      <c r="AL19" s="85">
        <f t="shared" ref="AL19:AL23" si="63">AK19*Y19</f>
        <v>6321269.7360826712</v>
      </c>
      <c r="AM19" s="72"/>
      <c r="AN19" s="173" t="s">
        <v>573</v>
      </c>
      <c r="AO19" s="92">
        <f>635814.45+6422.36</f>
        <v>642236.80999999994</v>
      </c>
      <c r="AP19" s="86">
        <f>279.41+6.25</f>
        <v>285.66000000000003</v>
      </c>
      <c r="AQ19" s="85">
        <f t="shared" ref="AQ19:AQ23" si="64">AP19*AD19</f>
        <v>5080177.4400000004</v>
      </c>
      <c r="AR19" s="173"/>
      <c r="AS19" s="173"/>
      <c r="AT19" s="86">
        <f>279.41+6.25</f>
        <v>285.66000000000003</v>
      </c>
      <c r="AU19" s="85">
        <f t="shared" ref="AU19:AU23" si="65">AT19*AD19</f>
        <v>5080177.4400000004</v>
      </c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93">
        <v>14508</v>
      </c>
      <c r="BL19" s="85">
        <v>266.93</v>
      </c>
      <c r="BM19" s="85">
        <f t="shared" ref="BM19:BM23" si="66">BL19*BK19</f>
        <v>3872620.44</v>
      </c>
      <c r="BN19" s="173"/>
      <c r="BO19" s="173"/>
      <c r="BP19" s="173"/>
      <c r="BQ19" s="173"/>
      <c r="BR19" s="85">
        <v>266.93</v>
      </c>
      <c r="BS19" s="85">
        <f t="shared" ref="BS19:BS23" si="67">BR19*BK19</f>
        <v>3872620.44</v>
      </c>
      <c r="BT19" s="173"/>
      <c r="BU19" s="173"/>
      <c r="BV19" s="173"/>
      <c r="BW19" s="173"/>
      <c r="BX19" s="173"/>
      <c r="BY19" s="173"/>
      <c r="BZ19" s="173"/>
      <c r="CA19" s="85">
        <v>266.93</v>
      </c>
      <c r="CB19" s="85">
        <f t="shared" ref="CB19:CB23" si="68">CA19*BK19</f>
        <v>3872620.44</v>
      </c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85">
        <f>266.93+4.14</f>
        <v>271.07</v>
      </c>
      <c r="CO19" s="85">
        <f t="shared" ref="CO19:CO23" si="69">CN19*BK19</f>
        <v>3932683.56</v>
      </c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85">
        <f>266.93+4.14</f>
        <v>271.07</v>
      </c>
      <c r="DA19" s="85">
        <f>CZ19*$BK$19</f>
        <v>3932683.56</v>
      </c>
      <c r="DB19" s="173"/>
      <c r="DC19" s="173"/>
      <c r="DD19" s="206"/>
      <c r="DE19" s="173"/>
      <c r="DF19" s="173"/>
      <c r="DG19" s="173"/>
      <c r="DH19" s="173"/>
      <c r="DI19" s="173"/>
      <c r="DJ19" s="173"/>
      <c r="DK19" s="85">
        <f>266.93+4.14+4.14</f>
        <v>275.20999999999998</v>
      </c>
      <c r="DL19" s="85">
        <f>DK19*$BK$19</f>
        <v>3992746.6799999997</v>
      </c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85">
        <f>266.9+4.14+4.14-14.99</f>
        <v>260.18999999999994</v>
      </c>
      <c r="DX19" s="85">
        <f>DW19*$BK$18</f>
        <v>3634333.919999999</v>
      </c>
      <c r="DZ19" s="173"/>
      <c r="EA19" s="173"/>
      <c r="EB19" s="173"/>
      <c r="EC19" s="173"/>
      <c r="ED19" s="173"/>
      <c r="EE19" s="173"/>
      <c r="EF19" s="173"/>
      <c r="EG19" s="173"/>
      <c r="EH19" s="214" t="s">
        <v>337</v>
      </c>
      <c r="EI19" s="96">
        <f>14508+4176</f>
        <v>18684</v>
      </c>
      <c r="EJ19" s="85">
        <f>266.93-28.32</f>
        <v>238.61</v>
      </c>
      <c r="EK19" s="85">
        <f t="shared" si="52"/>
        <v>4458189.24</v>
      </c>
      <c r="EL19" s="97">
        <f>266.93-51.66</f>
        <v>215.27</v>
      </c>
      <c r="EM19" s="85">
        <f>215.27-17.88</f>
        <v>197.39000000000001</v>
      </c>
      <c r="EN19" s="85">
        <f t="shared" ref="EN19:EN23" si="70">EM19*EI19</f>
        <v>3688034.7600000002</v>
      </c>
      <c r="EO19" s="72"/>
      <c r="EP19" s="72"/>
      <c r="EQ19" s="72"/>
      <c r="ER19" s="181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E19" s="173"/>
      <c r="FF19" s="173"/>
      <c r="FG19" s="173"/>
      <c r="FH19" s="173"/>
      <c r="FI19" s="173"/>
      <c r="FJ19" s="72"/>
      <c r="FK19" s="98"/>
      <c r="FL19" s="72"/>
      <c r="FM19" s="101"/>
      <c r="FN19" s="98"/>
      <c r="FO19" s="98"/>
      <c r="FP19" s="175"/>
      <c r="FQ19" s="438">
        <f>FE19</f>
        <v>0</v>
      </c>
      <c r="FR19" s="84">
        <f>111.48+36.3+7.6173023</f>
        <v>155.39730230000001</v>
      </c>
      <c r="FS19" s="83">
        <f>FR19*FQ19</f>
        <v>0</v>
      </c>
      <c r="FT19" s="98"/>
      <c r="FU19" s="98"/>
      <c r="FV19" s="98"/>
      <c r="FW19" s="98"/>
      <c r="FX19" s="98"/>
      <c r="FY19" s="98"/>
      <c r="FZ19" s="98"/>
      <c r="GA19" s="178">
        <f>111.48+36.3+7.6173023-7.62-2.3038</f>
        <v>145.47350230000001</v>
      </c>
      <c r="GB19" s="179"/>
      <c r="GC19" s="85"/>
      <c r="GD19" s="91"/>
      <c r="GE19" s="98"/>
      <c r="GF19" s="85"/>
      <c r="GG19" s="73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85"/>
      <c r="GZ19" s="91"/>
      <c r="HA19" s="98"/>
      <c r="HB19" s="85"/>
      <c r="HC19" s="91"/>
      <c r="HD19" s="98"/>
      <c r="HE19" s="98"/>
      <c r="HF19" s="85"/>
      <c r="HG19" s="91"/>
      <c r="HH19" s="98"/>
      <c r="HI19" s="85"/>
      <c r="HJ19" s="91"/>
      <c r="HK19" s="98"/>
      <c r="HL19" s="72"/>
      <c r="HM19" s="102"/>
      <c r="HN19" s="8"/>
      <c r="HO19" s="89">
        <f>105.5+7.38</f>
        <v>112.88</v>
      </c>
      <c r="HP19" s="87">
        <f>HO19*D19</f>
        <v>2007457.92</v>
      </c>
      <c r="HQ19" s="105"/>
      <c r="HR19" s="98">
        <f>1388260+5445800+21848112</f>
        <v>28682172</v>
      </c>
      <c r="HT19" s="468">
        <f>(HT18-HR17)/6</f>
        <v>288911</v>
      </c>
      <c r="HV19" s="430">
        <f>(HV18-HT17)/6</f>
        <v>11366.666666666666</v>
      </c>
      <c r="HX19" s="430">
        <f>(HX18-HV17)/6</f>
        <v>8333.3333299998194</v>
      </c>
      <c r="HZ19" s="87"/>
      <c r="IA19" s="87"/>
      <c r="IB19" s="469"/>
      <c r="IC19" s="469"/>
      <c r="ID19" s="470" t="e">
        <f>ID18/IC16</f>
        <v>#DIV/0!</v>
      </c>
      <c r="IE19" s="471"/>
      <c r="IF19" s="465"/>
      <c r="IG19" s="472" t="e">
        <f>IG18/IF16</f>
        <v>#DIV/0!</v>
      </c>
      <c r="IH19" s="87"/>
    </row>
    <row r="20" spans="1:247" ht="87" customHeight="1" x14ac:dyDescent="0.25">
      <c r="A20" s="79" t="s">
        <v>225</v>
      </c>
      <c r="B20" s="80" t="s">
        <v>243</v>
      </c>
      <c r="C20" s="59" t="s">
        <v>227</v>
      </c>
      <c r="D20" s="201">
        <v>2700</v>
      </c>
      <c r="E20" s="201">
        <v>4320</v>
      </c>
      <c r="F20" s="201">
        <v>4320</v>
      </c>
      <c r="G20" s="201">
        <v>2701</v>
      </c>
      <c r="H20" s="201">
        <v>2702</v>
      </c>
      <c r="I20" s="178">
        <f>279.39+6.25+0.03215+0.000004</f>
        <v>285.67215399999998</v>
      </c>
      <c r="J20" s="81">
        <f t="shared" si="51"/>
        <v>771314.81579999998</v>
      </c>
      <c r="K20" s="81">
        <f>296.17-16.78+46.4</f>
        <v>325.78999999999996</v>
      </c>
      <c r="L20" s="81">
        <f t="shared" si="54"/>
        <v>879958.78999999992</v>
      </c>
      <c r="M20" s="81">
        <f>279.39-0.03+76.04</f>
        <v>355.40000000000003</v>
      </c>
      <c r="N20" s="81">
        <f t="shared" si="55"/>
        <v>960290.8</v>
      </c>
      <c r="O20" s="90"/>
      <c r="P20" s="90"/>
      <c r="Q20" s="85">
        <v>2700</v>
      </c>
      <c r="R20" s="85">
        <v>279.39</v>
      </c>
      <c r="S20" s="85">
        <f t="shared" si="56"/>
        <v>754353</v>
      </c>
      <c r="T20" s="90"/>
      <c r="U20" s="193">
        <v>2701</v>
      </c>
      <c r="V20" s="81">
        <f>296.17-16.78</f>
        <v>279.39</v>
      </c>
      <c r="W20" s="85">
        <f t="shared" si="57"/>
        <v>754632.39</v>
      </c>
      <c r="X20" s="90"/>
      <c r="Y20" s="193">
        <v>2702</v>
      </c>
      <c r="Z20" s="81">
        <f>279.39-0.03</f>
        <v>279.36</v>
      </c>
      <c r="AA20" s="85">
        <f t="shared" si="58"/>
        <v>754830.72000000009</v>
      </c>
      <c r="AB20" s="90"/>
      <c r="AC20" s="90"/>
      <c r="AD20" s="85">
        <v>2700</v>
      </c>
      <c r="AE20" s="85">
        <v>279.39</v>
      </c>
      <c r="AF20" s="85">
        <f t="shared" si="59"/>
        <v>754353</v>
      </c>
      <c r="AG20" s="224">
        <f>AG19/U24</f>
        <v>46.401580523401464</v>
      </c>
      <c r="AH20" s="85">
        <f t="shared" si="60"/>
        <v>325.79158052340142</v>
      </c>
      <c r="AI20" s="85">
        <f t="shared" si="61"/>
        <v>879963.05899370729</v>
      </c>
      <c r="AJ20" s="203">
        <f>AJ19/Y24</f>
        <v>76.042239895461051</v>
      </c>
      <c r="AK20" s="85">
        <f t="shared" si="62"/>
        <v>355.40223989546109</v>
      </c>
      <c r="AL20" s="85">
        <f t="shared" si="63"/>
        <v>960296.85219753592</v>
      </c>
      <c r="AM20" s="72"/>
      <c r="AN20" s="92" t="s">
        <v>116</v>
      </c>
      <c r="AO20" s="136">
        <f>AO18+AO19</f>
        <v>29350386.41</v>
      </c>
      <c r="AP20" s="473">
        <f>279.39+6.25+0.03215</f>
        <v>285.67214999999999</v>
      </c>
      <c r="AQ20" s="85">
        <f t="shared" si="64"/>
        <v>771314.80499999993</v>
      </c>
      <c r="AR20" s="90"/>
      <c r="AS20" s="90"/>
      <c r="AT20" s="473">
        <f>279.39+6.25+0.03215</f>
        <v>285.67214999999999</v>
      </c>
      <c r="AU20" s="85">
        <f t="shared" si="65"/>
        <v>771314.80499999993</v>
      </c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85">
        <v>4320</v>
      </c>
      <c r="BL20" s="85">
        <v>266.58</v>
      </c>
      <c r="BM20" s="85">
        <f t="shared" si="66"/>
        <v>1151625.5999999999</v>
      </c>
      <c r="BN20" s="72"/>
      <c r="BO20" s="72"/>
      <c r="BP20" s="72"/>
      <c r="BQ20" s="72"/>
      <c r="BR20" s="85">
        <v>266.58</v>
      </c>
      <c r="BS20" s="85">
        <f t="shared" si="67"/>
        <v>1151625.5999999999</v>
      </c>
      <c r="BT20" s="72"/>
      <c r="BU20" s="72"/>
      <c r="BV20" s="72"/>
      <c r="BW20" s="72"/>
      <c r="BX20" s="72"/>
      <c r="BY20" s="72"/>
      <c r="BZ20" s="72"/>
      <c r="CA20" s="85">
        <v>266.58</v>
      </c>
      <c r="CB20" s="85">
        <f t="shared" si="68"/>
        <v>1151625.5999999999</v>
      </c>
      <c r="CC20" s="72"/>
      <c r="CD20" s="72"/>
      <c r="CE20" s="72"/>
      <c r="CF20" s="72"/>
      <c r="CG20" s="72"/>
      <c r="CH20" s="72"/>
      <c r="CI20" s="72"/>
      <c r="CJ20" s="90"/>
      <c r="CK20" s="90"/>
      <c r="CL20" s="72"/>
      <c r="CM20" s="72"/>
      <c r="CN20" s="415">
        <f>266.58+4.14+0.157848</f>
        <v>270.87784799999997</v>
      </c>
      <c r="CO20" s="85">
        <f t="shared" si="69"/>
        <v>1170192.3033599998</v>
      </c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415">
        <f>266.58+4.14+0.157848</f>
        <v>270.87784799999997</v>
      </c>
      <c r="DA20" s="85">
        <f>CZ20*$BK$20</f>
        <v>1170192.3033599998</v>
      </c>
      <c r="DB20" s="72"/>
      <c r="DC20" s="72"/>
      <c r="DD20" s="72"/>
      <c r="DE20" s="72"/>
      <c r="DF20" s="72"/>
      <c r="DG20" s="72"/>
      <c r="DH20" s="72"/>
      <c r="DI20" s="72"/>
      <c r="DJ20" s="72"/>
      <c r="DK20" s="415">
        <f>266.58+4.14+0.157848+4.14+0.015032</f>
        <v>275.03287999999998</v>
      </c>
      <c r="DL20" s="85">
        <f>DK20*$BK$20</f>
        <v>1188142.0415999999</v>
      </c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85">
        <f>266.93+4.14+4.14-14.99</f>
        <v>260.21999999999997</v>
      </c>
      <c r="DX20" s="85">
        <f>DW20*$BK$19</f>
        <v>3775271.76</v>
      </c>
      <c r="DY20" s="173"/>
      <c r="DZ20" s="72"/>
      <c r="EA20" s="72"/>
      <c r="EB20" s="72"/>
      <c r="EC20" s="72"/>
      <c r="ED20" s="72"/>
      <c r="EE20" s="72"/>
      <c r="EF20" s="72"/>
      <c r="EG20" s="72"/>
      <c r="EH20" s="214" t="s">
        <v>467</v>
      </c>
      <c r="EI20" s="97">
        <v>4320</v>
      </c>
      <c r="EJ20" s="85">
        <f>266.58-28.32</f>
        <v>238.26</v>
      </c>
      <c r="EK20" s="85">
        <f t="shared" si="52"/>
        <v>1029283.2</v>
      </c>
      <c r="EL20" s="474">
        <f>266.58-51.69357</f>
        <v>214.88642999999999</v>
      </c>
      <c r="EM20" s="85">
        <f>214.89-17.88</f>
        <v>197.01</v>
      </c>
      <c r="EN20" s="85">
        <f t="shared" si="70"/>
        <v>851083.2</v>
      </c>
      <c r="EO20" s="72"/>
      <c r="EP20" s="72"/>
      <c r="EQ20" s="72"/>
      <c r="ER20" s="200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E20" s="72"/>
      <c r="FF20" s="72"/>
      <c r="FG20" s="72"/>
      <c r="FH20" s="72"/>
      <c r="FI20" s="90"/>
      <c r="FJ20" s="72"/>
      <c r="FK20" s="431"/>
      <c r="FL20" s="72"/>
      <c r="FM20" s="101"/>
      <c r="FN20" s="475"/>
      <c r="FO20" s="475"/>
      <c r="FP20" s="475"/>
      <c r="FQ20" s="193">
        <v>2160</v>
      </c>
      <c r="FR20" s="84">
        <f>111+36.26+7.617302</f>
        <v>154.87730199999999</v>
      </c>
      <c r="FS20" s="85">
        <f>FQ20*FR20+1.75</f>
        <v>334536.72231999994</v>
      </c>
      <c r="FT20" s="475"/>
      <c r="FU20" s="475"/>
      <c r="FV20" s="475"/>
      <c r="FW20" s="475"/>
      <c r="FX20" s="475"/>
      <c r="FY20" s="475"/>
      <c r="FZ20" s="72"/>
      <c r="GA20" s="178">
        <f>111+36.26+7.617302-7.62-2.3038+0.000595</f>
        <v>144.95409699999999</v>
      </c>
      <c r="GB20" s="179"/>
      <c r="GC20" s="85"/>
      <c r="GD20" s="91"/>
      <c r="GE20" s="431"/>
      <c r="GF20" s="85"/>
      <c r="GG20" s="73"/>
      <c r="GH20" s="475"/>
      <c r="GI20" s="475"/>
      <c r="GJ20" s="475"/>
      <c r="GK20" s="475"/>
      <c r="GL20" s="475"/>
      <c r="GM20" s="475"/>
      <c r="GN20" s="475"/>
      <c r="GO20" s="475"/>
      <c r="GP20" s="475"/>
      <c r="GQ20" s="475"/>
      <c r="GR20" s="475"/>
      <c r="GS20" s="475"/>
      <c r="GT20" s="475"/>
      <c r="GU20" s="475"/>
      <c r="GV20" s="475"/>
      <c r="GW20" s="475"/>
      <c r="GX20" s="475"/>
      <c r="GY20" s="85"/>
      <c r="GZ20" s="91"/>
      <c r="HA20" s="431"/>
      <c r="HB20" s="85"/>
      <c r="HC20" s="91"/>
      <c r="HD20" s="475"/>
      <c r="HE20" s="475"/>
      <c r="HF20" s="85"/>
      <c r="HG20" s="91"/>
      <c r="HH20" s="431"/>
      <c r="HI20" s="85"/>
      <c r="HJ20" s="91"/>
      <c r="HK20" s="476"/>
      <c r="HL20" s="72"/>
      <c r="HM20" s="102"/>
      <c r="HN20" s="8"/>
      <c r="HO20" s="89">
        <f>104.06+8.87</f>
        <v>112.93</v>
      </c>
      <c r="HP20" s="87">
        <f>HO20*D20-10.44</f>
        <v>304900.56</v>
      </c>
      <c r="HQ20" s="105"/>
      <c r="HR20" s="475">
        <f>(HR17-HP17)/6</f>
        <v>182795.33333333334</v>
      </c>
      <c r="HZ20" s="87"/>
      <c r="IA20" s="87"/>
      <c r="IB20" s="87"/>
      <c r="IC20" s="87"/>
      <c r="ID20" s="87"/>
      <c r="IE20" s="87"/>
      <c r="IF20" s="87"/>
      <c r="IG20" s="88">
        <f>IG18/6</f>
        <v>42187.199999999873</v>
      </c>
      <c r="IH20" s="87"/>
    </row>
    <row r="21" spans="1:247" ht="77.45" customHeight="1" x14ac:dyDescent="0.25">
      <c r="A21" s="79" t="s">
        <v>225</v>
      </c>
      <c r="B21" s="80" t="s">
        <v>244</v>
      </c>
      <c r="C21" s="59" t="s">
        <v>227</v>
      </c>
      <c r="D21" s="201">
        <v>27864</v>
      </c>
      <c r="E21" s="201">
        <f t="shared" ref="E21:F21" si="71">30888-3780</f>
        <v>27108</v>
      </c>
      <c r="F21" s="201">
        <f t="shared" si="71"/>
        <v>27108</v>
      </c>
      <c r="G21" s="201">
        <v>27865</v>
      </c>
      <c r="H21" s="201">
        <v>27866</v>
      </c>
      <c r="I21" s="81">
        <f>279.42+6.25</f>
        <v>285.67</v>
      </c>
      <c r="J21" s="81">
        <f t="shared" si="51"/>
        <v>7959908.8800000008</v>
      </c>
      <c r="K21" s="81">
        <f>296.19-16.78-0.0035083+46.405828</f>
        <v>325.81231969999993</v>
      </c>
      <c r="L21" s="81">
        <f t="shared" si="54"/>
        <v>9078760.2884404976</v>
      </c>
      <c r="M21" s="81">
        <f>279.42-0.03+76.0482596</f>
        <v>355.43825960000004</v>
      </c>
      <c r="N21" s="81">
        <f t="shared" si="55"/>
        <v>9904642.5420136005</v>
      </c>
      <c r="O21" s="90"/>
      <c r="P21" s="90"/>
      <c r="Q21" s="85">
        <v>27864</v>
      </c>
      <c r="R21" s="85">
        <v>279.42</v>
      </c>
      <c r="S21" s="85">
        <f t="shared" si="56"/>
        <v>7785758.8800000008</v>
      </c>
      <c r="T21" s="90"/>
      <c r="U21" s="193">
        <v>27865</v>
      </c>
      <c r="V21" s="178">
        <f>296.19-16.78-0.0035083</f>
        <v>279.40649169999995</v>
      </c>
      <c r="W21" s="85">
        <f t="shared" si="57"/>
        <v>7785661.8912204988</v>
      </c>
      <c r="X21" s="90"/>
      <c r="Y21" s="193">
        <v>27866</v>
      </c>
      <c r="Z21" s="81">
        <f>279.42-0.03</f>
        <v>279.39000000000004</v>
      </c>
      <c r="AA21" s="85">
        <f t="shared" si="58"/>
        <v>7785481.7400000012</v>
      </c>
      <c r="AB21" s="90"/>
      <c r="AC21" s="90"/>
      <c r="AD21" s="85">
        <v>27864</v>
      </c>
      <c r="AE21" s="85">
        <v>279.42</v>
      </c>
      <c r="AF21" s="85">
        <f t="shared" si="59"/>
        <v>7785758.8800000008</v>
      </c>
      <c r="AG21" s="90"/>
      <c r="AH21" s="85">
        <f t="shared" si="60"/>
        <v>325.80807222340138</v>
      </c>
      <c r="AI21" s="85">
        <f t="shared" si="61"/>
        <v>9078641.9325050786</v>
      </c>
      <c r="AJ21" s="90"/>
      <c r="AK21" s="85">
        <f t="shared" si="62"/>
        <v>355.43223989546107</v>
      </c>
      <c r="AL21" s="85">
        <f t="shared" si="63"/>
        <v>9904474.7969269175</v>
      </c>
      <c r="AM21" s="72"/>
      <c r="AN21" s="72" t="s">
        <v>574</v>
      </c>
      <c r="AO21" s="72">
        <f>AO20-AF24</f>
        <v>642236.80999999493</v>
      </c>
      <c r="AP21" s="86">
        <f>279.42+6.25</f>
        <v>285.67</v>
      </c>
      <c r="AQ21" s="85">
        <f t="shared" si="64"/>
        <v>7959908.8800000008</v>
      </c>
      <c r="AR21" s="90"/>
      <c r="AS21" s="90"/>
      <c r="AT21" s="86">
        <f>279.42+6.25</f>
        <v>285.67</v>
      </c>
      <c r="AU21" s="85">
        <f t="shared" si="65"/>
        <v>7959908.8800000008</v>
      </c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85">
        <v>30888</v>
      </c>
      <c r="BL21" s="85">
        <v>266.06</v>
      </c>
      <c r="BM21" s="85">
        <f t="shared" si="66"/>
        <v>8218061.2800000003</v>
      </c>
      <c r="BN21" s="72"/>
      <c r="BO21" s="72"/>
      <c r="BP21" s="72"/>
      <c r="BQ21" s="72"/>
      <c r="BR21" s="85">
        <v>266.06</v>
      </c>
      <c r="BS21" s="85">
        <f t="shared" si="67"/>
        <v>8218061.2800000003</v>
      </c>
      <c r="BT21" s="72"/>
      <c r="BU21" s="72"/>
      <c r="BV21" s="72"/>
      <c r="BW21" s="72"/>
      <c r="BX21" s="72"/>
      <c r="BY21" s="72"/>
      <c r="BZ21" s="72"/>
      <c r="CA21" s="85">
        <v>266.06</v>
      </c>
      <c r="CB21" s="85">
        <f t="shared" si="68"/>
        <v>8218061.2800000003</v>
      </c>
      <c r="CC21" s="72"/>
      <c r="CD21" s="72"/>
      <c r="CE21" s="72"/>
      <c r="CF21" s="72"/>
      <c r="CG21" s="72"/>
      <c r="CH21" s="72"/>
      <c r="CI21" s="72"/>
      <c r="CJ21" s="90"/>
      <c r="CK21" s="90"/>
      <c r="CL21" s="72"/>
      <c r="CM21" s="72"/>
      <c r="CN21" s="85">
        <f>266.06+4.14</f>
        <v>270.2</v>
      </c>
      <c r="CO21" s="85">
        <f t="shared" si="69"/>
        <v>8345937.5999999996</v>
      </c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85">
        <f>266.06+4.14</f>
        <v>270.2</v>
      </c>
      <c r="DA21" s="85">
        <f>CZ21*$BK$21</f>
        <v>8345937.5999999996</v>
      </c>
      <c r="DB21" s="72"/>
      <c r="DC21" s="72"/>
      <c r="DD21" s="72"/>
      <c r="DE21" s="72"/>
      <c r="DF21" s="72"/>
      <c r="DG21" s="72"/>
      <c r="DH21" s="72"/>
      <c r="DI21" s="72"/>
      <c r="DJ21" s="72"/>
      <c r="DK21" s="85">
        <f>266.06+4.14+4.14</f>
        <v>274.33999999999997</v>
      </c>
      <c r="DL21" s="85">
        <f>DK21*$BK$21</f>
        <v>8473813.9199999999</v>
      </c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415">
        <f>266.58+4.14+0.157848+4.14+0.015032-14.996435</f>
        <v>260.03644499999996</v>
      </c>
      <c r="DX21" s="85">
        <f>DW21*$BK$20</f>
        <v>1123357.4423999998</v>
      </c>
      <c r="DY21" s="72"/>
      <c r="DZ21" s="72"/>
      <c r="EA21" s="72"/>
      <c r="EB21" s="72"/>
      <c r="EC21" s="72"/>
      <c r="ED21" s="72"/>
      <c r="EE21" s="72"/>
      <c r="EF21" s="72"/>
      <c r="EG21" s="72"/>
      <c r="EH21" s="215" t="s">
        <v>468</v>
      </c>
      <c r="EI21" s="97">
        <f>30888-3780</f>
        <v>27108</v>
      </c>
      <c r="EJ21" s="85">
        <f>266.06-28.32</f>
        <v>237.74</v>
      </c>
      <c r="EK21" s="85">
        <f t="shared" si="52"/>
        <v>6444655.9199999999</v>
      </c>
      <c r="EL21" s="97">
        <f>266.06-51.66</f>
        <v>214.4</v>
      </c>
      <c r="EM21" s="85">
        <f>214.4-17.88</f>
        <v>196.52</v>
      </c>
      <c r="EN21" s="85">
        <f t="shared" si="70"/>
        <v>5327264.16</v>
      </c>
      <c r="EO21" s="72"/>
      <c r="EP21" s="72"/>
      <c r="EQ21" s="72"/>
      <c r="ER21" s="213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E21" s="72"/>
      <c r="FF21" s="72"/>
      <c r="FG21" s="72"/>
      <c r="FH21" s="72"/>
      <c r="FI21" s="90"/>
      <c r="FJ21" s="72"/>
      <c r="FK21" s="72"/>
      <c r="FL21" s="72"/>
      <c r="FM21" s="101"/>
      <c r="FN21" s="72"/>
      <c r="FO21" s="72"/>
      <c r="FP21" s="72"/>
      <c r="FQ21" s="193">
        <f>26676</f>
        <v>26676</v>
      </c>
      <c r="FR21" s="84">
        <f>112.18+37.56+7.6173023</f>
        <v>157.35730230000001</v>
      </c>
      <c r="FS21" s="85">
        <f>FQ21*FR21+1.75</f>
        <v>4197665.1461548004</v>
      </c>
      <c r="FT21" s="72"/>
      <c r="FU21" s="72"/>
      <c r="FV21" s="72"/>
      <c r="FW21" s="72"/>
      <c r="FX21" s="72"/>
      <c r="FY21" s="72"/>
      <c r="FZ21" s="72"/>
      <c r="GA21" s="178">
        <f>112.18+37.56+7.6173023-7.62-2.3038</f>
        <v>147.43350230000001</v>
      </c>
      <c r="GB21" s="180"/>
      <c r="GC21" s="85"/>
      <c r="GD21" s="91"/>
      <c r="GE21" s="72"/>
      <c r="GF21" s="85"/>
      <c r="GG21" s="73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85"/>
      <c r="GZ21" s="91"/>
      <c r="HA21" s="136"/>
      <c r="HB21" s="85"/>
      <c r="HC21" s="91"/>
      <c r="HD21" s="72"/>
      <c r="HE21" s="72"/>
      <c r="HF21" s="85"/>
      <c r="HG21" s="91"/>
      <c r="HH21" s="432"/>
      <c r="HI21" s="85"/>
      <c r="HJ21" s="91"/>
      <c r="HK21" s="72"/>
      <c r="HL21" s="72"/>
      <c r="HM21" s="102"/>
      <c r="HN21" s="8"/>
      <c r="HO21" s="89">
        <f>105.05+7.93</f>
        <v>112.97999999999999</v>
      </c>
      <c r="HP21" s="87">
        <f>HO21*D21</f>
        <v>3148074.7199999997</v>
      </c>
      <c r="HQ21" s="105"/>
    </row>
    <row r="22" spans="1:247" ht="89.45" customHeight="1" x14ac:dyDescent="0.25">
      <c r="A22" s="79" t="s">
        <v>225</v>
      </c>
      <c r="B22" s="80" t="s">
        <v>245</v>
      </c>
      <c r="C22" s="59" t="s">
        <v>227</v>
      </c>
      <c r="D22" s="201">
        <v>25596</v>
      </c>
      <c r="E22" s="201">
        <v>26568</v>
      </c>
      <c r="F22" s="201">
        <v>26568</v>
      </c>
      <c r="G22" s="201">
        <v>25597</v>
      </c>
      <c r="H22" s="201">
        <v>25598</v>
      </c>
      <c r="I22" s="81">
        <f>279.43+6.25</f>
        <v>285.68</v>
      </c>
      <c r="J22" s="81">
        <f t="shared" si="51"/>
        <v>7312265.2800000003</v>
      </c>
      <c r="K22" s="81">
        <f>296.2-16.78+46.4</f>
        <v>325.81999999999994</v>
      </c>
      <c r="L22" s="81">
        <f t="shared" si="54"/>
        <v>8340014.5399999982</v>
      </c>
      <c r="M22" s="81">
        <f>279.43-0.03+76.04</f>
        <v>355.44000000000005</v>
      </c>
      <c r="N22" s="81">
        <f t="shared" si="55"/>
        <v>9098553.120000001</v>
      </c>
      <c r="O22" s="90"/>
      <c r="P22" s="90"/>
      <c r="Q22" s="85">
        <v>25596</v>
      </c>
      <c r="R22" s="85">
        <v>279.43</v>
      </c>
      <c r="S22" s="85">
        <f t="shared" si="56"/>
        <v>7152290.2800000003</v>
      </c>
      <c r="T22" s="90"/>
      <c r="U22" s="193">
        <v>25597</v>
      </c>
      <c r="V22" s="81">
        <f>296.2-16.78</f>
        <v>279.41999999999996</v>
      </c>
      <c r="W22" s="85">
        <f t="shared" si="57"/>
        <v>7152313.7399999993</v>
      </c>
      <c r="X22" s="90"/>
      <c r="Y22" s="193">
        <v>25598</v>
      </c>
      <c r="Z22" s="81">
        <f>279.43-0.03</f>
        <v>279.40000000000003</v>
      </c>
      <c r="AA22" s="85">
        <f t="shared" si="58"/>
        <v>7152081.2000000011</v>
      </c>
      <c r="AB22" s="90"/>
      <c r="AC22" s="90"/>
      <c r="AD22" s="85">
        <v>25596</v>
      </c>
      <c r="AE22" s="85">
        <v>279.43</v>
      </c>
      <c r="AF22" s="85">
        <f t="shared" si="59"/>
        <v>7152290.2800000003</v>
      </c>
      <c r="AG22" s="90"/>
      <c r="AH22" s="85">
        <f t="shared" si="60"/>
        <v>325.82158052340139</v>
      </c>
      <c r="AI22" s="85">
        <f t="shared" si="61"/>
        <v>8340054.9966575056</v>
      </c>
      <c r="AJ22" s="90"/>
      <c r="AK22" s="85">
        <f t="shared" si="62"/>
        <v>355.44223989546106</v>
      </c>
      <c r="AL22" s="85">
        <f t="shared" si="63"/>
        <v>9098610.4568440113</v>
      </c>
      <c r="AM22" s="72"/>
      <c r="AN22" s="72" t="s">
        <v>575</v>
      </c>
      <c r="AO22" s="200">
        <f>AO21/AD24</f>
        <v>6.2508449155181314</v>
      </c>
      <c r="AP22" s="86">
        <f>279.43+6.25</f>
        <v>285.68</v>
      </c>
      <c r="AQ22" s="85">
        <f t="shared" si="64"/>
        <v>7312265.2800000003</v>
      </c>
      <c r="AR22" s="90"/>
      <c r="AS22" s="90"/>
      <c r="AT22" s="86">
        <f>279.43+6.25</f>
        <v>285.68</v>
      </c>
      <c r="AU22" s="85">
        <f t="shared" si="65"/>
        <v>7312265.2800000003</v>
      </c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85">
        <v>26568</v>
      </c>
      <c r="BL22" s="85">
        <v>266.95</v>
      </c>
      <c r="BM22" s="85">
        <f t="shared" si="66"/>
        <v>7092327.5999999996</v>
      </c>
      <c r="BN22" s="72"/>
      <c r="BO22" s="72"/>
      <c r="BP22" s="72"/>
      <c r="BQ22" s="72"/>
      <c r="BR22" s="85">
        <v>266.95</v>
      </c>
      <c r="BS22" s="85">
        <f t="shared" si="67"/>
        <v>7092327.5999999996</v>
      </c>
      <c r="BT22" s="72"/>
      <c r="BU22" s="72"/>
      <c r="BV22" s="72"/>
      <c r="BW22" s="72"/>
      <c r="BX22" s="72"/>
      <c r="BY22" s="72"/>
      <c r="BZ22" s="72"/>
      <c r="CA22" s="85">
        <v>266.95</v>
      </c>
      <c r="CB22" s="85">
        <f t="shared" si="68"/>
        <v>7092327.5999999996</v>
      </c>
      <c r="CC22" s="72"/>
      <c r="CD22" s="72"/>
      <c r="CE22" s="72"/>
      <c r="CF22" s="72"/>
      <c r="CG22" s="72"/>
      <c r="CH22" s="72"/>
      <c r="CI22" s="72"/>
      <c r="CJ22" s="90"/>
      <c r="CK22" s="90"/>
      <c r="CL22" s="72"/>
      <c r="CM22" s="72"/>
      <c r="CN22" s="85">
        <f>266.95+4.14</f>
        <v>271.08999999999997</v>
      </c>
      <c r="CO22" s="85">
        <f t="shared" si="69"/>
        <v>7202319.1199999992</v>
      </c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85">
        <f>266.95+4.14</f>
        <v>271.08999999999997</v>
      </c>
      <c r="DA22" s="85">
        <f>CZ22*$BK$22</f>
        <v>7202319.1199999992</v>
      </c>
      <c r="DB22" s="72"/>
      <c r="DC22" s="72"/>
      <c r="DD22" s="72"/>
      <c r="DE22" s="72"/>
      <c r="DF22" s="72"/>
      <c r="DG22" s="72"/>
      <c r="DH22" s="72"/>
      <c r="DI22" s="72"/>
      <c r="DJ22" s="72"/>
      <c r="DK22" s="85">
        <f>266.95+4.14+4.14</f>
        <v>275.22999999999996</v>
      </c>
      <c r="DL22" s="85">
        <f>DK22*$BK$22</f>
        <v>7312310.6399999987</v>
      </c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85">
        <f>266.06+4.14+4.14-14.99</f>
        <v>259.34999999999997</v>
      </c>
      <c r="DX22" s="85">
        <f>DW22*$BK$21</f>
        <v>8010802.7999999989</v>
      </c>
      <c r="DY22" s="72"/>
      <c r="DZ22" s="72"/>
      <c r="EA22" s="72"/>
      <c r="EB22" s="72"/>
      <c r="EC22" s="72"/>
      <c r="ED22" s="72"/>
      <c r="EE22" s="72"/>
      <c r="EF22" s="72"/>
      <c r="EG22" s="72"/>
      <c r="EH22" s="214" t="s">
        <v>469</v>
      </c>
      <c r="EI22" s="97">
        <v>26568</v>
      </c>
      <c r="EJ22" s="85">
        <f>266.95-28.32</f>
        <v>238.63</v>
      </c>
      <c r="EK22" s="85">
        <f t="shared" si="52"/>
        <v>6339921.8399999999</v>
      </c>
      <c r="EL22" s="97">
        <f>266.95-51.66</f>
        <v>215.29</v>
      </c>
      <c r="EM22" s="85">
        <f>215.29-17.88</f>
        <v>197.41</v>
      </c>
      <c r="EN22" s="85">
        <f t="shared" si="70"/>
        <v>5244788.88</v>
      </c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E22" s="72"/>
      <c r="FF22" s="72"/>
      <c r="FG22" s="72"/>
      <c r="FH22" s="72"/>
      <c r="FI22" s="90"/>
      <c r="FJ22" s="72"/>
      <c r="FK22" s="72"/>
      <c r="FL22" s="72"/>
      <c r="FM22" s="101"/>
      <c r="FN22" s="72"/>
      <c r="FO22" s="72"/>
      <c r="FP22" s="72"/>
      <c r="FQ22" s="193">
        <f>24516</f>
        <v>24516</v>
      </c>
      <c r="FR22" s="84">
        <f>112.16+37.56+7.6173023</f>
        <v>157.3373023</v>
      </c>
      <c r="FS22" s="85">
        <f>FQ22*FR22+1.75</f>
        <v>3857283.0531868003</v>
      </c>
      <c r="FT22" s="72"/>
      <c r="FU22" s="72"/>
      <c r="FV22" s="72"/>
      <c r="FW22" s="72"/>
      <c r="FX22" s="72"/>
      <c r="FY22" s="72"/>
      <c r="FZ22" s="72"/>
      <c r="GA22" s="178">
        <f>112.16+37.56+7.6173023-7.62-2.3038</f>
        <v>147.4135023</v>
      </c>
      <c r="GB22" s="180"/>
      <c r="GC22" s="85">
        <v>110.75996532876489</v>
      </c>
      <c r="GD22" s="91">
        <v>2715391.31</v>
      </c>
      <c r="GE22" s="72"/>
      <c r="GF22" s="85" t="e">
        <f>GD22+$FN$69</f>
        <v>#REF!</v>
      </c>
      <c r="GG22" s="73" t="e">
        <f t="shared" ref="GG22:GG23" si="72">GF22/FO22</f>
        <v>#REF!</v>
      </c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85" t="e">
        <f t="shared" ref="GY22:GY23" si="73">GZ22/FE22</f>
        <v>#REF!</v>
      </c>
      <c r="GZ22" s="91" t="e">
        <f>#REF!</f>
        <v>#REF!</v>
      </c>
      <c r="HA22" s="72"/>
      <c r="HB22" s="85" t="e">
        <f>GY22-HA21</f>
        <v>#REF!</v>
      </c>
      <c r="HC22" s="91" t="e">
        <f t="shared" ref="HC22:HC23" si="74">HB22*FE22</f>
        <v>#REF!</v>
      </c>
      <c r="HD22" s="72"/>
      <c r="HE22" s="72"/>
      <c r="HF22" s="85" t="e">
        <f t="shared" ref="HF22:HF23" si="75">HG22/FE22</f>
        <v>#REF!</v>
      </c>
      <c r="HG22" s="91" t="e">
        <f t="shared" ref="HG22:HG23" si="76">GZ22</f>
        <v>#REF!</v>
      </c>
      <c r="HH22" s="72"/>
      <c r="HI22" s="85" t="e">
        <f>HF22-HH21</f>
        <v>#REF!</v>
      </c>
      <c r="HJ22" s="91" t="e">
        <f t="shared" ref="HJ22:HJ23" si="77">HI22*FE22</f>
        <v>#REF!</v>
      </c>
      <c r="HK22" s="72"/>
      <c r="HL22" s="72"/>
      <c r="HM22" s="102"/>
      <c r="HN22" s="8"/>
      <c r="HO22" s="89">
        <f>105.55+7.4</f>
        <v>112.95</v>
      </c>
      <c r="HP22" s="87">
        <f>HO22*D22</f>
        <v>2891068.2</v>
      </c>
      <c r="HQ22" s="105"/>
    </row>
    <row r="23" spans="1:247" ht="100.9" customHeight="1" x14ac:dyDescent="0.25">
      <c r="A23" s="80" t="s">
        <v>225</v>
      </c>
      <c r="B23" s="80" t="s">
        <v>246</v>
      </c>
      <c r="C23" s="59" t="s">
        <v>227</v>
      </c>
      <c r="D23" s="201">
        <v>11232</v>
      </c>
      <c r="E23" s="201">
        <f t="shared" ref="E23:F23" si="78">14628+384</f>
        <v>15012</v>
      </c>
      <c r="F23" s="201">
        <f t="shared" si="78"/>
        <v>15012</v>
      </c>
      <c r="G23" s="201">
        <v>11233</v>
      </c>
      <c r="H23" s="201">
        <v>11234</v>
      </c>
      <c r="I23" s="81">
        <f>279.4+6.25</f>
        <v>285.64999999999998</v>
      </c>
      <c r="J23" s="81">
        <f t="shared" si="51"/>
        <v>3208420.8</v>
      </c>
      <c r="K23" s="81">
        <f>296.17-16.78-0.02+46.4</f>
        <v>325.77</v>
      </c>
      <c r="L23" s="81">
        <f t="shared" si="54"/>
        <v>3659374.4099999997</v>
      </c>
      <c r="M23" s="81">
        <f>279.4-0.03+76.04</f>
        <v>355.41</v>
      </c>
      <c r="N23" s="81">
        <f t="shared" si="55"/>
        <v>3992675.9400000004</v>
      </c>
      <c r="O23" s="173"/>
      <c r="P23" s="173"/>
      <c r="Q23" s="193">
        <v>11232</v>
      </c>
      <c r="R23" s="85">
        <v>279.39999999999998</v>
      </c>
      <c r="S23" s="85">
        <f t="shared" si="56"/>
        <v>3138220.8</v>
      </c>
      <c r="T23" s="173"/>
      <c r="U23" s="193">
        <v>11233</v>
      </c>
      <c r="V23" s="81">
        <f>296.17-16.78-0.02</f>
        <v>279.37</v>
      </c>
      <c r="W23" s="85">
        <f t="shared" si="57"/>
        <v>3138163.21</v>
      </c>
      <c r="X23" s="173"/>
      <c r="Y23" s="193">
        <v>11234</v>
      </c>
      <c r="Z23" s="81">
        <f>279.4-0.03</f>
        <v>279.37</v>
      </c>
      <c r="AA23" s="85">
        <f t="shared" si="58"/>
        <v>3138442.58</v>
      </c>
      <c r="AB23" s="173"/>
      <c r="AC23" s="173"/>
      <c r="AD23" s="193">
        <v>11232</v>
      </c>
      <c r="AE23" s="85">
        <v>279.39999999999998</v>
      </c>
      <c r="AF23" s="85">
        <f t="shared" si="59"/>
        <v>3138220.8</v>
      </c>
      <c r="AG23" s="173"/>
      <c r="AH23" s="85">
        <f t="shared" si="60"/>
        <v>325.77158052340144</v>
      </c>
      <c r="AI23" s="85">
        <f t="shared" si="61"/>
        <v>3659392.1640193686</v>
      </c>
      <c r="AJ23" s="173"/>
      <c r="AK23" s="85">
        <f t="shared" si="62"/>
        <v>355.41223989546108</v>
      </c>
      <c r="AL23" s="85">
        <f t="shared" si="63"/>
        <v>3992701.1029856098</v>
      </c>
      <c r="AM23" s="72"/>
      <c r="AN23" s="173"/>
      <c r="AO23" s="173"/>
      <c r="AP23" s="86">
        <f>279.4+6.25</f>
        <v>285.64999999999998</v>
      </c>
      <c r="AQ23" s="85">
        <f t="shared" si="64"/>
        <v>3208420.8</v>
      </c>
      <c r="AR23" s="173"/>
      <c r="AS23" s="173"/>
      <c r="AT23" s="86">
        <f>279.4+6.25</f>
        <v>285.64999999999998</v>
      </c>
      <c r="AU23" s="85">
        <f t="shared" si="65"/>
        <v>3208420.8</v>
      </c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93">
        <v>14628</v>
      </c>
      <c r="BL23" s="85">
        <v>266.25</v>
      </c>
      <c r="BM23" s="85">
        <f t="shared" si="66"/>
        <v>3894705</v>
      </c>
      <c r="BN23" s="173"/>
      <c r="BO23" s="173"/>
      <c r="BP23" s="173"/>
      <c r="BQ23" s="173"/>
      <c r="BR23" s="85">
        <v>266.25</v>
      </c>
      <c r="BS23" s="85">
        <f t="shared" si="67"/>
        <v>3894705</v>
      </c>
      <c r="BT23" s="173"/>
      <c r="BU23" s="173"/>
      <c r="BV23" s="173"/>
      <c r="BW23" s="173"/>
      <c r="BX23" s="173"/>
      <c r="BY23" s="173"/>
      <c r="BZ23" s="173"/>
      <c r="CA23" s="85">
        <v>266.25</v>
      </c>
      <c r="CB23" s="85">
        <f t="shared" si="68"/>
        <v>3894705</v>
      </c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85">
        <f>266.25+4.14</f>
        <v>270.39</v>
      </c>
      <c r="CO23" s="85">
        <f t="shared" si="69"/>
        <v>3955264.92</v>
      </c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85">
        <f>266.25+4.14</f>
        <v>270.39</v>
      </c>
      <c r="DA23" s="85">
        <f>CZ23*$BK$23</f>
        <v>3955264.92</v>
      </c>
      <c r="DB23" s="173"/>
      <c r="DC23" s="173"/>
      <c r="DD23" s="173"/>
      <c r="DE23" s="173"/>
      <c r="DF23" s="173"/>
      <c r="DG23" s="173"/>
      <c r="DH23" s="173"/>
      <c r="DI23" s="173"/>
      <c r="DJ23" s="173"/>
      <c r="DK23" s="85">
        <f>266.25+4.14+4.14</f>
        <v>274.52999999999997</v>
      </c>
      <c r="DL23" s="85">
        <f>DK23*$BK$23</f>
        <v>4015824.8399999994</v>
      </c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85">
        <f>266.95+4.14+4.14-14.99</f>
        <v>260.23999999999995</v>
      </c>
      <c r="DX23" s="85">
        <f>DW23*$BK$22</f>
        <v>6914056.3199999984</v>
      </c>
      <c r="DY23" s="72"/>
      <c r="DZ23" s="173"/>
      <c r="EA23" s="173"/>
      <c r="EB23" s="173"/>
      <c r="EC23" s="173"/>
      <c r="ED23" s="173"/>
      <c r="EE23" s="173"/>
      <c r="EF23" s="173"/>
      <c r="EG23" s="212" t="e">
        <f>EH24-EH23</f>
        <v>#VALUE!</v>
      </c>
      <c r="EH23" s="214" t="s">
        <v>470</v>
      </c>
      <c r="EI23" s="96">
        <f>14628+384</f>
        <v>15012</v>
      </c>
      <c r="EJ23" s="85">
        <f>266.25-28.32</f>
        <v>237.93</v>
      </c>
      <c r="EK23" s="85">
        <f t="shared" si="52"/>
        <v>3571805.16</v>
      </c>
      <c r="EL23" s="97">
        <f>266.25-51.66</f>
        <v>214.59</v>
      </c>
      <c r="EM23" s="85">
        <f>214.59-17.88</f>
        <v>196.71</v>
      </c>
      <c r="EN23" s="85">
        <f t="shared" si="70"/>
        <v>2953010.52</v>
      </c>
      <c r="EO23" s="72"/>
      <c r="EP23" s="72"/>
      <c r="EQ23" s="72"/>
      <c r="ER23" s="225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E23" s="173"/>
      <c r="FF23" s="173"/>
      <c r="FG23" s="173"/>
      <c r="FH23" s="173"/>
      <c r="FI23" s="173"/>
      <c r="FJ23" s="171" t="s">
        <v>333</v>
      </c>
      <c r="FK23" s="185" t="s">
        <v>332</v>
      </c>
      <c r="FL23" s="171" t="s">
        <v>331</v>
      </c>
      <c r="FM23" s="170" t="s">
        <v>330</v>
      </c>
      <c r="FN23" s="171" t="s">
        <v>328</v>
      </c>
      <c r="FO23" s="171" t="s">
        <v>329</v>
      </c>
      <c r="FP23" s="171" t="s">
        <v>334</v>
      </c>
      <c r="FQ23" s="194">
        <f>FE23</f>
        <v>0</v>
      </c>
      <c r="FR23" s="477">
        <f>112.1+38.17+7.6173024</f>
        <v>157.88730239999998</v>
      </c>
      <c r="FS23" s="84">
        <f>FR23*FQ23</f>
        <v>0</v>
      </c>
      <c r="FT23" s="478"/>
      <c r="FU23" s="478"/>
      <c r="FV23" s="478"/>
      <c r="FW23" s="478"/>
      <c r="FX23" s="478"/>
      <c r="FY23" s="478"/>
      <c r="FZ23" s="478"/>
      <c r="GA23" s="479">
        <f>112.1+38.17+7.6173024-7.62-2.303805</f>
        <v>147.96349739999997</v>
      </c>
      <c r="GB23" s="181"/>
      <c r="GC23" s="85">
        <v>109.88273449612403</v>
      </c>
      <c r="GD23" s="91">
        <v>1700984.73</v>
      </c>
      <c r="GE23" s="478">
        <f>(FY24-GE24)/6</f>
        <v>34325</v>
      </c>
      <c r="GF23" s="85" t="e">
        <f>GD23+$FN$69</f>
        <v>#REF!</v>
      </c>
      <c r="GG23" s="73" t="e">
        <f t="shared" si="72"/>
        <v>#REF!</v>
      </c>
      <c r="GH23" s="478"/>
      <c r="GI23" s="478"/>
      <c r="GJ23" s="478"/>
      <c r="GK23" s="478"/>
      <c r="GL23" s="478"/>
      <c r="GM23" s="478"/>
      <c r="GN23" s="478"/>
      <c r="GO23" s="478"/>
      <c r="GP23" s="478"/>
      <c r="GQ23" s="478"/>
      <c r="GR23" s="478"/>
      <c r="GS23" s="478"/>
      <c r="GT23" s="478"/>
      <c r="GU23" s="478"/>
      <c r="GV23" s="478"/>
      <c r="GW23" s="478"/>
      <c r="GX23" s="478"/>
      <c r="GY23" s="85" t="e">
        <f t="shared" si="73"/>
        <v>#REF!</v>
      </c>
      <c r="GZ23" s="91" t="e">
        <f>#REF!</f>
        <v>#REF!</v>
      </c>
      <c r="HA23" s="478"/>
      <c r="HB23" s="85" t="e">
        <f>GY23-HA21</f>
        <v>#REF!</v>
      </c>
      <c r="HC23" s="91" t="e">
        <f t="shared" si="74"/>
        <v>#REF!</v>
      </c>
      <c r="HD23" s="478"/>
      <c r="HE23" s="478"/>
      <c r="HF23" s="85" t="e">
        <f t="shared" si="75"/>
        <v>#REF!</v>
      </c>
      <c r="HG23" s="91" t="e">
        <f t="shared" si="76"/>
        <v>#REF!</v>
      </c>
      <c r="HH23" s="478"/>
      <c r="HI23" s="85" t="e">
        <f>HF23-HH21</f>
        <v>#REF!</v>
      </c>
      <c r="HJ23" s="91" t="e">
        <f t="shared" si="77"/>
        <v>#REF!</v>
      </c>
      <c r="HK23" s="478"/>
      <c r="HL23" s="72"/>
      <c r="HM23" s="102"/>
      <c r="HN23" s="8"/>
      <c r="HO23" s="89">
        <f>103+9.85</f>
        <v>112.85</v>
      </c>
      <c r="HP23" s="87">
        <f>HO23*D23</f>
        <v>1267531.2</v>
      </c>
      <c r="HQ23" s="106"/>
      <c r="HY23" s="185" t="s">
        <v>369</v>
      </c>
      <c r="IA23" s="452"/>
      <c r="IB23" s="452"/>
      <c r="IC23" s="453"/>
      <c r="ID23" s="454"/>
      <c r="IE23" s="453"/>
      <c r="IF23" s="453"/>
      <c r="IG23" s="455"/>
      <c r="IH23" s="130" t="s">
        <v>374</v>
      </c>
      <c r="II23" s="184" t="s">
        <v>375</v>
      </c>
      <c r="IJ23" s="187" t="s">
        <v>377</v>
      </c>
      <c r="IK23" s="130"/>
      <c r="IL23" s="130" t="s">
        <v>378</v>
      </c>
    </row>
    <row r="24" spans="1:247" ht="25.15" customHeight="1" x14ac:dyDescent="0.25">
      <c r="A24" s="94" t="s">
        <v>234</v>
      </c>
      <c r="B24" s="95" t="s">
        <v>247</v>
      </c>
      <c r="C24" s="59"/>
      <c r="D24" s="96">
        <f>SUM(D18:D23)</f>
        <v>102744</v>
      </c>
      <c r="E24" s="107">
        <f t="shared" ref="E24:N24" si="79">SUM(E18:E23)</f>
        <v>114372</v>
      </c>
      <c r="F24" s="107">
        <f t="shared" si="79"/>
        <v>114372</v>
      </c>
      <c r="G24" s="96">
        <f t="shared" si="79"/>
        <v>102750</v>
      </c>
      <c r="H24" s="96">
        <f t="shared" si="79"/>
        <v>102756</v>
      </c>
      <c r="I24" s="97">
        <f>J24/D24</f>
        <v>285.66521077435181</v>
      </c>
      <c r="J24" s="97">
        <f>SUM(J18:J23)</f>
        <v>29350386.415800001</v>
      </c>
      <c r="K24" s="97">
        <f>L24/G24</f>
        <v>325.79963015513863</v>
      </c>
      <c r="L24" s="97">
        <f t="shared" si="79"/>
        <v>33475911.998440493</v>
      </c>
      <c r="M24" s="97">
        <f>N24/H24</f>
        <v>355.4239752356612</v>
      </c>
      <c r="N24" s="97">
        <f t="shared" si="79"/>
        <v>36521945.999315605</v>
      </c>
      <c r="O24" s="108"/>
      <c r="P24" s="108"/>
      <c r="Q24" s="194">
        <f>SUM(Q18:Q23)</f>
        <v>102744</v>
      </c>
      <c r="R24" s="84">
        <f>S24/Q24</f>
        <v>279.41436580238269</v>
      </c>
      <c r="S24" s="84">
        <f>SUM(S18:S23)</f>
        <v>28708149.600000005</v>
      </c>
      <c r="T24" s="108"/>
      <c r="U24" s="194">
        <f t="shared" ref="U24" si="80">SUM(U18:U23)</f>
        <v>102750</v>
      </c>
      <c r="V24" s="97">
        <f>W24/U24</f>
        <v>279.39804964691484</v>
      </c>
      <c r="W24" s="84">
        <f>SUM(W18:W23)</f>
        <v>28708149.6012205</v>
      </c>
      <c r="X24" s="108"/>
      <c r="Y24" s="194">
        <f t="shared" ref="Y24" si="81">SUM(Y18:Y23)</f>
        <v>102756</v>
      </c>
      <c r="Z24" s="97">
        <f>AA24/Y24</f>
        <v>279.38173534686058</v>
      </c>
      <c r="AA24" s="84">
        <f>SUM(AA18:AA23)</f>
        <v>28708149.597302005</v>
      </c>
      <c r="AB24" s="108"/>
      <c r="AC24" s="108"/>
      <c r="AD24" s="194">
        <f>SUM(AD18:AD23)</f>
        <v>102744</v>
      </c>
      <c r="AE24" s="84">
        <f>AF24/AD24</f>
        <v>279.41436580238269</v>
      </c>
      <c r="AF24" s="84">
        <f>SUM(AF18:AF23)</f>
        <v>28708149.600000005</v>
      </c>
      <c r="AG24" s="108"/>
      <c r="AH24" s="84">
        <f>AI24/U24</f>
        <v>325.79963017031622</v>
      </c>
      <c r="AI24" s="84">
        <f>SUM(AI18:AI23)</f>
        <v>33475911.999999993</v>
      </c>
      <c r="AJ24" s="108"/>
      <c r="AK24" s="84">
        <f>AL24/Y24</f>
        <v>355.4239752423216</v>
      </c>
      <c r="AL24" s="84">
        <f>SUM(AL18:AL23)</f>
        <v>36521946</v>
      </c>
      <c r="AM24" s="92"/>
      <c r="AN24" s="108"/>
      <c r="AO24" s="108"/>
      <c r="AP24" s="84">
        <f>AQ24/AD24</f>
        <v>285.66521066923622</v>
      </c>
      <c r="AQ24" s="84">
        <f>SUM(AQ18:AQ23)</f>
        <v>29350386.405000005</v>
      </c>
      <c r="AR24" s="108"/>
      <c r="AS24" s="92" t="s">
        <v>585</v>
      </c>
      <c r="AT24" s="84">
        <f>AU24/AD24</f>
        <v>285.66521066923622</v>
      </c>
      <c r="AU24" s="84">
        <f>SUM(AU18:AU23)</f>
        <v>29350386.405000005</v>
      </c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94">
        <f>SUM(BK18:BK23)</f>
        <v>104880</v>
      </c>
      <c r="BL24" s="84">
        <f>BM24/BK24</f>
        <v>266.56559038901599</v>
      </c>
      <c r="BM24" s="84">
        <f>SUM(BM18:BM23)</f>
        <v>27957399.119999997</v>
      </c>
      <c r="BN24" s="92"/>
      <c r="BO24" s="92"/>
      <c r="BP24" s="92"/>
      <c r="BQ24" s="92"/>
      <c r="BR24" s="84">
        <f>BS24/BK24</f>
        <v>266.56559038901599</v>
      </c>
      <c r="BS24" s="84">
        <f>SUM(BS18:BS23)</f>
        <v>27957399.119999997</v>
      </c>
      <c r="BT24" s="92"/>
      <c r="BU24" s="92"/>
      <c r="BV24" s="92"/>
      <c r="BW24" s="92"/>
      <c r="BX24" s="92"/>
      <c r="BY24" s="92"/>
      <c r="BZ24" s="92"/>
      <c r="CA24" s="84">
        <f>CB24/BK24</f>
        <v>266.56559038901599</v>
      </c>
      <c r="CB24" s="84">
        <f>SUM(CB18:CB23)</f>
        <v>27957399.119999997</v>
      </c>
      <c r="CC24" s="92">
        <v>27957415.149999999</v>
      </c>
      <c r="CD24" s="92">
        <f>CC24-CB24</f>
        <v>16.030000001192093</v>
      </c>
      <c r="CE24" s="92"/>
      <c r="CF24" s="92"/>
      <c r="CG24" s="92"/>
      <c r="CH24" s="92"/>
      <c r="CI24" s="92"/>
      <c r="CJ24" s="108"/>
      <c r="CK24" s="108"/>
      <c r="CL24" s="92"/>
      <c r="CM24" s="92"/>
      <c r="CN24" s="84">
        <f>CO24/BK24</f>
        <v>270.71209213729981</v>
      </c>
      <c r="CO24" s="84">
        <f>SUM(CO18:CO23)</f>
        <v>28392284.223360002</v>
      </c>
      <c r="CP24" s="92"/>
      <c r="CQ24" s="92"/>
      <c r="CR24" s="203"/>
      <c r="CS24" s="92"/>
      <c r="CT24" s="92"/>
      <c r="CU24" s="92"/>
      <c r="CV24" s="92"/>
      <c r="CW24" s="92"/>
      <c r="CX24" s="92"/>
      <c r="CY24" s="92"/>
      <c r="CZ24" s="84">
        <f>DA24/$BK$24</f>
        <v>270.71209213729981</v>
      </c>
      <c r="DA24" s="84">
        <f>SUM(DA18:DA23)</f>
        <v>28392284.223360002</v>
      </c>
      <c r="DB24" s="92"/>
      <c r="DC24" s="92"/>
      <c r="DD24" s="92"/>
      <c r="DE24" s="92"/>
      <c r="DF24" s="92"/>
      <c r="DG24" s="92"/>
      <c r="DH24" s="92"/>
      <c r="DI24" s="92"/>
      <c r="DJ24" s="92"/>
      <c r="DK24" s="84">
        <f>DL24/$BK$24</f>
        <v>274.85271130434785</v>
      </c>
      <c r="DL24" s="84">
        <f>SUM(DL18:DL23)</f>
        <v>28826552.3616</v>
      </c>
      <c r="DM24" s="92"/>
      <c r="DN24" s="92"/>
      <c r="DO24" s="92"/>
      <c r="DP24" s="182"/>
      <c r="DQ24" s="92"/>
      <c r="DR24" s="92"/>
      <c r="DS24" s="92"/>
      <c r="DT24" s="92"/>
      <c r="DU24" s="92"/>
      <c r="DV24" s="92"/>
      <c r="DW24" s="85">
        <f>266.25+4.14+4.14-14.99</f>
        <v>259.53999999999996</v>
      </c>
      <c r="DX24" s="85">
        <f>DW24*$BK$23</f>
        <v>3796551.1199999996</v>
      </c>
      <c r="DY24" s="173"/>
      <c r="DZ24" s="92"/>
      <c r="EA24" s="92"/>
      <c r="EB24" s="92"/>
      <c r="EC24" s="92"/>
      <c r="ED24" s="92"/>
      <c r="EE24" s="92"/>
      <c r="EF24" s="92"/>
      <c r="EG24" s="211" t="e">
        <f>EG23/EI24</f>
        <v>#VALUE!</v>
      </c>
      <c r="EH24" s="92">
        <v>27254373.359999999</v>
      </c>
      <c r="EI24" s="425">
        <f>SUM(EI18:EI23)</f>
        <v>114372</v>
      </c>
      <c r="EJ24" s="84">
        <f>EK24/EI24</f>
        <v>238.29585356846079</v>
      </c>
      <c r="EK24" s="84">
        <f>SUM(EK18:EK23)</f>
        <v>27254373.364331998</v>
      </c>
      <c r="EL24" s="84"/>
      <c r="EM24" s="433">
        <f>EN24/EI24</f>
        <v>197.06758318035881</v>
      </c>
      <c r="EN24" s="84">
        <f>SUM(EN18:EN23)</f>
        <v>22539013.623503998</v>
      </c>
      <c r="EO24" s="92">
        <v>22539013.620000001</v>
      </c>
      <c r="EP24" s="92">
        <f>EO24-EN24</f>
        <v>-3.503996878862381E-3</v>
      </c>
      <c r="EQ24" s="182">
        <f>EP24/EI18</f>
        <v>-1.5449721688105736E-7</v>
      </c>
      <c r="ER24" s="92"/>
      <c r="ES24" s="223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E24" s="92"/>
      <c r="FF24" s="92"/>
      <c r="FG24" s="92"/>
      <c r="FH24" s="92"/>
      <c r="FI24" s="108"/>
      <c r="FJ24" s="110">
        <v>12120</v>
      </c>
      <c r="FK24" s="172">
        <v>923</v>
      </c>
      <c r="FL24" s="172">
        <v>95904</v>
      </c>
      <c r="FM24" s="92">
        <f>FJ24*FK24</f>
        <v>11186760</v>
      </c>
      <c r="FN24" s="92">
        <v>441270.48</v>
      </c>
      <c r="FO24" s="92">
        <v>10745500</v>
      </c>
      <c r="FP24" s="110"/>
      <c r="FQ24" s="194">
        <f>SUM(FQ18:FQ23)</f>
        <v>69300</v>
      </c>
      <c r="FR24" s="434">
        <f>FS24/FQ24</f>
        <v>157.3949980369062</v>
      </c>
      <c r="FS24" s="84">
        <f>SUM(FS18:FS23)</f>
        <v>10907473.363957601</v>
      </c>
      <c r="FT24" s="110"/>
      <c r="FU24" s="110"/>
      <c r="FV24" s="110"/>
      <c r="FW24" s="110"/>
      <c r="FX24" s="110"/>
      <c r="FY24" s="110"/>
      <c r="FZ24" s="110">
        <f>G24*I24</f>
        <v>29352100.407064646</v>
      </c>
      <c r="GA24" s="110">
        <v>15360520.9</v>
      </c>
      <c r="GB24" s="110">
        <f>GA24-15123993.34</f>
        <v>236527.56000000052</v>
      </c>
      <c r="GC24" s="109"/>
      <c r="GD24" s="435">
        <f>SUM(GD18:GD23)</f>
        <v>4416376.04</v>
      </c>
      <c r="GE24" s="110">
        <f>FY24-205950</f>
        <v>-205950</v>
      </c>
      <c r="GF24" s="109" t="e">
        <f>SUM(GF18:GF23)</f>
        <v>#REF!</v>
      </c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09"/>
      <c r="GZ24" s="435" t="e">
        <f>SUM(GZ18:GZ23)</f>
        <v>#REF!</v>
      </c>
      <c r="HA24" s="110">
        <f>FK24</f>
        <v>923</v>
      </c>
      <c r="HB24" s="109"/>
      <c r="HC24" s="435" t="e">
        <f>SUM(HC18:HC23)</f>
        <v>#REF!</v>
      </c>
      <c r="HD24" s="110"/>
      <c r="HE24" s="110"/>
      <c r="HF24" s="109"/>
      <c r="HG24" s="435" t="e">
        <f>SUM(HG18:HG23)</f>
        <v>#REF!</v>
      </c>
      <c r="HH24" s="110">
        <f>HA24</f>
        <v>923</v>
      </c>
      <c r="HI24" s="84" t="e">
        <f>SUM(HI18:HI23)/6</f>
        <v>#REF!</v>
      </c>
      <c r="HJ24" s="435" t="e">
        <f>SUM(HJ18:HJ23)</f>
        <v>#REF!</v>
      </c>
      <c r="HK24" s="182">
        <f>GB24/D24</f>
        <v>2.302105816398043</v>
      </c>
      <c r="HL24" s="110"/>
      <c r="HM24" s="8"/>
      <c r="HN24" s="111">
        <f>9289864.8-8889750.36</f>
        <v>400114.44000000134</v>
      </c>
      <c r="HO24" s="112">
        <f>HN24/D24</f>
        <v>3.8942852137351216</v>
      </c>
      <c r="HP24" s="88">
        <f>SUM(HP18:HP23)</f>
        <v>11603865.239999998</v>
      </c>
      <c r="HQ24" s="88">
        <v>8889750.3599999994</v>
      </c>
      <c r="HY24" s="188">
        <v>27957399.120000001</v>
      </c>
      <c r="IH24" s="111">
        <v>24652200</v>
      </c>
      <c r="II24" s="103">
        <v>3305215.15</v>
      </c>
      <c r="IJ24" s="121">
        <f>IH24+II24</f>
        <v>27957415.149999999</v>
      </c>
      <c r="IK24" s="129">
        <f>IJ24-HY24</f>
        <v>16.029999997466803</v>
      </c>
      <c r="IL24" s="189">
        <f>IK24/D24</f>
        <v>1.560188429248112E-4</v>
      </c>
    </row>
    <row r="25" spans="1:247" ht="47.45" customHeight="1" x14ac:dyDescent="0.25">
      <c r="A25" s="79" t="s">
        <v>225</v>
      </c>
      <c r="B25" s="80" t="s">
        <v>248</v>
      </c>
      <c r="C25" s="59" t="s">
        <v>249</v>
      </c>
      <c r="D25" s="59">
        <v>4</v>
      </c>
      <c r="E25" s="59">
        <v>2</v>
      </c>
      <c r="F25" s="59">
        <v>2</v>
      </c>
      <c r="G25" s="59">
        <f>4-4</f>
        <v>0</v>
      </c>
      <c r="H25" s="59">
        <f>4-4</f>
        <v>0</v>
      </c>
      <c r="I25" s="81">
        <v>191863.84</v>
      </c>
      <c r="J25" s="81">
        <f>D25*I25-0.02</f>
        <v>767455.34</v>
      </c>
      <c r="K25" s="81">
        <f>191863.84-191863.84</f>
        <v>0</v>
      </c>
      <c r="L25" s="81">
        <f>G25*K25</f>
        <v>0</v>
      </c>
      <c r="M25" s="81">
        <f>191863.84-191863.84</f>
        <v>0</v>
      </c>
      <c r="N25" s="81">
        <f>H25*M25</f>
        <v>0</v>
      </c>
      <c r="O25" s="90"/>
      <c r="P25" s="90"/>
      <c r="Q25" s="193">
        <v>4</v>
      </c>
      <c r="R25" s="85">
        <v>191863.84</v>
      </c>
      <c r="S25" s="85">
        <f>R25*Q25-0.02</f>
        <v>767455.34</v>
      </c>
      <c r="T25" s="90"/>
      <c r="U25" s="73">
        <f>4-4</f>
        <v>0</v>
      </c>
      <c r="V25" s="85">
        <f>191863.84-191863.84</f>
        <v>0</v>
      </c>
      <c r="W25" s="85">
        <f>U25*V25</f>
        <v>0</v>
      </c>
      <c r="X25" s="90"/>
      <c r="Y25" s="73">
        <f>4-4</f>
        <v>0</v>
      </c>
      <c r="Z25" s="85">
        <f>191863.84-191863.84</f>
        <v>0</v>
      </c>
      <c r="AA25" s="85">
        <f>Y25*Z25</f>
        <v>0</v>
      </c>
      <c r="AB25" s="90"/>
      <c r="AC25" s="90"/>
      <c r="AD25" s="193">
        <v>4</v>
      </c>
      <c r="AE25" s="85">
        <v>191863.84</v>
      </c>
      <c r="AF25" s="85">
        <f>AE25*AD25-0.02</f>
        <v>767455.34</v>
      </c>
      <c r="AG25" s="90"/>
      <c r="AH25" s="90"/>
      <c r="AI25" s="90"/>
      <c r="AJ25" s="90"/>
      <c r="AK25" s="90"/>
      <c r="AL25" s="90"/>
      <c r="AM25" s="90"/>
      <c r="AN25" s="90"/>
      <c r="AO25" s="193">
        <v>4</v>
      </c>
      <c r="AP25" s="85">
        <v>191863.84</v>
      </c>
      <c r="AQ25" s="85">
        <f>AP25*AO25-0.02</f>
        <v>767455.34</v>
      </c>
      <c r="AS25" s="90"/>
      <c r="AT25" s="85">
        <v>191863.84</v>
      </c>
      <c r="AU25" s="85">
        <f>AT25*AO25-0.02</f>
        <v>767455.34</v>
      </c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193">
        <v>4</v>
      </c>
      <c r="BL25" s="85">
        <v>190837.65</v>
      </c>
      <c r="BM25" s="85">
        <f>BL25*BK25</f>
        <v>763350.6</v>
      </c>
      <c r="BN25" s="72"/>
      <c r="BO25" s="72"/>
      <c r="BP25" s="72"/>
      <c r="BQ25" s="72"/>
      <c r="BR25" s="85">
        <v>190837.65</v>
      </c>
      <c r="BS25" s="84">
        <f>BR25*BK25</f>
        <v>763350.6</v>
      </c>
      <c r="BT25" s="72"/>
      <c r="BU25" s="72"/>
      <c r="BV25" s="72"/>
      <c r="BW25" s="72"/>
      <c r="BX25" s="72"/>
      <c r="BY25" s="72"/>
      <c r="BZ25" s="72">
        <v>190837.65</v>
      </c>
      <c r="CA25" s="85">
        <f>190837.65+4.0125</f>
        <v>190841.66250000001</v>
      </c>
      <c r="CB25" s="84">
        <f>CA25*BK25</f>
        <v>763366.65</v>
      </c>
      <c r="CC25" s="72"/>
      <c r="CD25" s="72"/>
      <c r="CE25" s="72"/>
      <c r="CF25" s="72"/>
      <c r="CG25" s="72"/>
      <c r="CH25" s="72"/>
      <c r="CI25" s="72"/>
      <c r="CJ25" s="90"/>
      <c r="CK25" s="90"/>
      <c r="CL25" s="72"/>
      <c r="CM25" s="72">
        <v>190837.65</v>
      </c>
      <c r="CN25" s="85">
        <f>190837.65+4.0125</f>
        <v>190841.66250000001</v>
      </c>
      <c r="CO25" s="84">
        <f>CN25*BK25</f>
        <v>763366.65</v>
      </c>
      <c r="CP25" s="78" t="s">
        <v>425</v>
      </c>
      <c r="CQ25" s="72"/>
      <c r="CR25" s="72"/>
      <c r="CS25" s="72"/>
      <c r="CT25" s="72"/>
      <c r="CU25" s="72"/>
      <c r="CV25" s="72"/>
      <c r="CW25" s="72"/>
      <c r="CX25" s="72"/>
      <c r="CY25" s="72"/>
      <c r="CZ25" s="85">
        <f>190837.65+4.0125</f>
        <v>190841.66250000001</v>
      </c>
      <c r="DA25" s="84">
        <f>CZ25*BK25</f>
        <v>763366.65</v>
      </c>
      <c r="DB25" s="78" t="s">
        <v>425</v>
      </c>
      <c r="DC25" s="72"/>
      <c r="DD25" s="72"/>
      <c r="DE25" s="72"/>
      <c r="DF25" s="72"/>
      <c r="DG25" s="72"/>
      <c r="DH25" s="72"/>
      <c r="DI25" s="72"/>
      <c r="DJ25" s="72"/>
      <c r="DK25" s="85">
        <f>190837.65+4.0125</f>
        <v>190841.66250000001</v>
      </c>
      <c r="DL25" s="84">
        <f>DK25*$BK$25</f>
        <v>763366.65</v>
      </c>
      <c r="DM25" s="78" t="s">
        <v>425</v>
      </c>
      <c r="DN25" s="72"/>
      <c r="DO25" s="72"/>
      <c r="DP25" s="72"/>
      <c r="DQ25" s="72"/>
      <c r="DR25" s="72"/>
      <c r="DS25" s="72"/>
      <c r="DT25" s="72"/>
      <c r="DU25" s="72"/>
      <c r="DV25" s="72"/>
      <c r="DW25" s="84">
        <f>DX25/$BK$24</f>
        <v>259.86244624713959</v>
      </c>
      <c r="DX25" s="84">
        <f>SUM(DX19:DX24)</f>
        <v>27254373.362399999</v>
      </c>
      <c r="DY25" s="92"/>
      <c r="DZ25" s="72"/>
      <c r="EA25" s="72"/>
      <c r="EB25" s="72"/>
      <c r="EC25" s="72"/>
      <c r="ED25" s="72"/>
      <c r="EE25" s="72"/>
      <c r="EF25" s="72"/>
      <c r="EG25" s="72"/>
      <c r="EH25" s="72"/>
      <c r="EI25" s="193">
        <v>4</v>
      </c>
      <c r="EJ25" s="85">
        <v>190841.66</v>
      </c>
      <c r="EK25" s="84">
        <f>EJ25*EI25+0.01</f>
        <v>763366.65</v>
      </c>
      <c r="EL25" s="72"/>
      <c r="EM25" s="85">
        <v>190837.65</v>
      </c>
      <c r="EN25" s="84">
        <f>EM25*EI25-0.02</f>
        <v>763350.58</v>
      </c>
      <c r="EO25" s="72">
        <v>24585050.879999999</v>
      </c>
      <c r="EP25" s="72">
        <f>EO24-EO25</f>
        <v>-2046037.2599999979</v>
      </c>
      <c r="EQ25" s="213">
        <f>EP25/EI24</f>
        <v>-17.889319588710507</v>
      </c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E25" s="72"/>
      <c r="FF25" s="72"/>
      <c r="FG25" s="72"/>
      <c r="FH25" s="72"/>
      <c r="FI25" s="90"/>
      <c r="FJ25" s="114"/>
      <c r="FK25" s="173" t="e">
        <f>#REF!-FK24</f>
        <v>#REF!</v>
      </c>
      <c r="FL25" s="173" t="e">
        <f>#REF!-FL24</f>
        <v>#REF!</v>
      </c>
      <c r="FM25" s="72" t="e">
        <f>#REF!-FM24</f>
        <v>#REF!</v>
      </c>
      <c r="FN25" s="72" t="e">
        <f>#REF!-FN24</f>
        <v>#REF!</v>
      </c>
      <c r="FO25" s="72" t="e">
        <f>#REF!-FO24</f>
        <v>#REF!</v>
      </c>
      <c r="FP25" s="92">
        <v>4334708.4000000004</v>
      </c>
      <c r="FQ25" s="480" t="s">
        <v>344</v>
      </c>
      <c r="FR25" s="72"/>
      <c r="FS25" s="72"/>
      <c r="FT25" s="114"/>
      <c r="FU25" s="114"/>
      <c r="FV25" s="114"/>
      <c r="FW25" s="114"/>
      <c r="FX25" s="114"/>
      <c r="FY25" s="114"/>
      <c r="FZ25" s="114"/>
      <c r="GA25" s="114"/>
      <c r="GB25" s="114"/>
      <c r="GC25" s="115"/>
      <c r="GD25" s="115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8"/>
      <c r="HY25" s="188">
        <v>27957399.120000001</v>
      </c>
      <c r="IH25" s="111">
        <v>24652200</v>
      </c>
      <c r="II25" s="74">
        <v>0</v>
      </c>
      <c r="IJ25" s="111">
        <f>IH25</f>
        <v>24652200</v>
      </c>
      <c r="IK25" s="111">
        <f>HY25-IJ25</f>
        <v>3305199.120000001</v>
      </c>
      <c r="IL25" s="113">
        <f>IK25/G24</f>
        <v>32.167388029197092</v>
      </c>
    </row>
    <row r="26" spans="1:247" ht="30" customHeight="1" x14ac:dyDescent="0.25">
      <c r="A26" s="94" t="s">
        <v>250</v>
      </c>
      <c r="B26" s="95" t="s">
        <v>251</v>
      </c>
      <c r="C26" s="59"/>
      <c r="D26" s="116">
        <f>SUM(D25:D25)</f>
        <v>4</v>
      </c>
      <c r="E26" s="117">
        <f>SUM(E25:E25)</f>
        <v>2</v>
      </c>
      <c r="F26" s="117">
        <f>SUM(F25:F25)</f>
        <v>2</v>
      </c>
      <c r="G26" s="116">
        <f>SUM(G25:G25)</f>
        <v>0</v>
      </c>
      <c r="H26" s="116">
        <f>SUM(H25:H25)</f>
        <v>0</v>
      </c>
      <c r="I26" s="81">
        <f>I25</f>
        <v>191863.84</v>
      </c>
      <c r="J26" s="97">
        <f>SUM(J25:J25)</f>
        <v>767455.34</v>
      </c>
      <c r="K26" s="97">
        <f>K25</f>
        <v>0</v>
      </c>
      <c r="L26" s="97">
        <f>SUM(L25:L25)</f>
        <v>0</v>
      </c>
      <c r="M26" s="81">
        <f>M25</f>
        <v>0</v>
      </c>
      <c r="N26" s="97">
        <f>SUM(N25:N25)</f>
        <v>0</v>
      </c>
      <c r="O26" s="108"/>
      <c r="P26" s="108"/>
      <c r="Q26" s="194"/>
      <c r="R26" s="84"/>
      <c r="S26" s="84">
        <f>S25+S24+S17</f>
        <v>48718083.380000003</v>
      </c>
      <c r="T26" s="108"/>
      <c r="U26" s="228"/>
      <c r="V26" s="97"/>
      <c r="W26" s="84">
        <f>W25+W24+W17</f>
        <v>47950628.042778499</v>
      </c>
      <c r="X26" s="108"/>
      <c r="Y26" s="108"/>
      <c r="Z26" s="108"/>
      <c r="AA26" s="84">
        <f>AA25+AA24+AA17</f>
        <v>47950628.037643999</v>
      </c>
      <c r="AB26" s="108"/>
      <c r="AC26" s="108"/>
      <c r="AD26" s="194"/>
      <c r="AE26" s="84"/>
      <c r="AF26" s="84">
        <f>AF25+AF24+AF17</f>
        <v>54398493.38000001</v>
      </c>
      <c r="AG26" s="108"/>
      <c r="AH26" s="108"/>
      <c r="AI26" s="108"/>
      <c r="AJ26" s="108"/>
      <c r="AK26" s="108"/>
      <c r="AL26" s="108"/>
      <c r="AM26" s="108"/>
      <c r="AN26" s="108"/>
      <c r="AO26" s="194"/>
      <c r="AP26" s="84"/>
      <c r="AQ26" s="97">
        <f>AQ25+AQ24+AQ17</f>
        <v>55040730.18500001</v>
      </c>
      <c r="AS26" s="108"/>
      <c r="AT26" s="84"/>
      <c r="AU26" s="97">
        <f>AU25+AU24+AU17</f>
        <v>55123080.18500001</v>
      </c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94">
        <v>4</v>
      </c>
      <c r="BL26" s="84"/>
      <c r="BM26" s="84"/>
      <c r="BN26" s="92"/>
      <c r="BO26" s="92"/>
      <c r="BP26" s="92"/>
      <c r="BQ26" s="92"/>
      <c r="BR26" s="84"/>
      <c r="BS26" s="84">
        <f>BS25+BS24+BS17</f>
        <v>45830885.519999996</v>
      </c>
      <c r="BT26" s="92"/>
      <c r="BU26" s="92"/>
      <c r="BV26" s="92"/>
      <c r="BW26" s="92"/>
      <c r="BX26" s="92"/>
      <c r="BY26" s="92"/>
      <c r="BZ26" s="92"/>
      <c r="CA26" s="84"/>
      <c r="CB26" s="84">
        <f>CB25+CB24+CB17</f>
        <v>50309105.516879991</v>
      </c>
      <c r="CC26" s="202" t="s">
        <v>415</v>
      </c>
      <c r="CD26" s="92"/>
      <c r="CE26" s="92"/>
      <c r="CF26" s="92"/>
      <c r="CG26" s="92"/>
      <c r="CH26" s="92"/>
      <c r="CI26" s="92"/>
      <c r="CJ26" s="108"/>
      <c r="CK26" s="108"/>
      <c r="CL26" s="92"/>
      <c r="CM26" s="92"/>
      <c r="CN26" s="84"/>
      <c r="CO26" s="84">
        <f>CO25+CO24+CO17</f>
        <v>52440014.131548002</v>
      </c>
      <c r="CP26" s="202" t="s">
        <v>433</v>
      </c>
      <c r="CQ26" s="92"/>
      <c r="CR26" s="92"/>
      <c r="CS26" s="92"/>
      <c r="CT26" s="92"/>
      <c r="CU26" s="92"/>
      <c r="CV26" s="92"/>
      <c r="CW26" s="92"/>
      <c r="CX26" s="92"/>
      <c r="CY26" s="92"/>
      <c r="CZ26" s="84"/>
      <c r="DA26" s="84">
        <f>DA25+DA24+DA17</f>
        <v>52496455.933463998</v>
      </c>
      <c r="DB26" s="202" t="s">
        <v>433</v>
      </c>
      <c r="DC26" s="92"/>
      <c r="DD26" s="92"/>
      <c r="DE26" s="92"/>
      <c r="DF26" s="92"/>
      <c r="DG26" s="92"/>
      <c r="DH26" s="92"/>
      <c r="DI26" s="92"/>
      <c r="DJ26" s="92"/>
      <c r="DK26" s="84"/>
      <c r="DL26" s="84">
        <f>DL25+DL24+DL17</f>
        <v>52930724.071704</v>
      </c>
      <c r="DM26" s="202" t="s">
        <v>433</v>
      </c>
      <c r="DN26" s="92"/>
      <c r="DO26" s="92"/>
      <c r="DP26" s="92"/>
      <c r="DQ26" s="92"/>
      <c r="DR26" s="92"/>
      <c r="DS26" s="92"/>
      <c r="DT26" s="92"/>
      <c r="DU26" s="92"/>
      <c r="DV26" s="92"/>
      <c r="DW26" s="85">
        <f>190837.65+4.0125</f>
        <v>190841.66250000001</v>
      </c>
      <c r="DX26" s="84">
        <f>DW26*$BK$25</f>
        <v>763366.65</v>
      </c>
      <c r="DY26" s="78" t="s">
        <v>425</v>
      </c>
      <c r="DZ26" s="92"/>
      <c r="EA26" s="92"/>
      <c r="EB26" s="92"/>
      <c r="EC26" s="92"/>
      <c r="ED26" s="92"/>
      <c r="EE26" s="92"/>
      <c r="EF26" s="92"/>
      <c r="EG26" s="92"/>
      <c r="EH26" s="92"/>
      <c r="EI26" s="84" t="s">
        <v>311</v>
      </c>
      <c r="EJ26" s="84"/>
      <c r="EK26" s="84">
        <f>EK17+EK24+EK25</f>
        <v>56226747.930292003</v>
      </c>
      <c r="EL26" s="92"/>
      <c r="EM26" s="84" t="s">
        <v>311</v>
      </c>
      <c r="EN26" s="84">
        <f>EN17+EN24+EN25-0.01</f>
        <v>40412499.995551996</v>
      </c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E26" s="92"/>
      <c r="FF26" s="92"/>
      <c r="FG26" s="92"/>
      <c r="FH26" s="92"/>
      <c r="FI26" s="108"/>
      <c r="FJ26" s="110"/>
      <c r="FK26" s="191">
        <v>71</v>
      </c>
      <c r="FL26" s="436">
        <v>6408</v>
      </c>
      <c r="FM26" s="110"/>
      <c r="FN26" s="110"/>
      <c r="FO26" s="130" t="s">
        <v>343</v>
      </c>
      <c r="FP26" s="88">
        <f>FO24+FP25</f>
        <v>15080208.4</v>
      </c>
      <c r="FQ26" s="109" t="s">
        <v>336</v>
      </c>
      <c r="FR26" s="84" t="s">
        <v>340</v>
      </c>
      <c r="FS26" s="84" t="s">
        <v>341</v>
      </c>
      <c r="FT26" s="110"/>
      <c r="FU26" s="110"/>
      <c r="FV26" s="110"/>
      <c r="FW26" s="110"/>
      <c r="FX26" s="110"/>
      <c r="FY26" s="110"/>
      <c r="FZ26" s="110"/>
      <c r="GA26" s="110"/>
      <c r="GB26" s="110"/>
      <c r="GC26" s="109"/>
      <c r="GD26" s="109">
        <f>FY26</f>
        <v>0</v>
      </c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8"/>
      <c r="HP26" s="103"/>
      <c r="HQ26" s="74"/>
      <c r="HR26" s="74"/>
      <c r="HS26" s="74"/>
      <c r="HT26" s="74" t="s">
        <v>252</v>
      </c>
      <c r="HU26" s="74" t="s">
        <v>253</v>
      </c>
      <c r="IJ26" s="111">
        <f>IJ25-L24</f>
        <v>-8823711.9984404929</v>
      </c>
      <c r="IK26" s="113">
        <f>IJ26/G20</f>
        <v>-3266.8315432952586</v>
      </c>
    </row>
    <row r="27" spans="1:247" ht="22.9" hidden="1" customHeight="1" x14ac:dyDescent="0.25">
      <c r="A27" s="79" t="s">
        <v>225</v>
      </c>
      <c r="B27" s="80" t="s">
        <v>254</v>
      </c>
      <c r="C27" s="80" t="s">
        <v>128</v>
      </c>
      <c r="D27" s="80">
        <f>28+6</f>
        <v>34</v>
      </c>
      <c r="E27" s="80">
        <f>28+6</f>
        <v>34</v>
      </c>
      <c r="F27" s="80">
        <f>28+6</f>
        <v>34</v>
      </c>
      <c r="G27" s="80">
        <f>28+6</f>
        <v>34</v>
      </c>
      <c r="H27" s="80">
        <f>28+6</f>
        <v>34</v>
      </c>
      <c r="I27" s="118"/>
      <c r="J27" s="118"/>
      <c r="K27" s="118"/>
      <c r="L27" s="119"/>
      <c r="M27" s="119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20"/>
      <c r="CK27" s="12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84"/>
      <c r="DX27" s="84">
        <f>DX26+DX25+DX18</f>
        <v>28017740.012399998</v>
      </c>
      <c r="DY27" s="202" t="s">
        <v>433</v>
      </c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20"/>
      <c r="FJ27" s="110"/>
      <c r="FK27" s="176">
        <f>FK24+FK26</f>
        <v>994</v>
      </c>
      <c r="FL27" s="176">
        <f>FL24+FL26</f>
        <v>102312</v>
      </c>
      <c r="FM27" s="110"/>
      <c r="FN27" s="110"/>
      <c r="FO27" s="110"/>
      <c r="FP27" s="110"/>
      <c r="FQ27" s="109"/>
      <c r="FR27" s="109"/>
      <c r="FS27" s="109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</row>
    <row r="28" spans="1:247" ht="22.9" hidden="1" customHeight="1" x14ac:dyDescent="0.25">
      <c r="A28" s="79"/>
      <c r="B28" s="80" t="s">
        <v>255</v>
      </c>
      <c r="C28" s="80" t="s">
        <v>128</v>
      </c>
      <c r="D28" s="80"/>
      <c r="E28" s="80"/>
      <c r="F28" s="80"/>
      <c r="G28" s="80"/>
      <c r="H28" s="80"/>
      <c r="I28" s="118"/>
      <c r="J28" s="118"/>
      <c r="K28" s="118"/>
      <c r="L28" s="119"/>
      <c r="M28" s="119"/>
      <c r="N28" s="119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20"/>
      <c r="CK28" s="12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20"/>
      <c r="FJ28" s="110"/>
      <c r="FK28" s="110"/>
      <c r="FL28" s="110"/>
      <c r="FM28" s="110"/>
      <c r="FN28" s="110"/>
      <c r="FO28" s="110"/>
      <c r="FP28" s="110"/>
      <c r="FQ28" s="109"/>
      <c r="FR28" s="109"/>
      <c r="FS28" s="109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</row>
    <row r="29" spans="1:247" ht="18" hidden="1" customHeight="1" x14ac:dyDescent="0.25">
      <c r="A29" s="79"/>
      <c r="B29" s="80" t="s">
        <v>256</v>
      </c>
      <c r="C29" s="80" t="s">
        <v>128</v>
      </c>
      <c r="D29" s="80">
        <f>21+11</f>
        <v>32</v>
      </c>
      <c r="E29" s="80">
        <f t="shared" ref="E29:H30" si="82">21+11</f>
        <v>32</v>
      </c>
      <c r="F29" s="80">
        <f t="shared" si="82"/>
        <v>32</v>
      </c>
      <c r="G29" s="80">
        <f t="shared" si="82"/>
        <v>32</v>
      </c>
      <c r="H29" s="80">
        <f t="shared" si="82"/>
        <v>32</v>
      </c>
      <c r="I29" s="118"/>
      <c r="J29" s="118"/>
      <c r="K29" s="118"/>
      <c r="L29" s="119"/>
      <c r="M29" s="119"/>
      <c r="N29" s="119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20"/>
      <c r="CK29" s="12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20"/>
      <c r="FJ29" s="110"/>
      <c r="FK29" s="110"/>
      <c r="FL29" s="110"/>
      <c r="FM29" s="110"/>
      <c r="FN29" s="110"/>
      <c r="FO29" s="110"/>
      <c r="FP29" s="110"/>
      <c r="FQ29" s="109"/>
      <c r="FR29" s="109"/>
      <c r="FS29" s="109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</row>
    <row r="30" spans="1:247" ht="13.9" hidden="1" customHeight="1" x14ac:dyDescent="0.25">
      <c r="A30" s="80"/>
      <c r="B30" s="80" t="s">
        <v>257</v>
      </c>
      <c r="C30" s="80" t="s">
        <v>128</v>
      </c>
      <c r="D30" s="80">
        <f>21+11</f>
        <v>32</v>
      </c>
      <c r="E30" s="80">
        <f t="shared" si="82"/>
        <v>32</v>
      </c>
      <c r="F30" s="80">
        <f t="shared" si="82"/>
        <v>32</v>
      </c>
      <c r="G30" s="80">
        <f t="shared" si="82"/>
        <v>32</v>
      </c>
      <c r="H30" s="80">
        <f t="shared" si="82"/>
        <v>32</v>
      </c>
      <c r="I30" s="118"/>
      <c r="J30" s="118"/>
      <c r="K30" s="118"/>
      <c r="L30" s="119">
        <f>J30</f>
        <v>0</v>
      </c>
      <c r="M30" s="119"/>
      <c r="N30" s="119">
        <f>L30</f>
        <v>0</v>
      </c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20"/>
      <c r="CK30" s="12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20"/>
      <c r="FJ30" s="110"/>
      <c r="FK30" s="110"/>
      <c r="FL30" s="110"/>
      <c r="FM30" s="110"/>
      <c r="FN30" s="110"/>
      <c r="FO30" s="110"/>
      <c r="FP30" s="110"/>
      <c r="FQ30" s="109"/>
      <c r="FR30" s="109"/>
      <c r="FS30" s="109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</row>
    <row r="31" spans="1:247" ht="23.45" customHeight="1" x14ac:dyDescent="0.25">
      <c r="A31" s="273" t="s">
        <v>258</v>
      </c>
      <c r="B31" s="274"/>
      <c r="C31" s="275"/>
      <c r="D31" s="80"/>
      <c r="E31" s="80"/>
      <c r="F31" s="80"/>
      <c r="G31" s="80"/>
      <c r="H31" s="80"/>
      <c r="I31" s="118"/>
      <c r="J31" s="97">
        <f>J17+J24+J26+0.01</f>
        <v>55123080.201564007</v>
      </c>
      <c r="K31" s="97"/>
      <c r="L31" s="97">
        <f>L17+L24+L26</f>
        <v>48718083.376964495</v>
      </c>
      <c r="M31" s="97"/>
      <c r="N31" s="97">
        <f>N17+N24+N26</f>
        <v>48718083.377777606</v>
      </c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 t="s">
        <v>411</v>
      </c>
      <c r="CB31" s="92">
        <f>CB26+CC17</f>
        <v>50368974.586879991</v>
      </c>
      <c r="CC31" s="92"/>
      <c r="CD31" s="92"/>
      <c r="CE31" s="92"/>
      <c r="CF31" s="92"/>
      <c r="CG31" s="92"/>
      <c r="CH31" s="92"/>
      <c r="CI31" s="92"/>
      <c r="CJ31" s="108"/>
      <c r="CK31" s="108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 t="s">
        <v>458</v>
      </c>
      <c r="EA31" s="92" t="s">
        <v>459</v>
      </c>
      <c r="EB31" s="92"/>
      <c r="EC31" s="92" t="s">
        <v>460</v>
      </c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108"/>
      <c r="FJ31" s="110"/>
      <c r="FK31" s="172">
        <f>FK24+FK26</f>
        <v>994</v>
      </c>
      <c r="FL31" s="172">
        <f>FL24+FL26</f>
        <v>102312</v>
      </c>
      <c r="FM31" s="110"/>
      <c r="FN31" s="110"/>
      <c r="FO31" s="72" t="s">
        <v>335</v>
      </c>
      <c r="FP31" s="72" t="e">
        <f>FO25-FP25</f>
        <v>#REF!</v>
      </c>
      <c r="FQ31" s="109" t="s">
        <v>337</v>
      </c>
      <c r="FR31" s="194">
        <v>2088</v>
      </c>
      <c r="FS31" s="194">
        <v>2088</v>
      </c>
      <c r="FT31" s="437"/>
      <c r="FU31" s="110"/>
      <c r="FV31" s="110"/>
      <c r="FW31" s="110"/>
      <c r="FX31" s="110"/>
      <c r="FY31" s="110"/>
      <c r="FZ31" s="110"/>
      <c r="GA31" s="110"/>
      <c r="GB31" s="110"/>
      <c r="GC31" s="109"/>
      <c r="GD31" s="109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8"/>
      <c r="HP31" s="88">
        <v>37024596.810000002</v>
      </c>
      <c r="HQ31" s="89"/>
      <c r="HR31" s="88">
        <v>37571922.359999999</v>
      </c>
      <c r="HS31" s="89"/>
      <c r="HT31" s="88">
        <v>39305388.359999999</v>
      </c>
      <c r="HU31" s="88">
        <v>37024600</v>
      </c>
      <c r="HV31" s="89"/>
      <c r="HW31" s="89"/>
      <c r="HX31" s="89"/>
      <c r="HY31" s="89"/>
      <c r="HZ31" s="89"/>
    </row>
    <row r="32" spans="1:247" ht="19.149999999999999" customHeight="1" x14ac:dyDescent="0.25">
      <c r="J32" s="8"/>
      <c r="K32" s="8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88">
        <f>CB25+CB24+CH17</f>
        <v>50368974.587375998</v>
      </c>
      <c r="CC32" s="113"/>
      <c r="CD32" s="113"/>
      <c r="CE32" s="113"/>
      <c r="CF32" s="113"/>
      <c r="CG32" s="113"/>
      <c r="CH32" s="113"/>
      <c r="CI32" s="113"/>
      <c r="CL32" s="113"/>
      <c r="CM32" s="113"/>
      <c r="CN32" s="113"/>
      <c r="CO32" s="188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1">
        <v>45830885.5</v>
      </c>
      <c r="EA32" s="111">
        <v>40412500</v>
      </c>
      <c r="EB32" s="111">
        <f>DZ32-EA32</f>
        <v>5418385.5</v>
      </c>
      <c r="EC32" s="74">
        <v>104880</v>
      </c>
      <c r="ED32" s="113">
        <f>EB32/EC32</f>
        <v>51.662714530892451</v>
      </c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M32" s="113"/>
      <c r="FO32" s="121"/>
      <c r="FP32" s="121"/>
      <c r="FQ32" s="83" t="s">
        <v>338</v>
      </c>
      <c r="FR32" s="438">
        <v>4320</v>
      </c>
      <c r="FS32" s="438">
        <v>3384</v>
      </c>
      <c r="FT32" s="174"/>
      <c r="FU32" s="121"/>
      <c r="FV32" s="121"/>
      <c r="FW32" s="121"/>
      <c r="FX32" s="121"/>
      <c r="FY32" s="121"/>
      <c r="FZ32" s="121"/>
      <c r="GA32" s="121"/>
      <c r="GB32" s="121"/>
      <c r="GC32" s="121" t="s">
        <v>210</v>
      </c>
      <c r="GD32" s="121" t="s">
        <v>211</v>
      </c>
      <c r="GE32" s="121" t="s">
        <v>212</v>
      </c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87"/>
      <c r="HS32" s="122" t="s">
        <v>236</v>
      </c>
      <c r="HT32" s="89">
        <v>8889750.3599999994</v>
      </c>
      <c r="HU32" s="89">
        <v>0</v>
      </c>
    </row>
    <row r="33" spans="1:233" ht="12" customHeight="1" x14ac:dyDescent="0.25">
      <c r="J33" s="8"/>
      <c r="K33" s="8"/>
      <c r="AQ33" s="113"/>
      <c r="AR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DZ33" s="111"/>
      <c r="FM33" s="113"/>
      <c r="FN33" s="113"/>
      <c r="FO33" s="92">
        <v>10745500</v>
      </c>
      <c r="FP33" s="68"/>
      <c r="FQ33" s="157"/>
      <c r="FR33" s="439">
        <f>SUM(FR31:FR32)</f>
        <v>6408</v>
      </c>
      <c r="FS33" s="439">
        <f>SUM(FS31:FS32)</f>
        <v>5472</v>
      </c>
      <c r="FT33" s="125"/>
      <c r="FU33" s="125"/>
      <c r="FV33" s="125"/>
      <c r="FW33" s="125"/>
      <c r="FX33" s="125"/>
      <c r="FY33" s="125"/>
      <c r="FZ33" s="125"/>
      <c r="GA33" s="125"/>
      <c r="GB33" s="125"/>
      <c r="GC33" s="124" t="s">
        <v>261</v>
      </c>
      <c r="GD33" s="124" t="s">
        <v>261</v>
      </c>
      <c r="GE33" s="124" t="s">
        <v>261</v>
      </c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S33" s="122" t="s">
        <v>262</v>
      </c>
      <c r="HT33" s="89">
        <v>4943157.2</v>
      </c>
      <c r="HU33" s="89">
        <v>4943157.2</v>
      </c>
    </row>
    <row r="34" spans="1:233" ht="16.149999999999999" customHeight="1" x14ac:dyDescent="0.25">
      <c r="J34" s="8"/>
      <c r="K34" s="8"/>
      <c r="AQ34" s="113"/>
      <c r="AR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DZ34" s="111"/>
      <c r="FK34" s="113"/>
      <c r="FL34" s="113"/>
      <c r="FM34" s="113"/>
      <c r="FN34" s="113"/>
      <c r="FO34" s="92">
        <v>4334708.4000000004</v>
      </c>
      <c r="FP34" s="92"/>
      <c r="FQ34" s="92"/>
      <c r="FR34" s="177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6">
        <v>31653700</v>
      </c>
      <c r="GD34" s="126">
        <v>31632000</v>
      </c>
      <c r="GE34" s="126">
        <v>31632000</v>
      </c>
      <c r="GF34" s="127" t="s">
        <v>263</v>
      </c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S34" s="122" t="s">
        <v>264</v>
      </c>
      <c r="HT34" s="121">
        <f>HT31-HT32-HT33</f>
        <v>25472480.800000001</v>
      </c>
      <c r="HU34" s="121">
        <f>HU31-HU32-HU33</f>
        <v>32081442.800000001</v>
      </c>
      <c r="HV34" s="111">
        <f>HU34-HT34</f>
        <v>6608962</v>
      </c>
      <c r="HW34" s="111"/>
      <c r="HX34" s="111"/>
      <c r="HY34" s="111"/>
    </row>
    <row r="35" spans="1:233" x14ac:dyDescent="0.25">
      <c r="A35" s="1" t="s">
        <v>266</v>
      </c>
      <c r="J35" s="111"/>
      <c r="K35" s="111"/>
      <c r="AQ35" s="231"/>
      <c r="AR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FK35" s="113"/>
      <c r="FL35" s="113"/>
      <c r="FM35" s="113"/>
      <c r="FN35" s="113"/>
      <c r="FO35" s="121">
        <f>SUM(FO33:FO34)</f>
        <v>15080208.4</v>
      </c>
      <c r="FP35" s="103">
        <f>FO35/FQ24</f>
        <v>217.60762481962482</v>
      </c>
      <c r="FQ35" s="103" t="s">
        <v>342</v>
      </c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89"/>
      <c r="GD35" s="89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M35" s="8"/>
      <c r="HT35" s="113"/>
      <c r="HU35" s="111"/>
      <c r="HV35" s="129">
        <f>HV34/6</f>
        <v>1101493.6666666667</v>
      </c>
      <c r="HW35" s="129"/>
      <c r="HX35" s="129"/>
      <c r="HY35" s="129"/>
    </row>
    <row r="36" spans="1:233" ht="16.149999999999999" customHeight="1" x14ac:dyDescent="0.25">
      <c r="A36" s="1" t="s">
        <v>78</v>
      </c>
      <c r="J36" s="8"/>
      <c r="K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4">
        <f>S24</f>
        <v>28708149.600000005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189"/>
      <c r="AR36" s="111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K36" s="113"/>
      <c r="FL36" s="113"/>
      <c r="FM36" s="113"/>
      <c r="FN36" s="113"/>
      <c r="FO36" s="103"/>
      <c r="FP36" s="103"/>
      <c r="FQ36" s="103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11">
        <f>FZ36-FY36</f>
        <v>0</v>
      </c>
      <c r="GD36" s="103">
        <f>GC36/6</f>
        <v>0</v>
      </c>
      <c r="GE36" s="103">
        <v>10487860.560000001</v>
      </c>
      <c r="GF36" s="103">
        <f>(FZ36-GE36)/6</f>
        <v>-1747976.76</v>
      </c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8"/>
      <c r="HM36" s="8"/>
      <c r="HT36" s="74" t="s">
        <v>252</v>
      </c>
    </row>
    <row r="37" spans="1:233" ht="14.45" customHeight="1" x14ac:dyDescent="0.25"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4">
        <f>S25</f>
        <v>767455.34</v>
      </c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K37" s="113"/>
      <c r="FL37" s="113"/>
      <c r="FM37" s="113"/>
      <c r="FN37" s="113">
        <v>14349678.640000001</v>
      </c>
      <c r="FO37" s="103">
        <f>FS24</f>
        <v>10907473.363957601</v>
      </c>
      <c r="FP37" s="103"/>
      <c r="FQ37" s="103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13"/>
      <c r="GD37" s="102"/>
      <c r="GE37" s="131">
        <v>10488531.6</v>
      </c>
      <c r="GF37" s="131">
        <f>(FZ36-GE37)/6</f>
        <v>-1748088.5999999999</v>
      </c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8"/>
      <c r="HT37" s="101" t="s">
        <v>269</v>
      </c>
    </row>
    <row r="38" spans="1:233" hidden="1" x14ac:dyDescent="0.25">
      <c r="J38" s="8"/>
      <c r="K38" s="8"/>
      <c r="L38" s="8">
        <f>35157010-1681098</f>
        <v>33475912</v>
      </c>
      <c r="M38" s="8"/>
      <c r="N38" s="8">
        <f>38356010-1834064</f>
        <v>36521946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K38" s="113"/>
      <c r="FL38" s="113"/>
      <c r="FM38" s="113"/>
      <c r="FN38" s="111">
        <f>FO35-FN37</f>
        <v>730529.75999999978</v>
      </c>
      <c r="FO38" s="121">
        <f>FO35-FO37</f>
        <v>4172735.0360423997</v>
      </c>
      <c r="FP38" s="174">
        <f>FO38/FR33</f>
        <v>651.17587953220971</v>
      </c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11"/>
      <c r="GD38" s="121" t="s">
        <v>210</v>
      </c>
      <c r="GE38" s="121" t="s">
        <v>211</v>
      </c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8"/>
      <c r="HT38" s="88">
        <v>39373588.359999999</v>
      </c>
    </row>
    <row r="39" spans="1:233" ht="16.899999999999999" hidden="1" customHeight="1" x14ac:dyDescent="0.25">
      <c r="J39" s="8"/>
      <c r="K39" s="8"/>
      <c r="M39" s="111"/>
      <c r="N39" s="111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FK39" s="113"/>
      <c r="FL39" s="113"/>
      <c r="FM39" s="113"/>
      <c r="FN39" s="113">
        <f>FN38/FQ24</f>
        <v>10.541554978354975</v>
      </c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133" t="s">
        <v>270</v>
      </c>
      <c r="GD39" s="134" t="s">
        <v>271</v>
      </c>
      <c r="GE39" s="134" t="s">
        <v>271</v>
      </c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113"/>
      <c r="HS39" s="122" t="s">
        <v>264</v>
      </c>
      <c r="HT39" s="121">
        <f>HT38-HT32-HT33</f>
        <v>25540680.800000001</v>
      </c>
    </row>
    <row r="40" spans="1:233" ht="22.5" hidden="1" x14ac:dyDescent="0.25">
      <c r="J40" s="8"/>
      <c r="K40" s="8"/>
      <c r="L40" s="8">
        <f>L38-L24</f>
        <v>1.5595071017742157E-3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K40" s="113"/>
      <c r="FL40" s="113"/>
      <c r="FM40" s="113"/>
      <c r="FN40" s="113"/>
      <c r="FO40" s="92"/>
      <c r="FP40" s="92"/>
      <c r="FQ40" s="92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5" t="s">
        <v>272</v>
      </c>
      <c r="GD40" s="97">
        <v>40655653.119999997</v>
      </c>
      <c r="GE40" s="97">
        <v>40655653.119999997</v>
      </c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8"/>
      <c r="HT40" s="101" t="s">
        <v>273</v>
      </c>
    </row>
    <row r="41" spans="1:233" x14ac:dyDescent="0.25"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4">
        <f>AF17+AF36+AF37</f>
        <v>54398493.38000001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K41" s="113"/>
      <c r="FL41" s="113"/>
      <c r="FM41" s="113"/>
      <c r="FN41" s="11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37" t="s">
        <v>274</v>
      </c>
      <c r="GD41" s="138">
        <v>29475253.120000001</v>
      </c>
      <c r="GE41" s="138">
        <v>29475253.120000001</v>
      </c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8"/>
      <c r="HT41" s="88">
        <v>39423588.359999999</v>
      </c>
    </row>
    <row r="42" spans="1:233" x14ac:dyDescent="0.25"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K42" s="113"/>
      <c r="FL42" s="113"/>
      <c r="FM42" s="113"/>
      <c r="FN42" s="11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37" t="s">
        <v>275</v>
      </c>
      <c r="GD42" s="138">
        <v>4916897.38</v>
      </c>
      <c r="GE42" s="138">
        <v>4916897.38</v>
      </c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8"/>
      <c r="HS42" s="122" t="s">
        <v>264</v>
      </c>
      <c r="HT42" s="121">
        <f>HT41-HT32-HT33</f>
        <v>25590680.800000001</v>
      </c>
    </row>
    <row r="43" spans="1:233" x14ac:dyDescent="0.25"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K43" s="113"/>
      <c r="FL43" s="113"/>
      <c r="FM43" s="113"/>
      <c r="FN43" s="113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39" t="s">
        <v>277</v>
      </c>
      <c r="GD43" s="140">
        <f>GD41-GD42</f>
        <v>24558355.740000002</v>
      </c>
      <c r="GE43" s="140">
        <f>GE41-GE42</f>
        <v>24558355.740000002</v>
      </c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8"/>
    </row>
    <row r="44" spans="1:233" x14ac:dyDescent="0.25"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K44" s="113"/>
      <c r="FL44" s="113"/>
      <c r="FM44" s="113"/>
      <c r="FN44" s="11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39" t="s">
        <v>279</v>
      </c>
      <c r="GD44" s="138">
        <v>11180400</v>
      </c>
      <c r="GE44" s="138">
        <v>11180400</v>
      </c>
      <c r="GF44" s="103">
        <f>GD44-GD24</f>
        <v>6764023.96</v>
      </c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8"/>
    </row>
    <row r="45" spans="1:233" x14ac:dyDescent="0.25"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K45" s="113"/>
      <c r="FL45" s="113"/>
      <c r="FM45" s="113"/>
      <c r="FN45" s="11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8"/>
      <c r="GD45" s="103">
        <f>GD44+GD41</f>
        <v>40655653.120000005</v>
      </c>
      <c r="GE45" s="103">
        <f>GE44+GE41</f>
        <v>40655653.120000005</v>
      </c>
      <c r="GF45" s="103">
        <f>GF44/6</f>
        <v>1127337.3266666667</v>
      </c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8"/>
    </row>
    <row r="46" spans="1:233" x14ac:dyDescent="0.25"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K46" s="113"/>
      <c r="FL46" s="113"/>
      <c r="FM46" s="113"/>
      <c r="FN46" s="11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8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8"/>
    </row>
    <row r="47" spans="1:233" x14ac:dyDescent="0.25"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K47" s="113"/>
      <c r="FL47" s="113"/>
      <c r="FM47" s="113"/>
      <c r="FN47" s="113"/>
      <c r="FO47" s="111"/>
      <c r="FP47" s="111"/>
      <c r="FQ47" s="111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8"/>
      <c r="GD47" s="111">
        <f>GD43-GD34</f>
        <v>-7073644.2599999979</v>
      </c>
      <c r="GE47" s="111"/>
      <c r="GF47" s="111"/>
      <c r="GG47" s="111"/>
      <c r="GH47" s="111"/>
      <c r="GI47" s="111"/>
      <c r="GJ47" s="111"/>
      <c r="GK47" s="111"/>
      <c r="GL47" s="111"/>
      <c r="GM47" s="111"/>
      <c r="GN47" s="111"/>
      <c r="GO47" s="111"/>
      <c r="GP47" s="111"/>
      <c r="GQ47" s="111"/>
      <c r="GR47" s="111"/>
      <c r="GS47" s="111"/>
      <c r="GT47" s="111"/>
      <c r="GU47" s="111"/>
      <c r="GV47" s="111"/>
      <c r="GW47" s="111"/>
      <c r="GX47" s="111"/>
      <c r="GY47" s="111"/>
      <c r="GZ47" s="111"/>
      <c r="HA47" s="111"/>
      <c r="HB47" s="111"/>
      <c r="HC47" s="111"/>
      <c r="HD47" s="111"/>
      <c r="HE47" s="111"/>
      <c r="HF47" s="111"/>
      <c r="HG47" s="111"/>
      <c r="HH47" s="111"/>
      <c r="HI47" s="111"/>
      <c r="HJ47" s="111"/>
      <c r="HK47" s="111"/>
      <c r="HL47" s="8"/>
    </row>
    <row r="48" spans="1:233" x14ac:dyDescent="0.25"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K48" s="113"/>
      <c r="FL48" s="113"/>
      <c r="FM48" s="113"/>
      <c r="FN48" s="113"/>
      <c r="FO48" s="111"/>
      <c r="FP48" s="111"/>
      <c r="FQ48" s="111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141" t="s">
        <v>281</v>
      </c>
      <c r="GD48" s="111">
        <f>GD47/6</f>
        <v>-1178940.7099999997</v>
      </c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</row>
    <row r="49" spans="10:220" x14ac:dyDescent="0.25"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K49" s="113"/>
      <c r="FL49" s="113"/>
      <c r="FM49" s="113"/>
      <c r="FN49" s="113"/>
      <c r="FO49" s="111"/>
      <c r="FP49" s="111"/>
      <c r="FQ49" s="111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440">
        <v>1906883.33</v>
      </c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</row>
    <row r="50" spans="10:220" x14ac:dyDescent="0.25"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111"/>
      <c r="FG50" s="111"/>
      <c r="FH50" s="111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</row>
    <row r="51" spans="10:220" x14ac:dyDescent="0.25"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111"/>
      <c r="FG51" s="111"/>
      <c r="FH51" s="111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</row>
    <row r="52" spans="10:220" x14ac:dyDescent="0.25"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74"/>
      <c r="FG52" s="123" t="s">
        <v>259</v>
      </c>
      <c r="FH52" s="123" t="s">
        <v>260</v>
      </c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</row>
    <row r="53" spans="10:220" x14ac:dyDescent="0.25"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</row>
    <row r="54" spans="10:220" x14ac:dyDescent="0.25"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9" t="s">
        <v>265</v>
      </c>
      <c r="FG54" s="88">
        <v>42399200</v>
      </c>
      <c r="FH54" s="88">
        <f>FH55+FH56+FH57</f>
        <v>42119200</v>
      </c>
      <c r="FI54" s="89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</row>
    <row r="55" spans="10:220" ht="23.25" x14ac:dyDescent="0.25"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122" t="s">
        <v>236</v>
      </c>
      <c r="FG55" s="89">
        <v>10745500</v>
      </c>
      <c r="FH55" s="89">
        <v>10487200</v>
      </c>
      <c r="FI55" s="130" t="s">
        <v>267</v>
      </c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</row>
    <row r="56" spans="10:220" ht="33.75" x14ac:dyDescent="0.25"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122" t="s">
        <v>268</v>
      </c>
      <c r="FG56" s="89">
        <v>8330911.2800000003</v>
      </c>
      <c r="FH56" s="89">
        <v>8330911.2800000003</v>
      </c>
      <c r="FJ56" s="8"/>
      <c r="FK56" s="121" t="s">
        <v>210</v>
      </c>
      <c r="FL56" s="121" t="s">
        <v>211</v>
      </c>
      <c r="FM56" s="121" t="s">
        <v>212</v>
      </c>
      <c r="FN56" s="121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</row>
    <row r="57" spans="10:220" ht="63" x14ac:dyDescent="0.25"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122" t="s">
        <v>264</v>
      </c>
      <c r="FG57" s="121">
        <f>FG54-FG55-FG56</f>
        <v>23322788.719999999</v>
      </c>
      <c r="FH57" s="121">
        <f>FF65</f>
        <v>23301088.719999999</v>
      </c>
      <c r="FI57" s="111">
        <f>FH57-FG57</f>
        <v>-21700</v>
      </c>
      <c r="FJ57" s="8"/>
      <c r="FK57" s="124" t="s">
        <v>261</v>
      </c>
      <c r="FL57" s="124" t="s">
        <v>261</v>
      </c>
      <c r="FM57" s="124" t="s">
        <v>261</v>
      </c>
      <c r="FN57" s="125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</row>
    <row r="58" spans="10:220" x14ac:dyDescent="0.25">
      <c r="J58" s="8"/>
      <c r="K58" s="8"/>
      <c r="FG58" s="113"/>
      <c r="FH58" s="132">
        <f>FI57/6</f>
        <v>-3616.6666666666665</v>
      </c>
      <c r="FI58" s="132">
        <f>FI57/6</f>
        <v>-3616.6666666666665</v>
      </c>
      <c r="FK58" s="126">
        <v>31653700</v>
      </c>
      <c r="FL58" s="126">
        <v>31632000</v>
      </c>
      <c r="FM58" s="126">
        <v>31632000</v>
      </c>
      <c r="FN58" s="127" t="s">
        <v>263</v>
      </c>
    </row>
    <row r="59" spans="10:220" x14ac:dyDescent="0.25"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G59" s="111">
        <f>FG55-10199150</f>
        <v>546350</v>
      </c>
      <c r="FH59" s="103">
        <f>FH57-FH17</f>
        <v>23301088.719999999</v>
      </c>
      <c r="FI59" s="129"/>
      <c r="FJ59" s="8"/>
      <c r="FK59" s="89"/>
      <c r="FL59" s="89"/>
      <c r="FM59" s="102"/>
      <c r="FN59" s="102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</row>
    <row r="60" spans="10:220" x14ac:dyDescent="0.25"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G60" s="113">
        <f>FG59/D24</f>
        <v>5.3175854551117343</v>
      </c>
      <c r="FH60" s="103">
        <f>12.24/6</f>
        <v>2.04</v>
      </c>
      <c r="FJ60" s="8"/>
      <c r="FK60" s="111">
        <f>FH55-FG55</f>
        <v>-258300</v>
      </c>
      <c r="FL60" s="103">
        <f>FK60/6</f>
        <v>-43050</v>
      </c>
      <c r="FM60" s="103">
        <v>10487860.560000001</v>
      </c>
      <c r="FN60" s="103">
        <f>(FH55-FM60)/6</f>
        <v>-110.09333333342026</v>
      </c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</row>
    <row r="61" spans="10:220" x14ac:dyDescent="0.25">
      <c r="J61" s="8"/>
      <c r="K61" s="8"/>
      <c r="L61" s="8"/>
      <c r="M61" s="8"/>
      <c r="FH61" s="8"/>
      <c r="FK61" s="113"/>
      <c r="FL61" s="102"/>
      <c r="FM61" s="131">
        <v>10488531.6</v>
      </c>
      <c r="FN61" s="131">
        <f>(FH55-FM61)/6</f>
        <v>-221.93333333327124</v>
      </c>
    </row>
    <row r="62" spans="10:220" x14ac:dyDescent="0.25">
      <c r="J62" s="8"/>
      <c r="K62" s="8"/>
      <c r="L62" s="8"/>
      <c r="M62" s="8"/>
      <c r="FF62" s="188" t="s">
        <v>276</v>
      </c>
      <c r="FG62" s="188" t="s">
        <v>267</v>
      </c>
      <c r="FH62" s="188"/>
      <c r="FI62" s="8"/>
      <c r="FK62" s="111"/>
      <c r="FL62" s="121" t="s">
        <v>210</v>
      </c>
      <c r="FM62" s="121" t="s">
        <v>211</v>
      </c>
      <c r="FN62" s="121"/>
    </row>
    <row r="63" spans="10:220" ht="63.75" x14ac:dyDescent="0.25">
      <c r="J63" s="8"/>
      <c r="K63" s="8"/>
      <c r="L63" s="8"/>
      <c r="M63" s="8"/>
      <c r="FF63" s="111">
        <v>31632000</v>
      </c>
      <c r="FG63" s="111" t="s">
        <v>278</v>
      </c>
      <c r="FH63" s="8"/>
      <c r="FI63" s="8"/>
      <c r="FK63" s="133" t="s">
        <v>270</v>
      </c>
      <c r="FL63" s="134" t="s">
        <v>271</v>
      </c>
      <c r="FM63" s="134" t="s">
        <v>271</v>
      </c>
      <c r="FN63" s="68"/>
    </row>
    <row r="64" spans="10:220" x14ac:dyDescent="0.25">
      <c r="J64" s="8"/>
      <c r="K64" s="8"/>
      <c r="L64" s="8"/>
      <c r="M64" s="8"/>
      <c r="FF64" s="111">
        <f>FH56</f>
        <v>8330911.2800000003</v>
      </c>
      <c r="FG64" s="111" t="s">
        <v>268</v>
      </c>
      <c r="FH64" s="111"/>
      <c r="FI64" s="111"/>
      <c r="FK64" s="135" t="s">
        <v>272</v>
      </c>
      <c r="FL64" s="97">
        <v>40655653.119999997</v>
      </c>
      <c r="FM64" s="97">
        <v>40655653.119999997</v>
      </c>
      <c r="FN64" s="136"/>
    </row>
    <row r="65" spans="10:170" x14ac:dyDescent="0.25">
      <c r="J65" s="8"/>
      <c r="K65" s="8"/>
      <c r="L65" s="8"/>
      <c r="M65" s="8"/>
      <c r="FF65" s="188">
        <f>FF63-FF64</f>
        <v>23301088.719999999</v>
      </c>
      <c r="FG65" s="111" t="s">
        <v>280</v>
      </c>
      <c r="FH65" s="111"/>
      <c r="FI65" s="111"/>
      <c r="FK65" s="137" t="s">
        <v>274</v>
      </c>
      <c r="FL65" s="138">
        <v>29475253.120000001</v>
      </c>
      <c r="FM65" s="138">
        <v>29475253.120000001</v>
      </c>
      <c r="FN65" s="103"/>
    </row>
    <row r="66" spans="10:170" x14ac:dyDescent="0.25">
      <c r="J66" s="8"/>
      <c r="K66" s="8"/>
      <c r="L66" s="8"/>
      <c r="M66" s="8"/>
      <c r="FF66" s="111"/>
      <c r="FG66" s="111"/>
      <c r="FH66" s="111"/>
      <c r="FI66" s="111"/>
      <c r="FK66" s="137" t="s">
        <v>275</v>
      </c>
      <c r="FL66" s="138">
        <v>4916897.38</v>
      </c>
      <c r="FM66" s="138">
        <v>4916897.38</v>
      </c>
      <c r="FN66" s="103"/>
    </row>
    <row r="67" spans="10:170" x14ac:dyDescent="0.25">
      <c r="J67" s="8"/>
      <c r="K67" s="8"/>
      <c r="L67" s="8"/>
      <c r="M67" s="8"/>
      <c r="FF67" s="111">
        <f>FG57-FH57</f>
        <v>21700</v>
      </c>
      <c r="FG67" s="111"/>
      <c r="FH67" s="111"/>
      <c r="FI67" s="111"/>
      <c r="FK67" s="139" t="s">
        <v>277</v>
      </c>
      <c r="FL67" s="140">
        <f>FL65-FL66</f>
        <v>24558355.740000002</v>
      </c>
      <c r="FM67" s="140">
        <f>FM65-FM66</f>
        <v>24558355.740000002</v>
      </c>
      <c r="FN67" s="121"/>
    </row>
    <row r="68" spans="10:170" x14ac:dyDescent="0.25">
      <c r="J68" s="8"/>
      <c r="K68" s="8"/>
      <c r="FF68" s="129">
        <f>FF67/FE17</f>
        <v>1.2630957802510357E-2</v>
      </c>
      <c r="FG68" s="111" t="s">
        <v>282</v>
      </c>
      <c r="FH68" s="111"/>
      <c r="FI68" s="111"/>
      <c r="FK68" s="139" t="s">
        <v>279</v>
      </c>
      <c r="FL68" s="138">
        <v>11180400</v>
      </c>
      <c r="FM68" s="138">
        <v>11180400</v>
      </c>
      <c r="FN68" s="103" t="e">
        <f>FL68-#REF!</f>
        <v>#REF!</v>
      </c>
    </row>
    <row r="69" spans="10:170" x14ac:dyDescent="0.25">
      <c r="FK69" s="8"/>
      <c r="FL69" s="103">
        <f>FL68+FL65</f>
        <v>40655653.120000005</v>
      </c>
      <c r="FM69" s="103">
        <f>FM68+FM65</f>
        <v>40655653.120000005</v>
      </c>
      <c r="FN69" s="103" t="e">
        <f>FN68/6</f>
        <v>#REF!</v>
      </c>
    </row>
    <row r="70" spans="10:170" x14ac:dyDescent="0.25">
      <c r="FK70" s="8"/>
      <c r="FL70" s="103"/>
      <c r="FM70" s="103"/>
      <c r="FN70" s="103"/>
    </row>
    <row r="71" spans="10:170" x14ac:dyDescent="0.25">
      <c r="FK71" s="8"/>
      <c r="FL71" s="111">
        <f>FL67-FL58</f>
        <v>-7073644.2599999979</v>
      </c>
      <c r="FM71" s="111"/>
      <c r="FN71" s="111"/>
    </row>
    <row r="72" spans="10:170" x14ac:dyDescent="0.25">
      <c r="FK72" s="141" t="s">
        <v>281</v>
      </c>
      <c r="FL72" s="111">
        <f>FL71/6</f>
        <v>-1178940.7099999997</v>
      </c>
      <c r="FM72" s="8"/>
      <c r="FN72" s="8"/>
    </row>
    <row r="73" spans="10:170" x14ac:dyDescent="0.25">
      <c r="FK73" s="8"/>
      <c r="FL73" s="440">
        <v>1906883.33</v>
      </c>
      <c r="FM73" s="8"/>
      <c r="FN73" s="8"/>
    </row>
  </sheetData>
  <mergeCells count="84">
    <mergeCell ref="R7:R8"/>
    <mergeCell ref="S7:S8"/>
    <mergeCell ref="U7:U8"/>
    <mergeCell ref="A4:N4"/>
    <mergeCell ref="A7:A8"/>
    <mergeCell ref="B7:B8"/>
    <mergeCell ref="C7:C8"/>
    <mergeCell ref="D7:H7"/>
    <mergeCell ref="I7:I8"/>
    <mergeCell ref="K7:K8"/>
    <mergeCell ref="M7:M8"/>
    <mergeCell ref="V7:V8"/>
    <mergeCell ref="W7:W8"/>
    <mergeCell ref="Z7:Z8"/>
    <mergeCell ref="AA7:AA8"/>
    <mergeCell ref="CN7:CN8"/>
    <mergeCell ref="AP7:AP8"/>
    <mergeCell ref="AQ7:AQ8"/>
    <mergeCell ref="AT7:AT8"/>
    <mergeCell ref="AU7:AU8"/>
    <mergeCell ref="GH7:GH8"/>
    <mergeCell ref="AH7:AH8"/>
    <mergeCell ref="AI7:AI8"/>
    <mergeCell ref="AK7:AK8"/>
    <mergeCell ref="AL7:AL8"/>
    <mergeCell ref="DK7:DK8"/>
    <mergeCell ref="DL7:DL8"/>
    <mergeCell ref="BK7:BK8"/>
    <mergeCell ref="BL7:BL8"/>
    <mergeCell ref="BM7:BM8"/>
    <mergeCell ref="CA7:CA8"/>
    <mergeCell ref="CB7:CB8"/>
    <mergeCell ref="BR7:BR8"/>
    <mergeCell ref="BS7:BS8"/>
    <mergeCell ref="FN7:FN8"/>
    <mergeCell ref="CO7:CO8"/>
    <mergeCell ref="HX7:HX8"/>
    <mergeCell ref="HB16:HB17"/>
    <mergeCell ref="HC16:HC17"/>
    <mergeCell ref="HI16:HI17"/>
    <mergeCell ref="HJ16:HJ17"/>
    <mergeCell ref="HP7:HP8"/>
    <mergeCell ref="HQ7:HQ8"/>
    <mergeCell ref="HR7:HR8"/>
    <mergeCell ref="HS7:HS8"/>
    <mergeCell ref="HT7:HT8"/>
    <mergeCell ref="HU7:HU8"/>
    <mergeCell ref="HF7:HF8"/>
    <mergeCell ref="HG7:HG8"/>
    <mergeCell ref="HO7:HO8"/>
    <mergeCell ref="HV7:HV8"/>
    <mergeCell ref="HW7:HW8"/>
    <mergeCell ref="GZ7:GZ8"/>
    <mergeCell ref="FO7:FO8"/>
    <mergeCell ref="GL7:GL8"/>
    <mergeCell ref="GM7:GM8"/>
    <mergeCell ref="GP7:GP8"/>
    <mergeCell ref="GQ7:GQ8"/>
    <mergeCell ref="GT7:GT8"/>
    <mergeCell ref="GI7:GI8"/>
    <mergeCell ref="GU7:GU8"/>
    <mergeCell ref="GY7:GY8"/>
    <mergeCell ref="FS7:FS8"/>
    <mergeCell ref="GC7:GC8"/>
    <mergeCell ref="GD7:GD8"/>
    <mergeCell ref="FX7:FX8"/>
    <mergeCell ref="FY7:FY8"/>
    <mergeCell ref="FT7:FT8"/>
    <mergeCell ref="A31:C31"/>
    <mergeCell ref="FJ7:FJ8"/>
    <mergeCell ref="EI7:EI8"/>
    <mergeCell ref="EJ7:EJ8"/>
    <mergeCell ref="EK7:EK8"/>
    <mergeCell ref="DW7:DW8"/>
    <mergeCell ref="DX7:DX8"/>
    <mergeCell ref="DA7:DA8"/>
    <mergeCell ref="EL7:EL8"/>
    <mergeCell ref="EM7:EM8"/>
    <mergeCell ref="EN7:EN8"/>
    <mergeCell ref="CZ7:CZ8"/>
    <mergeCell ref="Q7:Q8"/>
    <mergeCell ref="Y7:Y8"/>
    <mergeCell ref="AE7:AE8"/>
    <mergeCell ref="AF7:AF8"/>
  </mergeCells>
  <pageMargins left="0.51181102362204722" right="0" top="0" bottom="0" header="0.31496062992125984" footer="0.31496062992125984"/>
  <pageSetup paperSize="9" scale="60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T38"/>
  <sheetViews>
    <sheetView tabSelected="1" zoomScale="85" zoomScaleNormal="85" workbookViewId="0">
      <selection activeCell="F13" sqref="F13"/>
    </sheetView>
  </sheetViews>
  <sheetFormatPr defaultColWidth="8.85546875" defaultRowHeight="15" x14ac:dyDescent="0.25"/>
  <cols>
    <col min="1" max="1" width="19.5703125" style="23" customWidth="1"/>
    <col min="2" max="2" width="33.7109375" style="23" customWidth="1"/>
    <col min="3" max="3" width="17.28515625" style="23" customWidth="1"/>
    <col min="4" max="4" width="20.5703125" style="23" customWidth="1"/>
    <col min="5" max="5" width="20.28515625" style="23" customWidth="1"/>
    <col min="6" max="6" width="20.7109375" style="23" customWidth="1"/>
    <col min="7" max="8" width="8.85546875" style="23"/>
    <col min="9" max="9" width="14.7109375" style="23" customWidth="1"/>
    <col min="10" max="10" width="8.85546875" style="23"/>
    <col min="11" max="11" width="12.140625" style="24" customWidth="1"/>
    <col min="12" max="12" width="13.7109375" style="24" customWidth="1"/>
    <col min="13" max="16384" width="8.85546875" style="23"/>
  </cols>
  <sheetData>
    <row r="2" spans="1:20" ht="13.9" hidden="1" x14ac:dyDescent="0.25"/>
    <row r="3" spans="1:20" ht="13.9" hidden="1" x14ac:dyDescent="0.25">
      <c r="T3" s="23" t="s">
        <v>283</v>
      </c>
    </row>
    <row r="4" spans="1:20" ht="22.15" customHeight="1" x14ac:dyDescent="0.25">
      <c r="F4" s="142" t="s">
        <v>581</v>
      </c>
      <c r="G4" s="25"/>
    </row>
    <row r="6" spans="1:20" ht="40.15" customHeight="1" x14ac:dyDescent="0.3">
      <c r="A6" s="291" t="s">
        <v>474</v>
      </c>
      <c r="B6" s="291"/>
      <c r="C6" s="291"/>
      <c r="D6" s="291"/>
      <c r="E6" s="291"/>
      <c r="F6" s="26"/>
      <c r="G6" s="26"/>
      <c r="H6" s="26"/>
      <c r="I6" s="26"/>
      <c r="J6" s="26"/>
      <c r="K6" s="143"/>
      <c r="L6" s="143"/>
      <c r="M6" s="26"/>
      <c r="N6" s="26"/>
      <c r="O6" s="26"/>
      <c r="P6" s="26"/>
      <c r="Q6" s="26"/>
      <c r="R6" s="26"/>
      <c r="S6" s="26"/>
    </row>
    <row r="7" spans="1:20" ht="13.9" x14ac:dyDescent="0.25">
      <c r="T7" s="34"/>
    </row>
    <row r="8" spans="1:20" x14ac:dyDescent="0.25">
      <c r="A8" s="144" t="s">
        <v>284</v>
      </c>
      <c r="G8" s="34"/>
      <c r="H8" s="34"/>
      <c r="I8" s="34"/>
      <c r="J8" s="34"/>
      <c r="T8" s="34"/>
    </row>
    <row r="10" spans="1:20" ht="44.45" customHeight="1" x14ac:dyDescent="0.25">
      <c r="A10" s="285" t="s">
        <v>2</v>
      </c>
      <c r="B10" s="145" t="s">
        <v>8</v>
      </c>
      <c r="C10" s="285" t="s">
        <v>152</v>
      </c>
      <c r="D10" s="285" t="s">
        <v>156</v>
      </c>
      <c r="E10" s="285" t="s">
        <v>361</v>
      </c>
      <c r="F10" s="285" t="s">
        <v>475</v>
      </c>
    </row>
    <row r="11" spans="1:20" ht="59.45" customHeight="1" x14ac:dyDescent="0.25">
      <c r="A11" s="285"/>
      <c r="B11" s="146" t="s">
        <v>285</v>
      </c>
      <c r="C11" s="285"/>
      <c r="D11" s="285"/>
      <c r="E11" s="285"/>
      <c r="F11" s="285"/>
    </row>
    <row r="12" spans="1:20" ht="25.9" customHeight="1" x14ac:dyDescent="0.25">
      <c r="A12" s="147" t="s">
        <v>19</v>
      </c>
      <c r="B12" s="147" t="s">
        <v>19</v>
      </c>
      <c r="C12" s="147" t="s">
        <v>22</v>
      </c>
      <c r="D12" s="147" t="s">
        <v>22</v>
      </c>
      <c r="E12" s="147" t="s">
        <v>22</v>
      </c>
      <c r="F12" s="147" t="s">
        <v>22</v>
      </c>
    </row>
    <row r="13" spans="1:20" ht="70.150000000000006" customHeight="1" x14ac:dyDescent="0.25">
      <c r="A13" s="286" t="s">
        <v>225</v>
      </c>
      <c r="B13" s="151" t="s">
        <v>226</v>
      </c>
      <c r="C13" s="148">
        <f>'прилож.3-ДДТ'!J11</f>
        <v>3999642.6361944592</v>
      </c>
      <c r="D13" s="149">
        <f>C13</f>
        <v>3999642.6361944592</v>
      </c>
      <c r="E13" s="149">
        <f>'прилож.3-ДДТ'!L11</f>
        <v>2437841.7599999998</v>
      </c>
      <c r="F13" s="149">
        <f>'прилож.3-ДДТ'!N11</f>
        <v>1950516.5399999998</v>
      </c>
    </row>
    <row r="14" spans="1:20" ht="55.15" customHeight="1" x14ac:dyDescent="0.25">
      <c r="A14" s="287"/>
      <c r="B14" s="151" t="s">
        <v>228</v>
      </c>
      <c r="C14" s="148">
        <f>'прилож.3-ДДТ'!J12</f>
        <v>3855970.8329325672</v>
      </c>
      <c r="D14" s="149">
        <f t="shared" ref="D14:D17" si="0">C14</f>
        <v>3855970.8329325672</v>
      </c>
      <c r="E14" s="149">
        <f>'прилож.3-ДДТ'!L12</f>
        <v>2350533.5100000007</v>
      </c>
      <c r="F14" s="149">
        <f>'прилож.3-ДДТ'!N12</f>
        <v>1880837.54</v>
      </c>
    </row>
    <row r="15" spans="1:20" ht="67.900000000000006" customHeight="1" x14ac:dyDescent="0.25">
      <c r="A15" s="287"/>
      <c r="B15" s="151" t="s">
        <v>229</v>
      </c>
      <c r="C15" s="148">
        <f>'прилож.3-ДДТ'!J13</f>
        <v>3659702.9193936228</v>
      </c>
      <c r="D15" s="149">
        <f t="shared" si="0"/>
        <v>3659702.9193936228</v>
      </c>
      <c r="E15" s="149">
        <f>'прилож.3-ДДТ'!L13</f>
        <v>2230804.7999999998</v>
      </c>
      <c r="F15" s="149">
        <f>'прилож.3-ДДТ'!N13</f>
        <v>1785067.1999999997</v>
      </c>
    </row>
    <row r="16" spans="1:20" ht="58.15" customHeight="1" x14ac:dyDescent="0.25">
      <c r="A16" s="287"/>
      <c r="B16" s="151" t="s">
        <v>230</v>
      </c>
      <c r="C16" s="148">
        <f>'прилож.3-ДДТ'!J14</f>
        <v>1137393.2942898758</v>
      </c>
      <c r="D16" s="149">
        <f t="shared" si="0"/>
        <v>1137393.2942898758</v>
      </c>
      <c r="E16" s="149">
        <f>'прилож.3-ДДТ'!L14</f>
        <v>693231.47852400015</v>
      </c>
      <c r="F16" s="149">
        <f>'прилож.3-ДДТ'!N14</f>
        <v>554845.21846200002</v>
      </c>
    </row>
    <row r="17" spans="1:12" ht="57.6" customHeight="1" x14ac:dyDescent="0.25">
      <c r="A17" s="287"/>
      <c r="B17" s="151" t="s">
        <v>231</v>
      </c>
      <c r="C17" s="148">
        <f>'прилож.3-ДДТ'!J15</f>
        <v>8365956.8443282815</v>
      </c>
      <c r="D17" s="149">
        <f t="shared" si="0"/>
        <v>8365956.8443282815</v>
      </c>
      <c r="E17" s="149">
        <f>'прилож.3-ДДТ'!L15</f>
        <v>5099664.5300000012</v>
      </c>
      <c r="F17" s="149">
        <f>'прилож.3-ДДТ'!N15</f>
        <v>4080507.7799999993</v>
      </c>
    </row>
    <row r="18" spans="1:12" ht="59.45" customHeight="1" x14ac:dyDescent="0.25">
      <c r="A18" s="288"/>
      <c r="B18" s="151" t="s">
        <v>286</v>
      </c>
      <c r="C18" s="148">
        <f>'прилож.3-ДДТ'!J16</f>
        <v>3986571.9086251962</v>
      </c>
      <c r="D18" s="149">
        <f>C18</f>
        <v>3986571.9086251962</v>
      </c>
      <c r="E18" s="149">
        <f>'прилож.3-ДДТ'!L16</f>
        <v>2430095.3000000003</v>
      </c>
      <c r="F18" s="149">
        <f>'прилож.3-ДДТ'!N16</f>
        <v>1944363.0999999994</v>
      </c>
    </row>
    <row r="19" spans="1:12" ht="21.6" customHeight="1" x14ac:dyDescent="0.25">
      <c r="A19" s="150" t="s">
        <v>234</v>
      </c>
      <c r="B19" s="63" t="s">
        <v>235</v>
      </c>
      <c r="C19" s="62">
        <f>SUM(C13:C18)</f>
        <v>25005238.435764004</v>
      </c>
      <c r="D19" s="62">
        <f>SUM(D13:D18)</f>
        <v>25005238.435764004</v>
      </c>
      <c r="E19" s="62">
        <f>SUM(E13:E18)</f>
        <v>15242171.378524002</v>
      </c>
      <c r="F19" s="62">
        <f>SUM(F13:F18)</f>
        <v>12196137.378461998</v>
      </c>
    </row>
    <row r="20" spans="1:12" ht="83.45" customHeight="1" x14ac:dyDescent="0.25">
      <c r="A20" s="286" t="s">
        <v>225</v>
      </c>
      <c r="B20" s="151" t="s">
        <v>326</v>
      </c>
      <c r="C20" s="148">
        <f>'прилож.3-ДДТ'!J18</f>
        <v>5018299.1999999993</v>
      </c>
      <c r="D20" s="149">
        <f t="shared" ref="D20:D25" si="1">C20</f>
        <v>5018299.1999999993</v>
      </c>
      <c r="E20" s="149">
        <f>'прилож.3-ДДТ'!L18</f>
        <v>5723628.8199999994</v>
      </c>
      <c r="F20" s="149">
        <f>'прилож.3-ДДТ'!N18</f>
        <v>6244553.7000000002</v>
      </c>
    </row>
    <row r="21" spans="1:12" ht="86.45" customHeight="1" x14ac:dyDescent="0.25">
      <c r="A21" s="287"/>
      <c r="B21" s="151" t="s">
        <v>242</v>
      </c>
      <c r="C21" s="148">
        <f>'прилож.3-ДДТ'!J19</f>
        <v>5080177.4400000004</v>
      </c>
      <c r="D21" s="149">
        <f t="shared" si="1"/>
        <v>5080177.4400000004</v>
      </c>
      <c r="E21" s="149">
        <f>'прилож.3-ДДТ'!L19</f>
        <v>5794175.1499999994</v>
      </c>
      <c r="F21" s="149">
        <f>'прилож.3-ДДТ'!N19</f>
        <v>6321229.8973020008</v>
      </c>
    </row>
    <row r="22" spans="1:12" ht="86.45" customHeight="1" x14ac:dyDescent="0.25">
      <c r="A22" s="287"/>
      <c r="B22" s="151" t="s">
        <v>243</v>
      </c>
      <c r="C22" s="148">
        <f>'прилож.3-ДДТ'!J20</f>
        <v>771314.81579999998</v>
      </c>
      <c r="D22" s="149">
        <f t="shared" si="1"/>
        <v>771314.81579999998</v>
      </c>
      <c r="E22" s="149">
        <f>'прилож.3-ДДТ'!L20</f>
        <v>879958.78999999992</v>
      </c>
      <c r="F22" s="149">
        <f>'прилож.3-ДДТ'!N20</f>
        <v>960290.8</v>
      </c>
    </row>
    <row r="23" spans="1:12" ht="81.599999999999994" customHeight="1" x14ac:dyDescent="0.25">
      <c r="A23" s="287"/>
      <c r="B23" s="151" t="s">
        <v>244</v>
      </c>
      <c r="C23" s="148">
        <f>'прилож.3-ДДТ'!J21</f>
        <v>7959908.8800000008</v>
      </c>
      <c r="D23" s="149">
        <f t="shared" si="1"/>
        <v>7959908.8800000008</v>
      </c>
      <c r="E23" s="149">
        <f>'прилож.3-ДДТ'!L21</f>
        <v>9078760.2884404976</v>
      </c>
      <c r="F23" s="149">
        <f>'прилож.3-ДДТ'!N21</f>
        <v>9904642.5420136005</v>
      </c>
    </row>
    <row r="24" spans="1:12" ht="84.6" customHeight="1" x14ac:dyDescent="0.25">
      <c r="A24" s="287"/>
      <c r="B24" s="151" t="s">
        <v>245</v>
      </c>
      <c r="C24" s="148">
        <f>'прилож.3-ДДТ'!J22</f>
        <v>7312265.2800000003</v>
      </c>
      <c r="D24" s="149">
        <f t="shared" si="1"/>
        <v>7312265.2800000003</v>
      </c>
      <c r="E24" s="149">
        <f>'прилож.3-ДДТ'!L22</f>
        <v>8340014.5399999982</v>
      </c>
      <c r="F24" s="149">
        <f>'прилож.3-ДДТ'!N22</f>
        <v>9098553.120000001</v>
      </c>
    </row>
    <row r="25" spans="1:12" ht="96.6" customHeight="1" x14ac:dyDescent="0.25">
      <c r="A25" s="288"/>
      <c r="B25" s="151" t="s">
        <v>246</v>
      </c>
      <c r="C25" s="148">
        <f>'прилож.3-ДДТ'!J23</f>
        <v>3208420.8</v>
      </c>
      <c r="D25" s="149">
        <f t="shared" si="1"/>
        <v>3208420.8</v>
      </c>
      <c r="E25" s="149">
        <f>'прилож.3-ДДТ'!L23</f>
        <v>3659374.4099999997</v>
      </c>
      <c r="F25" s="149">
        <f>'прилож.3-ДДТ'!N23</f>
        <v>3992675.9400000004</v>
      </c>
    </row>
    <row r="26" spans="1:12" ht="22.9" customHeight="1" x14ac:dyDescent="0.25">
      <c r="A26" s="150" t="s">
        <v>234</v>
      </c>
      <c r="B26" s="63" t="s">
        <v>247</v>
      </c>
      <c r="C26" s="62">
        <f>SUM(C20:C25)</f>
        <v>29350386.415800001</v>
      </c>
      <c r="D26" s="62">
        <f>SUM(D20:D25)</f>
        <v>29350386.415800001</v>
      </c>
      <c r="E26" s="62">
        <f>SUM(E20:E25)</f>
        <v>33475911.998440493</v>
      </c>
      <c r="F26" s="62">
        <f>SUM(F20:F25)</f>
        <v>36521945.999315605</v>
      </c>
    </row>
    <row r="27" spans="1:12" ht="41.45" customHeight="1" x14ac:dyDescent="0.25">
      <c r="A27" s="183" t="s">
        <v>225</v>
      </c>
      <c r="B27" s="155" t="s">
        <v>248</v>
      </c>
      <c r="C27" s="148">
        <f>'прилож.3-ДДТ'!J25</f>
        <v>767455.34</v>
      </c>
      <c r="D27" s="149">
        <f t="shared" ref="D27:F27" si="2">C27</f>
        <v>767455.34</v>
      </c>
      <c r="E27" s="149">
        <f>'прилож.3-ДДТ'!L25</f>
        <v>0</v>
      </c>
      <c r="F27" s="149">
        <f t="shared" si="2"/>
        <v>0</v>
      </c>
    </row>
    <row r="28" spans="1:12" ht="22.15" customHeight="1" x14ac:dyDescent="0.25">
      <c r="A28" s="150" t="s">
        <v>250</v>
      </c>
      <c r="B28" s="63" t="s">
        <v>251</v>
      </c>
      <c r="C28" s="62">
        <f>C27</f>
        <v>767455.34</v>
      </c>
      <c r="D28" s="62">
        <f>D27</f>
        <v>767455.34</v>
      </c>
      <c r="E28" s="62">
        <f>E27</f>
        <v>0</v>
      </c>
      <c r="F28" s="62">
        <f>F27</f>
        <v>0</v>
      </c>
      <c r="I28" s="35"/>
      <c r="J28" s="35"/>
      <c r="K28" s="152"/>
      <c r="L28" s="153"/>
    </row>
    <row r="29" spans="1:12" ht="23.45" customHeight="1" x14ac:dyDescent="0.25">
      <c r="A29" s="289" t="s">
        <v>116</v>
      </c>
      <c r="B29" s="290"/>
      <c r="C29" s="62">
        <f>C19+C26+C28+0.01</f>
        <v>55123080.201564007</v>
      </c>
      <c r="D29" s="62">
        <f>D19+D26+D28+0.01</f>
        <v>55123080.201564007</v>
      </c>
      <c r="E29" s="62">
        <f>E19+E26+E28</f>
        <v>48718083.376964495</v>
      </c>
      <c r="F29" s="62">
        <f>F19+F26+F28</f>
        <v>48718083.377777606</v>
      </c>
      <c r="I29" s="35"/>
      <c r="J29" s="35"/>
      <c r="K29" s="152"/>
      <c r="L29" s="36"/>
    </row>
    <row r="30" spans="1:12" x14ac:dyDescent="0.25">
      <c r="I30" s="35"/>
      <c r="J30" s="35"/>
      <c r="K30" s="152"/>
      <c r="L30" s="152"/>
    </row>
    <row r="31" spans="1:12" x14ac:dyDescent="0.25">
      <c r="A31" s="23" t="s">
        <v>79</v>
      </c>
      <c r="I31" s="35"/>
      <c r="J31" s="35"/>
      <c r="K31" s="152"/>
      <c r="L31" s="152"/>
    </row>
    <row r="32" spans="1:12" x14ac:dyDescent="0.25">
      <c r="I32" s="154"/>
      <c r="J32" s="35"/>
      <c r="K32" s="35"/>
      <c r="L32" s="152"/>
    </row>
    <row r="33" spans="6:12" x14ac:dyDescent="0.25">
      <c r="F33" s="34"/>
      <c r="I33" s="154"/>
      <c r="J33" s="35"/>
      <c r="K33" s="36"/>
      <c r="L33" s="152"/>
    </row>
    <row r="34" spans="6:12" x14ac:dyDescent="0.25">
      <c r="I34" s="154"/>
      <c r="J34" s="35"/>
      <c r="K34" s="35"/>
      <c r="L34" s="152"/>
    </row>
    <row r="35" spans="6:12" x14ac:dyDescent="0.25">
      <c r="I35" s="35"/>
      <c r="J35" s="35"/>
      <c r="K35" s="35"/>
      <c r="L35" s="152"/>
    </row>
    <row r="36" spans="6:12" x14ac:dyDescent="0.25">
      <c r="I36" s="36"/>
      <c r="J36" s="35"/>
      <c r="K36" s="152"/>
      <c r="L36" s="152"/>
    </row>
    <row r="37" spans="6:12" x14ac:dyDescent="0.25">
      <c r="I37" s="36"/>
      <c r="J37" s="35"/>
      <c r="K37" s="152"/>
      <c r="L37" s="152"/>
    </row>
    <row r="38" spans="6:12" x14ac:dyDescent="0.25">
      <c r="I38" s="36"/>
      <c r="J38" s="35"/>
      <c r="K38" s="152"/>
      <c r="L38" s="152"/>
    </row>
  </sheetData>
  <mergeCells count="9">
    <mergeCell ref="F10:F11"/>
    <mergeCell ref="A13:A18"/>
    <mergeCell ref="A20:A25"/>
    <mergeCell ref="A29:B29"/>
    <mergeCell ref="A6:E6"/>
    <mergeCell ref="A10:A11"/>
    <mergeCell ref="C10:C11"/>
    <mergeCell ref="D10:D11"/>
    <mergeCell ref="E10:E11"/>
  </mergeCells>
  <pageMargins left="0.70866141732283472" right="0" top="0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прилож.3-школы</vt:lpstr>
      <vt:lpstr>прилож.4-школы</vt:lpstr>
      <vt:lpstr>прилож.3-сады</vt:lpstr>
      <vt:lpstr>прилож.4-сады</vt:lpstr>
      <vt:lpstr>прилож.3-ДДТ</vt:lpstr>
      <vt:lpstr>прилож.4-ДДТ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2025-06-10T09:25:37Z</dcterms:modified>
</cp:coreProperties>
</file>