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8800" windowHeight="12165" tabRatio="568" activeTab="14"/>
  </bookViews>
  <sheets>
    <sheet name="ГПприл.3-объемы" sheetId="1" r:id="rId1"/>
    <sheet name="ГПприл4-объемыОценка" sheetId="2" r:id="rId2"/>
    <sheet name="ГПприл6-ГЗ старый" sheetId="3" state="hidden" r:id="rId3"/>
    <sheet name="ГПприл6-ГЗ ИЗМ" sheetId="17" r:id="rId4"/>
    <sheet name="ПП1" sheetId="4" r:id="rId5"/>
    <sheet name="ПП2" sheetId="5" r:id="rId6"/>
    <sheet name="ПП3" sheetId="8" r:id="rId7"/>
    <sheet name="ПП4 " sheetId="7" r:id="rId8"/>
    <sheet name="1" sheetId="10" state="hidden" r:id="rId9"/>
    <sheet name="2" sheetId="11" state="hidden" r:id="rId10"/>
    <sheet name="3" sheetId="12" state="hidden" r:id="rId11"/>
    <sheet name="4" sheetId="13" state="hidden" r:id="rId12"/>
    <sheet name="ПР6 ДО ИЗМ" sheetId="15" state="hidden" r:id="rId13"/>
    <sheet name="РАСЧЕТ ДЛЯ СЕТИ.ШТАТЫ" sheetId="16" state="hidden" r:id="rId14"/>
    <sheet name="П" sheetId="18" r:id="rId15"/>
    <sheet name="ПП6" sheetId="1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in2007" localSheetId="3">#N/A</definedName>
    <definedName name="_in2007" localSheetId="12">#N/A</definedName>
    <definedName name="_in2007" localSheetId="13">#N/A</definedName>
    <definedName name="_in2007">#N/A</definedName>
    <definedName name="_in2008" localSheetId="3">#N/A</definedName>
    <definedName name="_in2008" localSheetId="12">#N/A</definedName>
    <definedName name="_in2008" localSheetId="13">#N/A</definedName>
    <definedName name="_in2008">#N/A</definedName>
    <definedName name="_in2009" localSheetId="3">#N/A</definedName>
    <definedName name="_in2009" localSheetId="12">#N/A</definedName>
    <definedName name="_in2009" localSheetId="13">#N/A</definedName>
    <definedName name="_in2009">#N/A</definedName>
    <definedName name="_in2010" localSheetId="3">#N/A</definedName>
    <definedName name="_in2010" localSheetId="12">#N/A</definedName>
    <definedName name="_in2010" localSheetId="13">#N/A</definedName>
    <definedName name="_in2010">#N/A</definedName>
    <definedName name="_in2011" localSheetId="3">#N/A</definedName>
    <definedName name="_in2011" localSheetId="12">#N/A</definedName>
    <definedName name="_in2011" localSheetId="13">#N/A</definedName>
    <definedName name="_in2011">#N/A</definedName>
    <definedName name="_in2012" localSheetId="3">#N/A</definedName>
    <definedName name="_in2012" localSheetId="12">#N/A</definedName>
    <definedName name="_in2012" localSheetId="13">#N/A</definedName>
    <definedName name="_in2012">#N/A</definedName>
    <definedName name="_in2013" localSheetId="3">#N/A</definedName>
    <definedName name="_in2013" localSheetId="12">#N/A</definedName>
    <definedName name="_in2013" localSheetId="13">#N/A</definedName>
    <definedName name="_in2013">#N/A</definedName>
    <definedName name="_in2014" localSheetId="3">#N/A</definedName>
    <definedName name="_in2014" localSheetId="12">#N/A</definedName>
    <definedName name="_in2014" localSheetId="13">#N/A</definedName>
    <definedName name="_in2014">#N/A</definedName>
    <definedName name="_in2015" localSheetId="3">#N/A</definedName>
    <definedName name="_in2015" localSheetId="12">#N/A</definedName>
    <definedName name="_in2015" localSheetId="13">#N/A</definedName>
    <definedName name="_in2015">#N/A</definedName>
    <definedName name="_inf2007" localSheetId="3">#N/A</definedName>
    <definedName name="_inf2007" localSheetId="12">#N/A</definedName>
    <definedName name="_inf2007" localSheetId="13">#N/A</definedName>
    <definedName name="_inf2007">#N/A</definedName>
    <definedName name="_inf2008" localSheetId="3">#N/A</definedName>
    <definedName name="_inf2008" localSheetId="12">#N/A</definedName>
    <definedName name="_inf2008" localSheetId="13">#N/A</definedName>
    <definedName name="_inf2008">#N/A</definedName>
    <definedName name="_inf2009" localSheetId="3">#N/A</definedName>
    <definedName name="_inf2009" localSheetId="12">#N/A</definedName>
    <definedName name="_inf2009" localSheetId="13">#N/A</definedName>
    <definedName name="_inf2009">#N/A</definedName>
    <definedName name="_inf2010" localSheetId="3">#N/A</definedName>
    <definedName name="_inf2010" localSheetId="12">#N/A</definedName>
    <definedName name="_inf2010" localSheetId="13">#N/A</definedName>
    <definedName name="_inf2010">#N/A</definedName>
    <definedName name="_inf2011" localSheetId="3">#N/A</definedName>
    <definedName name="_inf2011" localSheetId="12">#N/A</definedName>
    <definedName name="_inf2011" localSheetId="13">#N/A</definedName>
    <definedName name="_inf2011">#N/A</definedName>
    <definedName name="_inf2012" localSheetId="3">#N/A</definedName>
    <definedName name="_inf2012" localSheetId="12">#N/A</definedName>
    <definedName name="_inf2012" localSheetId="13">#N/A</definedName>
    <definedName name="_inf2012">#N/A</definedName>
    <definedName name="_inf2013" localSheetId="3">#N/A</definedName>
    <definedName name="_inf2013" localSheetId="12">#N/A</definedName>
    <definedName name="_inf2013" localSheetId="13">#N/A</definedName>
    <definedName name="_inf2013">#N/A</definedName>
    <definedName name="_inf2014" localSheetId="3">#N/A</definedName>
    <definedName name="_inf2014" localSheetId="12">#N/A</definedName>
    <definedName name="_inf2014" localSheetId="13">#N/A</definedName>
    <definedName name="_inf2014">#N/A</definedName>
    <definedName name="_inf2015" localSheetId="3">#N/A</definedName>
    <definedName name="_inf2015" localSheetId="12">#N/A</definedName>
    <definedName name="_inf2015" localSheetId="13">#N/A</definedName>
    <definedName name="_inf2015">#N/A</definedName>
    <definedName name="_mm1" localSheetId="3">[1]ПРОГНОЗ_1!#REF!</definedName>
    <definedName name="_mm1" localSheetId="12">[1]ПРОГНОЗ_1!#REF!</definedName>
    <definedName name="_mm1" localSheetId="13">[1]ПРОГНОЗ_1!#REF!</definedName>
    <definedName name="_mm1">[1]ПРОГНОЗ_1!#REF!</definedName>
    <definedName name="_xlnm._FilterDatabase" localSheetId="1" hidden="1">#N/A</definedName>
    <definedName name="_xlnm._FilterDatabase" localSheetId="13" hidden="1">#N/A</definedName>
    <definedName name="ddd" localSheetId="3">[2]ПРОГНОЗ_1!#REF!</definedName>
    <definedName name="ddd" localSheetId="12">[2]ПРОГНОЗ_1!#REF!</definedName>
    <definedName name="ddd" localSheetId="13">[2]ПРОГНОЗ_1!#REF!</definedName>
    <definedName name="ddd">[2]ПРОГНОЗ_1!#REF!</definedName>
    <definedName name="ff" localSheetId="3">#N/A</definedName>
    <definedName name="ff" localSheetId="12">#N/A</definedName>
    <definedName name="ff" localSheetId="13">#N/A</definedName>
    <definedName name="ff">#N/A</definedName>
    <definedName name="fffff" localSheetId="3">'[3]Гр5(о)'!#REF!</definedName>
    <definedName name="fffff" localSheetId="12">'[3]Гр5(о)'!#REF!</definedName>
    <definedName name="fffff" localSheetId="13">'[3]Гр5(о)'!#REF!</definedName>
    <definedName name="fffff">'[3]Гр5(о)'!#REF!</definedName>
    <definedName name="gggg" localSheetId="3">#N/A</definedName>
    <definedName name="gggg" localSheetId="12">#N/A</definedName>
    <definedName name="gggg" localSheetId="13">#N/A</definedName>
    <definedName name="gggg">#N/A</definedName>
    <definedName name="jjjj" localSheetId="3">'[4]Гр5(о)'!#REF!</definedName>
    <definedName name="jjjj" localSheetId="12">'[4]Гр5(о)'!#REF!</definedName>
    <definedName name="jjjj" localSheetId="13">'[4]Гр5(о)'!#REF!</definedName>
    <definedName name="jjjj">'[4]Гр5(о)'!#REF!</definedName>
    <definedName name="ааа" localSheetId="3">#N/A</definedName>
    <definedName name="ааа" localSheetId="12">#N/A</definedName>
    <definedName name="ааа" localSheetId="13">#N/A</definedName>
    <definedName name="ааа">#N/A</definedName>
    <definedName name="АнМ" localSheetId="3">'[5]Гр5(о)'!#REF!</definedName>
    <definedName name="АнМ" localSheetId="12">'[5]Гр5(о)'!#REF!</definedName>
    <definedName name="АнМ" localSheetId="13">'[5]Гр5(о)'!#REF!</definedName>
    <definedName name="АнМ">'[5]Гр5(о)'!#REF!</definedName>
    <definedName name="вв" localSheetId="3">[6]ПРОГНОЗ_1!#REF!</definedName>
    <definedName name="вв" localSheetId="12">[6]ПРОГНОЗ_1!#REF!</definedName>
    <definedName name="вв" localSheetId="13">[6]ПРОГНОЗ_1!#REF!</definedName>
    <definedName name="вв">[6]ПРОГНОЗ_1!#REF!</definedName>
    <definedName name="График">"Диагр. 4"</definedName>
    <definedName name="_xlnm.Print_Titles" localSheetId="0">#N/A</definedName>
    <definedName name="_xlnm.Print_Titles" localSheetId="1">#N/A</definedName>
    <definedName name="_xlnm.Print_Titles" localSheetId="3">#N/A</definedName>
    <definedName name="_xlnm.Print_Titles" localSheetId="2">#N/A</definedName>
    <definedName name="_xlnm.Print_Titles" localSheetId="4">#N/A</definedName>
    <definedName name="_xlnm.Print_Titles" localSheetId="12">#N/A</definedName>
    <definedName name="_xlnm.Print_Titles" localSheetId="13">#N/A</definedName>
    <definedName name="кат" localSheetId="3">#N/A</definedName>
    <definedName name="кат" localSheetId="12">#N/A</definedName>
    <definedName name="кат" localSheetId="13">#N/A</definedName>
    <definedName name="кат">#N/A</definedName>
    <definedName name="М1" localSheetId="3">[7]ПРОГНОЗ_1!#REF!</definedName>
    <definedName name="М1" localSheetId="12">[7]ПРОГНОЗ_1!#REF!</definedName>
    <definedName name="М1" localSheetId="13">[7]ПРОГНОЗ_1!#REF!</definedName>
    <definedName name="М1">[7]ПРОГНОЗ_1!#REF!</definedName>
    <definedName name="Мониторинг1" localSheetId="3">'[8]Гр5(о)'!#REF!</definedName>
    <definedName name="Мониторинг1" localSheetId="12">'[8]Гр5(о)'!#REF!</definedName>
    <definedName name="Мониторинг1" localSheetId="13">'[8]Гр5(о)'!#REF!</definedName>
    <definedName name="Мониторинг1">'[8]Гр5(о)'!#REF!</definedName>
    <definedName name="_xlnm.Print_Area" localSheetId="0">#N/A</definedName>
    <definedName name="_xlnm.Print_Area" localSheetId="1">#N/A</definedName>
    <definedName name="_xlnm.Print_Area" localSheetId="3">#N/A</definedName>
    <definedName name="_xlnm.Print_Area" localSheetId="2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12">#N/A</definedName>
    <definedName name="_xlnm.Print_Area" localSheetId="13">#N/A</definedName>
    <definedName name="ПОКАЗАТЕЛИ_ДОЛГОСР.ПРОГНОЗА" localSheetId="3">'[9]2002(v2)'!#REF!</definedName>
    <definedName name="ПОКАЗАТЕЛИ_ДОЛГОСР.ПРОГНОЗА" localSheetId="12">'[9]2002(v2)'!#REF!</definedName>
    <definedName name="ПОКАЗАТЕЛИ_ДОЛГОСР.ПРОГНОЗА" localSheetId="13">'[9]2002(v2)'!#REF!</definedName>
    <definedName name="ПОКАЗАТЕЛИ_ДОЛГОСР.ПРОГНОЗА">'[9]2002(v2)'!#REF!</definedName>
    <definedName name="пппп" localSheetId="3">'[10]2002(v1)'!#REF!</definedName>
    <definedName name="пппп" localSheetId="12">'[10]2002(v1)'!#REF!</definedName>
    <definedName name="пппп" localSheetId="13">'[10]2002(v1)'!#REF!</definedName>
    <definedName name="пппп">'[10]2002(v1)'!#REF!</definedName>
    <definedName name="Прогноз97" localSheetId="3">[11]ПРОГНОЗ_1!#REF!</definedName>
    <definedName name="Прогноз97" localSheetId="12">[11]ПРОГНОЗ_1!#REF!</definedName>
    <definedName name="Прогноз97" localSheetId="13">[11]ПРОГНОЗ_1!#REF!</definedName>
    <definedName name="Прогноз97">[11]ПРОГНОЗ_1!#REF!</definedName>
    <definedName name="фф" localSheetId="3">'[12]Гр5(о)'!#REF!</definedName>
    <definedName name="фф" localSheetId="12">'[12]Гр5(о)'!#REF!</definedName>
    <definedName name="фф" localSheetId="13">'[12]Гр5(о)'!#REF!</definedName>
    <definedName name="фф">'[12]Гр5(о)'!#REF!</definedName>
    <definedName name="ффф" localSheetId="3">#N/A</definedName>
    <definedName name="ффф" localSheetId="12">#N/A</definedName>
    <definedName name="ффф" localSheetId="13">#N/A</definedName>
    <definedName name="ффф">#N/A</definedName>
  </definedNames>
  <calcPr calcId="181029"/>
</workbook>
</file>

<file path=xl/calcChain.xml><?xml version="1.0" encoding="utf-8"?>
<calcChain xmlns="http://schemas.openxmlformats.org/spreadsheetml/2006/main">
  <c r="W8" i="1" l="1"/>
  <c r="U70" i="5"/>
  <c r="X68" i="5"/>
  <c r="X67" i="5"/>
  <c r="X66" i="5"/>
  <c r="X65" i="5"/>
  <c r="U7" i="5"/>
  <c r="U21" i="7"/>
  <c r="O9" i="2"/>
  <c r="U40" i="7"/>
  <c r="U11" i="8"/>
  <c r="U69" i="5"/>
  <c r="O10" i="2"/>
  <c r="X61" i="5"/>
  <c r="U57" i="4"/>
  <c r="W40" i="7"/>
  <c r="V40" i="7"/>
  <c r="W7" i="8"/>
  <c r="V7" i="8"/>
  <c r="W7" i="5"/>
  <c r="W70" i="5"/>
  <c r="W71" i="5"/>
  <c r="W12" i="1"/>
  <c r="V7" i="5"/>
  <c r="V70" i="5"/>
  <c r="V71" i="5"/>
  <c r="U59" i="4"/>
  <c r="U80" i="4"/>
  <c r="X80" i="4"/>
  <c r="U55" i="4"/>
  <c r="X10" i="19"/>
  <c r="U23" i="7"/>
  <c r="P15" i="7"/>
  <c r="U17" i="7"/>
  <c r="U9" i="7"/>
  <c r="U7" i="7"/>
  <c r="U44" i="7"/>
  <c r="U9" i="8"/>
  <c r="U9" i="5"/>
  <c r="U71" i="5"/>
  <c r="U12" i="1"/>
  <c r="U7" i="1"/>
  <c r="U5" i="1"/>
  <c r="U54" i="4"/>
  <c r="U10" i="4"/>
  <c r="T69" i="5"/>
  <c r="T13" i="19"/>
  <c r="T14" i="19"/>
  <c r="S87" i="4"/>
  <c r="T87" i="4"/>
  <c r="U87" i="4"/>
  <c r="V87" i="4"/>
  <c r="W87" i="4"/>
  <c r="R87" i="4"/>
  <c r="T11" i="8"/>
  <c r="X37" i="7"/>
  <c r="T43" i="7"/>
  <c r="T40" i="7"/>
  <c r="T32" i="8"/>
  <c r="T63" i="5"/>
  <c r="X63" i="5"/>
  <c r="T60" i="5"/>
  <c r="T54" i="4"/>
  <c r="T79" i="4"/>
  <c r="T23" i="7"/>
  <c r="T17" i="7"/>
  <c r="T9" i="7"/>
  <c r="X9" i="7"/>
  <c r="T7" i="7"/>
  <c r="T44" i="7"/>
  <c r="T45" i="7"/>
  <c r="T9" i="8"/>
  <c r="T9" i="5"/>
  <c r="T7" i="5"/>
  <c r="T59" i="4"/>
  <c r="T52" i="4"/>
  <c r="T10" i="4"/>
  <c r="R26" i="1"/>
  <c r="R24" i="1"/>
  <c r="T61" i="4"/>
  <c r="T57" i="4"/>
  <c r="P10" i="2"/>
  <c r="V13" i="19"/>
  <c r="V14" i="19"/>
  <c r="V9" i="18"/>
  <c r="V10" i="18"/>
  <c r="V44" i="7"/>
  <c r="V45" i="7"/>
  <c r="V31" i="8"/>
  <c r="X10" i="5"/>
  <c r="X12" i="5"/>
  <c r="X17" i="5"/>
  <c r="X18" i="5"/>
  <c r="X19" i="5"/>
  <c r="X20" i="5"/>
  <c r="X22" i="5"/>
  <c r="X25" i="5"/>
  <c r="X26" i="5"/>
  <c r="X27" i="5"/>
  <c r="X28" i="5"/>
  <c r="X29" i="5"/>
  <c r="X30" i="5"/>
  <c r="X31" i="5"/>
  <c r="X37" i="5"/>
  <c r="X40" i="5"/>
  <c r="X41" i="5"/>
  <c r="X42" i="5"/>
  <c r="X43" i="5"/>
  <c r="X45" i="5"/>
  <c r="X46" i="5"/>
  <c r="X48" i="5"/>
  <c r="X49" i="5"/>
  <c r="X52" i="5"/>
  <c r="X53" i="5"/>
  <c r="X54" i="5"/>
  <c r="X55" i="5"/>
  <c r="X57" i="5"/>
  <c r="X58" i="5"/>
  <c r="X59" i="5"/>
  <c r="X60" i="5"/>
  <c r="X62" i="5"/>
  <c r="X64" i="5"/>
  <c r="X89" i="4"/>
  <c r="X90" i="4"/>
  <c r="X91" i="4"/>
  <c r="X92" i="4"/>
  <c r="X93" i="4"/>
  <c r="X94" i="4"/>
  <c r="X95" i="4"/>
  <c r="X96" i="4"/>
  <c r="X97" i="4"/>
  <c r="X60" i="4"/>
  <c r="X61" i="4"/>
  <c r="X62" i="4"/>
  <c r="X63" i="4"/>
  <c r="X64" i="4"/>
  <c r="X65" i="4"/>
  <c r="X66" i="4"/>
  <c r="X67" i="4"/>
  <c r="X68" i="4"/>
  <c r="X69" i="4"/>
  <c r="X70" i="4"/>
  <c r="X72" i="4"/>
  <c r="X73" i="4"/>
  <c r="X75" i="4"/>
  <c r="X76" i="4"/>
  <c r="X77" i="4"/>
  <c r="X78" i="4"/>
  <c r="X11" i="4"/>
  <c r="X13" i="4"/>
  <c r="X14" i="4"/>
  <c r="X15" i="4"/>
  <c r="X16" i="4"/>
  <c r="X17" i="4"/>
  <c r="X18" i="4"/>
  <c r="X19" i="4"/>
  <c r="X20" i="4"/>
  <c r="X21" i="4"/>
  <c r="X23" i="4"/>
  <c r="X24" i="4"/>
  <c r="X26" i="4"/>
  <c r="X27" i="4"/>
  <c r="X30" i="4"/>
  <c r="X31" i="4"/>
  <c r="X32" i="4"/>
  <c r="X34" i="4"/>
  <c r="X35" i="4"/>
  <c r="X39" i="4"/>
  <c r="X40" i="4"/>
  <c r="X42" i="4"/>
  <c r="X43" i="4"/>
  <c r="X44" i="4"/>
  <c r="X46" i="4"/>
  <c r="X47" i="4"/>
  <c r="X48" i="4"/>
  <c r="X49" i="4"/>
  <c r="X51" i="4"/>
  <c r="X53" i="4"/>
  <c r="W80" i="4"/>
  <c r="W41" i="4"/>
  <c r="W37" i="4"/>
  <c r="W55" i="4"/>
  <c r="T7" i="8"/>
  <c r="X12" i="19"/>
  <c r="N9" i="2"/>
  <c r="M9" i="2"/>
  <c r="S13" i="19"/>
  <c r="S14" i="19"/>
  <c r="U13" i="19"/>
  <c r="U14" i="19"/>
  <c r="W13" i="19"/>
  <c r="W14" i="19"/>
  <c r="R13" i="19"/>
  <c r="R14" i="19"/>
  <c r="X11" i="19"/>
  <c r="X9" i="19"/>
  <c r="T8" i="4"/>
  <c r="T8" i="8"/>
  <c r="T8" i="5"/>
  <c r="T58" i="4"/>
  <c r="T9" i="4"/>
  <c r="X9" i="4"/>
  <c r="R32" i="8"/>
  <c r="S69" i="5"/>
  <c r="M10" i="2"/>
  <c r="M8" i="2"/>
  <c r="S17" i="7"/>
  <c r="S7" i="7"/>
  <c r="S32" i="8"/>
  <c r="S9" i="8"/>
  <c r="S8" i="8"/>
  <c r="T37" i="4"/>
  <c r="U37" i="4"/>
  <c r="V37" i="4"/>
  <c r="V55" i="4"/>
  <c r="P33" i="5"/>
  <c r="Q33" i="5"/>
  <c r="R33" i="5"/>
  <c r="S8" i="5"/>
  <c r="S7" i="5"/>
  <c r="T41" i="4"/>
  <c r="U41" i="4"/>
  <c r="V41" i="4"/>
  <c r="S79" i="4"/>
  <c r="X79" i="4"/>
  <c r="S23" i="7"/>
  <c r="S9" i="7"/>
  <c r="S44" i="7"/>
  <c r="S45" i="7"/>
  <c r="S18" i="1"/>
  <c r="P31" i="8"/>
  <c r="Q31" i="8"/>
  <c r="S9" i="5"/>
  <c r="S59" i="4"/>
  <c r="S10" i="4"/>
  <c r="S21" i="7"/>
  <c r="Q8" i="2"/>
  <c r="Q9" i="2"/>
  <c r="Q10" i="2"/>
  <c r="X8" i="19"/>
  <c r="X7" i="19"/>
  <c r="W9" i="18"/>
  <c r="W10" i="18"/>
  <c r="X26" i="7"/>
  <c r="X27" i="7"/>
  <c r="X28" i="7"/>
  <c r="X29" i="7"/>
  <c r="X30" i="7"/>
  <c r="X31" i="7"/>
  <c r="X32" i="7"/>
  <c r="X33" i="7"/>
  <c r="X34" i="7"/>
  <c r="X35" i="7"/>
  <c r="X36" i="7"/>
  <c r="X38" i="7"/>
  <c r="W44" i="7"/>
  <c r="W45" i="7"/>
  <c r="Q40" i="2"/>
  <c r="X24" i="8"/>
  <c r="X25" i="8"/>
  <c r="X26" i="8"/>
  <c r="X27" i="8"/>
  <c r="X28" i="8"/>
  <c r="X29" i="8"/>
  <c r="X30" i="8"/>
  <c r="X35" i="8"/>
  <c r="V80" i="4"/>
  <c r="S56" i="5"/>
  <c r="S37" i="4"/>
  <c r="S55" i="4"/>
  <c r="S74" i="4"/>
  <c r="S80" i="4"/>
  <c r="R43" i="7"/>
  <c r="R23" i="7"/>
  <c r="R17" i="7"/>
  <c r="R8" i="8"/>
  <c r="R12" i="4"/>
  <c r="Q18" i="8"/>
  <c r="X18" i="8"/>
  <c r="AU86" i="17"/>
  <c r="AU84" i="17"/>
  <c r="AU65" i="17"/>
  <c r="AU46" i="17"/>
  <c r="AU39" i="17"/>
  <c r="AU35" i="17"/>
  <c r="AU24" i="17"/>
  <c r="U9" i="18"/>
  <c r="U10" i="18"/>
  <c r="X6" i="1"/>
  <c r="X9" i="1"/>
  <c r="X19" i="1"/>
  <c r="X22" i="1"/>
  <c r="X23" i="1"/>
  <c r="X25" i="1"/>
  <c r="L9" i="2"/>
  <c r="R21" i="7"/>
  <c r="R9" i="7"/>
  <c r="R8" i="4"/>
  <c r="T39" i="5"/>
  <c r="K60" i="2"/>
  <c r="L60" i="2"/>
  <c r="M60" i="2"/>
  <c r="N60" i="2"/>
  <c r="O60" i="2"/>
  <c r="I60" i="2"/>
  <c r="H60" i="2"/>
  <c r="G60" i="2"/>
  <c r="K59" i="2"/>
  <c r="I59" i="2"/>
  <c r="H59" i="2"/>
  <c r="G59" i="2"/>
  <c r="K58" i="2"/>
  <c r="L58" i="2"/>
  <c r="M58" i="2"/>
  <c r="N58" i="2"/>
  <c r="I58" i="2"/>
  <c r="H58" i="2"/>
  <c r="G58" i="2"/>
  <c r="K57" i="2"/>
  <c r="I57" i="2"/>
  <c r="H57" i="2"/>
  <c r="G57" i="2"/>
  <c r="K56" i="2"/>
  <c r="L56" i="2"/>
  <c r="I56" i="2"/>
  <c r="H56" i="2"/>
  <c r="G56" i="2"/>
  <c r="K55" i="2"/>
  <c r="L55" i="2"/>
  <c r="M55" i="2"/>
  <c r="N55" i="2"/>
  <c r="P55" i="2"/>
  <c r="I55" i="2"/>
  <c r="H55" i="2"/>
  <c r="G55" i="2"/>
  <c r="K54" i="2"/>
  <c r="J24" i="1"/>
  <c r="Q13" i="19"/>
  <c r="Q14" i="19"/>
  <c r="P13" i="19"/>
  <c r="P14" i="19"/>
  <c r="O13" i="19"/>
  <c r="O14" i="19"/>
  <c r="N13" i="19"/>
  <c r="N14" i="19"/>
  <c r="M13" i="19"/>
  <c r="M14" i="19"/>
  <c r="L13" i="19"/>
  <c r="L14" i="19"/>
  <c r="K13" i="19"/>
  <c r="K14" i="19"/>
  <c r="J13" i="19"/>
  <c r="R57" i="4"/>
  <c r="R80" i="4"/>
  <c r="N8" i="2"/>
  <c r="S39" i="5"/>
  <c r="L8" i="2"/>
  <c r="R41" i="4"/>
  <c r="Q50" i="5"/>
  <c r="K9" i="2"/>
  <c r="Q23" i="7"/>
  <c r="Q51" i="5"/>
  <c r="X51" i="5"/>
  <c r="Q12" i="4"/>
  <c r="X12" i="4"/>
  <c r="Q8" i="4"/>
  <c r="Q10" i="4"/>
  <c r="Q40" i="7"/>
  <c r="Q50" i="4"/>
  <c r="Q43" i="7"/>
  <c r="Q17" i="7"/>
  <c r="Q7" i="7"/>
  <c r="Q11" i="5"/>
  <c r="X11" i="5"/>
  <c r="Q9" i="5"/>
  <c r="Q59" i="4"/>
  <c r="Q71" i="4"/>
  <c r="X71" i="4"/>
  <c r="Q57" i="4"/>
  <c r="Q58" i="4"/>
  <c r="Q41" i="4"/>
  <c r="Q9" i="4"/>
  <c r="Q8" i="8"/>
  <c r="Q9" i="8"/>
  <c r="Q11" i="8"/>
  <c r="P40" i="7"/>
  <c r="P9" i="18"/>
  <c r="P10" i="18"/>
  <c r="Q9" i="18"/>
  <c r="Q10" i="18"/>
  <c r="R9" i="18"/>
  <c r="R10" i="18"/>
  <c r="S9" i="18"/>
  <c r="S10" i="18"/>
  <c r="T9" i="18"/>
  <c r="T10" i="18"/>
  <c r="Q39" i="5"/>
  <c r="R39" i="5"/>
  <c r="P7" i="5"/>
  <c r="P70" i="5"/>
  <c r="P71" i="5"/>
  <c r="L10" i="2"/>
  <c r="K10" i="2"/>
  <c r="L98" i="4"/>
  <c r="K98" i="4"/>
  <c r="J98" i="4"/>
  <c r="R88" i="4"/>
  <c r="S88" i="4"/>
  <c r="J9" i="2"/>
  <c r="P39" i="5"/>
  <c r="P45" i="4"/>
  <c r="P55" i="4"/>
  <c r="O55" i="4"/>
  <c r="L80" i="4"/>
  <c r="K80" i="4"/>
  <c r="J80" i="4"/>
  <c r="K33" i="8"/>
  <c r="O33" i="8"/>
  <c r="O34" i="8"/>
  <c r="O36" i="8"/>
  <c r="K70" i="5"/>
  <c r="K71" i="5"/>
  <c r="O70" i="5"/>
  <c r="O71" i="5"/>
  <c r="O80" i="4"/>
  <c r="P80" i="4"/>
  <c r="I9" i="2"/>
  <c r="J8" i="2"/>
  <c r="W65" i="17"/>
  <c r="I17" i="2"/>
  <c r="O9" i="18"/>
  <c r="O10" i="18"/>
  <c r="N9" i="18"/>
  <c r="N10" i="18"/>
  <c r="M9" i="18"/>
  <c r="M10" i="18"/>
  <c r="L9" i="18"/>
  <c r="L10" i="18"/>
  <c r="K9" i="18"/>
  <c r="K10" i="18"/>
  <c r="X10" i="18"/>
  <c r="J9" i="18"/>
  <c r="J10" i="18"/>
  <c r="X8" i="18"/>
  <c r="X7" i="18"/>
  <c r="R14" i="7"/>
  <c r="R44" i="5"/>
  <c r="X44" i="5"/>
  <c r="R38" i="4"/>
  <c r="X38" i="4"/>
  <c r="R45" i="4"/>
  <c r="I14" i="2"/>
  <c r="I13" i="2"/>
  <c r="Q28" i="4"/>
  <c r="R28" i="4"/>
  <c r="S28" i="4"/>
  <c r="T28" i="4"/>
  <c r="U28" i="4"/>
  <c r="V28" i="4"/>
  <c r="W28" i="4"/>
  <c r="O14" i="7"/>
  <c r="Q41" i="7"/>
  <c r="X41" i="7"/>
  <c r="V86" i="17"/>
  <c r="W86" i="17"/>
  <c r="X86" i="17"/>
  <c r="Y86" i="17"/>
  <c r="Z86" i="17"/>
  <c r="AA86" i="17"/>
  <c r="AB86" i="17"/>
  <c r="AC86" i="17"/>
  <c r="AD86" i="17"/>
  <c r="AE86" i="17"/>
  <c r="AF86" i="17"/>
  <c r="AG86" i="17"/>
  <c r="AH86" i="17"/>
  <c r="AI86" i="17"/>
  <c r="AJ86" i="17"/>
  <c r="AK86" i="17"/>
  <c r="AL86" i="17"/>
  <c r="AM86" i="17"/>
  <c r="AN86" i="17"/>
  <c r="AO86" i="17"/>
  <c r="AP86" i="17"/>
  <c r="V84" i="17"/>
  <c r="W84" i="17"/>
  <c r="Y84" i="17"/>
  <c r="Z84" i="17"/>
  <c r="AA84" i="17"/>
  <c r="AB84" i="17"/>
  <c r="AC84" i="17"/>
  <c r="AD84" i="17"/>
  <c r="AE84" i="17"/>
  <c r="AF84" i="17"/>
  <c r="AG84" i="17"/>
  <c r="AH84" i="17"/>
  <c r="AI84" i="17"/>
  <c r="AJ84" i="17"/>
  <c r="AK84" i="17"/>
  <c r="AL84" i="17"/>
  <c r="AM84" i="17"/>
  <c r="AN84" i="17"/>
  <c r="AO84" i="17"/>
  <c r="AP84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V39" i="17"/>
  <c r="W39" i="17"/>
  <c r="X39" i="17"/>
  <c r="V35" i="17"/>
  <c r="W35" i="17"/>
  <c r="Y35" i="17"/>
  <c r="V24" i="17"/>
  <c r="W24" i="17"/>
  <c r="P8" i="7"/>
  <c r="Q8" i="7"/>
  <c r="P10" i="7"/>
  <c r="P11" i="7"/>
  <c r="P12" i="7"/>
  <c r="P13" i="7"/>
  <c r="Q13" i="7"/>
  <c r="P16" i="7"/>
  <c r="P18" i="7"/>
  <c r="Q18" i="7"/>
  <c r="P19" i="7"/>
  <c r="Q19" i="7"/>
  <c r="P20" i="7"/>
  <c r="Q20" i="7"/>
  <c r="P22" i="7"/>
  <c r="Q22" i="7"/>
  <c r="R22" i="7"/>
  <c r="Q25" i="7"/>
  <c r="X25" i="7"/>
  <c r="P39" i="7"/>
  <c r="Q39" i="7"/>
  <c r="P23" i="5"/>
  <c r="Q23" i="5"/>
  <c r="P24" i="5"/>
  <c r="Q24" i="5"/>
  <c r="R24" i="5"/>
  <c r="P32" i="5"/>
  <c r="Q32" i="5"/>
  <c r="P34" i="5"/>
  <c r="Q34" i="5"/>
  <c r="R34" i="5"/>
  <c r="P35" i="5"/>
  <c r="Q35" i="5"/>
  <c r="R35" i="5"/>
  <c r="Q36" i="5"/>
  <c r="Q47" i="5"/>
  <c r="P83" i="4"/>
  <c r="P84" i="4"/>
  <c r="P85" i="4"/>
  <c r="P82" i="4"/>
  <c r="Q22" i="4"/>
  <c r="Q25" i="4"/>
  <c r="P10" i="8"/>
  <c r="Q10" i="8"/>
  <c r="P11" i="8"/>
  <c r="P12" i="8"/>
  <c r="P14" i="8"/>
  <c r="Q14" i="8"/>
  <c r="Q15" i="8"/>
  <c r="R15" i="8"/>
  <c r="P16" i="8"/>
  <c r="Q16" i="8"/>
  <c r="R16" i="8"/>
  <c r="S16" i="8"/>
  <c r="T16" i="8"/>
  <c r="Q17" i="8"/>
  <c r="P19" i="8"/>
  <c r="P20" i="8"/>
  <c r="Q20" i="8"/>
  <c r="R20" i="8"/>
  <c r="S20" i="8"/>
  <c r="T20" i="8"/>
  <c r="P21" i="8"/>
  <c r="P22" i="8"/>
  <c r="P33" i="8"/>
  <c r="P34" i="8"/>
  <c r="T42" i="17"/>
  <c r="T16" i="17"/>
  <c r="H19" i="2"/>
  <c r="H37" i="2"/>
  <c r="N17" i="7"/>
  <c r="N7" i="7"/>
  <c r="N21" i="7"/>
  <c r="N46" i="7"/>
  <c r="X46" i="7"/>
  <c r="N43" i="7"/>
  <c r="N44" i="7"/>
  <c r="N40" i="7"/>
  <c r="N23" i="7"/>
  <c r="N13" i="8"/>
  <c r="N22" i="4"/>
  <c r="N100" i="4"/>
  <c r="X100" i="4"/>
  <c r="N38" i="5"/>
  <c r="X38" i="5"/>
  <c r="N7" i="5"/>
  <c r="R86" i="17"/>
  <c r="S82" i="17"/>
  <c r="S81" i="17"/>
  <c r="S80" i="17"/>
  <c r="S79" i="17"/>
  <c r="S78" i="17"/>
  <c r="S77" i="17"/>
  <c r="S76" i="17"/>
  <c r="S75" i="17"/>
  <c r="R75" i="17"/>
  <c r="K75" i="17"/>
  <c r="R74" i="17"/>
  <c r="S74" i="17"/>
  <c r="K74" i="17"/>
  <c r="R39" i="17"/>
  <c r="R8" i="17"/>
  <c r="N50" i="3"/>
  <c r="N9" i="3"/>
  <c r="W4" i="3"/>
  <c r="X8" i="3"/>
  <c r="N57" i="4"/>
  <c r="N80" i="4"/>
  <c r="N36" i="4"/>
  <c r="X36" i="4"/>
  <c r="O9" i="3"/>
  <c r="AA4" i="3"/>
  <c r="AC4" i="3"/>
  <c r="N98" i="4"/>
  <c r="M98" i="4"/>
  <c r="O98" i="4"/>
  <c r="Q10" i="1"/>
  <c r="X10" i="1"/>
  <c r="Q13" i="1"/>
  <c r="X13" i="1"/>
  <c r="K12" i="2"/>
  <c r="L12" i="2"/>
  <c r="K15" i="2"/>
  <c r="L15" i="2"/>
  <c r="K21" i="2"/>
  <c r="L21" i="2"/>
  <c r="K24" i="2"/>
  <c r="K30" i="2"/>
  <c r="L30" i="2"/>
  <c r="K33" i="2"/>
  <c r="K35" i="2"/>
  <c r="K39" i="2"/>
  <c r="L39" i="2"/>
  <c r="K41" i="2"/>
  <c r="K42" i="2"/>
  <c r="K44" i="2"/>
  <c r="K46" i="2"/>
  <c r="K47" i="2"/>
  <c r="K48" i="2"/>
  <c r="L48" i="2"/>
  <c r="M48" i="2"/>
  <c r="N48" i="2"/>
  <c r="K49" i="2"/>
  <c r="L49" i="2"/>
  <c r="M49" i="2"/>
  <c r="K50" i="2"/>
  <c r="L50" i="2"/>
  <c r="M50" i="2"/>
  <c r="N50" i="2"/>
  <c r="O50" i="2"/>
  <c r="Q50" i="2"/>
  <c r="K51" i="2"/>
  <c r="L51" i="2"/>
  <c r="M51" i="2"/>
  <c r="N51" i="2"/>
  <c r="P51" i="2"/>
  <c r="K52" i="2"/>
  <c r="L52" i="2"/>
  <c r="M52" i="2"/>
  <c r="N52" i="2"/>
  <c r="P52" i="2"/>
  <c r="K53" i="2"/>
  <c r="L53" i="2"/>
  <c r="Q47" i="3"/>
  <c r="Q40" i="3"/>
  <c r="Q9" i="3"/>
  <c r="I52" i="16"/>
  <c r="H52" i="16"/>
  <c r="G52" i="16"/>
  <c r="I51" i="16"/>
  <c r="H51" i="16"/>
  <c r="G51" i="16"/>
  <c r="I50" i="16"/>
  <c r="H50" i="16"/>
  <c r="K50" i="16"/>
  <c r="G50" i="16"/>
  <c r="I49" i="16"/>
  <c r="H49" i="16"/>
  <c r="G49" i="16"/>
  <c r="K49" i="16"/>
  <c r="I48" i="16"/>
  <c r="H48" i="16"/>
  <c r="G48" i="16"/>
  <c r="K48" i="16"/>
  <c r="I47" i="16"/>
  <c r="H47" i="16"/>
  <c r="G47" i="16"/>
  <c r="K46" i="16"/>
  <c r="K45" i="16"/>
  <c r="K43" i="16"/>
  <c r="D39" i="16"/>
  <c r="K41" i="16"/>
  <c r="K40" i="16"/>
  <c r="E39" i="16"/>
  <c r="H38" i="16"/>
  <c r="G38" i="16"/>
  <c r="K36" i="16"/>
  <c r="H34" i="16"/>
  <c r="G34" i="16"/>
  <c r="K31" i="16"/>
  <c r="K29" i="16"/>
  <c r="L28" i="16"/>
  <c r="F27" i="16"/>
  <c r="F11" i="16"/>
  <c r="K11" i="16"/>
  <c r="I10" i="16"/>
  <c r="H10" i="16"/>
  <c r="F10" i="16"/>
  <c r="H25" i="16"/>
  <c r="K25" i="16"/>
  <c r="F9" i="16"/>
  <c r="K23" i="16"/>
  <c r="K21" i="16"/>
  <c r="K19" i="16"/>
  <c r="E10" i="16"/>
  <c r="K15" i="16"/>
  <c r="I13" i="16"/>
  <c r="H13" i="16"/>
  <c r="G13" i="16"/>
  <c r="K13" i="16"/>
  <c r="F13" i="16"/>
  <c r="J11" i="16"/>
  <c r="I11" i="16"/>
  <c r="H11" i="16"/>
  <c r="G11" i="16"/>
  <c r="E11" i="16"/>
  <c r="D11" i="16"/>
  <c r="K8" i="16"/>
  <c r="H26" i="2"/>
  <c r="H8" i="2"/>
  <c r="V7" i="3"/>
  <c r="T9" i="3"/>
  <c r="T29" i="3"/>
  <c r="P9" i="3"/>
  <c r="AD4" i="3"/>
  <c r="AF4" i="3"/>
  <c r="O50" i="3"/>
  <c r="P50" i="3"/>
  <c r="Q50" i="3"/>
  <c r="AE8" i="3"/>
  <c r="AE10" i="3"/>
  <c r="AB8" i="3"/>
  <c r="AB10" i="3"/>
  <c r="P20" i="12"/>
  <c r="P21" i="12"/>
  <c r="P23" i="12"/>
  <c r="O20" i="12"/>
  <c r="O21" i="12"/>
  <c r="O23" i="12"/>
  <c r="N20" i="12"/>
  <c r="N21" i="12"/>
  <c r="N23" i="12"/>
  <c r="K20" i="12"/>
  <c r="K21" i="12"/>
  <c r="J20" i="12"/>
  <c r="J21" i="12"/>
  <c r="Q19" i="12"/>
  <c r="Q18" i="12"/>
  <c r="Q17" i="12"/>
  <c r="M16" i="12"/>
  <c r="Q16" i="12"/>
  <c r="Q15" i="12"/>
  <c r="M14" i="12"/>
  <c r="Q14" i="12"/>
  <c r="Q13" i="12"/>
  <c r="M12" i="12"/>
  <c r="Q12" i="12"/>
  <c r="Q11" i="12"/>
  <c r="L10" i="12"/>
  <c r="Q10" i="12"/>
  <c r="Q9" i="12"/>
  <c r="M8" i="12"/>
  <c r="L8" i="12"/>
  <c r="T6" i="12"/>
  <c r="N40" i="11"/>
  <c r="O40" i="11"/>
  <c r="P40" i="11"/>
  <c r="P34" i="11"/>
  <c r="P35" i="11"/>
  <c r="O34" i="11"/>
  <c r="O35" i="11"/>
  <c r="N34" i="11"/>
  <c r="N35" i="11"/>
  <c r="L34" i="11"/>
  <c r="L35" i="11"/>
  <c r="K34" i="11"/>
  <c r="K35" i="11"/>
  <c r="Q33" i="11"/>
  <c r="M32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M20" i="11"/>
  <c r="Q19" i="11"/>
  <c r="Q18" i="11"/>
  <c r="Q17" i="11"/>
  <c r="Q16" i="11"/>
  <c r="J15" i="11"/>
  <c r="M14" i="11"/>
  <c r="Q14" i="11"/>
  <c r="J13" i="11"/>
  <c r="Q13" i="11"/>
  <c r="M12" i="11"/>
  <c r="Q12" i="11"/>
  <c r="Q11" i="11"/>
  <c r="Q10" i="11"/>
  <c r="Q9" i="11"/>
  <c r="M8" i="11"/>
  <c r="S6" i="11"/>
  <c r="N59" i="10"/>
  <c r="O59" i="10"/>
  <c r="P59" i="10"/>
  <c r="T91" i="15"/>
  <c r="M91" i="15"/>
  <c r="T87" i="15"/>
  <c r="M87" i="15"/>
  <c r="U87" i="15"/>
  <c r="L87" i="15"/>
  <c r="T85" i="15"/>
  <c r="M85" i="15"/>
  <c r="U85" i="15"/>
  <c r="M83" i="15"/>
  <c r="M82" i="15"/>
  <c r="M81" i="15"/>
  <c r="M80" i="15"/>
  <c r="M79" i="15"/>
  <c r="M78" i="15"/>
  <c r="M77" i="15"/>
  <c r="M76" i="15"/>
  <c r="L76" i="15"/>
  <c r="J76" i="15"/>
  <c r="L75" i="15"/>
  <c r="M75" i="15"/>
  <c r="J75" i="15"/>
  <c r="T72" i="15"/>
  <c r="M72" i="15"/>
  <c r="U72" i="15"/>
  <c r="T68" i="15"/>
  <c r="M68" i="15"/>
  <c r="T66" i="15"/>
  <c r="M66" i="15"/>
  <c r="T62" i="15"/>
  <c r="M62" i="15"/>
  <c r="T58" i="15"/>
  <c r="U58" i="15"/>
  <c r="M58" i="15"/>
  <c r="T54" i="15"/>
  <c r="M54" i="15"/>
  <c r="U54" i="15"/>
  <c r="T50" i="15"/>
  <c r="M50" i="15"/>
  <c r="T43" i="15"/>
  <c r="M43" i="15"/>
  <c r="L40" i="15"/>
  <c r="T36" i="15"/>
  <c r="M36" i="15"/>
  <c r="T29" i="15"/>
  <c r="U29" i="15"/>
  <c r="M29" i="15"/>
  <c r="L25" i="15"/>
  <c r="T21" i="15"/>
  <c r="M21" i="15"/>
  <c r="T17" i="15"/>
  <c r="M17" i="15"/>
  <c r="U17" i="15"/>
  <c r="T13" i="15"/>
  <c r="M13" i="15"/>
  <c r="T9" i="15"/>
  <c r="M9" i="15"/>
  <c r="L9" i="15"/>
  <c r="R57" i="10"/>
  <c r="P56" i="10"/>
  <c r="O56" i="10"/>
  <c r="N56" i="10"/>
  <c r="M56" i="10"/>
  <c r="L56" i="10"/>
  <c r="K56" i="10"/>
  <c r="J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P40" i="10"/>
  <c r="O40" i="10"/>
  <c r="N40" i="10"/>
  <c r="L40" i="10"/>
  <c r="K40" i="10"/>
  <c r="J40" i="10"/>
  <c r="Q39" i="10"/>
  <c r="Q38" i="10"/>
  <c r="Q37" i="10"/>
  <c r="Q36" i="10"/>
  <c r="Q35" i="10"/>
  <c r="Q34" i="10"/>
  <c r="M33" i="10"/>
  <c r="P31" i="10"/>
  <c r="O31" i="10"/>
  <c r="N31" i="10"/>
  <c r="N57" i="10"/>
  <c r="K31" i="10"/>
  <c r="M30" i="10"/>
  <c r="Q30" i="10"/>
  <c r="Q29" i="10"/>
  <c r="Q28" i="10"/>
  <c r="J27" i="10"/>
  <c r="J31" i="10"/>
  <c r="J57" i="10"/>
  <c r="M26" i="10"/>
  <c r="Q26" i="10"/>
  <c r="Q25" i="10"/>
  <c r="Q24" i="10"/>
  <c r="M23" i="10"/>
  <c r="Q22" i="10"/>
  <c r="Q21" i="10"/>
  <c r="M20" i="10"/>
  <c r="Q19" i="10"/>
  <c r="Q18" i="10"/>
  <c r="Q17" i="10"/>
  <c r="Q16" i="10"/>
  <c r="Q15" i="10"/>
  <c r="Q14" i="10"/>
  <c r="Q13" i="10"/>
  <c r="Q12" i="10"/>
  <c r="Q11" i="10"/>
  <c r="Q10" i="10"/>
  <c r="Q9" i="10"/>
  <c r="L8" i="10"/>
  <c r="L31" i="10"/>
  <c r="L57" i="10"/>
  <c r="R57" i="13"/>
  <c r="P56" i="13"/>
  <c r="O56" i="13"/>
  <c r="N56" i="13"/>
  <c r="M56" i="13"/>
  <c r="L56" i="13"/>
  <c r="K56" i="13"/>
  <c r="J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P40" i="13"/>
  <c r="O40" i="13"/>
  <c r="N40" i="13"/>
  <c r="L40" i="13"/>
  <c r="K40" i="13"/>
  <c r="J40" i="13"/>
  <c r="Q39" i="13"/>
  <c r="Q38" i="13"/>
  <c r="Q37" i="13"/>
  <c r="Q36" i="13"/>
  <c r="Q35" i="13"/>
  <c r="Q34" i="13"/>
  <c r="M33" i="13"/>
  <c r="P31" i="13"/>
  <c r="O31" i="13"/>
  <c r="N31" i="13"/>
  <c r="N57" i="13"/>
  <c r="K31" i="13"/>
  <c r="M30" i="13"/>
  <c r="Q29" i="13"/>
  <c r="Q28" i="13"/>
  <c r="J27" i="13"/>
  <c r="M26" i="13"/>
  <c r="Q26" i="13"/>
  <c r="Q25" i="13"/>
  <c r="Q24" i="13"/>
  <c r="M23" i="13"/>
  <c r="Q23" i="13"/>
  <c r="Q22" i="13"/>
  <c r="Q21" i="13"/>
  <c r="M20" i="13"/>
  <c r="Q19" i="13"/>
  <c r="Q18" i="13"/>
  <c r="Q17" i="13"/>
  <c r="Q16" i="13"/>
  <c r="Q15" i="13"/>
  <c r="Q14" i="13"/>
  <c r="Q13" i="13"/>
  <c r="Q12" i="13"/>
  <c r="Q11" i="13"/>
  <c r="Q10" i="13"/>
  <c r="Q9" i="13"/>
  <c r="L8" i="13"/>
  <c r="Q8" i="13"/>
  <c r="G10" i="2"/>
  <c r="M40" i="7"/>
  <c r="X40" i="7"/>
  <c r="M23" i="7"/>
  <c r="X23" i="7"/>
  <c r="M15" i="8"/>
  <c r="M13" i="8"/>
  <c r="M32" i="5"/>
  <c r="M13" i="5"/>
  <c r="M57" i="4"/>
  <c r="M33" i="4"/>
  <c r="X33" i="4"/>
  <c r="M43" i="7"/>
  <c r="X43" i="7"/>
  <c r="T87" i="3"/>
  <c r="U87" i="3"/>
  <c r="M87" i="3"/>
  <c r="M91" i="3"/>
  <c r="T91" i="3"/>
  <c r="T85" i="3"/>
  <c r="M85" i="3"/>
  <c r="U85" i="3"/>
  <c r="M68" i="3"/>
  <c r="T68" i="3"/>
  <c r="U68" i="3"/>
  <c r="M72" i="3"/>
  <c r="T72" i="3"/>
  <c r="U72" i="3"/>
  <c r="M66" i="3"/>
  <c r="T66" i="3"/>
  <c r="U66" i="3"/>
  <c r="M62" i="3"/>
  <c r="T62" i="3"/>
  <c r="U62" i="3"/>
  <c r="M58" i="3"/>
  <c r="M54" i="3"/>
  <c r="T58" i="3"/>
  <c r="U58" i="3"/>
  <c r="T54" i="3"/>
  <c r="U54" i="3"/>
  <c r="T50" i="3"/>
  <c r="T43" i="3"/>
  <c r="T36" i="3"/>
  <c r="M50" i="3"/>
  <c r="U50" i="3"/>
  <c r="M36" i="3"/>
  <c r="M21" i="3"/>
  <c r="U21" i="3"/>
  <c r="T21" i="3"/>
  <c r="T17" i="3"/>
  <c r="U17" i="3"/>
  <c r="M17" i="3"/>
  <c r="T13" i="3"/>
  <c r="M13" i="3"/>
  <c r="U13" i="3"/>
  <c r="D40" i="2"/>
  <c r="M25" i="4"/>
  <c r="M28" i="4"/>
  <c r="M22" i="4"/>
  <c r="M55" i="4"/>
  <c r="M21" i="5"/>
  <c r="X21" i="5"/>
  <c r="M15" i="5"/>
  <c r="X15" i="5"/>
  <c r="M17" i="8"/>
  <c r="M7" i="8"/>
  <c r="L44" i="7"/>
  <c r="F40" i="2"/>
  <c r="K44" i="7"/>
  <c r="K45" i="7"/>
  <c r="K18" i="1"/>
  <c r="J44" i="7"/>
  <c r="M24" i="7"/>
  <c r="X24" i="7"/>
  <c r="M17" i="7"/>
  <c r="X17" i="7"/>
  <c r="M9" i="7"/>
  <c r="M7" i="7"/>
  <c r="M44" i="7"/>
  <c r="F8" i="2"/>
  <c r="L87" i="3"/>
  <c r="L40" i="3"/>
  <c r="F28" i="2"/>
  <c r="L11" i="8"/>
  <c r="X11" i="8"/>
  <c r="L7" i="8"/>
  <c r="X7" i="8"/>
  <c r="L25" i="3"/>
  <c r="L9" i="3"/>
  <c r="L8" i="4"/>
  <c r="J21" i="1"/>
  <c r="X21" i="1"/>
  <c r="J14" i="5"/>
  <c r="X14" i="5"/>
  <c r="J16" i="5"/>
  <c r="J70" i="5"/>
  <c r="J71" i="5"/>
  <c r="E8" i="2"/>
  <c r="D9" i="2"/>
  <c r="R21" i="2"/>
  <c r="D8" i="2"/>
  <c r="J29" i="4"/>
  <c r="H53" i="2"/>
  <c r="H52" i="2"/>
  <c r="H51" i="2"/>
  <c r="H50" i="2"/>
  <c r="H49" i="2"/>
  <c r="H48" i="2"/>
  <c r="H39" i="2"/>
  <c r="H35" i="2"/>
  <c r="H12" i="2"/>
  <c r="R36" i="2"/>
  <c r="I10" i="2"/>
  <c r="I48" i="2"/>
  <c r="I49" i="2"/>
  <c r="I12" i="2"/>
  <c r="I50" i="2"/>
  <c r="I51" i="2"/>
  <c r="I52" i="2"/>
  <c r="I53" i="2"/>
  <c r="G48" i="2"/>
  <c r="G49" i="2"/>
  <c r="G50" i="2"/>
  <c r="G51" i="2"/>
  <c r="G52" i="2"/>
  <c r="G53" i="2"/>
  <c r="R53" i="2"/>
  <c r="J75" i="3"/>
  <c r="L75" i="3"/>
  <c r="M75" i="3"/>
  <c r="J76" i="3"/>
  <c r="L76" i="3"/>
  <c r="M76" i="3"/>
  <c r="M77" i="3"/>
  <c r="M78" i="3"/>
  <c r="M79" i="3"/>
  <c r="M80" i="3"/>
  <c r="M81" i="3"/>
  <c r="M82" i="3"/>
  <c r="M83" i="3"/>
  <c r="Y99" i="4"/>
  <c r="E10" i="2"/>
  <c r="G39" i="2"/>
  <c r="D10" i="2"/>
  <c r="G35" i="2"/>
  <c r="M16" i="1"/>
  <c r="N16" i="1"/>
  <c r="O16" i="1"/>
  <c r="F12" i="2"/>
  <c r="G12" i="2"/>
  <c r="E40" i="2"/>
  <c r="I38" i="16"/>
  <c r="K38" i="16"/>
  <c r="Q8" i="10"/>
  <c r="Q86" i="4"/>
  <c r="Q23" i="8"/>
  <c r="R23" i="8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F7" i="17"/>
  <c r="L47" i="2"/>
  <c r="M47" i="2"/>
  <c r="N47" i="2"/>
  <c r="P47" i="2"/>
  <c r="L46" i="2"/>
  <c r="M46" i="2"/>
  <c r="N46" i="2"/>
  <c r="L33" i="2"/>
  <c r="R33" i="2"/>
  <c r="M59" i="10"/>
  <c r="Q22" i="8"/>
  <c r="R22" i="8"/>
  <c r="S22" i="8"/>
  <c r="T22" i="8"/>
  <c r="Q21" i="8"/>
  <c r="Q19" i="8"/>
  <c r="O44" i="7"/>
  <c r="U9" i="15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H7" i="17"/>
  <c r="AJ7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R42" i="7"/>
  <c r="X42" i="7"/>
  <c r="AE7" i="17"/>
  <c r="AG7" i="17"/>
  <c r="AD7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Y90" i="17"/>
  <c r="Z90" i="17"/>
  <c r="AA90" i="17"/>
  <c r="AB90" i="17"/>
  <c r="AC90" i="17"/>
  <c r="AD90" i="17"/>
  <c r="AE90" i="17"/>
  <c r="AF90" i="17"/>
  <c r="AG90" i="17"/>
  <c r="AH90" i="17"/>
  <c r="AI90" i="17"/>
  <c r="AJ90" i="17"/>
  <c r="AK90" i="17"/>
  <c r="AL90" i="17"/>
  <c r="AM90" i="17"/>
  <c r="AN90" i="17"/>
  <c r="AO90" i="17"/>
  <c r="AP90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M31" i="10"/>
  <c r="Q20" i="10"/>
  <c r="S5" i="11"/>
  <c r="T5" i="11"/>
  <c r="Q30" i="13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L7" i="17"/>
  <c r="X65" i="17"/>
  <c r="Y65" i="17"/>
  <c r="Z65" i="17"/>
  <c r="AA65" i="17"/>
  <c r="AB65" i="17"/>
  <c r="AC65" i="17"/>
  <c r="AD65" i="17"/>
  <c r="AE65" i="17"/>
  <c r="AF65" i="17"/>
  <c r="AG65" i="17"/>
  <c r="AH65" i="17"/>
  <c r="AI65" i="17"/>
  <c r="AJ65" i="17"/>
  <c r="AK65" i="17"/>
  <c r="AL65" i="17"/>
  <c r="AM65" i="17"/>
  <c r="AN65" i="17"/>
  <c r="AO65" i="17"/>
  <c r="AP65" i="17"/>
  <c r="K7" i="2"/>
  <c r="L35" i="2"/>
  <c r="AN7" i="17"/>
  <c r="AA7" i="17"/>
  <c r="AM7" i="17"/>
  <c r="AI7" i="17"/>
  <c r="S45" i="4"/>
  <c r="T45" i="4"/>
  <c r="U45" i="4"/>
  <c r="V45" i="4"/>
  <c r="W45" i="4"/>
  <c r="N33" i="8"/>
  <c r="N34" i="8"/>
  <c r="U50" i="15"/>
  <c r="J31" i="13"/>
  <c r="J57" i="13"/>
  <c r="Q27" i="13"/>
  <c r="U91" i="15"/>
  <c r="L20" i="12"/>
  <c r="L21" i="12"/>
  <c r="L44" i="2"/>
  <c r="U43" i="15"/>
  <c r="J33" i="8"/>
  <c r="U36" i="15"/>
  <c r="I34" i="16"/>
  <c r="I33" i="16"/>
  <c r="Q8" i="12"/>
  <c r="L42" i="2"/>
  <c r="R42" i="2"/>
  <c r="Q27" i="10"/>
  <c r="Q12" i="8"/>
  <c r="R12" i="8"/>
  <c r="S15" i="8"/>
  <c r="T15" i="8"/>
  <c r="R10" i="8"/>
  <c r="W31" i="8"/>
  <c r="R44" i="2"/>
  <c r="I40" i="2"/>
  <c r="R86" i="4"/>
  <c r="R25" i="4"/>
  <c r="S25" i="4"/>
  <c r="E9" i="16"/>
  <c r="J14" i="19"/>
  <c r="K34" i="8"/>
  <c r="J33" i="16"/>
  <c r="L31" i="13"/>
  <c r="L41" i="2"/>
  <c r="R41" i="2"/>
  <c r="Q12" i="7"/>
  <c r="R12" i="7"/>
  <c r="X12" i="7"/>
  <c r="M33" i="8"/>
  <c r="M34" i="8"/>
  <c r="U36" i="3"/>
  <c r="U91" i="3"/>
  <c r="K17" i="16"/>
  <c r="F39" i="16"/>
  <c r="L45" i="7"/>
  <c r="L18" i="1"/>
  <c r="Q56" i="10"/>
  <c r="Q20" i="11"/>
  <c r="M40" i="11"/>
  <c r="H10" i="2"/>
  <c r="I16" i="2"/>
  <c r="O8" i="1"/>
  <c r="AT46" i="17"/>
  <c r="X84" i="17"/>
  <c r="AT86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X24" i="17"/>
  <c r="X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P60" i="2"/>
  <c r="Q60" i="2"/>
  <c r="O47" i="2"/>
  <c r="Q47" i="2"/>
  <c r="O55" i="2"/>
  <c r="Q55" i="2"/>
  <c r="R55" i="2"/>
  <c r="M56" i="2"/>
  <c r="L54" i="2"/>
  <c r="R60" i="2"/>
  <c r="P46" i="2"/>
  <c r="N49" i="2"/>
  <c r="P49" i="2"/>
  <c r="O51" i="2"/>
  <c r="Q51" i="2"/>
  <c r="G8" i="2"/>
  <c r="R30" i="2"/>
  <c r="X9" i="18"/>
  <c r="E34" i="2"/>
  <c r="AA6" i="3"/>
  <c r="AC6" i="3"/>
  <c r="R19" i="8"/>
  <c r="S19" i="8"/>
  <c r="T19" i="8"/>
  <c r="E32" i="2"/>
  <c r="K15" i="1"/>
  <c r="R17" i="8"/>
  <c r="P36" i="8"/>
  <c r="S12" i="8"/>
  <c r="T12" i="8"/>
  <c r="U12" i="8"/>
  <c r="V12" i="8"/>
  <c r="H30" i="16"/>
  <c r="X9" i="8"/>
  <c r="F9" i="2"/>
  <c r="R22" i="4"/>
  <c r="S22" i="4"/>
  <c r="T22" i="4"/>
  <c r="U22" i="4"/>
  <c r="V22" i="4"/>
  <c r="W22" i="4"/>
  <c r="T80" i="4"/>
  <c r="F14" i="2"/>
  <c r="L8" i="1"/>
  <c r="Q84" i="4"/>
  <c r="R84" i="4"/>
  <c r="S84" i="4"/>
  <c r="T84" i="4"/>
  <c r="U84" i="4"/>
  <c r="V84" i="4"/>
  <c r="W84" i="4"/>
  <c r="P58" i="2"/>
  <c r="Q58" i="2"/>
  <c r="R58" i="2"/>
  <c r="O49" i="2"/>
  <c r="Q49" i="2"/>
  <c r="R49" i="2"/>
  <c r="J34" i="2"/>
  <c r="J32" i="2"/>
  <c r="J31" i="2"/>
  <c r="V22" i="8"/>
  <c r="U22" i="8"/>
  <c r="W22" i="8"/>
  <c r="H33" i="16"/>
  <c r="P15" i="1"/>
  <c r="O8" i="2"/>
  <c r="U16" i="8"/>
  <c r="W16" i="8"/>
  <c r="V16" i="8"/>
  <c r="M54" i="2"/>
  <c r="N56" i="2"/>
  <c r="K57" i="10"/>
  <c r="Q31" i="10"/>
  <c r="T92" i="3"/>
  <c r="E33" i="16"/>
  <c r="K35" i="16"/>
  <c r="E30" i="16"/>
  <c r="N55" i="4"/>
  <c r="N99" i="4"/>
  <c r="P48" i="2"/>
  <c r="O48" i="2"/>
  <c r="Q48" i="2"/>
  <c r="L24" i="2"/>
  <c r="R24" i="2"/>
  <c r="V20" i="8"/>
  <c r="U20" i="8"/>
  <c r="R14" i="8"/>
  <c r="S14" i="8"/>
  <c r="T14" i="8"/>
  <c r="Q33" i="8"/>
  <c r="Q34" i="8"/>
  <c r="I30" i="16"/>
  <c r="I32" i="16"/>
  <c r="V19" i="8"/>
  <c r="U19" i="8"/>
  <c r="O52" i="2"/>
  <c r="P50" i="2"/>
  <c r="AT65" i="17"/>
  <c r="AR65" i="17"/>
  <c r="AS65" i="17"/>
  <c r="AR86" i="17"/>
  <c r="AS86" i="17"/>
  <c r="R41" i="7"/>
  <c r="R31" i="8"/>
  <c r="X31" i="8"/>
  <c r="D9" i="16"/>
  <c r="X22" i="8"/>
  <c r="S17" i="8"/>
  <c r="T17" i="8"/>
  <c r="M36" i="8"/>
  <c r="G33" i="16"/>
  <c r="G32" i="2"/>
  <c r="M15" i="1"/>
  <c r="L57" i="13"/>
  <c r="S10" i="8"/>
  <c r="AS84" i="17"/>
  <c r="AR84" i="17"/>
  <c r="AT84" i="17"/>
  <c r="F14" i="16"/>
  <c r="F16" i="16"/>
  <c r="V15" i="8"/>
  <c r="U15" i="8"/>
  <c r="W15" i="8"/>
  <c r="O46" i="2"/>
  <c r="Q46" i="2"/>
  <c r="I39" i="2"/>
  <c r="R39" i="2"/>
  <c r="X8" i="4"/>
  <c r="L55" i="4"/>
  <c r="L99" i="4"/>
  <c r="U62" i="15"/>
  <c r="T4" i="15"/>
  <c r="T5" i="15"/>
  <c r="U68" i="15"/>
  <c r="M34" i="11"/>
  <c r="M35" i="11"/>
  <c r="Q8" i="11"/>
  <c r="Q15" i="11"/>
  <c r="J34" i="11"/>
  <c r="J35" i="11"/>
  <c r="Q20" i="12"/>
  <c r="J34" i="8"/>
  <c r="W6" i="3"/>
  <c r="Z6" i="3"/>
  <c r="N36" i="8"/>
  <c r="L7" i="2"/>
  <c r="R7" i="2"/>
  <c r="J45" i="7"/>
  <c r="J18" i="1"/>
  <c r="M40" i="13"/>
  <c r="Q40" i="13"/>
  <c r="Q33" i="13"/>
  <c r="Q23" i="10"/>
  <c r="S7" i="10"/>
  <c r="T7" i="10"/>
  <c r="AS46" i="17"/>
  <c r="AR46" i="17"/>
  <c r="L33" i="8"/>
  <c r="L34" i="8"/>
  <c r="AK7" i="17"/>
  <c r="I35" i="2"/>
  <c r="I8" i="2"/>
  <c r="AD6" i="3"/>
  <c r="AF6" i="3"/>
  <c r="Q83" i="4"/>
  <c r="R83" i="4"/>
  <c r="S83" i="4"/>
  <c r="T83" i="4"/>
  <c r="U83" i="4"/>
  <c r="V83" i="4"/>
  <c r="W83" i="4"/>
  <c r="S23" i="8"/>
  <c r="T23" i="8"/>
  <c r="R50" i="2"/>
  <c r="J55" i="4"/>
  <c r="M31" i="13"/>
  <c r="Q20" i="13"/>
  <c r="S7" i="13"/>
  <c r="T7" i="13"/>
  <c r="U13" i="15"/>
  <c r="T92" i="15"/>
  <c r="K34" i="16"/>
  <c r="G30" i="16"/>
  <c r="X86" i="4"/>
  <c r="AA4" i="8"/>
  <c r="X13" i="8"/>
  <c r="P57" i="13"/>
  <c r="K51" i="16"/>
  <c r="T88" i="4"/>
  <c r="X41" i="4"/>
  <c r="X29" i="4"/>
  <c r="R21" i="8"/>
  <c r="S21" i="8"/>
  <c r="T21" i="8"/>
  <c r="U21" i="8"/>
  <c r="W21" i="8"/>
  <c r="K57" i="13"/>
  <c r="M40" i="10"/>
  <c r="Q40" i="10"/>
  <c r="Q33" i="10"/>
  <c r="Q59" i="10"/>
  <c r="U9" i="3"/>
  <c r="T4" i="3"/>
  <c r="U4" i="3"/>
  <c r="U21" i="15"/>
  <c r="U66" i="15"/>
  <c r="T6" i="15"/>
  <c r="R47" i="2"/>
  <c r="Q10" i="7"/>
  <c r="R10" i="7"/>
  <c r="X32" i="8"/>
  <c r="X8" i="8"/>
  <c r="Q16" i="7"/>
  <c r="R16" i="7"/>
  <c r="X16" i="7"/>
  <c r="Q11" i="7"/>
  <c r="X14" i="7"/>
  <c r="X10" i="4"/>
  <c r="J30" i="16"/>
  <c r="J32" i="16"/>
  <c r="AO7" i="17"/>
  <c r="R12" i="2"/>
  <c r="M80" i="4"/>
  <c r="O57" i="10"/>
  <c r="M20" i="12"/>
  <c r="M21" i="12"/>
  <c r="T5" i="12"/>
  <c r="T7" i="12"/>
  <c r="K47" i="16"/>
  <c r="K52" i="16"/>
  <c r="X45" i="4"/>
  <c r="I32" i="2"/>
  <c r="I31" i="2"/>
  <c r="M57" i="10"/>
  <c r="G34" i="2"/>
  <c r="W19" i="8"/>
  <c r="X19" i="8"/>
  <c r="X16" i="8"/>
  <c r="N101" i="4"/>
  <c r="R48" i="2"/>
  <c r="V21" i="8"/>
  <c r="M57" i="13"/>
  <c r="Q31" i="13"/>
  <c r="H34" i="2"/>
  <c r="H32" i="2"/>
  <c r="S32" i="2"/>
  <c r="T33" i="2"/>
  <c r="V23" i="8"/>
  <c r="T10" i="8"/>
  <c r="S33" i="8"/>
  <c r="S34" i="8"/>
  <c r="S15" i="1"/>
  <c r="Q52" i="2"/>
  <c r="R52" i="2"/>
  <c r="W20" i="8"/>
  <c r="X20" i="8"/>
  <c r="R33" i="8"/>
  <c r="Q36" i="8"/>
  <c r="M23" i="12"/>
  <c r="Q21" i="12"/>
  <c r="Q43" i="3"/>
  <c r="T7" i="15"/>
  <c r="U7" i="15"/>
  <c r="X36" i="8"/>
  <c r="N54" i="2"/>
  <c r="P56" i="2"/>
  <c r="P54" i="2"/>
  <c r="O15" i="1"/>
  <c r="K34" i="2"/>
  <c r="K32" i="2"/>
  <c r="Q15" i="1"/>
  <c r="D34" i="2"/>
  <c r="D32" i="2"/>
  <c r="N15" i="1"/>
  <c r="Q56" i="2"/>
  <c r="R56" i="2"/>
  <c r="Q54" i="2"/>
  <c r="T33" i="8"/>
  <c r="R34" i="8"/>
  <c r="D30" i="16"/>
  <c r="D33" i="16"/>
  <c r="J15" i="1"/>
  <c r="R57" i="2"/>
  <c r="J99" i="4"/>
  <c r="J9" i="16"/>
  <c r="X84" i="4"/>
  <c r="X59" i="4"/>
  <c r="Q55" i="4"/>
  <c r="R55" i="4"/>
  <c r="T55" i="4"/>
  <c r="X52" i="4"/>
  <c r="X83" i="4"/>
  <c r="F16" i="2"/>
  <c r="X28" i="4"/>
  <c r="Q80" i="4"/>
  <c r="X50" i="4"/>
  <c r="X58" i="4"/>
  <c r="G9" i="16"/>
  <c r="Q85" i="4"/>
  <c r="R85" i="4"/>
  <c r="S85" i="4"/>
  <c r="T85" i="4"/>
  <c r="X88" i="4"/>
  <c r="T25" i="4"/>
  <c r="U25" i="4"/>
  <c r="V25" i="4"/>
  <c r="W25" i="4"/>
  <c r="X25" i="4"/>
  <c r="Z7" i="4"/>
  <c r="G14" i="16"/>
  <c r="X22" i="4"/>
  <c r="Z4" i="3"/>
  <c r="Q82" i="4"/>
  <c r="P98" i="4"/>
  <c r="P99" i="4"/>
  <c r="K55" i="4"/>
  <c r="K99" i="4"/>
  <c r="X54" i="4"/>
  <c r="X57" i="4"/>
  <c r="I9" i="16"/>
  <c r="X87" i="4"/>
  <c r="X37" i="4"/>
  <c r="N45" i="7"/>
  <c r="L40" i="2"/>
  <c r="R20" i="7"/>
  <c r="X20" i="7"/>
  <c r="R8" i="7"/>
  <c r="P44" i="7"/>
  <c r="R37" i="2"/>
  <c r="T34" i="8"/>
  <c r="D16" i="2"/>
  <c r="K18" i="16"/>
  <c r="H14" i="16"/>
  <c r="L14" i="16"/>
  <c r="M15" i="16"/>
  <c r="J14" i="16"/>
  <c r="R17" i="2"/>
  <c r="G16" i="2"/>
  <c r="G14" i="2"/>
  <c r="M8" i="1"/>
  <c r="R82" i="4"/>
  <c r="Q98" i="4"/>
  <c r="Q99" i="4"/>
  <c r="D14" i="2"/>
  <c r="D16" i="16"/>
  <c r="D14" i="16"/>
  <c r="S82" i="4"/>
  <c r="R98" i="4"/>
  <c r="R99" i="4"/>
  <c r="H14" i="2"/>
  <c r="H16" i="2"/>
  <c r="R18" i="2"/>
  <c r="N32" i="2"/>
  <c r="T15" i="1"/>
  <c r="S14" i="2"/>
  <c r="T15" i="2"/>
  <c r="T82" i="4"/>
  <c r="U82" i="4"/>
  <c r="S98" i="4"/>
  <c r="S99" i="4"/>
  <c r="N8" i="1"/>
  <c r="W18" i="1"/>
  <c r="V18" i="1"/>
  <c r="S8" i="1"/>
  <c r="L34" i="2"/>
  <c r="L32" i="2"/>
  <c r="R15" i="1"/>
  <c r="V82" i="4"/>
  <c r="L14" i="2"/>
  <c r="R8" i="1"/>
  <c r="L16" i="2"/>
  <c r="J8" i="1"/>
  <c r="Q101" i="4"/>
  <c r="P101" i="4"/>
  <c r="U85" i="4"/>
  <c r="V85" i="4"/>
  <c r="W85" i="4"/>
  <c r="T98" i="4"/>
  <c r="T99" i="4"/>
  <c r="U10" i="8"/>
  <c r="V10" i="8"/>
  <c r="V14" i="8"/>
  <c r="U14" i="8"/>
  <c r="AS39" i="17"/>
  <c r="AR39" i="17"/>
  <c r="AT39" i="17"/>
  <c r="T18" i="1"/>
  <c r="K31" i="2"/>
  <c r="L31" i="2"/>
  <c r="M32" i="2"/>
  <c r="R31" i="2"/>
  <c r="U23" i="8"/>
  <c r="W23" i="8"/>
  <c r="X23" i="8"/>
  <c r="W12" i="8"/>
  <c r="X12" i="8"/>
  <c r="V17" i="8"/>
  <c r="U17" i="8"/>
  <c r="W17" i="8"/>
  <c r="AR24" i="17"/>
  <c r="AT24" i="17"/>
  <c r="AS24" i="17"/>
  <c r="X21" i="8"/>
  <c r="X15" i="8"/>
  <c r="H32" i="16"/>
  <c r="L30" i="16"/>
  <c r="M31" i="16"/>
  <c r="AS35" i="17"/>
  <c r="AR35" i="17"/>
  <c r="AT35" i="17"/>
  <c r="R35" i="2"/>
  <c r="Q34" i="11"/>
  <c r="Q35" i="11"/>
  <c r="I34" i="2"/>
  <c r="R46" i="2"/>
  <c r="R39" i="7"/>
  <c r="R51" i="2"/>
  <c r="X102" i="4"/>
  <c r="I14" i="16"/>
  <c r="P16" i="1"/>
  <c r="M99" i="4"/>
  <c r="M101" i="4"/>
  <c r="X101" i="4"/>
  <c r="Q56" i="13"/>
  <c r="P57" i="10"/>
  <c r="Q57" i="10"/>
  <c r="R15" i="2"/>
  <c r="O99" i="4"/>
  <c r="O101" i="4"/>
  <c r="O57" i="13"/>
  <c r="Q57" i="13"/>
  <c r="R19" i="2"/>
  <c r="X74" i="4"/>
  <c r="T8" i="1"/>
  <c r="E14" i="2"/>
  <c r="E16" i="2"/>
  <c r="W82" i="4"/>
  <c r="V98" i="4"/>
  <c r="J16" i="2"/>
  <c r="J14" i="2"/>
  <c r="E16" i="16"/>
  <c r="K16" i="16"/>
  <c r="E14" i="16"/>
  <c r="K14" i="16"/>
  <c r="K20" i="16"/>
  <c r="K14" i="2"/>
  <c r="K16" i="2"/>
  <c r="U98" i="4"/>
  <c r="X39" i="7"/>
  <c r="F34" i="2"/>
  <c r="R34" i="2"/>
  <c r="F32" i="2"/>
  <c r="U43" i="3"/>
  <c r="T6" i="3"/>
  <c r="V33" i="8"/>
  <c r="V34" i="8"/>
  <c r="M14" i="2"/>
  <c r="Q16" i="1"/>
  <c r="X16" i="1"/>
  <c r="X17" i="8"/>
  <c r="K37" i="16"/>
  <c r="F33" i="16"/>
  <c r="K33" i="16"/>
  <c r="F30" i="16"/>
  <c r="K30" i="16"/>
  <c r="K32" i="16"/>
  <c r="W14" i="8"/>
  <c r="X14" i="8"/>
  <c r="U33" i="8"/>
  <c r="U34" i="8"/>
  <c r="X10" i="8"/>
  <c r="W10" i="8"/>
  <c r="W33" i="8"/>
  <c r="W34" i="8"/>
  <c r="W15" i="1"/>
  <c r="X85" i="4"/>
  <c r="W98" i="4"/>
  <c r="W99" i="4"/>
  <c r="X82" i="4"/>
  <c r="U6" i="3"/>
  <c r="AA6" i="8"/>
  <c r="P8" i="1"/>
  <c r="J13" i="2"/>
  <c r="R16" i="2"/>
  <c r="Q8" i="1"/>
  <c r="K13" i="2"/>
  <c r="L13" i="2"/>
  <c r="N14" i="2"/>
  <c r="R13" i="2"/>
  <c r="X98" i="4"/>
  <c r="K8" i="1"/>
  <c r="L15" i="1"/>
  <c r="P40" i="2"/>
  <c r="Q32" i="2"/>
  <c r="V15" i="1"/>
  <c r="P32" i="2"/>
  <c r="O54" i="2"/>
  <c r="R54" i="2"/>
  <c r="X14" i="19"/>
  <c r="X26" i="1"/>
  <c r="R59" i="2"/>
  <c r="X13" i="19"/>
  <c r="P45" i="7"/>
  <c r="N18" i="1"/>
  <c r="N47" i="7"/>
  <c r="M45" i="7"/>
  <c r="R18" i="7"/>
  <c r="X18" i="7"/>
  <c r="N40" i="2"/>
  <c r="I39" i="16"/>
  <c r="H9" i="2"/>
  <c r="R13" i="7"/>
  <c r="X8" i="7"/>
  <c r="M40" i="2"/>
  <c r="X19" i="7"/>
  <c r="R19" i="7"/>
  <c r="X22" i="7"/>
  <c r="O45" i="7"/>
  <c r="R11" i="7"/>
  <c r="X11" i="7"/>
  <c r="Q15" i="7"/>
  <c r="R15" i="7"/>
  <c r="X10" i="7"/>
  <c r="X13" i="7"/>
  <c r="X21" i="7"/>
  <c r="U45" i="7"/>
  <c r="X7" i="7"/>
  <c r="X33" i="8"/>
  <c r="U99" i="4"/>
  <c r="X24" i="1"/>
  <c r="Z7" i="3"/>
  <c r="G40" i="2"/>
  <c r="J39" i="16"/>
  <c r="H39" i="16"/>
  <c r="L39" i="16"/>
  <c r="M40" i="16"/>
  <c r="K42" i="16"/>
  <c r="H40" i="2"/>
  <c r="S40" i="2"/>
  <c r="T41" i="2"/>
  <c r="P18" i="1"/>
  <c r="P47" i="7"/>
  <c r="R44" i="7"/>
  <c r="R45" i="7"/>
  <c r="R18" i="1"/>
  <c r="K40" i="2"/>
  <c r="M47" i="7"/>
  <c r="M18" i="1"/>
  <c r="Q44" i="7"/>
  <c r="O18" i="1"/>
  <c r="O47" i="7"/>
  <c r="X15" i="7"/>
  <c r="R43" i="2"/>
  <c r="G39" i="16"/>
  <c r="K44" i="16"/>
  <c r="Q45" i="7"/>
  <c r="X44" i="7"/>
  <c r="AC7" i="3"/>
  <c r="J40" i="2"/>
  <c r="K39" i="16"/>
  <c r="AF7" i="3"/>
  <c r="Q47" i="7"/>
  <c r="X47" i="7"/>
  <c r="Q18" i="1"/>
  <c r="Q14" i="2"/>
  <c r="X55" i="4"/>
  <c r="V99" i="4"/>
  <c r="X99" i="4"/>
  <c r="V8" i="1"/>
  <c r="P14" i="2"/>
  <c r="X45" i="7"/>
  <c r="X20" i="1"/>
  <c r="U18" i="1"/>
  <c r="X18" i="1"/>
  <c r="X34" i="8"/>
  <c r="K27" i="16"/>
  <c r="R36" i="5"/>
  <c r="X36" i="5"/>
  <c r="X24" i="5"/>
  <c r="P8" i="2"/>
  <c r="D10" i="16"/>
  <c r="U8" i="1"/>
  <c r="X11" i="1"/>
  <c r="X8" i="1"/>
  <c r="R20" i="2"/>
  <c r="O14" i="2"/>
  <c r="O40" i="2"/>
  <c r="R40" i="2"/>
  <c r="R45" i="2"/>
  <c r="X17" i="1"/>
  <c r="U15" i="1"/>
  <c r="O32" i="2"/>
  <c r="R38" i="2"/>
  <c r="R14" i="2"/>
  <c r="X15" i="1"/>
  <c r="R32" i="2"/>
  <c r="O74" i="5"/>
  <c r="T70" i="5"/>
  <c r="T71" i="5"/>
  <c r="T12" i="1"/>
  <c r="T7" i="1"/>
  <c r="T5" i="1"/>
  <c r="N70" i="5"/>
  <c r="N71" i="5"/>
  <c r="X8" i="5"/>
  <c r="R27" i="2"/>
  <c r="Y8" i="3"/>
  <c r="X9" i="3"/>
  <c r="X10" i="3"/>
  <c r="H9" i="16"/>
  <c r="K9" i="16"/>
  <c r="O11" i="2"/>
  <c r="O6" i="2"/>
  <c r="L70" i="5"/>
  <c r="L71" i="5"/>
  <c r="X69" i="5"/>
  <c r="G10" i="16"/>
  <c r="K10" i="16"/>
  <c r="D22" i="16"/>
  <c r="E11" i="2"/>
  <c r="E24" i="16"/>
  <c r="X16" i="5"/>
  <c r="X39" i="5"/>
  <c r="X50" i="5"/>
  <c r="J10" i="16"/>
  <c r="F10" i="2"/>
  <c r="Q11" i="2"/>
  <c r="Q6" i="2"/>
  <c r="X9" i="5"/>
  <c r="X35" i="5"/>
  <c r="N10" i="2"/>
  <c r="P74" i="5"/>
  <c r="X13" i="5"/>
  <c r="M70" i="5"/>
  <c r="P9" i="2"/>
  <c r="R32" i="5"/>
  <c r="X32" i="5"/>
  <c r="K8" i="2"/>
  <c r="R26" i="2"/>
  <c r="V12" i="1"/>
  <c r="V7" i="1"/>
  <c r="V5" i="1"/>
  <c r="P11" i="2"/>
  <c r="E23" i="2"/>
  <c r="I22" i="16"/>
  <c r="I12" i="16"/>
  <c r="I7" i="16"/>
  <c r="I4" i="16"/>
  <c r="N74" i="5"/>
  <c r="E9" i="2"/>
  <c r="Q7" i="5"/>
  <c r="R47" i="5"/>
  <c r="R7" i="5"/>
  <c r="R70" i="5"/>
  <c r="R71" i="5"/>
  <c r="J10" i="2"/>
  <c r="R28" i="2"/>
  <c r="X56" i="5"/>
  <c r="S70" i="5"/>
  <c r="S71" i="5"/>
  <c r="G9" i="2"/>
  <c r="D12" i="16"/>
  <c r="J25" i="2"/>
  <c r="X34" i="5"/>
  <c r="R23" i="5"/>
  <c r="X23" i="5"/>
  <c r="AA5" i="3"/>
  <c r="E12" i="16"/>
  <c r="E7" i="16"/>
  <c r="X33" i="5"/>
  <c r="E22" i="16"/>
  <c r="H11" i="2"/>
  <c r="H6" i="2"/>
  <c r="H3" i="2"/>
  <c r="S4" i="2"/>
  <c r="E25" i="2"/>
  <c r="H22" i="16"/>
  <c r="L22" i="16"/>
  <c r="M23" i="16"/>
  <c r="N11" i="2"/>
  <c r="N6" i="2"/>
  <c r="W5" i="3"/>
  <c r="W8" i="3"/>
  <c r="Z8" i="3"/>
  <c r="O23" i="2"/>
  <c r="R10" i="2"/>
  <c r="D23" i="2"/>
  <c r="J12" i="1"/>
  <c r="J7" i="1"/>
  <c r="J5" i="1"/>
  <c r="D11" i="2"/>
  <c r="D6" i="2"/>
  <c r="D25" i="2"/>
  <c r="D24" i="16"/>
  <c r="X47" i="5"/>
  <c r="Q23" i="2"/>
  <c r="K26" i="16"/>
  <c r="AA8" i="3"/>
  <c r="AC5" i="3"/>
  <c r="D7" i="16"/>
  <c r="R9" i="2"/>
  <c r="E6" i="2"/>
  <c r="X7" i="5"/>
  <c r="Q70" i="5"/>
  <c r="Q71" i="5"/>
  <c r="H25" i="2"/>
  <c r="H23" i="2"/>
  <c r="R8" i="2"/>
  <c r="M71" i="5"/>
  <c r="Q29" i="3"/>
  <c r="AD5" i="3"/>
  <c r="S12" i="1"/>
  <c r="S7" i="1"/>
  <c r="S5" i="1"/>
  <c r="H12" i="16"/>
  <c r="H7" i="16"/>
  <c r="H4" i="16"/>
  <c r="P23" i="2"/>
  <c r="J12" i="16"/>
  <c r="J7" i="16"/>
  <c r="J4" i="16"/>
  <c r="J3" i="16"/>
  <c r="J22" i="16"/>
  <c r="N23" i="2"/>
  <c r="I25" i="2"/>
  <c r="I23" i="2"/>
  <c r="I11" i="2"/>
  <c r="I6" i="2"/>
  <c r="I3" i="2"/>
  <c r="J11" i="2"/>
  <c r="J6" i="2"/>
  <c r="J3" i="2"/>
  <c r="J23" i="2"/>
  <c r="L11" i="2"/>
  <c r="L6" i="2"/>
  <c r="L23" i="2"/>
  <c r="R12" i="1"/>
  <c r="R7" i="1"/>
  <c r="R5" i="1"/>
  <c r="L25" i="2"/>
  <c r="P6" i="2"/>
  <c r="M28" i="16"/>
  <c r="Z5" i="3"/>
  <c r="F12" i="16"/>
  <c r="F7" i="16"/>
  <c r="F24" i="16"/>
  <c r="K24" i="16"/>
  <c r="F22" i="16"/>
  <c r="F11" i="2"/>
  <c r="F6" i="2"/>
  <c r="F25" i="2"/>
  <c r="F23" i="2"/>
  <c r="L12" i="1"/>
  <c r="L7" i="1"/>
  <c r="X70" i="5"/>
  <c r="L4" i="16"/>
  <c r="H54" i="16"/>
  <c r="M11" i="2"/>
  <c r="M6" i="2"/>
  <c r="M23" i="2"/>
  <c r="Q74" i="5"/>
  <c r="AA10" i="3"/>
  <c r="AC8" i="3"/>
  <c r="K12" i="1"/>
  <c r="O12" i="1"/>
  <c r="O7" i="1"/>
  <c r="O5" i="1"/>
  <c r="I22" i="2"/>
  <c r="M74" i="5"/>
  <c r="X71" i="5"/>
  <c r="S23" i="2"/>
  <c r="T24" i="2"/>
  <c r="N12" i="1"/>
  <c r="N7" i="1"/>
  <c r="N5" i="1"/>
  <c r="J22" i="2"/>
  <c r="P12" i="1"/>
  <c r="P7" i="1"/>
  <c r="P5" i="1"/>
  <c r="AF5" i="3"/>
  <c r="AD8" i="3"/>
  <c r="U29" i="3"/>
  <c r="T5" i="3"/>
  <c r="K7" i="1"/>
  <c r="G12" i="16"/>
  <c r="G22" i="16"/>
  <c r="K22" i="16"/>
  <c r="K28" i="16"/>
  <c r="AD10" i="3"/>
  <c r="AF8" i="3"/>
  <c r="G11" i="2"/>
  <c r="G25" i="2"/>
  <c r="R29" i="2"/>
  <c r="G23" i="2"/>
  <c r="K11" i="2"/>
  <c r="K6" i="2"/>
  <c r="K3" i="2"/>
  <c r="K25" i="2"/>
  <c r="K23" i="2"/>
  <c r="R25" i="2"/>
  <c r="K5" i="1"/>
  <c r="Q12" i="1"/>
  <c r="Q7" i="1"/>
  <c r="Q5" i="1"/>
  <c r="K22" i="2"/>
  <c r="T8" i="3"/>
  <c r="U5" i="3"/>
  <c r="R11" i="2"/>
  <c r="G6" i="2"/>
  <c r="R23" i="2"/>
  <c r="G7" i="16"/>
  <c r="K12" i="16"/>
  <c r="G3" i="2"/>
  <c r="R6" i="2"/>
  <c r="R3" i="2"/>
  <c r="L22" i="2"/>
  <c r="R22" i="2"/>
  <c r="G4" i="16"/>
  <c r="K7" i="16"/>
  <c r="K4" i="16"/>
  <c r="M12" i="1"/>
  <c r="X14" i="1"/>
  <c r="M7" i="1"/>
  <c r="X12" i="1"/>
  <c r="M5" i="1"/>
  <c r="X5" i="1"/>
  <c r="X7" i="1"/>
  <c r="W7" i="1"/>
  <c r="W5" i="1"/>
</calcChain>
</file>

<file path=xl/comments1.xml><?xml version="1.0" encoding="utf-8"?>
<comments xmlns="http://schemas.openxmlformats.org/spreadsheetml/2006/main">
  <authors>
    <author>Admin</author>
  </authors>
  <commentList>
    <comment ref="M8" authorId="0">
      <text>
        <r>
          <rPr>
            <b/>
            <sz val="8"/>
            <color indexed="81"/>
            <rFont val="Tahoma"/>
            <family val="2"/>
            <charset val="204"/>
          </rPr>
          <t>34468</t>
        </r>
      </text>
    </comment>
    <comment ref="M14" authorId="0">
      <text>
        <r>
          <rPr>
            <b/>
            <sz val="8"/>
            <color indexed="81"/>
            <rFont val="Tahoma"/>
            <family val="2"/>
            <charset val="204"/>
          </rPr>
          <t>45373,8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M15" authorId="0">
      <text>
        <r>
          <rPr>
            <b/>
            <sz val="8"/>
            <color indexed="81"/>
            <rFont val="Tahoma"/>
            <family val="2"/>
            <charset val="204"/>
          </rPr>
          <t>20098,6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Ильяненко</author>
  </authors>
  <commentList>
    <comment ref="H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97192,1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19" authorId="0">
      <text>
        <r>
          <rPr>
            <b/>
            <sz val="8"/>
            <color indexed="81"/>
            <rFont val="Tahoma"/>
            <family val="2"/>
            <charset val="204"/>
          </rPr>
          <t>библ и музеи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>7105,8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H28" authorId="1">
      <text>
        <r>
          <rPr>
            <b/>
            <sz val="8"/>
            <color indexed="81"/>
            <rFont val="Tahoma"/>
            <family val="2"/>
            <charset val="204"/>
          </rPr>
          <t>ИСПОЛНЕН ЗА 2018 ГОД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</author>
    <author>Ильяненко</author>
  </authors>
  <commentList>
    <comment ref="T4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34468   в реш горсовета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X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ГОРСОВЕТ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БЕЗ 612 ВР</t>
        </r>
      </text>
    </comment>
  </commentList>
</comments>
</file>

<file path=xl/comments4.xml><?xml version="1.0" encoding="utf-8"?>
<comments xmlns="http://schemas.openxmlformats.org/spreadsheetml/2006/main">
  <authors>
    <author>Ильяненко</author>
  </authors>
  <commentList>
    <comment ref="N36" authorId="0">
      <text>
        <r>
          <rPr>
            <b/>
            <sz val="8"/>
            <color indexed="81"/>
            <rFont val="Tahoma"/>
            <family val="2"/>
            <charset val="204"/>
          </rPr>
          <t>82,9 - КРАЕВ.БЮДЖ
4,6 - ФЕДЕР БЮДЖ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5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сумма 11,6тр выделена в строку 2.5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Ильяненко</author>
  </authors>
  <commentList>
    <comment ref="N7" authorId="0">
      <text>
        <r>
          <rPr>
            <b/>
            <sz val="8"/>
            <color indexed="81"/>
            <rFont val="Tahoma"/>
            <family val="2"/>
            <charset val="204"/>
          </rPr>
          <t>выделено 45,0 тр в строку 1,24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37" authorId="0">
      <text>
        <r>
          <rPr>
            <b/>
            <sz val="8"/>
            <color indexed="81"/>
            <rFont val="Tahoma"/>
            <family val="2"/>
            <charset val="204"/>
          </rPr>
          <t>КР - 797,7
ФЕД - 2393,3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Ильяненко</author>
  </authors>
  <commentList>
    <comment ref="M5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34467,8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Ильяненко</author>
  </authors>
  <commentList>
    <comment ref="M5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34467,8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T4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34468   в реш горсовета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Admin</author>
  </authors>
  <commentList>
    <comment ref="H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97132,0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19" authorId="0">
      <text>
        <r>
          <rPr>
            <b/>
            <sz val="8"/>
            <color indexed="81"/>
            <rFont val="Tahoma"/>
            <family val="2"/>
            <charset val="204"/>
          </rPr>
          <t>библ и музеи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<sst xmlns="http://schemas.openxmlformats.org/spreadsheetml/2006/main" count="3382" uniqueCount="746">
  <si>
    <t>Статус (государственная программа, подпрограмма)</t>
  </si>
  <si>
    <t>Наименование  программы, подпрограммы</t>
  </si>
  <si>
    <t xml:space="preserve">Код бюджетной классификации </t>
  </si>
  <si>
    <t>Расходы (тыс. руб.), годы</t>
  </si>
  <si>
    <t>РзПр</t>
  </si>
  <si>
    <t>ЦСР</t>
  </si>
  <si>
    <t>ВР</t>
  </si>
  <si>
    <t>2014 год</t>
  </si>
  <si>
    <t>2015 год</t>
  </si>
  <si>
    <t>2016 год</t>
  </si>
  <si>
    <t>Муниципальная программа</t>
  </si>
  <si>
    <t>всего расходные обязательства по программе</t>
  </si>
  <si>
    <t>Х</t>
  </si>
  <si>
    <t>отдел культуры</t>
  </si>
  <si>
    <t>956</t>
  </si>
  <si>
    <t>Подпрограмма 1</t>
  </si>
  <si>
    <t>Сохранение культурного наследия</t>
  </si>
  <si>
    <t>всего расходные обязательства по подпрограмме</t>
  </si>
  <si>
    <t>0801</t>
  </si>
  <si>
    <t>0310000</t>
  </si>
  <si>
    <t>600</t>
  </si>
  <si>
    <t>Подпрограмма 2</t>
  </si>
  <si>
    <t>Поддержка искусства                         и народного творчества</t>
  </si>
  <si>
    <t xml:space="preserve">всего расходные обязательства </t>
  </si>
  <si>
    <t>0320000</t>
  </si>
  <si>
    <t>Подпрограмма 3</t>
  </si>
  <si>
    <t>Обеспечение условий реализации муниципальной программы и прочие мероприятия</t>
  </si>
  <si>
    <t>0804</t>
  </si>
  <si>
    <t>0340000</t>
  </si>
  <si>
    <t xml:space="preserve">Статус </t>
  </si>
  <si>
    <t>Ответственный исполнитель, 
соисполнители</t>
  </si>
  <si>
    <t>Оценка расходов (тыс. руб.), годы</t>
  </si>
  <si>
    <t xml:space="preserve">Всего </t>
  </si>
  <si>
    <t>в том числе :</t>
  </si>
  <si>
    <t>федеральный бюджет</t>
  </si>
  <si>
    <t>краевой бюджет</t>
  </si>
  <si>
    <t>внебюджетные источники</t>
  </si>
  <si>
    <t>бюджеты муниципальных образований</t>
  </si>
  <si>
    <t>юридические лица</t>
  </si>
  <si>
    <t>министерство культуры Красноярского края</t>
  </si>
  <si>
    <t xml:space="preserve">Прогноз сводных показателей муниципальных заданий </t>
  </si>
  <si>
    <t>Наименование услуги (работы),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</si>
  <si>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</si>
  <si>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Показатель объема услуги: число посетителей</t>
  </si>
  <si>
    <t>Подпрограмма 1. Сохранение культурного наследия</t>
  </si>
  <si>
    <t>Обеспечение деятельности (оказание услуг) подведомственных учреждений</t>
  </si>
  <si>
    <t>Показатель объема услуги: количество зрителей</t>
  </si>
  <si>
    <t>Подпрограмма 2. Поддержка искусства                         и народного творчества</t>
  </si>
  <si>
    <t xml:space="preserve">Краевое государственное автономное учреждение культуры Государственная универсальная научная библиотека Красноярского края  </t>
  </si>
  <si>
    <t>Краевое государственное бюджетное учреждение культуры «Красноярская краевая специальная библиотека – центр социокультурной реабилитации инвалидов по зрению»</t>
  </si>
  <si>
    <t>Краевое государственное бюджетное учреждение культуры Красноярская краевая молодежная библиотека</t>
  </si>
  <si>
    <t>Краевое государственное бюджетное учреждение культуры Красноярская краевая детская библиотека</t>
  </si>
  <si>
    <t>Краевое государственное бюджетное учреждение культуры Историко-этнографический музей-заповедник «Шушенское»</t>
  </si>
  <si>
    <t>Краевое государственное бюджетное учреждение культуры «Таймырский краеведческий музей»</t>
  </si>
  <si>
    <t>Краевое государственное бюджетное учреждение культуры Красноярский культурно-исторический музейный комплекс</t>
  </si>
  <si>
    <t>Краевое государственное бюджетное учреждение культуры «Красноярский краевой краеведческий музей»</t>
  </si>
  <si>
    <t>Краевое государственное бюджетное учреждение культуры «Красноярский художественный музей имени В.И. Сурикова»</t>
  </si>
  <si>
    <t>08</t>
  </si>
  <si>
    <t>№</t>
  </si>
  <si>
    <t>Код бюджетной классификации</t>
  </si>
  <si>
    <t>Ожидаемый результат от реализации подпрограммного мероприятия
 (в натуральном выражении)</t>
  </si>
  <si>
    <t>Цель. Сохранение и эффективное использование культурного наследия муниципального образования город Дивногорск</t>
  </si>
  <si>
    <t>1</t>
  </si>
  <si>
    <t>Задача 1. Развитие библиотечного дела</t>
  </si>
  <si>
    <t>1.1.</t>
  </si>
  <si>
    <t>Обеспечение деятельности (оказание услуг) подведомственных библиотечных учреждений</t>
  </si>
  <si>
    <t>отдел культуры администрации города Дивногорска</t>
  </si>
  <si>
    <t>611</t>
  </si>
  <si>
    <t>612</t>
  </si>
  <si>
    <t>1.2.</t>
  </si>
  <si>
    <t>1.3.</t>
  </si>
  <si>
    <t>Итого  по задаче 1</t>
  </si>
  <si>
    <t>2</t>
  </si>
  <si>
    <t>Задача 2. Развитие музейного дела</t>
  </si>
  <si>
    <t>2.1.</t>
  </si>
  <si>
    <t>Обеспечение деятельности (оказание услуг) подведомственных музейных учреждений</t>
  </si>
  <si>
    <t>2.2.</t>
  </si>
  <si>
    <t>Итого  по задаче 2</t>
  </si>
  <si>
    <t>3</t>
  </si>
  <si>
    <t>Задача 3. Внедрение информационно-коммуникационных технологий в отрасли "культура", развитие информационных ресурсов</t>
  </si>
  <si>
    <t xml:space="preserve">3.1. </t>
  </si>
  <si>
    <t>Оснащение муниципальных музеев и библиотек компьютерным оборудованием и программным обеспечением, в том числе для ведения электронного каталога</t>
  </si>
  <si>
    <t>0317485</t>
  </si>
  <si>
    <t xml:space="preserve">3.2. </t>
  </si>
  <si>
    <t>Софинансирование расходов на оснащение муниципальных музеев и библиотек компьютерным оборудованием и программным обеспечением, в том числе для ведения электронного каталога</t>
  </si>
  <si>
    <t>0318485</t>
  </si>
  <si>
    <t>3.3.</t>
  </si>
  <si>
    <t>Комплектование книжных фондов библиотек муниципальных образований</t>
  </si>
  <si>
    <t>3.4.</t>
  </si>
  <si>
    <t>Софинансирование расходов на комплектование книжных фондов библиотек муниципальных образований</t>
  </si>
  <si>
    <t>Итого по задаче 3</t>
  </si>
  <si>
    <t>Итого по подпрограмме</t>
  </si>
  <si>
    <t>Перечень мероприятий подпрограммы «Поддержка искусства и народного творчества»
с указанием объема средств на их реализацию и ожидаемых результатов</t>
  </si>
  <si>
    <t>Цель. Обеспечение доступа населения муниципального образования город Дивногорск к культурным благам и участию в культурной жизни</t>
  </si>
  <si>
    <t xml:space="preserve">Задача 1. Сохранение и развитие традиционной народной культуры </t>
  </si>
  <si>
    <t>Выплаты, обеспечивающие уровень заработной платы работников учреждений</t>
  </si>
  <si>
    <t>Выплаты молодым специалистам учреждений</t>
  </si>
  <si>
    <t>1.</t>
  </si>
  <si>
    <t>Задача 1.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</t>
  </si>
  <si>
    <t>Расходы на выплаты персоналу государственных (муниципальных) органов</t>
  </si>
  <si>
    <t>120</t>
  </si>
  <si>
    <t>Обеспечение реализации государственной программы на 100%</t>
  </si>
  <si>
    <t>Иные закупки товаров, работ и услуг для обеспечения государственных (муниципальных) нужд</t>
  </si>
  <si>
    <t>240</t>
  </si>
  <si>
    <t>3.5.</t>
  </si>
  <si>
    <t xml:space="preserve">Софинансирование социокультурных проектов </t>
  </si>
  <si>
    <t>Субсидии бюджетным учреждениям на иные цели</t>
  </si>
  <si>
    <t>1.4.</t>
  </si>
  <si>
    <t>850</t>
  </si>
  <si>
    <t>Уплата налогов, сборов и иных платежей</t>
  </si>
  <si>
    <t>100,200,800</t>
  </si>
  <si>
    <t>-</t>
  </si>
  <si>
    <t>0211095</t>
  </si>
  <si>
    <t>Софинансирование расходов на осуществление(возмещение) расходов,направленных на создание безопасных и комфортных условий функционирования объектов муниципальной собственности.</t>
  </si>
  <si>
    <t>1.5.</t>
  </si>
  <si>
    <t>1.6.</t>
  </si>
  <si>
    <t>0215027</t>
  </si>
  <si>
    <t>0210000;
0310000</t>
  </si>
  <si>
    <t>0210000</t>
  </si>
  <si>
    <t>в том числе по РБС:</t>
  </si>
  <si>
    <t>3.6.</t>
  </si>
  <si>
    <t>Комплектование книжных фондов библиотек муниципальных образований за счет федерального бюджета</t>
  </si>
  <si>
    <t>2017 год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</si>
  <si>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</si>
  <si>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Перечень мероприятий подпрограммы «Обеспечение условий для поддержки дополнительного образования детей"</t>
  </si>
  <si>
    <t>Цель. создание в системе дополнительного образования детей равных возможностей для современного качественного образования</t>
  </si>
  <si>
    <t>Задача 1. обеспечение поступательного развития муниципальной системы дополнительного образования детей в области культуры</t>
  </si>
  <si>
    <t>Обеспечение деятельности (оказание услуг) подведомственных учреждений дополнительного образования детей</t>
  </si>
  <si>
    <t>0702</t>
  </si>
  <si>
    <t>Выплаты, обеспечивающие уровень заработной платы работников учреждений дополнительного образования детей</t>
  </si>
  <si>
    <t>Выплаты молодым специалистам учреждений дополнительного образования детей</t>
  </si>
  <si>
    <t>Обеспечение условий для поддержки дополнительного образования детей</t>
  </si>
  <si>
    <t>0330000</t>
  </si>
  <si>
    <t>Подпрограмма 4</t>
  </si>
  <si>
    <t>Показатель объема услуги: число обучающихся</t>
  </si>
  <si>
    <t>Подпрограмма 3. Обеспечение условий для поддержки дополнительного образования детей</t>
  </si>
  <si>
    <t>Приложение № 6
к паспорту муниципальной программы "Культура муниципального образования город Дивногорск"</t>
  </si>
  <si>
    <t>Наименование РБС</t>
  </si>
  <si>
    <t>РБС</t>
  </si>
  <si>
    <t xml:space="preserve">РБС </t>
  </si>
  <si>
    <t>Наименование  муниципальной программы, подпрограммы</t>
  </si>
  <si>
    <t>Культура муниципального образования</t>
  </si>
  <si>
    <t>1.7.</t>
  </si>
  <si>
    <t>Средства субсидии на частичное финансирование (возмещение) расходов на повышение минимальных размеров окладов, ставок заработной платы работников бюджетной сферы, которым предоставляется региональная выплата, с 01 октября 2014 года на 10%, в рамках подпрограммы "Сохранение культурного наследия" муниципальной программы города Дивногорска "Культура муниципального образования город Дивногорск "</t>
  </si>
  <si>
    <t>0311022</t>
  </si>
  <si>
    <t xml:space="preserve">Софинансирование расходов на комплектование книжных фондов библиотек муниципальных образований Красноярского края за счет федерального бюджета в рамках подпрограммы «Сохранение культурного наследия» муниципальной программы </t>
  </si>
  <si>
    <t>0804 0113</t>
  </si>
  <si>
    <t>956 956</t>
  </si>
  <si>
    <t>0340000 0340000</t>
  </si>
  <si>
    <t>100,200,800 200</t>
  </si>
  <si>
    <t>Подпрограмма 5</t>
  </si>
  <si>
    <t>Развитие архивного дела в муниципальном образовании город Дивногорск</t>
  </si>
  <si>
    <t>Подрограмма 5</t>
  </si>
  <si>
    <t>0804  0113</t>
  </si>
  <si>
    <t>100,200,800  200</t>
  </si>
  <si>
    <t>Расходы на оснощение специальным оборудованием муниципальных учреждений культурно-досуговоготипа, в структуре которых действуют клубные формированияпо художественым ремеслам и декоративно-прикладному творчеству, в рамках подпрограммы "Поддержка искусства и народного творчества" муниципальной программы города Дивногорска "Культура муниципального образования города Дивногорск"</t>
  </si>
  <si>
    <t>Софинансирование расходов на оснощение специальным оборудованием муниципальных учреждений культурно-досуговоготипа, в структуре которых действуют клубные формированияпо художественым ремеслам и декоративно-прикладному творчеству, в рамках подпрограммы "Поддержка искусства и народного творчества" муниципальной программы города Дивногорска "Культура муниципального образования города Дивногорск"</t>
  </si>
  <si>
    <t>0327487</t>
  </si>
  <si>
    <t>0328487</t>
  </si>
  <si>
    <r>
      <t>Перечень мероприятий подпрограммы «</t>
    </r>
    <r>
      <rPr>
        <b/>
        <sz val="12"/>
        <rFont val="Times New Roman"/>
        <family val="1"/>
        <charset val="204"/>
      </rPr>
      <t>Сохранение культурного наследия</t>
    </r>
    <r>
      <rPr>
        <b/>
        <sz val="12"/>
        <color indexed="8"/>
        <rFont val="Times New Roman"/>
        <family val="1"/>
        <charset val="204"/>
      </rPr>
      <t>»
с указанием объема средств на их реализацию и ожидаемых результатов</t>
    </r>
  </si>
  <si>
    <t>2018 год</t>
  </si>
  <si>
    <t>Субсидии бюджетам муниципальных образований на капитальный ремонт и реконструкцию зданий и помещений муниципальных учреждений культуры</t>
  </si>
  <si>
    <t>0857486</t>
  </si>
  <si>
    <t>2019 год</t>
  </si>
  <si>
    <t>2020 год</t>
  </si>
  <si>
    <t>Приобретение швейного и выставочного оборудования для студии декоративно-прикладного творчества "Живой родник" клуба-филиала с.Овсянка МБУК ПЦС</t>
  </si>
  <si>
    <t>Наименование услуги и ее содержание: Публичный показ музейных предметов, музейных коллекций</t>
  </si>
  <si>
    <t>Наименование услуги и ее содержание: Показ концертов и концертных программ</t>
  </si>
  <si>
    <t>Наименование услуги и ее содержание: Реализация дополнительных общеобразовательных предпрофессиональных программ</t>
  </si>
  <si>
    <t>Наименование услуги и ее содержание: Реализация дополнительных общеобразовательных общеразвивающих программ</t>
  </si>
  <si>
    <t xml:space="preserve">Наименование работы и ее содержание: Формирование, учет, изучение, обеспечение физического сохранения и безопасности фондов библиотеки     </t>
  </si>
  <si>
    <t>Наименование работы и ее содержание: Формирование, учет, изучение, обеспечение физического сохранения и безопасности  музейных предметов, музейных коллекций</t>
  </si>
  <si>
    <t>Наименование работы и ее содержание: 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</si>
  <si>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 xml:space="preserve">Содержание работы: количество предметов </t>
  </si>
  <si>
    <t>Содержание работы: количество мероприятий</t>
  </si>
  <si>
    <t>Наименование работы: Организация деятельности клубных формирований и формирований самодеятельного народного творчества</t>
  </si>
  <si>
    <t>Значение показателя объема услуги (содержание работы)</t>
  </si>
  <si>
    <t>Содержание работы:  количество клубных объединений и кружков</t>
  </si>
  <si>
    <t>0340080210</t>
  </si>
  <si>
    <t>0340080910</t>
  </si>
  <si>
    <t>0340075190</t>
  </si>
  <si>
    <t>0330080620</t>
  </si>
  <si>
    <t>0330080710</t>
  </si>
  <si>
    <t>03300S031M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</si>
  <si>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 в рамках подпрограммы «Обеспечений условий для поддержки дополнительного образования детей» муниципальной программы города Дивногорска «Культура муниципального образования город Дивногорск»</t>
  </si>
  <si>
    <t>03300S031Р</t>
  </si>
  <si>
    <t>0320080610</t>
  </si>
  <si>
    <t>0320080710</t>
  </si>
  <si>
    <t>03200S031M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</si>
  <si>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  в рамках подпрограммы «Поддержка искусства и народного творчества» муниципальной программы города Дивногорска «Культура муниципального образования город Дивногорск»</t>
  </si>
  <si>
    <t>03200S031Р</t>
  </si>
  <si>
    <t>0310080640</t>
  </si>
  <si>
    <t>03100L1440</t>
  </si>
  <si>
    <t>0310080710</t>
  </si>
  <si>
    <t>03100S031M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</si>
  <si>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</si>
  <si>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03100S031P</t>
  </si>
  <si>
    <t>0310080630</t>
  </si>
  <si>
    <t xml:space="preserve">Наименование услуги и ее содержание: Библиотечное, библиографическое и информационное обслуживание пользователей библиотеки       </t>
  </si>
  <si>
    <t xml:space="preserve">Наименование услуги и ее содержание: Предоставление   библиографической  информации из государственных библиотечных фондов и информации из государственных библиотечных фондов в части, не касающейся авторских прав </t>
  </si>
  <si>
    <t>Показатель объема услуги: количество документов</t>
  </si>
  <si>
    <t>Наименование услуги и ее содержание: Создание экспозиций (выставок) музеев, организация выездных выставок</t>
  </si>
  <si>
    <t>Показатель объема услуги: число экспозиций</t>
  </si>
  <si>
    <t>Наименование услуги и ее содержание: Показ кинофильмов</t>
  </si>
  <si>
    <t>Наименование работы и ее содержание: Библиографическая обработка документов и создание каталогов</t>
  </si>
  <si>
    <t>Содержание работы: количество документов</t>
  </si>
  <si>
    <t>Наименование работы и ее содержание: Осуществление экскурсионного обслуживания</t>
  </si>
  <si>
    <t xml:space="preserve">Наименование работы: Организация показа концертов и концертных программ </t>
  </si>
  <si>
    <r>
      <t xml:space="preserve">Содержание работы: </t>
    </r>
    <r>
      <rPr>
        <b/>
        <sz val="12"/>
        <rFont val="Times New Roman"/>
        <family val="1"/>
        <charset val="204"/>
      </rPr>
      <t>количество мероприятий</t>
    </r>
  </si>
  <si>
    <t>Содержание работы: количество экскурсий</t>
  </si>
  <si>
    <t>031S746</t>
  </si>
  <si>
    <t>Расходы на осуществление (возмещение) расходов, направленных на создание безопасных и комфортных условий функционирования объектов муниципальной собственности, развитие муниципальных учреждений, в рамках подпрограммы «Сохранение культурного наследия» муниципальной программы «Культура муниципального образования город Дивногорск»муниципальной программы города Дивногорска «Культура муниципального образования город Дивногорск»</t>
  </si>
  <si>
    <t>1.8.</t>
  </si>
  <si>
    <t>3.7.</t>
  </si>
  <si>
    <t xml:space="preserve">Софинансирование расходов на социокуольтурные проекты в рамках подпрограммы «Поддержка искусства и народного творчества» муниципальной программы города </t>
  </si>
  <si>
    <t>1.9.</t>
  </si>
  <si>
    <t>Обеспечение деятельности (оказание услуг) подведомственных учреждений в рамках подпрограммы «Поддержка искусства и народного творчества» муниципальной программы города Дивногорска «Культура муниципального образования город Дивногорск»</t>
  </si>
  <si>
    <t>0320051470</t>
  </si>
  <si>
    <t>1.10.</t>
  </si>
  <si>
    <t>1.11.</t>
  </si>
  <si>
    <t xml:space="preserve">Расходы на организацию туристско-рекреационных зон на территории Красноярского края в рамках подпрограммы «Поддержка искусства и народного творчества» </t>
  </si>
  <si>
    <t>Софинансирование расходов на организацию туристско-рекреационных зон на территории Красноярского края в рамках подпрограммы «Поддержка искусства и народного творчества» муниципальной программы города Дивногорска «Культура муниципального образования город Дивногорск»</t>
  </si>
  <si>
    <t>0503</t>
  </si>
  <si>
    <t>0320074800</t>
  </si>
  <si>
    <t>03200S4800</t>
  </si>
  <si>
    <t>03100S4880</t>
  </si>
  <si>
    <t>0310074880</t>
  </si>
  <si>
    <t>0310077460</t>
  </si>
  <si>
    <t>1.12.</t>
  </si>
  <si>
    <t>Расходы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«Поддержка искусства и народного творчества» муниципальной программы города Дивногорска «Культура муниципального образования город Дивногорск»</t>
  </si>
  <si>
    <t>03274810</t>
  </si>
  <si>
    <t>3.8.</t>
  </si>
  <si>
    <t>Расходы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</si>
  <si>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0318064</t>
  </si>
  <si>
    <t>0317746</t>
  </si>
  <si>
    <t>0318746</t>
  </si>
  <si>
    <t>0318144</t>
  </si>
  <si>
    <t>0318074</t>
  </si>
  <si>
    <t>Выплаты, обеспечивающие уровень заработной платы работников библиотечных и музейных учреждений</t>
  </si>
  <si>
    <t>0318073</t>
  </si>
  <si>
    <t>Выплаты молодым специалистам библиотечных и музейных учреждений</t>
  </si>
  <si>
    <t>0318083</t>
  </si>
  <si>
    <t>0318084</t>
  </si>
  <si>
    <t>0318063</t>
  </si>
  <si>
    <t>0317481</t>
  </si>
  <si>
    <t>2.3.</t>
  </si>
  <si>
    <t>1.9</t>
  </si>
  <si>
    <t>0315144</t>
  </si>
  <si>
    <t>0317488</t>
  </si>
  <si>
    <t>0318488</t>
  </si>
  <si>
    <t>0318481</t>
  </si>
  <si>
    <t>0328061</t>
  </si>
  <si>
    <t>0328071</t>
  </si>
  <si>
    <t>0328081</t>
  </si>
  <si>
    <t>1.13.</t>
  </si>
  <si>
    <t>0321022</t>
  </si>
  <si>
    <t>0338062</t>
  </si>
  <si>
    <t>0338072</t>
  </si>
  <si>
    <t>0338082</t>
  </si>
  <si>
    <t>0331022</t>
  </si>
  <si>
    <t>0348021</t>
  </si>
  <si>
    <t>0348091</t>
  </si>
  <si>
    <t>0347519</t>
  </si>
  <si>
    <t>Начальник отдела культуры</t>
  </si>
  <si>
    <t>Е.В.Шошина</t>
  </si>
  <si>
    <t>Приобретение детских игровых модулей для клуба-филиала п. Слизнево, приобретение звукового оборудования для клуба-филиала с. Овсянка, приобретение выставочного оборудования для Дома культуры п. Усть-Мана</t>
  </si>
  <si>
    <t xml:space="preserve">Организация туристско-рекреационной зоны на побережье реки Мана, в районе п. Усть-Мана </t>
  </si>
  <si>
    <t>Показатель объема услуги: количество мероприятий</t>
  </si>
  <si>
    <t>0310055190</t>
  </si>
  <si>
    <t>0703</t>
  </si>
  <si>
    <t>1.10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</si>
  <si>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«Сохранение культурного наследия» муниципальной программы города Дивногорска "Культура муниципального образования город Дивногорск"</t>
  </si>
  <si>
    <t>03100L5190</t>
  </si>
  <si>
    <t>3.9</t>
  </si>
  <si>
    <t>Расходы на комплектование книжных фондов библиотек муниципальных образований Красноярского края в рамках подпрограммы "Сохранение культурного наследия" муниципальной программы города Дивногорска "Культура муниципального образования город Дивногорск"</t>
  </si>
  <si>
    <t>03100R5190</t>
  </si>
  <si>
    <t>1.11</t>
  </si>
  <si>
    <t>Расходы на повышение размеров оплаты труда основного персонала библиотек и музеев Красноярского края в рамках подпрограммы "Сохранение культурного наследия" муниципальной программы "Культура муниципального образования город Дивногорск"</t>
  </si>
  <si>
    <t>0310010440</t>
  </si>
  <si>
    <t>0310074810</t>
  </si>
  <si>
    <t>03100S4810</t>
  </si>
  <si>
    <t>03200S4810</t>
  </si>
  <si>
    <t>Софинансирование расходов на развитие и укрепление материально-технической базы, осуществление ремонтных работ (текущего ремонта) зданий муниципальных учреждений клубного типа в рамках подпрограммы "Поддержка искусства и народного творчества" муниципальной программы города Дивногорска "Культура муниципального образования город Дивногорск"</t>
  </si>
  <si>
    <t>1.14</t>
  </si>
  <si>
    <t>03100S5580</t>
  </si>
  <si>
    <t>1.15</t>
  </si>
  <si>
    <t>Расходы на развитие и укрепление материально-технической базы, осуществление ремонтных работ (текущего ремонта) зданий муниципальных учреждений клубного типа в рамках подпрограммы "Поддержка искусства и народного творчества" муниципальной программы города Дивногорска "Культура муниципального образования город Дивногорск"</t>
  </si>
  <si>
    <t>1.16</t>
  </si>
  <si>
    <t>Осуществление (возмещение) расходов, направленных на  развитие и повышение качества работы муниципальных учреждений, предоставление новых муниципальных услуг, повышение их качества, на 2017 год, предоставляемых в рамках государственной программы Красноярского края «Содействие местного самоуправления»</t>
  </si>
  <si>
    <t>0320078400</t>
  </si>
  <si>
    <t>1.17</t>
  </si>
  <si>
    <t>Софинансировнаеи на осуществление (возмещение) расходов, направленных на 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"Поддержка искусства и народного творчества" муниципальной программы города Дивногорска</t>
  </si>
  <si>
    <t>03200S8400</t>
  </si>
  <si>
    <t>Наименование услуги и ее содержание: Организация и проведение мероприятий</t>
  </si>
  <si>
    <t>Показатель объема услуги: чел./час</t>
  </si>
  <si>
    <t>1.8</t>
  </si>
  <si>
    <t>0330010420</t>
  </si>
  <si>
    <t>1.18</t>
  </si>
  <si>
    <t>1.19</t>
  </si>
  <si>
    <t>0320010460</t>
  </si>
  <si>
    <t>Расходы на поддержку социокультурных проектов муниципальных учреждений культуры и образовательных учреждений в области культуры в рамках подпрограммы "Сохранение культурного наследия" муниципальной программы города Дивногорска "Культура муниципального образования город Дивногорск"</t>
  </si>
  <si>
    <t>0320074810</t>
  </si>
  <si>
    <t>1.12</t>
  </si>
  <si>
    <t>0310010460</t>
  </si>
  <si>
    <t>2.4</t>
  </si>
  <si>
    <t>0340080220</t>
  </si>
  <si>
    <t>110</t>
  </si>
  <si>
    <t>Иные выплаты</t>
  </si>
  <si>
    <t>0340080710</t>
  </si>
  <si>
    <t>Софинансирование расходов на социокуольтурные проекты в рамках подпрограммы «Поддержка искусства и народного творчества» муниципальной программы города Дивногорска «Культура муниципального образования город Дивногорск»</t>
  </si>
  <si>
    <t>Расходы на повышение размеров оплаты труда отдельным категориям работников бюджетной сферы, в том числе для которых указами Президента Российской Федерации предусмотрено повышение оплаты труда, в рамках подпрограммы "Поддержка искусства и народного творчества"</t>
  </si>
  <si>
    <t>Расходы на повышение размеров оплаты труда отдельным категориям работников бюджетной сферы, в том числе для которых указами Президента Российской Федерации предусмотрено повышение оплаты труда, в рамках подпрограммы "Обеспечение условий для поддержки дополнительного образования детей"</t>
  </si>
  <si>
    <r>
      <t xml:space="preserve">Приложение №3  к постановлению администрации города от «  »__ 2017 №______      Приложение № 2 
к подпрограмме </t>
    </r>
    <r>
      <rPr>
        <sz val="12"/>
        <rFont val="Times New Roman"/>
        <family val="1"/>
        <charset val="204"/>
      </rPr>
      <t>«Сохранение культурного наследия</t>
    </r>
    <r>
      <rPr>
        <sz val="12"/>
        <color indexed="8"/>
        <rFont val="Times New Roman"/>
        <family val="1"/>
        <charset val="204"/>
      </rPr>
      <t xml:space="preserve">», реализуемой в рамках муниципальной  программы «Культура муниципального образования город Дивногорск» </t>
    </r>
  </si>
  <si>
    <t xml:space="preserve">Приложение №4  к постановлению администрации города от «  »__ 2017 №______      Приложение № 2 
к подпрограмме «Поддержка искусства и народного творчества», реализуемой в рамках муниципальной программы «Культура муниципального образования город Дивногорск» </t>
  </si>
  <si>
    <t xml:space="preserve">Приложение №5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от «  »__ 2017 №______                                                                                                                                                                                       Приложение № 2 
к подпрограмме «Обеспечение условий для поддержки дополнительного образования детей», реализуемой в рамках муниципальной программы «Культура муниципального образования город Дивногорск» </t>
  </si>
  <si>
    <t>Итого на  
2014-2020 годы</t>
  </si>
  <si>
    <t>Итого на 
2014 -2020 годы</t>
  </si>
  <si>
    <t>Итого на 2014 -2020 годы</t>
  </si>
  <si>
    <t>Количество посетителей составит  118,31 тыс. чел.</t>
  </si>
  <si>
    <t>Количество посетителей составит    945,39 тыс. чел.</t>
  </si>
  <si>
    <t>Количество посетителей  составит 522,67 тыс. чел.</t>
  </si>
  <si>
    <t xml:space="preserve">                                                                                                                                                                                    Е.В. Шошина</t>
  </si>
  <si>
    <t>Предоставление свободного удаленного достуап к электронным ресурсам Дивногорского городского музея через создание веб-сайта в сети Интернет</t>
  </si>
  <si>
    <t xml:space="preserve">                                                    Е.В. Шошина</t>
  </si>
  <si>
    <t>Число обучающихся составит  520 чел.</t>
  </si>
  <si>
    <t xml:space="preserve">                             Е.В. Шошина</t>
  </si>
  <si>
    <t>Приобретение выставочного оборудования (сетки с опорами, стола складного, подиумов)  для детского агентства творческих инициатив ("ДАТИ") МБУК ГДК "Энергетик"</t>
  </si>
  <si>
    <t>03400S031M</t>
  </si>
  <si>
    <t>03200R5580</t>
  </si>
  <si>
    <t xml:space="preserve">Информация о ресурсном обеспечении и прогнозной оценке расходов на реализацию целей 
муниципальной программы «Культура муниципального образования город Дивногорск» на  2016-2020 годы с учетом источников финансирования, 
в том числе средств федерального бюджета </t>
  </si>
  <si>
    <t>цбс</t>
  </si>
  <si>
    <t>бма</t>
  </si>
  <si>
    <t>дгм</t>
  </si>
  <si>
    <t>дхм</t>
  </si>
  <si>
    <t>дк</t>
  </si>
  <si>
    <t>пцкс</t>
  </si>
  <si>
    <t>дши</t>
  </si>
  <si>
    <t>дхш</t>
  </si>
  <si>
    <t xml:space="preserve"> Е.В. Шошина</t>
  </si>
  <si>
    <t>всего п/п1</t>
  </si>
  <si>
    <t>всего п/п2</t>
  </si>
  <si>
    <t>всего п/п3</t>
  </si>
  <si>
    <t>по ВР 611</t>
  </si>
  <si>
    <t>проверка</t>
  </si>
  <si>
    <t>1.13</t>
  </si>
  <si>
    <t>О31001047Б</t>
  </si>
  <si>
    <t>О310010490</t>
  </si>
  <si>
    <t>Расходы на повышение размеров оплаты труда работников учреждений культуры</t>
  </si>
  <si>
    <t xml:space="preserve">Расходы на повышение размеров оплаты труда работников бюджетной сферы с 1 января 2018 года на 4 процента </t>
  </si>
  <si>
    <t>Расходы на повышение размеров оплаты труда работников бюджетной сферы с 1 января 2018 года на 4 процента в рамках подпрограммы «Поддержка искусства и народного творчества» муниципальной программы «Культура муниципального образования город Дивногорск»</t>
  </si>
  <si>
    <t>1.20</t>
  </si>
  <si>
    <t>1.21</t>
  </si>
  <si>
    <t>Расходы на повышение размеров оплаты труда работников учреждений культуры в рамках подпрограммы «Поддержка искусства и народного творчества» муниципальной программы «Культура муниципального образования город Дивногорск»</t>
  </si>
  <si>
    <t>О32001047Б</t>
  </si>
  <si>
    <t>О320010490</t>
  </si>
  <si>
    <t>Расходы на повышение размеров оплаты труда работников бюджетной сферы с 1 января 2018 года на 4 процента в рамках подпрограммы «Обеспечение условий для поддержки дополнительного образования детей» муниципальной программы «Культура муниципального образования город Дивногорск»</t>
  </si>
  <si>
    <t>Расходы на повышение размеров оплаты труда работников муниципальных учреждений дополнительного образования, реализующих программы дополнительного образования детей, о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подготовки. в рамках подпрограммы «Обеспечение условий для поддержки дополнительного образования детей» муниципальной программы «Культура муниципального образования город Дивногорск»</t>
  </si>
  <si>
    <t>О33001047Б</t>
  </si>
  <si>
    <t>О330010480</t>
  </si>
  <si>
    <t>О34001047К</t>
  </si>
  <si>
    <t>О34001047О</t>
  </si>
  <si>
    <t>О34001047В</t>
  </si>
  <si>
    <t>бюджет</t>
  </si>
  <si>
    <t>НА 15,12,2017</t>
  </si>
  <si>
    <t>ДОБАВИТЬ В ПРИЛ 6</t>
  </si>
  <si>
    <t>15,12,2017</t>
  </si>
  <si>
    <t>ДОБ П6</t>
  </si>
  <si>
    <t>РАСЧЕТ</t>
  </si>
  <si>
    <t>всего п/п4</t>
  </si>
  <si>
    <t>ГОРСОВЕТ</t>
  </si>
  <si>
    <t>ПРОВЕРКА</t>
  </si>
  <si>
    <t>1 п/п</t>
  </si>
  <si>
    <t>2 п/п</t>
  </si>
  <si>
    <t>3 п/п</t>
  </si>
  <si>
    <t>4 п/п</t>
  </si>
  <si>
    <t xml:space="preserve"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от «  »__ 2018 №______                                                                                            Приложение № 4 
к муниципальной программе «Культура муниципального образования город Дивногорск» </t>
  </si>
  <si>
    <t>1.22</t>
  </si>
  <si>
    <t>1.23</t>
  </si>
  <si>
    <t>Расходы на обеспечение развития и укрепления материально-технической базы муниципальных домов культуры в населенных пунктах с числом жителей до 50 тысяч человек в рамках подпрограммы «Поддержка искусства и народного творчества» муниципальной программы «Культура муниципального образования город Дивногорск»</t>
  </si>
  <si>
    <t>Софинансирование расходов на обеспечение развития и укрепления материально-технической базы муниципальных домов культуры в населенных пунктах с числом жителей до 50 тысяч человек в рамках подпрограммы «Поддержка искусства и народного творчества» муниципальной программы «Культура муниципального образования город Дивногорск»</t>
  </si>
  <si>
    <t>03200R4670</t>
  </si>
  <si>
    <t>03200S4670</t>
  </si>
  <si>
    <t>ВР612</t>
  </si>
  <si>
    <t xml:space="preserve">Расходы на организацию туристско-рекреационных зон на территории Красноярского края в рамках подпрограммы «Поддержка искусства и народного творчества» муниципальной программы «Культура муниципального образования город Дивногорск» </t>
  </si>
  <si>
    <t>Средства субсидии на частичное финансирование (возмещение) расходов на повышение минимальных размеров окладов, ставок заработной платы работников бюджетной сферы, которым предоставляется региональная выплата, с 01 октября 2014 года на 10%, в рамках подпрограммы "Сохранение культурного наследия" муниципальной программы "Культура муниципального образования город Дивногорск "</t>
  </si>
  <si>
    <t>Софинансирование расходов на развитие и укрепление материально-технической базы, осуществление ремонтных работ (текущего ремонта) зданий муниципальных учреждений клубного типа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</si>
  <si>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Расходы на развитие и укрепление материально-технической базы, осуществление ремонтных работ (текущего ремонта) зданий муниципальных учреждений клубного типа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</si>
  <si>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Софинансировнаеи на осуществление (возмещение) расходов, направленных на 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"Поддержка искусства и народного творчества" муниципальной программы «Культура муниципального образования город Дивногорск»</t>
  </si>
  <si>
    <t>Расходы на повышение размеров оплаты труда отдельным категориям работников бюджетной сферы, в том числе для которых указами Президента Российской Федерации предусмотрено повышение оплаты труда, в рамках подпрограммы "Поддержка искусства и народного творчества" муниципальной программы «Культура муниципального образования город Дивногорск»</t>
  </si>
  <si>
    <t>Расходы на поддержку социокультурных проектов муниципальных учреждений культуры и образовательных учреждений в области культуры в рамках подпрограммы "Сохранение культурного наследия" муниципальной программы "Культура муниципального образования город Дивногорск"</t>
  </si>
  <si>
    <t>БЕЗ ВНЕБЮДЖЕТА</t>
  </si>
  <si>
    <t>2021 год</t>
  </si>
  <si>
    <t>2022 год</t>
  </si>
  <si>
    <t>Подпрограмма 2. Поддержка искусства и народного творчества</t>
  </si>
  <si>
    <t>2.5</t>
  </si>
  <si>
    <t>Расходы на мероприятия, направленные на сохранение, возрождение и развитие народных художественных промыслов  и ремесел на 2018 год (МБУК ДХМ) в рамках подпрограммы "Сохранение культурного наследия" муниципальной программы города Дивногорска "Культура муниципального образования город Дивногорск"</t>
  </si>
  <si>
    <t>03200S5580</t>
  </si>
  <si>
    <t>1.24</t>
  </si>
  <si>
    <t>ГОРСОВЕТ/ ацк</t>
  </si>
  <si>
    <t>3.9.</t>
  </si>
  <si>
    <t>2.6</t>
  </si>
  <si>
    <t>Расходы по благоустройству территории муниципального образования город Дивногорск в рамках подпрограммы "Сохранение культурного наследия" муниципальной программы "Культура муниципального образования город Дивногорск"</t>
  </si>
  <si>
    <t>0310084170</t>
  </si>
  <si>
    <t>О340010400</t>
  </si>
  <si>
    <t>1.6</t>
  </si>
  <si>
    <t>1.7</t>
  </si>
  <si>
    <t>Исполнение судебных актов</t>
  </si>
  <si>
    <t>830</t>
  </si>
  <si>
    <t>РАСЧЕТ БЕЗ ИЦ</t>
  </si>
  <si>
    <t>Расходы на мероприятия, направленные на сохранение, возрождение и развитие народных художественных промыслов  и ремесел на 2018 год (МБУК ГДК "Энергетик") в рамках подпрограммы "Сохранение культурного наследия" муниципальной программы города Дивногорска "Культура муниципального образования город Дивногорск"</t>
  </si>
  <si>
    <t>320</t>
  </si>
  <si>
    <t>Пособия, компенсации и иные социальные выплаты гражданам, кроме публичных нормативных обязательств</t>
  </si>
  <si>
    <t>03200S031N</t>
  </si>
  <si>
    <t>03100S031N</t>
  </si>
  <si>
    <t>О340010390</t>
  </si>
  <si>
    <t>03300S031N</t>
  </si>
  <si>
    <t>03200L4670</t>
  </si>
  <si>
    <t>1.25</t>
  </si>
  <si>
    <t>1.26</t>
  </si>
  <si>
    <t>О32A274820</t>
  </si>
  <si>
    <t>1.27</t>
  </si>
  <si>
    <t>1.28</t>
  </si>
  <si>
    <t>1.29</t>
  </si>
  <si>
    <t>О320021380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</si>
  <si>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том числе для детей и молодежи, в рамках подпрограммы «Поддержка искусства и народного творчества» муниципальной программы «Культура муниципального образования город Дивногорск»</t>
  </si>
  <si>
    <t>1.30</t>
  </si>
  <si>
    <t>Расходы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</si>
  <si>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Показатель объема услуги: количество посещений</t>
  </si>
  <si>
    <t>Показатель объема работы: количество документов</t>
  </si>
  <si>
    <t xml:space="preserve">Показатель объема работы: количество предметов </t>
  </si>
  <si>
    <t>Показатель объема работы: количество объектов</t>
  </si>
  <si>
    <t>Показатель объема работы: количество мероприятий</t>
  </si>
  <si>
    <t>Расходы на оснащение специальным оборудованием муниципальных учреждений культурно-досугового типа, в структуре которых действуют клубные формированияпо художественым ремеслам и декоративно-прикладному творчеству,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</si>
  <si>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Софинансирование расходов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молодежи, в рамках подпрограммы «Поддержка искусства и народного творчества» муниципальной программы «Культура муниципального образования город Дивногорск»</t>
  </si>
  <si>
    <t>Софинансирование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том числе для детей и молодежи, в рамках подпрограммы «Поддержка искусства и народного творчества» муниципальной программы «Культура муниципального образования город Дивногорск»</t>
  </si>
  <si>
    <t>Предоставление свободного удаленного доступа к электронным ресурсам Дивногорского городского музея через создание веб-сайта в сети Интернет</t>
  </si>
  <si>
    <t>Софинансирование расходов 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</si>
  <si>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Расходы 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молодежи, в рамках подпрограммы «Поддержка искусства и народного творчества» муниципальной программы «Культура муниципального образования город Дивногорск»</t>
  </si>
  <si>
    <t>Софинансирование расходов на оснащение специальным оборудованием муниципальных учреждений культурно-досугового типа, в структуре которых действуют клубные формированияпо художественым ремеслам и декоративно-прикладному творчеству,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</si>
  <si>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</si>
  <si>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</si>
  <si>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</si>
  <si>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</si>
  <si>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</si>
  <si>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</si>
  <si>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</si>
  <si>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</si>
  <si>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</si>
  <si>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2032 год</t>
  </si>
  <si>
    <t>2033 год</t>
  </si>
  <si>
    <t>2034 год</t>
  </si>
  <si>
    <t>2035 год</t>
  </si>
  <si>
    <t>2036 год</t>
  </si>
  <si>
    <t>2037 год</t>
  </si>
  <si>
    <t>2038 год</t>
  </si>
  <si>
    <t>2039 год</t>
  </si>
  <si>
    <t>Показатель объема услуги: количество документов (количество посещений - с 2019 года)</t>
  </si>
  <si>
    <t>Приобретение костюмов и обуви для сценических выступлений, чехлов для костюмов вокального коллектива "Крылья" МБУК ГДК "Энергетик"</t>
  </si>
  <si>
    <t>Приобретение токарного станка с электроникой, электрорубанка, набора резцов для токарного станка по дереву, шкафа витрины стеклянного с подсветкой в клуб-филиал п.Усть-Мана</t>
  </si>
  <si>
    <t xml:space="preserve">Перечень мероприятий подпрограммы «Развитие архивного дела в муниципальном образовании город Дивногорск»
</t>
  </si>
  <si>
    <t>Расходы на оцифровку (перевод в электронный формат ПК «Архивный фонд») описей дел муниципальных архивов края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</si>
  <si>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0113</t>
  </si>
  <si>
    <t>0347478</t>
  </si>
  <si>
    <t>Софинансирование расходов на оцифровку (перевод в электронный формат ПК «Архивный фонд») описей дел муниципальных архивов края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</si>
  <si>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0348478</t>
  </si>
  <si>
    <t>Цель: обеспечение сохранности документов Архивного фонда Российской Федерации и других архивных документов, хранящихся в архиве муниципального образования город Дивногорск</t>
  </si>
  <si>
    <t>Расходы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учреждениях, в рамках «Обеспечение условий для поддержки дополнительного образования детей» муниципальной программы города Дивногорска «Культура муниципального образования город Дивногорск»</t>
  </si>
  <si>
    <t>О330010370</t>
  </si>
  <si>
    <t>Обеспечение  реализации муниципальной программы и прочие мероприятия</t>
  </si>
  <si>
    <t>0210000;  0310000</t>
  </si>
  <si>
    <t xml:space="preserve"> </t>
  </si>
  <si>
    <t>Показатель объема работы: число экспозиций (количество экспозиций - с 2019 года)</t>
  </si>
  <si>
    <t>Наименование работы и ее содержание: Создание экспозиций (выставок) музеев, организация выездных выставок</t>
  </si>
  <si>
    <t>Показатель объема услуги:  чел./час</t>
  </si>
  <si>
    <t>Расходы на повышение с 1 октября 2019 года размеров оплаты труда работников бюджетной сферыза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 в рамках «Обеспечение условий для поддержки дополнительного образования детей» муниципальной программы города Дивногорска «Культура муниципального образования город Дивногорск»</t>
  </si>
  <si>
    <t>О033001038А</t>
  </si>
  <si>
    <t>034001038А</t>
  </si>
  <si>
    <t>034001038V</t>
  </si>
  <si>
    <t>Расходы на поддержку отрасли культуры в рамках подпрограммы «Сохранение культурного наследия» муниципальной программы «Культура муниципального образования город Дивногорск», в том числе:</t>
  </si>
  <si>
    <r>
      <t>Расходы на поддержку отрасли культуры в рамках подпрограммы «Сохранение культурного наследия» муниципальной программы «Культура муниципального образования город Дивногорск»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Комплектование книжных фондов (федеральный бюджет)</t>
    </r>
  </si>
  <si>
    <r>
      <t>Расходы на поддержку отрасли культуры в рамках подпрограммы «Сохранение культурного наследия» муниципальной программы «Культура муниципального образования город Дивногорск»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Комплектование книжных фондов (краевой бюджет)</t>
    </r>
  </si>
  <si>
    <r>
      <t>Софинансирование расходов на поддержку отрасли культуры в рамках подпрограммы «Сохранение культурного наследия» муниципальной программы «Культура муниципального образования город Дивногорск»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Комплектование книжных фондов (местный бюджет)</t>
    </r>
  </si>
  <si>
    <t>Расходы на поддержку отрасли культуры в рамках подпрограммы «Сохранение культурного наследия» муниципальной программы «Культура муниципального образования город Дивногорск» Расходы на подключение общедоступных библиотек Российской Федерации к сети Инетернет и развитие системы библиотечного дела с учетом задачи расширения информационных технологий и оцифровки краевого бюджета, поступивших из федерального бюджета (федеральный бюджет)</t>
  </si>
  <si>
    <t>Расходы на поддержку отрасли культуры в рамках подпрограммы «Сохранение культурного наследия» муниципальной программы «Культура муниципального образования город Дивногорск» Расходы на подключение общедоступных библиотек Российской Федерации к сети Инетернет и развитие системы библиотечного дела с учетом задачи расширения информационных технологий и оцифровки краевого бюджета, поступивших из федерального бюджета (краевой бюджет)</t>
  </si>
  <si>
    <t>Расходы на поддержку отрасли культуры в рамках подпрограммы «Сохранение культурного наследия» муниципальной программы «Культура муниципального образования город Дивногорск» Расходы на подключение общедоступных библиотек Российской Федерации к сети Инетернет и развитие системы библиотечного дела с учетом задачи расширения информационных технологий и оцифровки краевого бюджета, поступивших из федерального бюджета (местный бюджет)</t>
  </si>
  <si>
    <t>О3200S1380</t>
  </si>
  <si>
    <t>Средства на повышение минимальных размеров окладов (должностных окладов), ставок заработной платы работников бюджетной сферы края, которым предоставляется региональная выплата, и выплату заработной платы отдельным категориям работников бюджетной сферы края в части, соответствующей размерам заработной платы, установленным для целей расчета региональной выплаты, в связи с повышением размеров их оплаты труда в рамках подпрограммы «Обеспечение условий для поддержки дополнительного образования детей» муниципальной программы города Дивногорска «Культура муниципального образования город Дивногорск»</t>
  </si>
  <si>
    <t>О0330010230</t>
  </si>
  <si>
    <t>0340010230</t>
  </si>
  <si>
    <t xml:space="preserve">Наименование работы и ее содержание: Формирование, учет, изучение, обеспечение физического сохранения и безопасности фондов библиотек, включая оцифровку фондов     </t>
  </si>
  <si>
    <t>Перечень мероприятий подпрограммы "Сохранение культурного наследия" с указанием объема средств на их реализацию и ожидаемых результатов</t>
  </si>
  <si>
    <t>Показатель объема услуги:  количество посещений (число  посетителей  - с 2019 года)</t>
  </si>
  <si>
    <t>Показатель объема услуги: количество зрителей (число зрителей  - с 2019 года)</t>
  </si>
  <si>
    <t xml:space="preserve">Показатель объема работы: число экскурсий </t>
  </si>
  <si>
    <t>0340010490</t>
  </si>
  <si>
    <t>Средства 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«Обеспечение условий для поддержки дополнительного образования детей» муниципальной программы города Дивногорска «Культура муниципального образования город Дивногорск»</t>
  </si>
  <si>
    <t>О0330010490</t>
  </si>
  <si>
    <t>О0330010480</t>
  </si>
  <si>
    <t>0310010480</t>
  </si>
  <si>
    <t>0320010480</t>
  </si>
  <si>
    <t>Расходы на повышение размеров оплаты труда отдельным категориям работников бюджетной сферы, для которых указами Президента Российской Федерации предусмотрено повышение оплаты труда, в рамках подпрограммы "Сохранение культурного наследия" муниципальной программы "Культура муниципального образования город Дивногорск"</t>
  </si>
  <si>
    <t>03100L5192</t>
  </si>
  <si>
    <t>Расходы на развитие и укрепление материально-технической базы, осуществление ремонтных работ (текущего ремонта) зданий муниципальных учреждений культуры клубного типа в населенных пунктах с числом жителей до 50 тысяч человек в рамках подпрограммы «Поддержка искусства и народного творчества» муниципальной программы «Культура муниципального образования город Дивногорск», в том числе:</t>
  </si>
  <si>
    <t>Расходы на развитие и укрепление материально-технической базы, осуществление ремонтных работ (текущего ремонта) зданий муниципальных учреждений культуры клубного типа в населенных пунктах с числом жителей до 50 тысяч человек в рамках подпрограммы «Поддержка искусства и народного творчества» муниципальной программы «Культура муниципального образования город Дивногорск», (федеральный бюджет)</t>
  </si>
  <si>
    <t>Расходы на развитие и укрепление материально-технической базы, осуществление ремонтных работ (текущего ремонта) зданий муниципальных учреждений культуры клубного типа в населенных пунктах с числом жителей до 50 тысяч человек в рамках подпрограммы «Поддержка искусства и народного творчества» муниципальной программы «Культура муниципального образования город Дивногорск», (краевой бюджет)</t>
  </si>
  <si>
    <t>Расходы на развитие и укрепление материально-технической базы, осуществление ремонтных работ (текущего ремонта) зданий муниципальных учреждений культуры клубного типа в населенных пунктах с числом жителей до 50 тысяч человек в рамках подпрограммы «Поддержка искусства и народного творчества» муниципальной программы «Культура муниципального образования город Дивногорск», (местный бюджет)</t>
  </si>
  <si>
    <t>Средства 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для поддержки дополнительного образования детей" муниципальной программы города Дивногорска "Культура муниципального образования город Дивногорск"</t>
  </si>
  <si>
    <t>4.0.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</si>
  <si>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"Сохранение культурного наследия" муниципальной программы "Культура муниципального образования город Дивногорск"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</si>
  <si>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"Сохранение культурного наследия" муниципальной программы "Культура муниципального образования город Дивногорск"</t>
  </si>
  <si>
    <t>0310078400</t>
  </si>
  <si>
    <t>03100S8400</t>
  </si>
  <si>
    <t>О033001036U</t>
  </si>
  <si>
    <t>Частичное финансирование (возмещение) расходов на повышение с 1 июня 2020 года размеров оплаты труда отдельным категориям работников бюджетной сферы в рамках подпрограммы "Поддержка Обеспечение условий для поддержки дополнительного образования детей" муниципальной программы "Культура муниципального образования город Дивногорск"</t>
  </si>
  <si>
    <t>034001036W</t>
  </si>
  <si>
    <t>034001036Z</t>
  </si>
  <si>
    <t>034001036U</t>
  </si>
  <si>
    <t>1.31</t>
  </si>
  <si>
    <t>1.32</t>
  </si>
  <si>
    <t>Расходы на создание (реконструкцию) и капитальный ремонт культурно-досуговых учреждений в сельской местности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</si>
  <si>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Расходы на создание (реконструкцию) и капитальный ремонт культурно-досуговых учреждений в сельской местности в рамках подпрограммы "Поддержка искусства и народного творчества" муниципальной программы "Культура муниципального образования город Дивногорск" (софинансирование)</t>
  </si>
  <si>
    <t>032A174840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</si>
  <si>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</si>
  <si>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</si>
  <si>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</si>
  <si>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</si>
  <si>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</si>
  <si>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</si>
  <si>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</si>
  <si>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</si>
  <si>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</si>
  <si>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</si>
  <si>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</si>
  <si>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</si>
  <si>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</si>
  <si>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</si>
  <si>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</si>
  <si>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</si>
  <si>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2.7</t>
  </si>
  <si>
    <t>Внебюджетные источники финансирования</t>
  </si>
  <si>
    <t>0000000000</t>
  </si>
  <si>
    <t>1.33</t>
  </si>
  <si>
    <t>2.8</t>
  </si>
  <si>
    <t>Обеспечение деятельности (оказание услуг) подведомственных музейных учреждений в рамках подпрограммы "Сохранение культурного наследия" муниципальной программы города Дивногорска "Культура муниципального образования город Дивногорск"</t>
  </si>
  <si>
    <t>Расходы на государственную поддержку художественных народных ремесел и декоративно-прикладного искусства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</si>
  <si>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0320021380</t>
  </si>
  <si>
    <t>1.35</t>
  </si>
  <si>
    <t>Софинансирование расходов на государственную поддержку художественных народных ремесел и декоративно-прикладного искусства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</si>
  <si>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03200S1380</t>
  </si>
  <si>
    <t>1.1.17</t>
  </si>
  <si>
    <t>Наименование услуги и ее содержание: Реализация дополнительных  общеразвивающих программ (персонифицированное финансирование). Художественная программа</t>
  </si>
  <si>
    <t>0330010350</t>
  </si>
  <si>
    <t>Частичное финансирование (возмещение) расходов на повышение с 1 октября 2020 года размеров оплаты труда отдельным категориям работников бюджетной сферы в рамках подпрограммы "Обеспечение условий для поддержки дополнительного образования детей" муниципальной программы "Культура муниципального образования город Дивногорск"</t>
  </si>
  <si>
    <t>034001035W</t>
  </si>
  <si>
    <t>0340010350</t>
  </si>
  <si>
    <t>031008064Т</t>
  </si>
  <si>
    <t>031008064Z</t>
  </si>
  <si>
    <t>031008063Т</t>
  </si>
  <si>
    <t>031008063Z</t>
  </si>
  <si>
    <t>Мероприятия, направленные на поддержку и развитие добровольчества (волонтерства) в сфере культуры</t>
  </si>
  <si>
    <t>1.34</t>
  </si>
  <si>
    <t>1.36</t>
  </si>
  <si>
    <t>032008061Т</t>
  </si>
  <si>
    <t>032008061Z</t>
  </si>
  <si>
    <t>033008062T</t>
  </si>
  <si>
    <t>033008062Z</t>
  </si>
  <si>
    <t>Расходы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в рамках подпрограммы "Сохранение культурного наследия" муниципальной программы "Культура муниципального образования город Дивногорск"</t>
  </si>
  <si>
    <t>03100077440</t>
  </si>
  <si>
    <t>031A354530</t>
  </si>
  <si>
    <t>Расходы на создание виртуальных концертных залов в рамках подпрограммы "Сохранение культурного наследия" муниципальной программы города Дивногорска "Культура муниципального образования город Дивногорск"</t>
  </si>
  <si>
    <t>Показатель объема работы: количество мероприятий (количество участников мероприятий - с 2019 года)</t>
  </si>
  <si>
    <t>2.9</t>
  </si>
  <si>
    <t>0310021380</t>
  </si>
  <si>
    <t>Расходы на государственную поддержку художественных народных ремесел и декоративно-прикладного искусства в рамках подпрограммы "Сохранение культурного наследия" муниципальной программы "Культура муниципального образования город Дивногорск"</t>
  </si>
  <si>
    <t>2.10</t>
  </si>
  <si>
    <t>03100S1380</t>
  </si>
  <si>
    <t>Культура муниципального образования город Дивногорск</t>
  </si>
  <si>
    <t>Культура муниципального образования горо Дивногорск</t>
  </si>
  <si>
    <t>Наименование услуги и ее содержание: Реализация дополнительных общеразвивающих программ</t>
  </si>
  <si>
    <t>Наименование услуги и ее содержание: Реализация дополнительных предпрофессиональных программ в области искусств</t>
  </si>
  <si>
    <t>Интернет в библиотеке-филиале №6                           п. Слизнево в 2019 году, в библиотеке-филиале № 5 п. Усть-Мана в 2020 году</t>
  </si>
  <si>
    <t xml:space="preserve">Ремонт внутренних помещений, крыльца и фасада здания художественного музея, благоустройство прилегающей территории </t>
  </si>
  <si>
    <t>Перечень мероприятий подпрограммы «Поддержка искусства и народного творчества» с указанием объема средств на их реализацию и ожидаемых результатов</t>
  </si>
  <si>
    <t>Приобретение ткацкого станка, ноутбука, плоттера, шкафа-витрины в клуб-филиал п. Усть-Мана в 2020 году.</t>
  </si>
  <si>
    <t>Перечень мероприятий подпрограммы «Обеспечение реализации муниципальной программы и прочие мероприятия» с указанием объема средств на их реализацию и ожидаемых результатов</t>
  </si>
  <si>
    <t>2024    год</t>
  </si>
  <si>
    <t xml:space="preserve">Сохранение, пополнение и эффективное использование архивных документов </t>
  </si>
  <si>
    <t>Приложение № 2 к подпрограмме ««Развитие архивного дела в муниципальном образовании город Дивногорск», реализуемой в рамках муниципальной программы "Культура муниципального образования город Дивногорск"</t>
  </si>
  <si>
    <t>Государственная поддержка отрасли культура (модернизация библиотек в части комплектования книжных фондов) в рамках подпрограммы "Сохранение культурного наследия" муниципальной программы "Культура муниципального образования город Дивногорск", в том числе:</t>
  </si>
  <si>
    <t>Государственная поддержка отрасли культура (модернизация библиотек в части комплектования книжных фондов) в рамках подпрограммы "Сохранение культурного наследия" муниципальной программы "Культура муниципального образования город Дивногорск" (федеральный бюджет)</t>
  </si>
  <si>
    <t>Государственная поддержка отрасли культура (модернизация библиотек в части комплектования книжных фондов) в рамках подпрограммы "Сохранение культурного наследия" муниципальной программы "Культура муниципального образования город Дивногорск"(краевой бюджет)</t>
  </si>
  <si>
    <t>Государственная поддержка отрасли культура (модернизация библиотек в части комплектования книжных фондов) в рамках подпрограммы "Сохранение культурного наследия" муниципальной программы "Культура муниципального образования город Дивногорск" (местный бюджет)</t>
  </si>
  <si>
    <t>В библиотеке-музее В.П. Астафьева проведены работы по замене оконных блоков в 2021 году</t>
  </si>
  <si>
    <t>Для студии "Береста" музея приобретено оборудование и расходные материалы</t>
  </si>
  <si>
    <t xml:space="preserve"> Задача: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</t>
  </si>
  <si>
    <t xml:space="preserve">Перечень мероприятий подпрограммы «Развитие внутреннего и въездного туризма в муниципальном образовании город Дивногорск», реализуемая в рамках муниципальной программы «Культура муниципального образования город Дивногорск»
</t>
  </si>
  <si>
    <t>Цель: развитие конкурентоспособного муниципального туристского комплекса, удовлетворяющего потребности российских и иностранных граждан в качественных туристских услугах</t>
  </si>
  <si>
    <t xml:space="preserve">Задача 1. развитие туристско-рекреационного комплекса городского округа город Дивногорск;
продвижение туристского продукта историко-культурного туризма городского округа город Дивногорск на внутреннем туристском рынке
</t>
  </si>
  <si>
    <t>Расходы на организацию туристско-рекреационной зоны на территории городского округа город Дивногорск (краевой бюджет)</t>
  </si>
  <si>
    <t>Софинансирование расходов на организацию туристско-рекреационной зоны на территории городского округа город Дивногорск (местный бюджет)</t>
  </si>
  <si>
    <t>964</t>
  </si>
  <si>
    <t>0412</t>
  </si>
  <si>
    <t>0360074800</t>
  </si>
  <si>
    <t>622</t>
  </si>
  <si>
    <t>03600S4800</t>
  </si>
  <si>
    <t>Подпрограмма 6</t>
  </si>
  <si>
    <t>0360000 0360000</t>
  </si>
  <si>
    <t>Развитие внутреннего и въездного туризма в муниципальном образовании город Дивногорск</t>
  </si>
  <si>
    <t>03100L5191</t>
  </si>
  <si>
    <t>2.11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</si>
  <si>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"Сохранение культурного наследия" муниципальной программы "Культура муниципального образования город Дивногорск"</t>
  </si>
  <si>
    <t>0310074760</t>
  </si>
  <si>
    <t>2.12</t>
  </si>
  <si>
    <t>Софинансирование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"Сохранение культурного наследия" муниципальной программы "Культура муниципального образования город Дивногорск"</t>
  </si>
  <si>
    <t>03100S4760</t>
  </si>
  <si>
    <t>1.37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</si>
  <si>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</si>
  <si>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Софинансирование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</si>
  <si>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0320074760</t>
  </si>
  <si>
    <t>03200S4760</t>
  </si>
  <si>
    <t>2025   год</t>
  </si>
  <si>
    <t>Расходы, связанные с увеличением с 1 июня 2022 года региональных выплат, в рамках подпрограммы "Обеспечение условий для поддержки дополнительного образования детей" муниципальной программы города Дивногорска "Культура муниципального образования город Дивногорск"</t>
  </si>
  <si>
    <t>1.1.18</t>
  </si>
  <si>
    <t>0340010340</t>
  </si>
  <si>
    <t>0330010340</t>
  </si>
  <si>
    <t>Расходы на капитальный ремонт муниципального музея в рамках подпрограммы "Сохранение культурного наследия" муниципальной программы "Культура муниципального образования город Дивногорск"</t>
  </si>
  <si>
    <t>Расходы на капитальный ремонт муниципального музея в рамках подпрограммы "Сохранение культурного наследия" муниципальной программы "Культура муниципального образования город Дивногорск" (федерльные)</t>
  </si>
  <si>
    <t>Расходы на капитальный ремонт муниципального музея в рамках подпрограммы "Сохранение культурного наследия" муниципальной программы "Культура муниципального образования город Дивногорск" (краевые)</t>
  </si>
  <si>
    <t>Расходы на капитальный ремонт муниципального музея в рамках подпрограммы "Сохранение культурного наследия" муниципальной программы "Культура муниципального образования город Дивногорск" (местные)</t>
  </si>
  <si>
    <t>031А155970</t>
  </si>
  <si>
    <t>2.13</t>
  </si>
  <si>
    <t>2.14</t>
  </si>
  <si>
    <t>Средства субсидии за содействие развитию налогового потенциала в рамках подпрограммы "Сохранение культурного наследия" муниципальной программы города Дивногорска "Культура муниципального образования город Дивногорск"</t>
  </si>
  <si>
    <t>0310077450</t>
  </si>
  <si>
    <t>1.39</t>
  </si>
  <si>
    <t>Расходы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молодежи,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</si>
  <si>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032А274820</t>
  </si>
  <si>
    <t>Расходы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молодежи, в рамках подпрограммы "Поддержка искусства и народного творчества" муниципальной программы "Культура муниципального образования город Дивногорск" (краевые)</t>
  </si>
  <si>
    <t>Расходы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молодежи, в рамках подпрограммы "Поддержка искусства и народного творчества" муниципальной программы "Культура муниципального образования город Дивногорск" (софинансирование)</t>
  </si>
  <si>
    <t>2026   год</t>
  </si>
  <si>
    <t>комплектование книжных фондов муниципальных библиотек</t>
  </si>
  <si>
    <t>Создание виртуального концертного зала в Центральной Городской библиотеке им. В.Н. Белкина в 2022 году</t>
  </si>
  <si>
    <t>Количество посетителей составит  242,67 тыс. чел.</t>
  </si>
  <si>
    <t xml:space="preserve">Для студии "Береста" музея приобретено оборудование и расходные материалы в 2022 году. </t>
  </si>
  <si>
    <t>Цель: сохранение и эффективное использование  культурного наследия муниципального образования город Дивногорск</t>
  </si>
  <si>
    <t>Цель: обеспечение доступа населения муниципального образования  к культурным благам и участию в культурной жизни</t>
  </si>
  <si>
    <t>Приобретение звукового оборудования (радиосистема с дввумя ручными микрофонами, активная акустическая система, микшерный пульт, пассивный ди-бокс, проектор и экран на штативе) в клуб-филиал п. Усть-Мана в 2019. Приобретение в 2020 году концертного рояля. Текущий ремонт крыльца запасного противопожарного выхода клуба-филиала п. Усть-Мана в 2021 году. Ремонт помещений 1- го этажа здания клуба с. Овсянка и приобретение кресел в зрительный зал клуба п. Усть-Мана в 2022 году.</t>
  </si>
  <si>
    <t>Приобретение расходных материалов для формирования "Юный мастер" клуба п. Усть-Мана.</t>
  </si>
  <si>
    <t>Приобретение музыкального инструмента для клубного формирования ГДК "Энергетик".</t>
  </si>
  <si>
    <t xml:space="preserve">Цель: обеспечение поступательного развития муниципальной системы дополнительного образования детей в области культуры </t>
  </si>
  <si>
    <t>Задача 1. создание в системе дополнительного образования детей равных возможностей для современного качественного образования</t>
  </si>
  <si>
    <t>Число обучающихся составит  529 чел.</t>
  </si>
  <si>
    <t xml:space="preserve">Цель: создание условий для устойчивого развития отрасли «культура» в муниципальном образовании </t>
  </si>
  <si>
    <t>создание 2 туристско-рекреационных зон</t>
  </si>
  <si>
    <t>Капитальный ремонт кровли здания художественного музея в 2023 году.</t>
  </si>
  <si>
    <t>3.10</t>
  </si>
  <si>
    <t>1.1.19</t>
  </si>
  <si>
    <t>Средства субсидии за содействие развитию налогового потенциала в рамках подпрограммы "Обеспечение условий для поддержки дополнительного образования детей" муниципальной программы города Дивногорска "Культура муниципального образования город Дивногорск"</t>
  </si>
  <si>
    <t>0330077450</t>
  </si>
  <si>
    <t>0310010330</t>
  </si>
  <si>
    <t>Расходы на увеличение размеров оплаты труда работников муниципальных учреждений культуры в рамках подпрограммы "Сохранение культурного наследия" муниципальной программы "Культура муниципального образования город Дивногорск"</t>
  </si>
  <si>
    <t>2.15</t>
  </si>
  <si>
    <t>2.16</t>
  </si>
  <si>
    <t>2.17</t>
  </si>
  <si>
    <t>2.18</t>
  </si>
  <si>
    <t>1.38</t>
  </si>
  <si>
    <t>1.40</t>
  </si>
  <si>
    <t>1.41</t>
  </si>
  <si>
    <t>1.42</t>
  </si>
  <si>
    <t>1.43</t>
  </si>
  <si>
    <t>1.44</t>
  </si>
  <si>
    <t>1.45</t>
  </si>
  <si>
    <t>0320010330</t>
  </si>
  <si>
    <t>Расходы на увеличение размеров оплаты труда работников муниципальных учреждений культуры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</si>
  <si>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 в рамках подпрограммы "Сохранение культурного наследия" муниципальной программы "Культура муниципального образования город Дивногорск"</t>
  </si>
  <si>
    <t>1.46</t>
  </si>
  <si>
    <t>1.47</t>
  </si>
  <si>
    <t>Расходы, направленные на реализацию мероприятий по поддержке местных инициатив,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</si>
  <si>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Софинансирование расходов, направленных на реализацию мероприятий по поддержке местных инициатив,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</si>
  <si>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Расходы на организацию туристско-рекреационной зоны на территории городского округа город Дивногорск в рамках подпрограммы развитие внутреннего и въездного туризма (краевой бюджет)</t>
  </si>
  <si>
    <t>Софинансирование расходов на организацию туристско-рекреационной зоны на территории городского округа город Дивногорск в рамках подпрограммы развитие внутреннего и въездного туризма (местный бюджет)</t>
  </si>
  <si>
    <t>938</t>
  </si>
  <si>
    <t>244</t>
  </si>
  <si>
    <t>Наименование работы и ее содержание: Организация и проведение культурно-массовых мероприятий</t>
  </si>
  <si>
    <t>Показатель объема работы:  количество клубных объединений и кружков  (число участников до  2018 года, количество посещений с 2019 года, с 2024 года - число участников)</t>
  </si>
  <si>
    <t>Модернизация внутренних помещений Библиотеки-музея В.ПА. Астафьева</t>
  </si>
  <si>
    <t xml:space="preserve">Развитие внутреннего и въездного туризма
</t>
  </si>
  <si>
    <t xml:space="preserve">Отдел физической культуры, спорта и молодежной политики администрации г.Дивногорска </t>
  </si>
  <si>
    <t>МКУ "УСГХ"</t>
  </si>
  <si>
    <t>Отдел физической культуры, спорта и молодежной политики администрации г.Дивногорска , МКУ "УСГХ"</t>
  </si>
  <si>
    <t>1.48</t>
  </si>
  <si>
    <t>1.49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</si>
  <si>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"Поддержка искусства и народного творчества"! муниципальной программы "Культура муниципального образования город Дивногорск"</t>
  </si>
  <si>
    <t>Софинансирование расходов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</si>
  <si>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0320074720</t>
  </si>
  <si>
    <t>03200S4720</t>
  </si>
  <si>
    <t>0360088940</t>
  </si>
  <si>
    <t>Расходы для участия в конкурсе самых красивых деревень и городов России в рамках подпрограммы «Развитие внутреннего и въездного туризма» муниципальной программы города Дивногорска «Культура муниципального образования город Дивногорск»</t>
  </si>
  <si>
    <t>Отдел культуры</t>
  </si>
  <si>
    <t>0412, 0503, 0113</t>
  </si>
  <si>
    <t>0320076410</t>
  </si>
  <si>
    <t>03200S6410</t>
  </si>
  <si>
    <t>Итого на 
2014 -2027 годы</t>
  </si>
  <si>
    <t>Итого на 2014 -2027 годы</t>
  </si>
  <si>
    <t>2027   год</t>
  </si>
  <si>
    <t>Итого на  
2014-2027 годы</t>
  </si>
  <si>
    <t>Информация о распределении планируемых расходов  
по отдельным мероприятиям программы, подпрограммам муниципальной программы «Культура муниципального образования город Дивногорск» на  2014-2027 годы</t>
  </si>
  <si>
    <t xml:space="preserve">Информация о ресурсном обеспечении и прогнозной оценке расходов на реализацию целей 
муниципальной программы «Культура муниципального образования город Дивногорск» на  2014-2027 годы с учетом источников финансирования, 
в том числе средств федерального бюджета </t>
  </si>
  <si>
    <t>1.50</t>
  </si>
  <si>
    <t>Расходы, направленные на реализацию мероприятий по поддержке местных инициатив за счет средств местного бюджета, дополнительных поступлений от юридических и физических лиц, в рамках подпрограммы "Поддержка искусства и народного творчества" муниципальной программы "Культура муниципального образования город Дивногорск"</t>
  </si>
  <si>
    <t>0320086410</t>
  </si>
  <si>
    <t>938,  956,  964</t>
  </si>
  <si>
    <t>938, 956,  964</t>
  </si>
  <si>
    <t>0340010320</t>
  </si>
  <si>
    <t>Модернизация внутренних помещений Библиотеки-музея В.ПА. Астафьева в 2024 году</t>
  </si>
  <si>
    <t>Капитальный ремонт кровли здания клуба-филиала с. Овсянка в 2020 году. Капитальный ремонт помещений санитарных узлов, расположенных в левом крыле на 1-ом этаже здания МБУК ГДК "Энергетик" в 2021 году. Капитальный ремонт кровли здания ГДК "Энергетик".</t>
  </si>
  <si>
    <t>Приобретение в зрительный зал  клуба с. Овсянка одежды сцены, звукового оборудования. Устройство в здании клуба п. Слизнево туалета и проведение водопровода.</t>
  </si>
  <si>
    <t>Приобретение светового оборудования Большой зал ГДК "Энергетик"</t>
  </si>
  <si>
    <t>разработка ПСД на благоустройство набережной реки Мана поселков Усть-Мана и Манский в 2024 году</t>
  </si>
  <si>
    <t>О340010240</t>
  </si>
  <si>
    <t>1.51</t>
  </si>
  <si>
    <t>1.52</t>
  </si>
  <si>
    <t>0320076930</t>
  </si>
  <si>
    <t>Расходы на поддержку и продвижение событийных мероприятий на территории края с количеством посетителей не менее 1 тысячи человек в рамках подпрограммы "Поддержка искусства и народного творчества" муниципальной программы города Дивногорска "Культура муниципального образования город Дивногорск" (краевые)</t>
  </si>
  <si>
    <t>1.53</t>
  </si>
  <si>
    <t>Расходы на поддержку и продвижение событийных мероприятий на территории края с количеством посетителей не менее 1 тысячи человек в рамках подпрограммы "Поддержка искусства и народного творчества" муниципальной программы города Дивногорска "Культура муниципального образования город Дивногорск" (местные)</t>
  </si>
  <si>
    <t>1.54</t>
  </si>
  <si>
    <t>1.55</t>
  </si>
  <si>
    <t>Расходы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молодежив рамках подпрограммы "Поддержка искусства и народного творчества" муниципальной программы города Дивногорска "Культура муниципального образования город Дивногорск" (краевые)</t>
  </si>
  <si>
    <t>Расходы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молодежив рамках подпрограммы "Поддержка искусства и народного творчества" муниципальной программы города Дивногорска "Культура муниципального образования город Дивногорск" (местные)</t>
  </si>
  <si>
    <t>03200S4820</t>
  </si>
  <si>
    <t xml:space="preserve">                                                                                       Приложение № 4 к муниципальной программе «Культура муниципального образования город Дивногорск» </t>
  </si>
  <si>
    <t>Приложение № 3 к муниципальной  программе «Культура муниципального образования город Дивногорск»</t>
  </si>
  <si>
    <t>и.о. начальника</t>
  </si>
  <si>
    <t>М.С. Панова</t>
  </si>
  <si>
    <t xml:space="preserve">и.о. начальника </t>
  </si>
  <si>
    <t xml:space="preserve">  Приложение № 6 к муниципальной программе "Культура муниципального образования город Дивногорск"</t>
  </si>
  <si>
    <t xml:space="preserve">  Приложение № 2 к подпрограмме «Сохранение культурного наследия», реализуемой в рамках муниципальной  программы «Культура муниципального образования город Дивногорск» </t>
  </si>
  <si>
    <t xml:space="preserve">Приложение № 2 к подпрограмме «Поддержка искусства и народного творчества», реализуемой в рамках муниципальной программы «Культура муниципального образования город Дивногорск» </t>
  </si>
  <si>
    <t xml:space="preserve">Приложение № 2 к подпрограмме «Обеспечение условий для поддержки дополнительного образования детей», реализуемой в рамках муниципальной программы «Культура муниципального образования город Дивногорск» </t>
  </si>
  <si>
    <t>Перечень мероприятий подпрограммы "Обеспечение условий для поддержки дополнительного образования детей"</t>
  </si>
  <si>
    <t xml:space="preserve">Приложение № 2 к подпрограмме «Обеспечение реализации муниципальной программы и прочие мероприятия», реализуемой в рамках муниципальной программы «Культура муниципального образования город Дивногорск» </t>
  </si>
  <si>
    <t>Приложение № 2 к подпрограмме "Развитие внутреннего и въездного туризма», реализуемой в рамках муниципальной программы «Культура муниципального образования город Дивногорск"</t>
  </si>
  <si>
    <t>и.о .начальника</t>
  </si>
  <si>
    <t>Количество посетителей составит    2 707,315  тыс. чел.</t>
  </si>
  <si>
    <t>Количество посетителей  составит 1399,265  тыс.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</si>
</sst>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4" formatCode="_-* #,##0.0_р_._-;\-* #,##0.0_р_._-;_-* \-?_р_._-;_-@_-"/>
    <numFmt numFmtId="175" formatCode="#,##0.0"/>
    <numFmt numFmtId="177" formatCode="_-* #,##0.0_р_._-;\-* #,##0.0_р_._-;_-* &quot;-&quot;?_р_._-;_-@_-"/>
    <numFmt numFmtId="178" formatCode="_-* #,##0.00_р_._-;\-* #,##0.00_р_._-;_-* \-?_р_._-;_-@_-"/>
    <numFmt numFmtId="184" formatCode="_-* #,##0.0\ _₽_-;\-* #,##0.0\ _₽_-;_-* &quot;-&quot;?\ _₽_-;_-@_-"/>
    <numFmt numFmtId="185" formatCode="#,##0.0_ ;\-#,##0.0\ "/>
    <numFmt numFmtId="187" formatCode="_-* #,##0_р_._-;\-* #,##0_р_._-;_-* \-?_р_._-;_-@_-"/>
    <numFmt numFmtId="189" formatCode="#,##0.0_р_."/>
  </numFmts>
  <fonts count="5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4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6"/>
      <color indexed="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2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0"/>
      <color rgb="FF7030A0"/>
      <name val="Arial Cyr"/>
      <family val="2"/>
      <charset val="204"/>
    </font>
    <font>
      <b/>
      <sz val="18"/>
      <color rgb="FFFF0000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 Cyr"/>
      <charset val="204"/>
    </font>
    <font>
      <sz val="9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1" fillId="0" borderId="0"/>
  </cellStyleXfs>
  <cellXfs count="984">
    <xf numFmtId="0" fontId="0" fillId="0" borderId="0" xfId="0"/>
    <xf numFmtId="17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175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49" fontId="3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74" fontId="2" fillId="0" borderId="0" xfId="0" applyNumberFormat="1" applyFont="1" applyFill="1" applyAlignment="1">
      <alignment vertical="top" wrapText="1"/>
    </xf>
    <xf numFmtId="49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74" fontId="4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wrapText="1"/>
    </xf>
    <xf numFmtId="0" fontId="6" fillId="0" borderId="0" xfId="0" applyFont="1" applyFill="1"/>
    <xf numFmtId="0" fontId="0" fillId="0" borderId="0" xfId="0" applyFill="1"/>
    <xf numFmtId="174" fontId="6" fillId="0" borderId="0" xfId="0" applyNumberFormat="1" applyFont="1" applyFill="1"/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49" fontId="12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left" vertical="top" wrapText="1"/>
    </xf>
    <xf numFmtId="174" fontId="12" fillId="0" borderId="3" xfId="0" applyNumberFormat="1" applyFont="1" applyFill="1" applyBorder="1" applyAlignment="1">
      <alignment horizontal="right" vertical="top" wrapText="1"/>
    </xf>
    <xf numFmtId="174" fontId="12" fillId="0" borderId="3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vertical="top" wrapText="1"/>
    </xf>
    <xf numFmtId="49" fontId="12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174" fontId="13" fillId="0" borderId="0" xfId="0" applyNumberFormat="1" applyFont="1" applyFill="1" applyBorder="1" applyAlignment="1">
      <alignment horizontal="right" vertical="top" wrapText="1"/>
    </xf>
    <xf numFmtId="174" fontId="12" fillId="0" borderId="0" xfId="0" applyNumberFormat="1" applyFont="1" applyFill="1" applyBorder="1" applyAlignment="1">
      <alignment horizontal="right" vertical="top" wrapText="1"/>
    </xf>
    <xf numFmtId="49" fontId="12" fillId="0" borderId="0" xfId="0" applyNumberFormat="1" applyFont="1" applyFill="1" applyAlignment="1">
      <alignment horizontal="center" vertical="top" wrapText="1"/>
    </xf>
    <xf numFmtId="0" fontId="12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 applyAlignment="1">
      <alignment horizontal="center" vertical="top" wrapText="1"/>
    </xf>
    <xf numFmtId="174" fontId="2" fillId="0" borderId="2" xfId="0" applyNumberFormat="1" applyFont="1" applyFill="1" applyBorder="1" applyAlignment="1">
      <alignment horizontal="right" vertical="top" wrapText="1"/>
    </xf>
    <xf numFmtId="174" fontId="2" fillId="0" borderId="3" xfId="0" applyNumberFormat="1" applyFont="1" applyFill="1" applyBorder="1" applyAlignment="1">
      <alignment horizontal="righ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174" fontId="2" fillId="0" borderId="0" xfId="0" applyNumberFormat="1" applyFont="1" applyFill="1" applyBorder="1" applyAlignment="1">
      <alignment horizontal="right" vertical="top" wrapText="1"/>
    </xf>
    <xf numFmtId="174" fontId="13" fillId="0" borderId="4" xfId="0" applyNumberFormat="1" applyFont="1" applyFill="1" applyBorder="1" applyAlignment="1">
      <alignment horizontal="right" vertical="top" wrapText="1"/>
    </xf>
    <xf numFmtId="0" fontId="12" fillId="0" borderId="3" xfId="0" applyFont="1" applyFill="1" applyBorder="1" applyAlignment="1">
      <alignment horizontal="center" vertical="top" wrapText="1"/>
    </xf>
    <xf numFmtId="174" fontId="12" fillId="0" borderId="3" xfId="0" applyNumberFormat="1" applyFont="1" applyFill="1" applyBorder="1" applyAlignment="1">
      <alignment horizontal="left" vertical="top" wrapText="1"/>
    </xf>
    <xf numFmtId="0" fontId="12" fillId="0" borderId="3" xfId="0" applyNumberFormat="1" applyFont="1" applyFill="1" applyBorder="1" applyAlignment="1">
      <alignment horizontal="left" vertical="top" wrapText="1"/>
    </xf>
    <xf numFmtId="175" fontId="2" fillId="0" borderId="1" xfId="1" applyNumberFormat="1" applyFont="1" applyFill="1" applyBorder="1" applyAlignment="1">
      <alignment vertical="center" wrapText="1"/>
    </xf>
    <xf numFmtId="174" fontId="4" fillId="0" borderId="2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vertical="top" wrapText="1"/>
    </xf>
    <xf numFmtId="184" fontId="2" fillId="0" borderId="1" xfId="0" applyNumberFormat="1" applyFont="1" applyFill="1" applyBorder="1" applyAlignment="1">
      <alignment horizontal="right" vertical="top" wrapText="1"/>
    </xf>
    <xf numFmtId="174" fontId="12" fillId="0" borderId="0" xfId="0" applyNumberFormat="1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 wrapText="1" indent="3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left" vertical="top" wrapText="1" indent="3"/>
    </xf>
    <xf numFmtId="0" fontId="6" fillId="0" borderId="0" xfId="0" applyFont="1" applyFill="1" applyAlignment="1"/>
    <xf numFmtId="174" fontId="0" fillId="0" borderId="0" xfId="0" applyNumberFormat="1" applyFill="1"/>
    <xf numFmtId="0" fontId="0" fillId="0" borderId="0" xfId="0" applyFont="1" applyFill="1"/>
    <xf numFmtId="0" fontId="11" fillId="0" borderId="0" xfId="0" applyFont="1" applyFill="1"/>
    <xf numFmtId="0" fontId="4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top" wrapText="1"/>
    </xf>
    <xf numFmtId="0" fontId="13" fillId="0" borderId="3" xfId="1" applyFont="1" applyFill="1" applyBorder="1" applyAlignment="1">
      <alignment wrapText="1"/>
    </xf>
    <xf numFmtId="175" fontId="2" fillId="0" borderId="4" xfId="1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74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1" fillId="0" borderId="3" xfId="0" applyFont="1" applyFill="1" applyBorder="1" applyAlignment="1">
      <alignment vertical="top" wrapText="1"/>
    </xf>
    <xf numFmtId="174" fontId="2" fillId="0" borderId="3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49" fontId="17" fillId="0" borderId="2" xfId="0" applyNumberFormat="1" applyFont="1" applyFill="1" applyBorder="1" applyAlignment="1">
      <alignment horizontal="center" vertical="top" wrapText="1"/>
    </xf>
    <xf numFmtId="174" fontId="17" fillId="0" borderId="1" xfId="0" applyNumberFormat="1" applyFont="1" applyFill="1" applyBorder="1" applyAlignment="1">
      <alignment horizontal="right" vertical="top" wrapText="1"/>
    </xf>
    <xf numFmtId="0" fontId="17" fillId="0" borderId="1" xfId="0" applyFont="1" applyFill="1" applyBorder="1" applyAlignment="1">
      <alignment horizontal="center" vertical="center" wrapText="1"/>
    </xf>
    <xf numFmtId="174" fontId="17" fillId="0" borderId="0" xfId="0" applyNumberFormat="1" applyFont="1" applyFill="1" applyAlignment="1">
      <alignment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49" fontId="17" fillId="0" borderId="5" xfId="0" applyNumberFormat="1" applyFont="1" applyFill="1" applyBorder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center" vertical="top" wrapText="1"/>
    </xf>
    <xf numFmtId="174" fontId="17" fillId="0" borderId="3" xfId="0" applyNumberFormat="1" applyFont="1" applyFill="1" applyBorder="1" applyAlignment="1">
      <alignment horizontal="right" vertical="top" wrapText="1"/>
    </xf>
    <xf numFmtId="174" fontId="17" fillId="0" borderId="0" xfId="0" applyNumberFormat="1" applyFont="1" applyFill="1" applyBorder="1" applyAlignment="1">
      <alignment horizontal="right" vertical="top" wrapText="1"/>
    </xf>
    <xf numFmtId="0" fontId="17" fillId="0" borderId="4" xfId="0" applyFont="1" applyFill="1" applyBorder="1" applyAlignment="1">
      <alignment horizontal="center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7" fillId="0" borderId="2" xfId="0" applyNumberFormat="1" applyFont="1" applyFill="1" applyBorder="1" applyAlignment="1">
      <alignment horizontal="left" vertical="top" wrapText="1"/>
    </xf>
    <xf numFmtId="49" fontId="17" fillId="0" borderId="7" xfId="0" applyNumberFormat="1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8" xfId="0" applyFont="1" applyFill="1" applyBorder="1" applyAlignment="1">
      <alignment horizontal="center" vertical="top" wrapText="1"/>
    </xf>
    <xf numFmtId="174" fontId="17" fillId="0" borderId="6" xfId="0" applyNumberFormat="1" applyFont="1" applyFill="1" applyBorder="1" applyAlignment="1">
      <alignment horizontal="right" vertical="top" wrapText="1"/>
    </xf>
    <xf numFmtId="0" fontId="17" fillId="0" borderId="2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vertical="top" wrapText="1"/>
    </xf>
    <xf numFmtId="0" fontId="18" fillId="0" borderId="6" xfId="1" applyFont="1" applyFill="1" applyBorder="1" applyAlignment="1">
      <alignment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top" wrapText="1"/>
    </xf>
    <xf numFmtId="49" fontId="17" fillId="0" borderId="3" xfId="0" applyNumberFormat="1" applyFont="1" applyFill="1" applyBorder="1" applyAlignment="1">
      <alignment vertical="top" wrapText="1"/>
    </xf>
    <xf numFmtId="0" fontId="18" fillId="0" borderId="3" xfId="0" applyFont="1" applyFill="1" applyBorder="1" applyAlignment="1">
      <alignment wrapText="1"/>
    </xf>
    <xf numFmtId="0" fontId="17" fillId="0" borderId="3" xfId="0" applyFont="1" applyFill="1" applyBorder="1" applyAlignment="1">
      <alignment horizontal="center" vertical="center" wrapText="1"/>
    </xf>
    <xf numFmtId="174" fontId="17" fillId="0" borderId="0" xfId="0" applyNumberFormat="1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177" fontId="17" fillId="0" borderId="4" xfId="0" applyNumberFormat="1" applyFont="1" applyFill="1" applyBorder="1" applyAlignment="1">
      <alignment horizontal="right" vertical="top" wrapText="1"/>
    </xf>
    <xf numFmtId="0" fontId="17" fillId="0" borderId="4" xfId="0" applyFont="1" applyFill="1" applyBorder="1" applyAlignment="1">
      <alignment horizontal="left" vertical="center" wrapText="1"/>
    </xf>
    <xf numFmtId="175" fontId="17" fillId="0" borderId="0" xfId="0" applyNumberFormat="1" applyFont="1" applyFill="1" applyAlignment="1">
      <alignment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174" fontId="17" fillId="0" borderId="1" xfId="0" applyNumberFormat="1" applyFont="1" applyFill="1" applyBorder="1" applyAlignment="1">
      <alignment vertical="top" wrapText="1"/>
    </xf>
    <xf numFmtId="49" fontId="17" fillId="0" borderId="9" xfId="0" applyNumberFormat="1" applyFont="1" applyFill="1" applyBorder="1" applyAlignment="1">
      <alignment horizontal="center" vertical="top" wrapText="1"/>
    </xf>
    <xf numFmtId="0" fontId="17" fillId="0" borderId="3" xfId="0" applyNumberFormat="1" applyFont="1" applyFill="1" applyBorder="1" applyAlignment="1">
      <alignment horizontal="left" vertical="top" wrapText="1"/>
    </xf>
    <xf numFmtId="0" fontId="42" fillId="0" borderId="0" xfId="0" applyFont="1" applyFill="1" applyAlignment="1">
      <alignment wrapText="1"/>
    </xf>
    <xf numFmtId="174" fontId="17" fillId="0" borderId="1" xfId="0" applyNumberFormat="1" applyFont="1" applyFill="1" applyBorder="1" applyAlignment="1">
      <alignment horizontal="left" vertical="top" wrapText="1"/>
    </xf>
    <xf numFmtId="174" fontId="17" fillId="0" borderId="10" xfId="0" applyNumberFormat="1" applyFont="1" applyFill="1" applyBorder="1" applyAlignment="1">
      <alignment horizontal="right" vertical="top" wrapText="1"/>
    </xf>
    <xf numFmtId="49" fontId="17" fillId="0" borderId="1" xfId="0" applyNumberFormat="1" applyFont="1" applyFill="1" applyBorder="1" applyAlignment="1">
      <alignment horizontal="right" vertical="top" wrapText="1"/>
    </xf>
    <xf numFmtId="49" fontId="17" fillId="0" borderId="0" xfId="0" applyNumberFormat="1" applyFont="1" applyFill="1" applyBorder="1" applyAlignment="1">
      <alignment horizontal="center" vertical="top" wrapText="1"/>
    </xf>
    <xf numFmtId="174" fontId="4" fillId="0" borderId="3" xfId="0" applyNumberFormat="1" applyFont="1" applyFill="1" applyBorder="1" applyAlignment="1">
      <alignment horizontal="right" vertical="top" wrapText="1"/>
    </xf>
    <xf numFmtId="185" fontId="2" fillId="0" borderId="1" xfId="0" applyNumberFormat="1" applyFont="1" applyFill="1" applyBorder="1" applyAlignment="1">
      <alignment horizontal="right" vertical="top" wrapText="1"/>
    </xf>
    <xf numFmtId="174" fontId="8" fillId="0" borderId="1" xfId="0" applyNumberFormat="1" applyFont="1" applyFill="1" applyBorder="1" applyAlignment="1">
      <alignment horizontal="right" vertical="top" wrapText="1"/>
    </xf>
    <xf numFmtId="0" fontId="17" fillId="0" borderId="11" xfId="0" applyFont="1" applyFill="1" applyBorder="1" applyAlignment="1">
      <alignment horizontal="center" vertical="top" wrapText="1"/>
    </xf>
    <xf numFmtId="175" fontId="2" fillId="2" borderId="0" xfId="0" applyNumberFormat="1" applyFont="1" applyFill="1" applyAlignment="1">
      <alignment vertical="top" wrapText="1"/>
    </xf>
    <xf numFmtId="4" fontId="2" fillId="0" borderId="1" xfId="1" applyNumberFormat="1" applyFont="1" applyFill="1" applyBorder="1" applyAlignment="1">
      <alignment vertical="center" wrapText="1"/>
    </xf>
    <xf numFmtId="4" fontId="2" fillId="2" borderId="1" xfId="1" applyNumberFormat="1" applyFont="1" applyFill="1" applyBorder="1" applyAlignment="1">
      <alignment vertical="center" wrapText="1"/>
    </xf>
    <xf numFmtId="4" fontId="2" fillId="0" borderId="4" xfId="1" applyNumberFormat="1" applyFont="1" applyFill="1" applyBorder="1" applyAlignment="1">
      <alignment vertical="center" wrapText="1"/>
    </xf>
    <xf numFmtId="4" fontId="5" fillId="0" borderId="0" xfId="1" applyNumberFormat="1" applyFont="1" applyFill="1" applyAlignment="1">
      <alignment vertical="center" wrapText="1"/>
    </xf>
    <xf numFmtId="4" fontId="2" fillId="0" borderId="2" xfId="1" applyNumberFormat="1" applyFont="1" applyFill="1" applyBorder="1" applyAlignment="1">
      <alignment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174" fontId="12" fillId="2" borderId="3" xfId="0" applyNumberFormat="1" applyFont="1" applyFill="1" applyBorder="1" applyAlignment="1">
      <alignment horizontal="right" vertical="top" wrapText="1"/>
    </xf>
    <xf numFmtId="174" fontId="13" fillId="2" borderId="4" xfId="0" applyNumberFormat="1" applyFont="1" applyFill="1" applyBorder="1" applyAlignment="1">
      <alignment horizontal="right" vertical="top" wrapText="1"/>
    </xf>
    <xf numFmtId="174" fontId="13" fillId="2" borderId="0" xfId="0" applyNumberFormat="1" applyFont="1" applyFill="1" applyBorder="1" applyAlignment="1">
      <alignment horizontal="right" vertical="top" wrapText="1"/>
    </xf>
    <xf numFmtId="184" fontId="12" fillId="2" borderId="0" xfId="0" applyNumberFormat="1" applyFont="1" applyFill="1" applyAlignment="1">
      <alignment vertical="top" wrapText="1"/>
    </xf>
    <xf numFmtId="175" fontId="17" fillId="2" borderId="0" xfId="0" applyNumberFormat="1" applyFont="1" applyFill="1" applyAlignment="1">
      <alignment vertical="top" wrapText="1"/>
    </xf>
    <xf numFmtId="0" fontId="0" fillId="2" borderId="0" xfId="0" applyFont="1" applyFill="1"/>
    <xf numFmtId="0" fontId="11" fillId="2" borderId="0" xfId="0" applyFont="1" applyFill="1"/>
    <xf numFmtId="0" fontId="0" fillId="2" borderId="0" xfId="0" applyFill="1"/>
    <xf numFmtId="175" fontId="2" fillId="0" borderId="2" xfId="3" applyNumberFormat="1" applyFont="1" applyFill="1" applyBorder="1" applyAlignment="1">
      <alignment horizontal="center" vertical="center" wrapText="1"/>
    </xf>
    <xf numFmtId="175" fontId="2" fillId="0" borderId="2" xfId="1" applyNumberFormat="1" applyFont="1" applyFill="1" applyBorder="1" applyAlignment="1">
      <alignment horizontal="center" vertical="center" wrapText="1"/>
    </xf>
    <xf numFmtId="175" fontId="2" fillId="2" borderId="2" xfId="1" applyNumberFormat="1" applyFont="1" applyFill="1" applyBorder="1" applyAlignment="1">
      <alignment horizontal="center" vertical="center" wrapText="1"/>
    </xf>
    <xf numFmtId="175" fontId="2" fillId="0" borderId="3" xfId="1" applyNumberFormat="1" applyFont="1" applyFill="1" applyBorder="1" applyAlignment="1">
      <alignment horizontal="center" vertical="center" wrapText="1"/>
    </xf>
    <xf numFmtId="175" fontId="2" fillId="0" borderId="12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Alignment="1">
      <alignment vertical="center" wrapText="1"/>
    </xf>
    <xf numFmtId="175" fontId="5" fillId="0" borderId="0" xfId="1" applyNumberFormat="1" applyFont="1" applyFill="1" applyAlignment="1">
      <alignment horizontal="center" vertical="center" wrapText="1"/>
    </xf>
    <xf numFmtId="4" fontId="5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vertical="center" wrapText="1"/>
    </xf>
    <xf numFmtId="4" fontId="2" fillId="0" borderId="0" xfId="1" applyNumberFormat="1" applyFont="1" applyFill="1" applyAlignment="1">
      <alignment vertical="center" wrapText="1"/>
    </xf>
    <xf numFmtId="4" fontId="2" fillId="2" borderId="0" xfId="1" applyNumberFormat="1" applyFont="1" applyFill="1" applyAlignment="1">
      <alignment vertical="center" wrapText="1"/>
    </xf>
    <xf numFmtId="4" fontId="2" fillId="0" borderId="11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4" fontId="2" fillId="0" borderId="14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vertical="center" wrapText="1"/>
    </xf>
    <xf numFmtId="4" fontId="5" fillId="0" borderId="3" xfId="1" applyNumberFormat="1" applyFont="1" applyFill="1" applyBorder="1" applyAlignment="1">
      <alignment vertical="center" wrapText="1"/>
    </xf>
    <xf numFmtId="4" fontId="4" fillId="0" borderId="1" xfId="3" applyNumberFormat="1" applyFont="1" applyFill="1" applyBorder="1" applyAlignment="1">
      <alignment vertical="center" wrapText="1"/>
    </xf>
    <xf numFmtId="4" fontId="2" fillId="0" borderId="10" xfId="1" applyNumberFormat="1" applyFont="1" applyFill="1" applyBorder="1" applyAlignment="1">
      <alignment vertical="center" wrapText="1"/>
    </xf>
    <xf numFmtId="4" fontId="2" fillId="0" borderId="3" xfId="1" applyNumberFormat="1" applyFont="1" applyFill="1" applyBorder="1" applyAlignment="1">
      <alignment horizontal="right"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4" fontId="2" fillId="0" borderId="4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Alignment="1">
      <alignment horizontal="right" vertical="center" wrapText="1"/>
    </xf>
    <xf numFmtId="4" fontId="4" fillId="2" borderId="4" xfId="1" applyNumberFormat="1" applyFont="1" applyFill="1" applyBorder="1" applyAlignment="1">
      <alignment vertical="center" wrapText="1"/>
    </xf>
    <xf numFmtId="4" fontId="2" fillId="2" borderId="4" xfId="1" applyNumberFormat="1" applyFont="1" applyFill="1" applyBorder="1" applyAlignment="1">
      <alignment vertical="center" wrapText="1"/>
    </xf>
    <xf numFmtId="4" fontId="5" fillId="0" borderId="14" xfId="1" applyNumberFormat="1" applyFont="1" applyFill="1" applyBorder="1" applyAlignment="1">
      <alignment vertical="center" wrapText="1"/>
    </xf>
    <xf numFmtId="4" fontId="4" fillId="2" borderId="1" xfId="1" applyNumberFormat="1" applyFont="1" applyFill="1" applyBorder="1" applyAlignment="1">
      <alignment vertical="center" wrapText="1"/>
    </xf>
    <xf numFmtId="4" fontId="4" fillId="0" borderId="2" xfId="3" applyNumberFormat="1" applyFont="1" applyFill="1" applyBorder="1" applyAlignment="1">
      <alignment vertical="center" wrapText="1"/>
    </xf>
    <xf numFmtId="4" fontId="5" fillId="0" borderId="15" xfId="1" applyNumberFormat="1" applyFont="1" applyFill="1" applyBorder="1" applyAlignment="1">
      <alignment vertical="center" wrapText="1"/>
    </xf>
    <xf numFmtId="3" fontId="17" fillId="0" borderId="1" xfId="1" applyNumberFormat="1" applyFont="1" applyFill="1" applyBorder="1" applyAlignment="1">
      <alignment vertical="center" wrapText="1"/>
    </xf>
    <xf numFmtId="3" fontId="17" fillId="0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2" fillId="0" borderId="4" xfId="1" applyNumberFormat="1" applyFont="1" applyFill="1" applyBorder="1" applyAlignment="1">
      <alignment horizontal="right" vertical="center" wrapText="1"/>
    </xf>
    <xf numFmtId="175" fontId="2" fillId="0" borderId="1" xfId="1" applyNumberFormat="1" applyFont="1" applyFill="1" applyBorder="1" applyAlignment="1">
      <alignment horizontal="right" vertical="center" wrapText="1"/>
    </xf>
    <xf numFmtId="4" fontId="4" fillId="0" borderId="4" xfId="1" applyNumberFormat="1" applyFont="1" applyFill="1" applyBorder="1" applyAlignment="1">
      <alignment vertical="center" wrapText="1"/>
    </xf>
    <xf numFmtId="175" fontId="5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vertical="center" wrapText="1"/>
    </xf>
    <xf numFmtId="4" fontId="4" fillId="0" borderId="1" xfId="3" applyNumberFormat="1" applyFont="1" applyFill="1" applyBorder="1" applyAlignment="1">
      <alignment horizontal="justify" vertical="center" wrapText="1"/>
    </xf>
    <xf numFmtId="4" fontId="2" fillId="0" borderId="16" xfId="1" applyNumberFormat="1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vertical="center" wrapText="1"/>
    </xf>
    <xf numFmtId="4" fontId="4" fillId="0" borderId="0" xfId="3" applyNumberFormat="1" applyFont="1" applyFill="1" applyBorder="1" applyAlignment="1">
      <alignment horizontal="justify" vertical="center" wrapText="1"/>
    </xf>
    <xf numFmtId="4" fontId="2" fillId="2" borderId="0" xfId="1" applyNumberFormat="1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4" fontId="6" fillId="0" borderId="0" xfId="0" applyNumberFormat="1" applyFont="1" applyFill="1" applyAlignment="1">
      <alignment vertical="center"/>
    </xf>
    <xf numFmtId="175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4" fontId="2" fillId="0" borderId="0" xfId="4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5" fillId="2" borderId="0" xfId="1" applyNumberFormat="1" applyFont="1" applyFill="1" applyAlignment="1">
      <alignment vertical="center" wrapText="1"/>
    </xf>
    <xf numFmtId="4" fontId="4" fillId="2" borderId="1" xfId="1" applyNumberFormat="1" applyFont="1" applyFill="1" applyBorder="1" applyAlignment="1">
      <alignment horizontal="left" vertical="center" wrapText="1"/>
    </xf>
    <xf numFmtId="4" fontId="2" fillId="0" borderId="10" xfId="1" applyNumberFormat="1" applyFont="1" applyFill="1" applyBorder="1" applyAlignment="1">
      <alignment horizontal="right" vertical="center" wrapText="1"/>
    </xf>
    <xf numFmtId="175" fontId="2" fillId="2" borderId="3" xfId="1" applyNumberFormat="1" applyFont="1" applyFill="1" applyBorder="1" applyAlignment="1">
      <alignment horizontal="center" vertical="center" wrapText="1"/>
    </xf>
    <xf numFmtId="4" fontId="2" fillId="2" borderId="16" xfId="1" applyNumberFormat="1" applyFont="1" applyFill="1" applyBorder="1" applyAlignment="1">
      <alignment vertical="center" wrapText="1"/>
    </xf>
    <xf numFmtId="175" fontId="5" fillId="2" borderId="0" xfId="1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174" fontId="17" fillId="2" borderId="1" xfId="0" applyNumberFormat="1" applyFont="1" applyFill="1" applyBorder="1" applyAlignment="1">
      <alignment horizontal="right" vertical="top" wrapText="1"/>
    </xf>
    <xf numFmtId="174" fontId="17" fillId="2" borderId="3" xfId="0" applyNumberFormat="1" applyFont="1" applyFill="1" applyBorder="1" applyAlignment="1">
      <alignment horizontal="right" vertical="top" wrapText="1"/>
    </xf>
    <xf numFmtId="174" fontId="17" fillId="2" borderId="6" xfId="0" applyNumberFormat="1" applyFont="1" applyFill="1" applyBorder="1" applyAlignment="1">
      <alignment horizontal="right" vertical="top" wrapText="1"/>
    </xf>
    <xf numFmtId="177" fontId="17" fillId="2" borderId="4" xfId="0" applyNumberFormat="1" applyFont="1" applyFill="1" applyBorder="1" applyAlignment="1">
      <alignment horizontal="right" vertical="top" wrapText="1"/>
    </xf>
    <xf numFmtId="174" fontId="17" fillId="2" borderId="1" xfId="0" applyNumberFormat="1" applyFont="1" applyFill="1" applyBorder="1" applyAlignment="1">
      <alignment vertical="top" wrapText="1"/>
    </xf>
    <xf numFmtId="174" fontId="17" fillId="2" borderId="0" xfId="0" applyNumberFormat="1" applyFont="1" applyFill="1" applyBorder="1" applyAlignment="1">
      <alignment horizontal="right" vertical="top" wrapText="1"/>
    </xf>
    <xf numFmtId="174" fontId="12" fillId="2" borderId="0" xfId="0" applyNumberFormat="1" applyFont="1" applyFill="1" applyAlignment="1">
      <alignment vertical="top" wrapText="1"/>
    </xf>
    <xf numFmtId="174" fontId="2" fillId="2" borderId="0" xfId="0" applyNumberFormat="1" applyFont="1" applyFill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174" fontId="2" fillId="2" borderId="3" xfId="0" applyNumberFormat="1" applyFont="1" applyFill="1" applyBorder="1" applyAlignment="1">
      <alignment horizontal="right" vertical="top" wrapText="1"/>
    </xf>
    <xf numFmtId="184" fontId="2" fillId="2" borderId="3" xfId="0" applyNumberFormat="1" applyFont="1" applyFill="1" applyBorder="1" applyAlignment="1">
      <alignment vertical="top" wrapText="1"/>
    </xf>
    <xf numFmtId="174" fontId="0" fillId="0" borderId="0" xfId="0" applyNumberFormat="1" applyFill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175" fontId="43" fillId="0" borderId="0" xfId="1" applyNumberFormat="1" applyFont="1" applyFill="1" applyAlignment="1">
      <alignment horizontal="center" vertical="center" wrapText="1"/>
    </xf>
    <xf numFmtId="175" fontId="44" fillId="0" borderId="0" xfId="0" applyNumberFormat="1" applyFont="1" applyFill="1" applyAlignment="1">
      <alignment horizontal="center" vertical="center"/>
    </xf>
    <xf numFmtId="0" fontId="45" fillId="0" borderId="0" xfId="0" applyFont="1" applyFill="1" applyAlignment="1">
      <alignment wrapText="1"/>
    </xf>
    <xf numFmtId="177" fontId="46" fillId="0" borderId="0" xfId="0" applyNumberFormat="1" applyFont="1" applyFill="1" applyAlignment="1">
      <alignment wrapText="1"/>
    </xf>
    <xf numFmtId="0" fontId="47" fillId="0" borderId="0" xfId="0" applyFont="1" applyFill="1"/>
    <xf numFmtId="177" fontId="6" fillId="3" borderId="0" xfId="0" applyNumberFormat="1" applyFont="1" applyFill="1"/>
    <xf numFmtId="175" fontId="5" fillId="2" borderId="0" xfId="1" applyNumberFormat="1" applyFont="1" applyFill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174" fontId="17" fillId="0" borderId="3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 wrapText="1"/>
    </xf>
    <xf numFmtId="0" fontId="49" fillId="0" borderId="0" xfId="0" applyFont="1" applyFill="1" applyAlignment="1">
      <alignment vertical="top" wrapText="1"/>
    </xf>
    <xf numFmtId="187" fontId="17" fillId="0" borderId="0" xfId="0" applyNumberFormat="1" applyFont="1" applyFill="1" applyBorder="1" applyAlignment="1">
      <alignment horizontal="right" vertical="top" wrapText="1"/>
    </xf>
    <xf numFmtId="0" fontId="17" fillId="2" borderId="0" xfId="0" applyNumberFormat="1" applyFont="1" applyFill="1" applyBorder="1" applyAlignment="1">
      <alignment horizontal="right" vertical="top" wrapText="1"/>
    </xf>
    <xf numFmtId="187" fontId="13" fillId="0" borderId="0" xfId="0" applyNumberFormat="1" applyFont="1" applyFill="1" applyBorder="1" applyAlignment="1">
      <alignment horizontal="right" vertical="top" wrapText="1"/>
    </xf>
    <xf numFmtId="4" fontId="5" fillId="4" borderId="0" xfId="1" applyNumberFormat="1" applyFont="1" applyFill="1" applyAlignment="1">
      <alignment horizontal="center" vertical="center" wrapText="1"/>
    </xf>
    <xf numFmtId="4" fontId="5" fillId="4" borderId="0" xfId="1" applyNumberFormat="1" applyFont="1" applyFill="1" applyAlignment="1">
      <alignment vertical="center" wrapText="1"/>
    </xf>
    <xf numFmtId="175" fontId="5" fillId="4" borderId="0" xfId="1" applyNumberFormat="1" applyFont="1" applyFill="1" applyAlignment="1">
      <alignment horizontal="center" vertical="center" wrapText="1"/>
    </xf>
    <xf numFmtId="175" fontId="43" fillId="4" borderId="0" xfId="1" applyNumberFormat="1" applyFont="1" applyFill="1" applyAlignment="1">
      <alignment horizontal="center" vertical="center" wrapText="1"/>
    </xf>
    <xf numFmtId="4" fontId="43" fillId="0" borderId="0" xfId="1" applyNumberFormat="1" applyFont="1" applyFill="1" applyAlignment="1">
      <alignment horizontal="center" vertical="center" wrapText="1"/>
    </xf>
    <xf numFmtId="4" fontId="27" fillId="0" borderId="0" xfId="1" applyNumberFormat="1" applyFont="1" applyFill="1" applyAlignment="1">
      <alignment horizontal="center" vertical="center" wrapText="1"/>
    </xf>
    <xf numFmtId="4" fontId="50" fillId="2" borderId="1" xfId="1" applyNumberFormat="1" applyFont="1" applyFill="1" applyBorder="1" applyAlignment="1">
      <alignment vertical="center" wrapText="1"/>
    </xf>
    <xf numFmtId="174" fontId="2" fillId="5" borderId="1" xfId="0" applyNumberFormat="1" applyFont="1" applyFill="1" applyBorder="1" applyAlignment="1">
      <alignment horizontal="right" vertical="top" wrapText="1"/>
    </xf>
    <xf numFmtId="177" fontId="46" fillId="5" borderId="0" xfId="0" applyNumberFormat="1" applyFont="1" applyFill="1" applyAlignment="1">
      <alignment wrapText="1"/>
    </xf>
    <xf numFmtId="184" fontId="6" fillId="0" borderId="0" xfId="0" applyNumberFormat="1" applyFont="1" applyFill="1"/>
    <xf numFmtId="4" fontId="5" fillId="6" borderId="0" xfId="1" applyNumberFormat="1" applyFont="1" applyFill="1" applyAlignment="1">
      <alignment vertical="center" wrapText="1"/>
    </xf>
    <xf numFmtId="4" fontId="2" fillId="6" borderId="4" xfId="1" applyNumberFormat="1" applyFont="1" applyFill="1" applyBorder="1" applyAlignment="1">
      <alignment horizontal="center" vertical="center" wrapText="1"/>
    </xf>
    <xf numFmtId="4" fontId="5" fillId="6" borderId="3" xfId="1" applyNumberFormat="1" applyFont="1" applyFill="1" applyBorder="1" applyAlignment="1">
      <alignment vertical="center" wrapText="1"/>
    </xf>
    <xf numFmtId="4" fontId="50" fillId="6" borderId="4" xfId="1" applyNumberFormat="1" applyFont="1" applyFill="1" applyBorder="1" applyAlignment="1">
      <alignment horizontal="right" vertical="center" wrapText="1"/>
    </xf>
    <xf numFmtId="4" fontId="50" fillId="6" borderId="1" xfId="1" applyNumberFormat="1" applyFont="1" applyFill="1" applyBorder="1" applyAlignment="1">
      <alignment horizontal="right" vertical="center" wrapText="1"/>
    </xf>
    <xf numFmtId="4" fontId="2" fillId="6" borderId="4" xfId="1" applyNumberFormat="1" applyFont="1" applyFill="1" applyBorder="1" applyAlignment="1">
      <alignment horizontal="right" vertical="center" wrapText="1"/>
    </xf>
    <xf numFmtId="4" fontId="2" fillId="6" borderId="1" xfId="1" applyNumberFormat="1" applyFont="1" applyFill="1" applyBorder="1" applyAlignment="1">
      <alignment horizontal="right" vertical="center" wrapText="1"/>
    </xf>
    <xf numFmtId="4" fontId="5" fillId="6" borderId="14" xfId="1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center" wrapText="1"/>
    </xf>
    <xf numFmtId="4" fontId="50" fillId="6" borderId="1" xfId="1" applyNumberFormat="1" applyFont="1" applyFill="1" applyBorder="1" applyAlignment="1">
      <alignment vertical="center" wrapText="1"/>
    </xf>
    <xf numFmtId="4" fontId="2" fillId="6" borderId="2" xfId="1" applyNumberFormat="1" applyFont="1" applyFill="1" applyBorder="1" applyAlignment="1">
      <alignment vertical="center" wrapText="1"/>
    </xf>
    <xf numFmtId="175" fontId="2" fillId="6" borderId="3" xfId="1" applyNumberFormat="1" applyFont="1" applyFill="1" applyBorder="1" applyAlignment="1">
      <alignment horizontal="center" vertical="center" wrapText="1"/>
    </xf>
    <xf numFmtId="175" fontId="2" fillId="6" borderId="12" xfId="1" applyNumberFormat="1" applyFont="1" applyFill="1" applyBorder="1" applyAlignment="1">
      <alignment horizontal="center" vertical="center" wrapText="1"/>
    </xf>
    <xf numFmtId="4" fontId="5" fillId="6" borderId="15" xfId="1" applyNumberFormat="1" applyFont="1" applyFill="1" applyBorder="1" applyAlignment="1">
      <alignment vertical="center" wrapText="1"/>
    </xf>
    <xf numFmtId="175" fontId="2" fillId="6" borderId="2" xfId="1" applyNumberFormat="1" applyFont="1" applyFill="1" applyBorder="1" applyAlignment="1">
      <alignment horizontal="center" vertical="center" wrapText="1"/>
    </xf>
    <xf numFmtId="4" fontId="2" fillId="6" borderId="3" xfId="1" applyNumberFormat="1" applyFont="1" applyFill="1" applyBorder="1" applyAlignment="1">
      <alignment horizontal="center" vertical="center" wrapText="1"/>
    </xf>
    <xf numFmtId="175" fontId="50" fillId="6" borderId="2" xfId="1" applyNumberFormat="1" applyFont="1" applyFill="1" applyBorder="1" applyAlignment="1">
      <alignment horizontal="center" vertical="center" wrapText="1"/>
    </xf>
    <xf numFmtId="3" fontId="2" fillId="6" borderId="4" xfId="1" applyNumberFormat="1" applyFont="1" applyFill="1" applyBorder="1" applyAlignment="1">
      <alignment horizontal="right" vertical="center" wrapText="1"/>
    </xf>
    <xf numFmtId="3" fontId="2" fillId="6" borderId="1" xfId="1" applyNumberFormat="1" applyFont="1" applyFill="1" applyBorder="1" applyAlignment="1">
      <alignment horizontal="right" vertical="center" wrapText="1"/>
    </xf>
    <xf numFmtId="175" fontId="2" fillId="6" borderId="1" xfId="1" applyNumberFormat="1" applyFont="1" applyFill="1" applyBorder="1" applyAlignment="1">
      <alignment horizontal="right" vertical="center" wrapText="1"/>
    </xf>
    <xf numFmtId="175" fontId="2" fillId="6" borderId="1" xfId="1" applyNumberFormat="1" applyFont="1" applyFill="1" applyBorder="1" applyAlignment="1">
      <alignment vertical="center" wrapText="1"/>
    </xf>
    <xf numFmtId="4" fontId="2" fillId="6" borderId="0" xfId="1" applyNumberFormat="1" applyFont="1" applyFill="1" applyBorder="1" applyAlignment="1">
      <alignment vertical="center" wrapText="1"/>
    </xf>
    <xf numFmtId="4" fontId="6" fillId="6" borderId="0" xfId="0" applyNumberFormat="1" applyFont="1" applyFill="1" applyAlignment="1">
      <alignment vertical="center"/>
    </xf>
    <xf numFmtId="175" fontId="5" fillId="0" borderId="17" xfId="1" applyNumberFormat="1" applyFont="1" applyFill="1" applyBorder="1" applyAlignment="1">
      <alignment horizontal="center" vertical="center" wrapText="1"/>
    </xf>
    <xf numFmtId="3" fontId="5" fillId="0" borderId="18" xfId="1" applyNumberFormat="1" applyFont="1" applyFill="1" applyBorder="1" applyAlignment="1">
      <alignment horizontal="center" vertical="center" wrapText="1"/>
    </xf>
    <xf numFmtId="175" fontId="43" fillId="0" borderId="18" xfId="1" applyNumberFormat="1" applyFont="1" applyFill="1" applyBorder="1" applyAlignment="1">
      <alignment horizontal="center" vertical="center" wrapText="1"/>
    </xf>
    <xf numFmtId="175" fontId="5" fillId="0" borderId="19" xfId="1" applyNumberFormat="1" applyFont="1" applyFill="1" applyBorder="1" applyAlignment="1">
      <alignment horizontal="center" vertical="center" wrapText="1"/>
    </xf>
    <xf numFmtId="175" fontId="43" fillId="0" borderId="0" xfId="1" applyNumberFormat="1" applyFont="1" applyFill="1" applyBorder="1" applyAlignment="1">
      <alignment horizontal="center" vertical="center" wrapText="1"/>
    </xf>
    <xf numFmtId="4" fontId="27" fillId="0" borderId="20" xfId="1" applyNumberFormat="1" applyFont="1" applyFill="1" applyBorder="1" applyAlignment="1">
      <alignment horizontal="center" vertical="center" wrapText="1"/>
    </xf>
    <xf numFmtId="175" fontId="5" fillId="2" borderId="21" xfId="1" applyNumberFormat="1" applyFont="1" applyFill="1" applyBorder="1" applyAlignment="1">
      <alignment horizontal="center" vertical="center" wrapText="1"/>
    </xf>
    <xf numFmtId="175" fontId="5" fillId="2" borderId="0" xfId="1" applyNumberFormat="1" applyFont="1" applyFill="1" applyBorder="1" applyAlignment="1">
      <alignment horizontal="center" vertical="center" wrapText="1"/>
    </xf>
    <xf numFmtId="175" fontId="5" fillId="4" borderId="20" xfId="1" applyNumberFormat="1" applyFont="1" applyFill="1" applyBorder="1" applyAlignment="1">
      <alignment horizontal="center" vertical="center" wrapText="1"/>
    </xf>
    <xf numFmtId="175" fontId="5" fillId="2" borderId="22" xfId="1" applyNumberFormat="1" applyFont="1" applyFill="1" applyBorder="1" applyAlignment="1">
      <alignment horizontal="center" vertical="center" wrapText="1"/>
    </xf>
    <xf numFmtId="175" fontId="5" fillId="0" borderId="23" xfId="1" applyNumberFormat="1" applyFont="1" applyFill="1" applyBorder="1" applyAlignment="1">
      <alignment horizontal="center" vertical="center" wrapText="1"/>
    </xf>
    <xf numFmtId="175" fontId="43" fillId="0" borderId="23" xfId="1" applyNumberFormat="1" applyFont="1" applyFill="1" applyBorder="1" applyAlignment="1">
      <alignment horizontal="center" vertical="center" wrapText="1"/>
    </xf>
    <xf numFmtId="175" fontId="5" fillId="0" borderId="24" xfId="1" applyNumberFormat="1" applyFont="1" applyFill="1" applyBorder="1" applyAlignment="1">
      <alignment horizontal="center" vertical="center" wrapText="1"/>
    </xf>
    <xf numFmtId="184" fontId="2" fillId="0" borderId="0" xfId="0" applyNumberFormat="1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top" wrapText="1"/>
    </xf>
    <xf numFmtId="174" fontId="8" fillId="5" borderId="1" xfId="0" applyNumberFormat="1" applyFont="1" applyFill="1" applyBorder="1" applyAlignment="1">
      <alignment horizontal="right" vertical="top" wrapText="1"/>
    </xf>
    <xf numFmtId="185" fontId="8" fillId="5" borderId="1" xfId="0" applyNumberFormat="1" applyFont="1" applyFill="1" applyBorder="1" applyAlignment="1">
      <alignment horizontal="right" vertical="top" wrapText="1"/>
    </xf>
    <xf numFmtId="174" fontId="51" fillId="5" borderId="0" xfId="0" applyNumberFormat="1" applyFont="1" applyFill="1" applyBorder="1" applyAlignment="1">
      <alignment horizontal="right" vertical="top" wrapText="1"/>
    </xf>
    <xf numFmtId="177" fontId="52" fillId="5" borderId="0" xfId="0" applyNumberFormat="1" applyFont="1" applyFill="1"/>
    <xf numFmtId="0" fontId="20" fillId="5" borderId="0" xfId="0" applyFont="1" applyFill="1"/>
    <xf numFmtId="174" fontId="2" fillId="2" borderId="1" xfId="0" applyNumberFormat="1" applyFont="1" applyFill="1" applyBorder="1" applyAlignment="1">
      <alignment horizontal="right" vertical="top" wrapText="1"/>
    </xf>
    <xf numFmtId="174" fontId="2" fillId="2" borderId="10" xfId="0" applyNumberFormat="1" applyFont="1" applyFill="1" applyBorder="1" applyAlignment="1">
      <alignment horizontal="right" vertical="top" wrapText="1"/>
    </xf>
    <xf numFmtId="175" fontId="5" fillId="7" borderId="0" xfId="1" applyNumberFormat="1" applyFont="1" applyFill="1" applyAlignment="1">
      <alignment horizontal="center" vertical="center" wrapText="1"/>
    </xf>
    <xf numFmtId="4" fontId="50" fillId="0" borderId="1" xfId="1" applyNumberFormat="1" applyFont="1" applyFill="1" applyBorder="1" applyAlignment="1">
      <alignment vertical="center" wrapText="1"/>
    </xf>
    <xf numFmtId="4" fontId="5" fillId="2" borderId="3" xfId="1" applyNumberFormat="1" applyFont="1" applyFill="1" applyBorder="1" applyAlignment="1">
      <alignment vertical="center" wrapText="1"/>
    </xf>
    <xf numFmtId="4" fontId="50" fillId="2" borderId="4" xfId="1" applyNumberFormat="1" applyFont="1" applyFill="1" applyBorder="1" applyAlignment="1">
      <alignment horizontal="right" vertical="center" wrapText="1"/>
    </xf>
    <xf numFmtId="4" fontId="2" fillId="2" borderId="4" xfId="1" applyNumberFormat="1" applyFont="1" applyFill="1" applyBorder="1" applyAlignment="1">
      <alignment horizontal="right" vertical="center" wrapText="1"/>
    </xf>
    <xf numFmtId="175" fontId="50" fillId="2" borderId="2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right" vertical="center" wrapText="1"/>
    </xf>
    <xf numFmtId="175" fontId="2" fillId="2" borderId="1" xfId="1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Alignment="1">
      <alignment vertical="center"/>
    </xf>
    <xf numFmtId="184" fontId="47" fillId="0" borderId="0" xfId="0" applyNumberFormat="1" applyFont="1" applyFill="1"/>
    <xf numFmtId="184" fontId="44" fillId="0" borderId="0" xfId="0" applyNumberFormat="1" applyFont="1" applyFill="1"/>
    <xf numFmtId="177" fontId="53" fillId="0" borderId="0" xfId="0" applyNumberFormat="1" applyFont="1" applyFill="1"/>
    <xf numFmtId="4" fontId="2" fillId="0" borderId="0" xfId="1" applyNumberFormat="1" applyFont="1" applyFill="1" applyAlignment="1">
      <alignment horizontal="center" vertical="center" wrapText="1"/>
    </xf>
    <xf numFmtId="4" fontId="17" fillId="0" borderId="0" xfId="1" applyNumberFormat="1" applyFont="1" applyFill="1" applyAlignment="1">
      <alignment horizontal="center" vertical="center" wrapText="1"/>
    </xf>
    <xf numFmtId="4" fontId="50" fillId="8" borderId="0" xfId="1" applyNumberFormat="1" applyFont="1" applyFill="1" applyAlignment="1">
      <alignment horizontal="center" vertical="center" wrapText="1"/>
    </xf>
    <xf numFmtId="175" fontId="43" fillId="8" borderId="0" xfId="1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174" fontId="8" fillId="2" borderId="10" xfId="0" applyNumberFormat="1" applyFont="1" applyFill="1" applyBorder="1" applyAlignment="1">
      <alignment horizontal="right" vertical="top" wrapText="1"/>
    </xf>
    <xf numFmtId="174" fontId="8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 indent="3"/>
    </xf>
    <xf numFmtId="0" fontId="51" fillId="2" borderId="1" xfId="0" applyFont="1" applyFill="1" applyBorder="1" applyAlignment="1">
      <alignment vertical="top" wrapText="1"/>
    </xf>
    <xf numFmtId="174" fontId="51" fillId="2" borderId="1" xfId="0" applyNumberFormat="1" applyFont="1" applyFill="1" applyBorder="1" applyAlignment="1">
      <alignment horizontal="right" vertical="top" wrapText="1"/>
    </xf>
    <xf numFmtId="0" fontId="52" fillId="0" borderId="0" xfId="0" applyFont="1" applyFill="1"/>
    <xf numFmtId="184" fontId="52" fillId="0" borderId="0" xfId="0" applyNumberFormat="1" applyFont="1" applyFill="1"/>
    <xf numFmtId="175" fontId="2" fillId="0" borderId="0" xfId="1" applyNumberFormat="1" applyFont="1" applyFill="1" applyAlignment="1">
      <alignment vertical="center" wrapText="1"/>
    </xf>
    <xf numFmtId="175" fontId="2" fillId="0" borderId="10" xfId="1" applyNumberFormat="1" applyFont="1" applyFill="1" applyBorder="1" applyAlignment="1">
      <alignment vertical="center" wrapText="1"/>
    </xf>
    <xf numFmtId="175" fontId="2" fillId="0" borderId="5" xfId="1" applyNumberFormat="1" applyFont="1" applyFill="1" applyBorder="1" applyAlignment="1">
      <alignment horizontal="right" vertical="center" wrapText="1"/>
    </xf>
    <xf numFmtId="175" fontId="2" fillId="0" borderId="3" xfId="1" applyNumberFormat="1" applyFont="1" applyFill="1" applyBorder="1" applyAlignment="1">
      <alignment vertical="center" wrapText="1"/>
    </xf>
    <xf numFmtId="175" fontId="2" fillId="0" borderId="10" xfId="1" applyNumberFormat="1" applyFont="1" applyFill="1" applyBorder="1" applyAlignment="1">
      <alignment horizontal="right" vertical="center" wrapText="1"/>
    </xf>
    <xf numFmtId="175" fontId="2" fillId="2" borderId="11" xfId="1" applyNumberFormat="1" applyFont="1" applyFill="1" applyBorder="1" applyAlignment="1">
      <alignment vertical="center" wrapText="1"/>
    </xf>
    <xf numFmtId="175" fontId="2" fillId="0" borderId="0" xfId="1" applyNumberFormat="1" applyFont="1" applyFill="1" applyBorder="1" applyAlignment="1">
      <alignment vertical="center" wrapText="1"/>
    </xf>
    <xf numFmtId="4" fontId="2" fillId="0" borderId="0" xfId="1" applyNumberFormat="1" applyFont="1" applyFill="1" applyAlignment="1">
      <alignment horizontal="right" vertical="center" wrapText="1"/>
    </xf>
    <xf numFmtId="4" fontId="2" fillId="0" borderId="3" xfId="1" applyNumberFormat="1" applyFont="1" applyFill="1" applyBorder="1" applyAlignment="1">
      <alignment vertical="center" wrapText="1"/>
    </xf>
    <xf numFmtId="3" fontId="17" fillId="0" borderId="5" xfId="1" applyNumberFormat="1" applyFont="1" applyFill="1" applyBorder="1" applyAlignment="1">
      <alignment horizontal="right" vertical="center" wrapText="1"/>
    </xf>
    <xf numFmtId="3" fontId="17" fillId="0" borderId="3" xfId="1" applyNumberFormat="1" applyFont="1" applyFill="1" applyBorder="1" applyAlignment="1">
      <alignment horizontal="right" vertical="center" wrapText="1"/>
    </xf>
    <xf numFmtId="175" fontId="2" fillId="0" borderId="0" xfId="1" applyNumberFormat="1" applyFont="1" applyFill="1" applyAlignment="1">
      <alignment horizontal="center" vertical="center" wrapText="1"/>
    </xf>
    <xf numFmtId="3" fontId="17" fillId="0" borderId="10" xfId="1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4" fontId="54" fillId="0" borderId="0" xfId="1" applyNumberFormat="1" applyFont="1" applyFill="1" applyAlignment="1">
      <alignment horizontal="center" vertical="center" wrapText="1"/>
    </xf>
    <xf numFmtId="185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74" fontId="18" fillId="0" borderId="1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174" fontId="18" fillId="0" borderId="0" xfId="0" applyNumberFormat="1" applyFont="1" applyFill="1" applyAlignment="1">
      <alignment vertical="center" wrapText="1"/>
    </xf>
    <xf numFmtId="174" fontId="18" fillId="0" borderId="1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4" fontId="18" fillId="0" borderId="3" xfId="0" applyNumberFormat="1" applyFont="1" applyFill="1" applyBorder="1" applyAlignment="1">
      <alignment horizontal="right" vertical="center" wrapText="1"/>
    </xf>
    <xf numFmtId="174" fontId="18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175" fontId="18" fillId="0" borderId="0" xfId="0" applyNumberFormat="1" applyFont="1" applyFill="1" applyAlignment="1">
      <alignment vertical="center" wrapText="1"/>
    </xf>
    <xf numFmtId="174" fontId="18" fillId="0" borderId="1" xfId="0" applyNumberFormat="1" applyFont="1" applyFill="1" applyBorder="1" applyAlignment="1">
      <alignment vertical="center" wrapText="1"/>
    </xf>
    <xf numFmtId="174" fontId="18" fillId="0" borderId="1" xfId="0" applyNumberFormat="1" applyFont="1" applyFill="1" applyBorder="1" applyAlignment="1">
      <alignment horizontal="left" vertical="center" wrapText="1"/>
    </xf>
    <xf numFmtId="174" fontId="18" fillId="0" borderId="10" xfId="0" applyNumberFormat="1" applyFont="1" applyFill="1" applyBorder="1" applyAlignment="1">
      <alignment horizontal="right" vertical="center" wrapText="1"/>
    </xf>
    <xf numFmtId="49" fontId="18" fillId="0" borderId="1" xfId="0" applyNumberFormat="1" applyFont="1" applyFill="1" applyBorder="1" applyAlignment="1">
      <alignment horizontal="right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74" fontId="18" fillId="0" borderId="0" xfId="0" applyNumberFormat="1" applyFont="1" applyFill="1" applyBorder="1" applyAlignment="1">
      <alignment horizontal="right" vertical="center" wrapText="1"/>
    </xf>
    <xf numFmtId="174" fontId="31" fillId="0" borderId="0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174" fontId="13" fillId="0" borderId="0" xfId="0" applyNumberFormat="1" applyFont="1" applyFill="1" applyAlignment="1">
      <alignment vertical="center" wrapText="1"/>
    </xf>
    <xf numFmtId="174" fontId="4" fillId="0" borderId="0" xfId="0" applyNumberFormat="1" applyFont="1" applyFill="1" applyAlignment="1">
      <alignment vertical="center" wrapText="1"/>
    </xf>
    <xf numFmtId="175" fontId="4" fillId="0" borderId="0" xfId="0" applyNumberFormat="1" applyFon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75" fontId="4" fillId="0" borderId="0" xfId="0" applyNumberFormat="1" applyFont="1" applyFill="1" applyAlignment="1">
      <alignment vertical="top" wrapText="1"/>
    </xf>
    <xf numFmtId="49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174" fontId="7" fillId="0" borderId="0" xfId="0" applyNumberFormat="1" applyFont="1" applyFill="1" applyAlignment="1">
      <alignment vertical="top" wrapText="1"/>
    </xf>
    <xf numFmtId="175" fontId="7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174" fontId="4" fillId="0" borderId="0" xfId="0" applyNumberFormat="1" applyFont="1" applyFill="1" applyAlignment="1">
      <alignment horizontal="right" vertical="top" wrapText="1"/>
    </xf>
    <xf numFmtId="174" fontId="9" fillId="0" borderId="0" xfId="0" applyNumberFormat="1" applyFont="1" applyFill="1" applyAlignment="1">
      <alignment horizontal="right" vertical="top" wrapText="1"/>
    </xf>
    <xf numFmtId="174" fontId="4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horizontal="center" vertical="top" wrapText="1"/>
    </xf>
    <xf numFmtId="0" fontId="13" fillId="0" borderId="0" xfId="0" applyFont="1" applyFill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174" fontId="0" fillId="0" borderId="0" xfId="0" applyNumberFormat="1" applyFont="1" applyFill="1" applyAlignment="1">
      <alignment horizontal="right"/>
    </xf>
    <xf numFmtId="174" fontId="13" fillId="0" borderId="3" xfId="0" applyNumberFormat="1" applyFont="1" applyFill="1" applyBorder="1" applyAlignment="1">
      <alignment horizontal="right" vertical="top" wrapText="1"/>
    </xf>
    <xf numFmtId="174" fontId="0" fillId="0" borderId="0" xfId="0" applyNumberFormat="1" applyFont="1" applyFill="1"/>
    <xf numFmtId="49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184" fontId="13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center"/>
    </xf>
    <xf numFmtId="174" fontId="13" fillId="0" borderId="0" xfId="0" applyNumberFormat="1" applyFont="1" applyFill="1" applyAlignment="1">
      <alignment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 wrapText="1"/>
    </xf>
    <xf numFmtId="174" fontId="9" fillId="0" borderId="0" xfId="0" applyNumberFormat="1" applyFont="1" applyFill="1" applyAlignment="1">
      <alignment vertical="top" wrapText="1"/>
    </xf>
    <xf numFmtId="4" fontId="9" fillId="0" borderId="0" xfId="0" applyNumberFormat="1" applyFont="1" applyFill="1" applyAlignment="1">
      <alignment vertical="top" wrapText="1"/>
    </xf>
    <xf numFmtId="175" fontId="9" fillId="0" borderId="0" xfId="0" applyNumberFormat="1" applyFont="1" applyFill="1" applyAlignment="1">
      <alignment vertical="top" wrapText="1"/>
    </xf>
    <xf numFmtId="4" fontId="4" fillId="0" borderId="0" xfId="0" applyNumberFormat="1" applyFont="1" applyFill="1" applyAlignment="1">
      <alignment vertical="top" wrapText="1"/>
    </xf>
    <xf numFmtId="175" fontId="4" fillId="0" borderId="0" xfId="1" applyNumberFormat="1" applyFont="1" applyFill="1" applyAlignment="1">
      <alignment horizontal="left" vertical="center" wrapText="1"/>
    </xf>
    <xf numFmtId="175" fontId="7" fillId="0" borderId="0" xfId="1" applyNumberFormat="1" applyFont="1" applyFill="1" applyAlignment="1">
      <alignment horizontal="center" vertical="center" wrapText="1"/>
    </xf>
    <xf numFmtId="4" fontId="7" fillId="0" borderId="0" xfId="1" applyNumberFormat="1" applyFont="1" applyFill="1" applyAlignment="1">
      <alignment horizontal="center" vertical="center" wrapText="1"/>
    </xf>
    <xf numFmtId="175" fontId="7" fillId="0" borderId="17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175" fontId="7" fillId="0" borderId="18" xfId="1" applyNumberFormat="1" applyFont="1" applyFill="1" applyBorder="1" applyAlignment="1">
      <alignment horizontal="center" vertical="center" wrapText="1"/>
    </xf>
    <xf numFmtId="175" fontId="7" fillId="0" borderId="19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4" fontId="7" fillId="0" borderId="3" xfId="1" applyNumberFormat="1" applyFont="1" applyFill="1" applyBorder="1" applyAlignment="1">
      <alignment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Alignment="1">
      <alignment vertical="center" wrapText="1"/>
    </xf>
    <xf numFmtId="4" fontId="0" fillId="0" borderId="0" xfId="0" applyNumberFormat="1" applyFont="1" applyFill="1" applyAlignment="1">
      <alignment vertical="center"/>
    </xf>
    <xf numFmtId="4" fontId="4" fillId="0" borderId="0" xfId="4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center"/>
    </xf>
    <xf numFmtId="177" fontId="31" fillId="0" borderId="0" xfId="0" applyNumberFormat="1" applyFont="1" applyFill="1" applyAlignment="1">
      <alignment wrapText="1"/>
    </xf>
    <xf numFmtId="184" fontId="0" fillId="0" borderId="0" xfId="0" applyNumberFormat="1" applyFont="1" applyFill="1" applyAlignment="1">
      <alignment horizontal="center"/>
    </xf>
    <xf numFmtId="174" fontId="9" fillId="0" borderId="1" xfId="0" applyNumberFormat="1" applyFont="1" applyFill="1" applyBorder="1" applyAlignment="1">
      <alignment horizontal="right" vertical="top" wrapText="1"/>
    </xf>
    <xf numFmtId="174" fontId="0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left" vertical="top" wrapText="1" indent="3"/>
    </xf>
    <xf numFmtId="0" fontId="9" fillId="0" borderId="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 indent="3"/>
    </xf>
    <xf numFmtId="0" fontId="36" fillId="0" borderId="0" xfId="0" applyFont="1" applyFill="1"/>
    <xf numFmtId="177" fontId="0" fillId="0" borderId="0" xfId="0" applyNumberFormat="1" applyFont="1" applyFill="1" applyAlignment="1">
      <alignment horizontal="center"/>
    </xf>
    <xf numFmtId="184" fontId="0" fillId="0" borderId="0" xfId="0" applyNumberFormat="1" applyFont="1" applyFill="1"/>
    <xf numFmtId="0" fontId="4" fillId="0" borderId="5" xfId="0" applyFont="1" applyFill="1" applyBorder="1" applyAlignment="1">
      <alignment vertical="top" wrapText="1"/>
    </xf>
    <xf numFmtId="184" fontId="4" fillId="0" borderId="1" xfId="0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 indent="3"/>
    </xf>
    <xf numFmtId="174" fontId="4" fillId="0" borderId="10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left" vertical="top" wrapText="1" indent="3"/>
    </xf>
    <xf numFmtId="0" fontId="4" fillId="0" borderId="0" xfId="0" applyFont="1" applyFill="1" applyBorder="1" applyAlignment="1">
      <alignment vertical="top" wrapText="1"/>
    </xf>
    <xf numFmtId="174" fontId="4" fillId="0" borderId="0" xfId="0" applyNumberFormat="1" applyFont="1" applyFill="1" applyBorder="1" applyAlignment="1">
      <alignment horizontal="right" vertical="top" wrapText="1"/>
    </xf>
    <xf numFmtId="174" fontId="9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/>
    <xf numFmtId="177" fontId="36" fillId="0" borderId="0" xfId="0" applyNumberFormat="1" applyFont="1" applyFill="1"/>
    <xf numFmtId="0" fontId="3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38" fillId="0" borderId="0" xfId="0" applyNumberFormat="1" applyFont="1" applyFill="1"/>
    <xf numFmtId="4" fontId="7" fillId="0" borderId="3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4" fontId="7" fillId="2" borderId="0" xfId="1" applyNumberFormat="1" applyFont="1" applyFill="1" applyAlignment="1">
      <alignment vertical="center" wrapText="1"/>
    </xf>
    <xf numFmtId="0" fontId="7" fillId="0" borderId="0" xfId="0" applyFont="1" applyFill="1" applyBorder="1" applyAlignment="1">
      <alignment vertical="top" wrapText="1"/>
    </xf>
    <xf numFmtId="178" fontId="4" fillId="0" borderId="1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vertical="top" wrapText="1"/>
    </xf>
    <xf numFmtId="49" fontId="4" fillId="0" borderId="0" xfId="0" applyNumberFormat="1" applyFont="1" applyFill="1" applyAlignment="1">
      <alignment wrapText="1"/>
    </xf>
    <xf numFmtId="0" fontId="4" fillId="0" borderId="10" xfId="0" applyFont="1" applyFill="1" applyBorder="1" applyAlignment="1">
      <alignment horizontal="center" vertical="top" wrapText="1"/>
    </xf>
    <xf numFmtId="174" fontId="9" fillId="0" borderId="10" xfId="0" applyNumberFormat="1" applyFont="1" applyFill="1" applyBorder="1" applyAlignment="1">
      <alignment horizontal="right" vertical="top" wrapText="1"/>
    </xf>
    <xf numFmtId="174" fontId="4" fillId="0" borderId="9" xfId="0" applyNumberFormat="1" applyFont="1" applyFill="1" applyBorder="1" applyAlignment="1">
      <alignment horizontal="right" vertical="top" wrapText="1"/>
    </xf>
    <xf numFmtId="174" fontId="4" fillId="0" borderId="25" xfId="0" applyNumberFormat="1" applyFont="1" applyFill="1" applyBorder="1" applyAlignment="1">
      <alignment horizontal="right" vertical="top" wrapText="1"/>
    </xf>
    <xf numFmtId="4" fontId="33" fillId="0" borderId="0" xfId="1" applyNumberFormat="1" applyFont="1" applyFill="1" applyAlignment="1">
      <alignment vertical="center" wrapText="1"/>
    </xf>
    <xf numFmtId="4" fontId="33" fillId="0" borderId="3" xfId="1" applyNumberFormat="1" applyFont="1" applyFill="1" applyBorder="1" applyAlignment="1">
      <alignment horizontal="center" vertical="center" wrapText="1"/>
    </xf>
    <xf numFmtId="4" fontId="33" fillId="0" borderId="3" xfId="1" applyNumberFormat="1" applyFont="1" applyFill="1" applyBorder="1" applyAlignment="1">
      <alignment vertical="center" wrapText="1"/>
    </xf>
    <xf numFmtId="3" fontId="33" fillId="0" borderId="3" xfId="1" applyNumberFormat="1" applyFont="1" applyFill="1" applyBorder="1" applyAlignment="1">
      <alignment vertical="center" wrapText="1"/>
    </xf>
    <xf numFmtId="4" fontId="33" fillId="0" borderId="3" xfId="1" applyNumberFormat="1" applyFont="1" applyFill="1" applyBorder="1" applyAlignment="1">
      <alignment horizontal="right" vertical="center" wrapText="1"/>
    </xf>
    <xf numFmtId="4" fontId="33" fillId="0" borderId="1" xfId="1" applyNumberFormat="1" applyFont="1" applyFill="1" applyBorder="1" applyAlignment="1">
      <alignment vertical="center" wrapText="1"/>
    </xf>
    <xf numFmtId="4" fontId="33" fillId="0" borderId="2" xfId="1" applyNumberFormat="1" applyFont="1" applyFill="1" applyBorder="1" applyAlignment="1">
      <alignment vertical="center" wrapText="1"/>
    </xf>
    <xf numFmtId="4" fontId="33" fillId="0" borderId="1" xfId="3" applyNumberFormat="1" applyFont="1" applyFill="1" applyBorder="1" applyAlignment="1">
      <alignment vertical="center" wrapText="1"/>
    </xf>
    <xf numFmtId="4" fontId="33" fillId="0" borderId="1" xfId="1" applyNumberFormat="1" applyFont="1" applyFill="1" applyBorder="1" applyAlignment="1">
      <alignment horizontal="right" vertical="center" wrapText="1"/>
    </xf>
    <xf numFmtId="4" fontId="33" fillId="0" borderId="4" xfId="1" applyNumberFormat="1" applyFont="1" applyFill="1" applyBorder="1" applyAlignment="1">
      <alignment horizontal="right" vertical="center" wrapText="1"/>
    </xf>
    <xf numFmtId="4" fontId="33" fillId="0" borderId="10" xfId="1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horizontal="center" vertical="center" wrapText="1"/>
    </xf>
    <xf numFmtId="4" fontId="33" fillId="0" borderId="3" xfId="3" applyNumberFormat="1" applyFont="1" applyFill="1" applyBorder="1" applyAlignment="1">
      <alignment vertical="center" wrapText="1"/>
    </xf>
    <xf numFmtId="3" fontId="33" fillId="0" borderId="3" xfId="1" applyNumberFormat="1" applyFont="1" applyFill="1" applyBorder="1" applyAlignment="1">
      <alignment horizontal="right" vertical="center" wrapText="1"/>
    </xf>
    <xf numFmtId="4" fontId="33" fillId="0" borderId="16" xfId="1" applyNumberFormat="1" applyFont="1" applyFill="1" applyBorder="1" applyAlignment="1">
      <alignment vertical="center" wrapText="1"/>
    </xf>
    <xf numFmtId="4" fontId="33" fillId="0" borderId="4" xfId="1" applyNumberFormat="1" applyFont="1" applyFill="1" applyBorder="1" applyAlignment="1">
      <alignment vertical="center" wrapText="1"/>
    </xf>
    <xf numFmtId="4" fontId="33" fillId="0" borderId="26" xfId="1" applyNumberFormat="1" applyFont="1" applyFill="1" applyBorder="1" applyAlignment="1">
      <alignment vertical="center" wrapText="1"/>
    </xf>
    <xf numFmtId="175" fontId="33" fillId="0" borderId="3" xfId="1" applyNumberFormat="1" applyFont="1" applyFill="1" applyBorder="1" applyAlignment="1">
      <alignment horizontal="center" vertical="center" wrapText="1"/>
    </xf>
    <xf numFmtId="4" fontId="33" fillId="0" borderId="1" xfId="1" applyNumberFormat="1" applyFont="1" applyFill="1" applyBorder="1" applyAlignment="1">
      <alignment horizontal="left" vertical="center" wrapText="1"/>
    </xf>
    <xf numFmtId="175" fontId="33" fillId="0" borderId="2" xfId="1" applyNumberFormat="1" applyFont="1" applyFill="1" applyBorder="1" applyAlignment="1">
      <alignment horizontal="center" vertical="center" wrapText="1"/>
    </xf>
    <xf numFmtId="4" fontId="33" fillId="0" borderId="13" xfId="1" applyNumberFormat="1" applyFont="1" applyFill="1" applyBorder="1" applyAlignment="1">
      <alignment vertical="center" wrapText="1"/>
    </xf>
    <xf numFmtId="4" fontId="33" fillId="0" borderId="14" xfId="1" applyNumberFormat="1" applyFont="1" applyFill="1" applyBorder="1" applyAlignment="1">
      <alignment vertical="center" wrapText="1"/>
    </xf>
    <xf numFmtId="4" fontId="33" fillId="0" borderId="2" xfId="3" applyNumberFormat="1" applyFont="1" applyFill="1" applyBorder="1" applyAlignment="1">
      <alignment vertical="center" wrapText="1"/>
    </xf>
    <xf numFmtId="4" fontId="33" fillId="0" borderId="2" xfId="3" applyNumberFormat="1" applyFont="1" applyFill="1" applyBorder="1" applyAlignment="1">
      <alignment horizontal="center" vertical="center" wrapText="1"/>
    </xf>
    <xf numFmtId="175" fontId="33" fillId="0" borderId="2" xfId="3" applyNumberFormat="1" applyFont="1" applyFill="1" applyBorder="1" applyAlignment="1">
      <alignment horizontal="center" vertical="center" wrapText="1"/>
    </xf>
    <xf numFmtId="4" fontId="33" fillId="0" borderId="6" xfId="1" applyNumberFormat="1" applyFont="1" applyFill="1" applyBorder="1" applyAlignment="1">
      <alignment vertical="center" wrapText="1"/>
    </xf>
    <xf numFmtId="4" fontId="33" fillId="0" borderId="19" xfId="1" applyNumberFormat="1" applyFont="1" applyFill="1" applyBorder="1" applyAlignment="1">
      <alignment vertical="center" wrapText="1"/>
    </xf>
    <xf numFmtId="4" fontId="33" fillId="0" borderId="27" xfId="1" applyNumberFormat="1" applyFont="1" applyFill="1" applyBorder="1" applyAlignment="1">
      <alignment vertical="center" wrapText="1"/>
    </xf>
    <xf numFmtId="4" fontId="33" fillId="0" borderId="4" xfId="3" applyNumberFormat="1" applyFont="1" applyFill="1" applyBorder="1" applyAlignment="1">
      <alignment horizontal="justify" vertical="center" wrapText="1"/>
    </xf>
    <xf numFmtId="4" fontId="33" fillId="0" borderId="1" xfId="3" applyNumberFormat="1" applyFont="1" applyFill="1" applyBorder="1" applyAlignment="1">
      <alignment horizontal="justify" vertical="center" wrapText="1"/>
    </xf>
    <xf numFmtId="4" fontId="4" fillId="0" borderId="0" xfId="1" applyNumberFormat="1" applyFont="1" applyFill="1" applyBorder="1" applyAlignment="1">
      <alignment horizontal="left" vertical="center" wrapText="1"/>
    </xf>
    <xf numFmtId="174" fontId="18" fillId="9" borderId="3" xfId="0" applyNumberFormat="1" applyFont="1" applyFill="1" applyBorder="1" applyAlignment="1">
      <alignment horizontal="right" vertical="center" wrapText="1"/>
    </xf>
    <xf numFmtId="0" fontId="4" fillId="9" borderId="0" xfId="0" applyFont="1" applyFill="1" applyAlignment="1">
      <alignment vertical="center" wrapText="1"/>
    </xf>
    <xf numFmtId="0" fontId="18" fillId="9" borderId="1" xfId="0" applyFont="1" applyFill="1" applyBorder="1" applyAlignment="1">
      <alignment horizontal="center" vertical="center" wrapText="1"/>
    </xf>
    <xf numFmtId="174" fontId="31" fillId="9" borderId="0" xfId="0" applyNumberFormat="1" applyFont="1" applyFill="1" applyBorder="1" applyAlignment="1">
      <alignment horizontal="right" vertical="center" wrapText="1"/>
    </xf>
    <xf numFmtId="174" fontId="18" fillId="9" borderId="0" xfId="0" applyNumberFormat="1" applyFont="1" applyFill="1" applyBorder="1" applyAlignment="1">
      <alignment horizontal="right" vertical="center" wrapText="1"/>
    </xf>
    <xf numFmtId="175" fontId="18" fillId="9" borderId="0" xfId="0" applyNumberFormat="1" applyFont="1" applyFill="1" applyAlignment="1">
      <alignment vertical="center" wrapText="1"/>
    </xf>
    <xf numFmtId="174" fontId="13" fillId="9" borderId="0" xfId="0" applyNumberFormat="1" applyFont="1" applyFill="1" applyAlignment="1">
      <alignment vertical="center" wrapText="1"/>
    </xf>
    <xf numFmtId="174" fontId="4" fillId="9" borderId="0" xfId="0" applyNumberFormat="1" applyFont="1" applyFill="1" applyAlignment="1">
      <alignment vertical="center" wrapText="1"/>
    </xf>
    <xf numFmtId="175" fontId="4" fillId="9" borderId="0" xfId="0" applyNumberFormat="1" applyFont="1" applyFill="1" applyAlignment="1">
      <alignment vertical="center" wrapText="1"/>
    </xf>
    <xf numFmtId="0" fontId="4" fillId="9" borderId="3" xfId="0" applyFont="1" applyFill="1" applyBorder="1" applyAlignment="1">
      <alignment horizontal="center" vertical="top" wrapText="1"/>
    </xf>
    <xf numFmtId="174" fontId="4" fillId="9" borderId="3" xfId="0" applyNumberFormat="1" applyFont="1" applyFill="1" applyBorder="1" applyAlignment="1">
      <alignment horizontal="right" vertical="top" wrapText="1"/>
    </xf>
    <xf numFmtId="4" fontId="9" fillId="9" borderId="0" xfId="0" applyNumberFormat="1" applyFont="1" applyFill="1" applyAlignment="1">
      <alignment vertical="top" wrapText="1"/>
    </xf>
    <xf numFmtId="4" fontId="4" fillId="9" borderId="0" xfId="0" applyNumberFormat="1" applyFont="1" applyFill="1" applyAlignment="1">
      <alignment vertical="top" wrapText="1"/>
    </xf>
    <xf numFmtId="0" fontId="4" fillId="9" borderId="0" xfId="0" applyFont="1" applyFill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174" fontId="32" fillId="9" borderId="0" xfId="0" applyNumberFormat="1" applyFont="1" applyFill="1" applyBorder="1" applyAlignment="1">
      <alignment horizontal="right" vertical="top" wrapText="1"/>
    </xf>
    <xf numFmtId="184" fontId="13" fillId="9" borderId="0" xfId="0" applyNumberFormat="1" applyFont="1" applyFill="1" applyAlignment="1">
      <alignment vertical="top" wrapText="1"/>
    </xf>
    <xf numFmtId="0" fontId="0" fillId="9" borderId="0" xfId="0" applyFont="1" applyFill="1"/>
    <xf numFmtId="0" fontId="11" fillId="9" borderId="0" xfId="0" applyFont="1" applyFill="1"/>
    <xf numFmtId="174" fontId="0" fillId="9" borderId="0" xfId="0" applyNumberFormat="1" applyFont="1" applyFill="1"/>
    <xf numFmtId="0" fontId="4" fillId="9" borderId="1" xfId="0" applyFont="1" applyFill="1" applyBorder="1" applyAlignment="1">
      <alignment horizontal="center" vertical="top" wrapText="1"/>
    </xf>
    <xf numFmtId="174" fontId="4" fillId="9" borderId="1" xfId="0" applyNumberFormat="1" applyFont="1" applyFill="1" applyBorder="1" applyAlignment="1">
      <alignment horizontal="right" vertical="top" wrapText="1"/>
    </xf>
    <xf numFmtId="174" fontId="9" fillId="9" borderId="0" xfId="0" applyNumberFormat="1" applyFont="1" applyFill="1" applyAlignment="1">
      <alignment horizontal="right" vertical="top" wrapText="1"/>
    </xf>
    <xf numFmtId="174" fontId="4" fillId="9" borderId="0" xfId="0" applyNumberFormat="1" applyFont="1" applyFill="1" applyAlignment="1">
      <alignment vertical="top" wrapText="1"/>
    </xf>
    <xf numFmtId="175" fontId="7" fillId="9" borderId="0" xfId="0" applyNumberFormat="1" applyFont="1" applyFill="1" applyAlignment="1">
      <alignment vertical="top" wrapText="1"/>
    </xf>
    <xf numFmtId="0" fontId="7" fillId="9" borderId="0" xfId="0" applyFont="1" applyFill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174" fontId="4" fillId="9" borderId="10" xfId="0" applyNumberFormat="1" applyFont="1" applyFill="1" applyBorder="1" applyAlignment="1">
      <alignment horizontal="right" vertical="top" wrapText="1"/>
    </xf>
    <xf numFmtId="0" fontId="4" fillId="9" borderId="1" xfId="0" applyFont="1" applyFill="1" applyBorder="1" applyAlignment="1">
      <alignment horizontal="left" vertical="top" wrapText="1" indent="3"/>
    </xf>
    <xf numFmtId="49" fontId="4" fillId="9" borderId="1" xfId="0" applyNumberFormat="1" applyFont="1" applyFill="1" applyBorder="1" applyAlignment="1">
      <alignment horizontal="center" vertical="top" wrapText="1"/>
    </xf>
    <xf numFmtId="174" fontId="4" fillId="9" borderId="2" xfId="0" applyNumberFormat="1" applyFont="1" applyFill="1" applyBorder="1" applyAlignment="1">
      <alignment horizontal="right" vertical="top" wrapText="1"/>
    </xf>
    <xf numFmtId="0" fontId="4" fillId="9" borderId="0" xfId="0" applyFont="1" applyFill="1" applyAlignment="1">
      <alignment wrapText="1"/>
    </xf>
    <xf numFmtId="177" fontId="31" fillId="9" borderId="0" xfId="0" applyNumberFormat="1" applyFont="1" applyFill="1" applyAlignment="1">
      <alignment wrapText="1"/>
    </xf>
    <xf numFmtId="185" fontId="4" fillId="9" borderId="1" xfId="0" applyNumberFormat="1" applyFont="1" applyFill="1" applyBorder="1" applyAlignment="1">
      <alignment horizontal="right" vertical="top" wrapText="1"/>
    </xf>
    <xf numFmtId="174" fontId="4" fillId="9" borderId="0" xfId="0" applyNumberFormat="1" applyFont="1" applyFill="1" applyBorder="1" applyAlignment="1">
      <alignment horizontal="right" vertical="top" wrapText="1"/>
    </xf>
    <xf numFmtId="0" fontId="0" fillId="9" borderId="0" xfId="0" applyFont="1" applyFill="1" applyAlignment="1">
      <alignment vertical="center"/>
    </xf>
    <xf numFmtId="175" fontId="33" fillId="0" borderId="4" xfId="1" applyNumberFormat="1" applyFont="1" applyFill="1" applyBorder="1" applyAlignment="1">
      <alignment horizontal="right" vertical="center" wrapText="1"/>
    </xf>
    <xf numFmtId="184" fontId="4" fillId="9" borderId="1" xfId="0" applyNumberFormat="1" applyFont="1" applyFill="1" applyBorder="1" applyAlignment="1">
      <alignment horizontal="right" vertical="top" wrapText="1"/>
    </xf>
    <xf numFmtId="2" fontId="4" fillId="0" borderId="3" xfId="0" applyNumberFormat="1" applyFont="1" applyFill="1" applyBorder="1" applyAlignment="1">
      <alignment horizontal="left" vertical="top" wrapText="1"/>
    </xf>
    <xf numFmtId="0" fontId="39" fillId="9" borderId="0" xfId="0" applyFont="1" applyFill="1" applyAlignment="1">
      <alignment vertical="center" wrapText="1"/>
    </xf>
    <xf numFmtId="4" fontId="33" fillId="9" borderId="0" xfId="1" applyNumberFormat="1" applyFont="1" applyFill="1" applyBorder="1" applyAlignment="1">
      <alignment horizontal="center" vertical="center" wrapText="1"/>
    </xf>
    <xf numFmtId="4" fontId="33" fillId="9" borderId="14" xfId="1" applyNumberFormat="1" applyFont="1" applyFill="1" applyBorder="1" applyAlignment="1">
      <alignment vertical="center" wrapText="1"/>
    </xf>
    <xf numFmtId="4" fontId="33" fillId="9" borderId="0" xfId="1" applyNumberFormat="1" applyFont="1" applyFill="1" applyAlignment="1">
      <alignment horizontal="left" vertical="center" wrapText="1"/>
    </xf>
    <xf numFmtId="4" fontId="7" fillId="9" borderId="0" xfId="1" applyNumberFormat="1" applyFont="1" applyFill="1" applyAlignment="1">
      <alignment vertical="center" wrapText="1"/>
    </xf>
    <xf numFmtId="177" fontId="4" fillId="9" borderId="1" xfId="0" applyNumberFormat="1" applyFont="1" applyFill="1" applyBorder="1" applyAlignment="1">
      <alignment horizontal="right" vertical="top" wrapText="1"/>
    </xf>
    <xf numFmtId="0" fontId="4" fillId="9" borderId="0" xfId="0" applyFont="1" applyFill="1" applyAlignment="1">
      <alignment vertical="top" wrapText="1"/>
    </xf>
    <xf numFmtId="0" fontId="4" fillId="9" borderId="0" xfId="0" applyFont="1" applyFill="1" applyAlignment="1">
      <alignment vertical="top" wrapText="1"/>
    </xf>
    <xf numFmtId="4" fontId="7" fillId="0" borderId="25" xfId="1" applyNumberFormat="1" applyFont="1" applyFill="1" applyBorder="1" applyAlignment="1">
      <alignment vertical="center" wrapText="1"/>
    </xf>
    <xf numFmtId="4" fontId="4" fillId="0" borderId="25" xfId="1" applyNumberFormat="1" applyFont="1" applyFill="1" applyBorder="1" applyAlignment="1">
      <alignment horizontal="right" vertical="center" wrapText="1"/>
    </xf>
    <xf numFmtId="4" fontId="33" fillId="0" borderId="14" xfId="1" applyNumberFormat="1" applyFont="1" applyFill="1" applyBorder="1" applyAlignment="1">
      <alignment horizontal="center" vertical="center" wrapText="1"/>
    </xf>
    <xf numFmtId="4" fontId="7" fillId="0" borderId="22" xfId="1" applyNumberFormat="1" applyFont="1" applyFill="1" applyBorder="1" applyAlignment="1">
      <alignment vertical="center" wrapText="1"/>
    </xf>
    <xf numFmtId="4" fontId="7" fillId="0" borderId="14" xfId="1" applyNumberFormat="1" applyFont="1" applyFill="1" applyBorder="1" applyAlignment="1">
      <alignment vertical="center" wrapText="1"/>
    </xf>
    <xf numFmtId="3" fontId="33" fillId="0" borderId="4" xfId="1" applyNumberFormat="1" applyFont="1" applyFill="1" applyBorder="1" applyAlignment="1">
      <alignment vertical="center" wrapText="1"/>
    </xf>
    <xf numFmtId="4" fontId="33" fillId="0" borderId="22" xfId="1" applyNumberFormat="1" applyFont="1" applyFill="1" applyBorder="1" applyAlignment="1">
      <alignment vertical="center" wrapText="1"/>
    </xf>
    <xf numFmtId="3" fontId="33" fillId="0" borderId="2" xfId="1" applyNumberFormat="1" applyFont="1" applyFill="1" applyBorder="1" applyAlignment="1">
      <alignment vertical="center" wrapText="1"/>
    </xf>
    <xf numFmtId="4" fontId="33" fillId="0" borderId="2" xfId="1" applyNumberFormat="1" applyFont="1" applyFill="1" applyBorder="1" applyAlignment="1">
      <alignment horizontal="right" vertical="center" wrapText="1"/>
    </xf>
    <xf numFmtId="4" fontId="4" fillId="0" borderId="12" xfId="1" applyNumberFormat="1" applyFont="1" applyFill="1" applyBorder="1" applyAlignment="1">
      <alignment horizontal="right" vertical="center" wrapText="1"/>
    </xf>
    <xf numFmtId="4" fontId="4" fillId="0" borderId="2" xfId="1" applyNumberFormat="1" applyFont="1" applyFill="1" applyBorder="1" applyAlignment="1">
      <alignment horizontal="right" vertical="center" wrapText="1"/>
    </xf>
    <xf numFmtId="4" fontId="4" fillId="0" borderId="9" xfId="1" applyNumberFormat="1" applyFont="1" applyFill="1" applyBorder="1" applyAlignment="1">
      <alignment horizontal="right" vertical="center" wrapText="1"/>
    </xf>
    <xf numFmtId="4" fontId="33" fillId="0" borderId="4" xfId="3" applyNumberFormat="1" applyFont="1" applyFill="1" applyBorder="1" applyAlignment="1">
      <alignment vertical="center" wrapText="1"/>
    </xf>
    <xf numFmtId="175" fontId="33" fillId="0" borderId="4" xfId="1" applyNumberFormat="1" applyFont="1" applyFill="1" applyBorder="1" applyAlignment="1">
      <alignment vertical="center" wrapText="1"/>
    </xf>
    <xf numFmtId="175" fontId="33" fillId="0" borderId="14" xfId="1" applyNumberFormat="1" applyFont="1" applyFill="1" applyBorder="1" applyAlignment="1">
      <alignment horizontal="center" vertical="center" wrapText="1"/>
    </xf>
    <xf numFmtId="4" fontId="4" fillId="0" borderId="11" xfId="1" applyNumberFormat="1" applyFont="1" applyFill="1" applyBorder="1" applyAlignment="1">
      <alignment horizontal="right" vertical="center" wrapText="1"/>
    </xf>
    <xf numFmtId="4" fontId="4" fillId="0" borderId="4" xfId="1" applyNumberFormat="1" applyFont="1" applyFill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4" fillId="0" borderId="22" xfId="1" applyNumberFormat="1" applyFont="1" applyFill="1" applyBorder="1" applyAlignment="1">
      <alignment horizontal="right" vertical="center" wrapText="1"/>
    </xf>
    <xf numFmtId="175" fontId="4" fillId="0" borderId="3" xfId="1" applyNumberFormat="1" applyFont="1" applyFill="1" applyBorder="1" applyAlignment="1">
      <alignment horizontal="left" vertical="center" wrapText="1"/>
    </xf>
    <xf numFmtId="175" fontId="7" fillId="0" borderId="3" xfId="1" applyNumberFormat="1" applyFont="1" applyFill="1" applyBorder="1" applyAlignment="1">
      <alignment horizontal="center" vertical="center" wrapText="1"/>
    </xf>
    <xf numFmtId="0" fontId="4" fillId="9" borderId="0" xfId="0" applyFont="1" applyFill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177" fontId="0" fillId="0" borderId="0" xfId="0" applyNumberFormat="1" applyFont="1" applyFill="1"/>
    <xf numFmtId="4" fontId="33" fillId="0" borderId="28" xfId="3" applyNumberFormat="1" applyFont="1" applyFill="1" applyBorder="1" applyAlignment="1">
      <alignment vertical="center" wrapText="1"/>
    </xf>
    <xf numFmtId="4" fontId="33" fillId="0" borderId="28" xfId="1" applyNumberFormat="1" applyFont="1" applyFill="1" applyBorder="1" applyAlignment="1">
      <alignment vertical="center" wrapText="1"/>
    </xf>
    <xf numFmtId="3" fontId="33" fillId="0" borderId="28" xfId="1" applyNumberFormat="1" applyFont="1" applyFill="1" applyBorder="1" applyAlignment="1">
      <alignment vertical="center" wrapText="1"/>
    </xf>
    <xf numFmtId="4" fontId="33" fillId="0" borderId="29" xfId="1" applyNumberFormat="1" applyFont="1" applyFill="1" applyBorder="1" applyAlignment="1">
      <alignment vertical="center" wrapText="1"/>
    </xf>
    <xf numFmtId="4" fontId="4" fillId="0" borderId="30" xfId="1" applyNumberFormat="1" applyFont="1" applyFill="1" applyBorder="1" applyAlignment="1">
      <alignment horizontal="right" vertical="center" wrapText="1"/>
    </xf>
    <xf numFmtId="4" fontId="4" fillId="0" borderId="28" xfId="1" applyNumberFormat="1" applyFont="1" applyFill="1" applyBorder="1" applyAlignment="1">
      <alignment horizontal="right" vertical="center" wrapText="1"/>
    </xf>
    <xf numFmtId="4" fontId="4" fillId="0" borderId="29" xfId="1" applyNumberFormat="1" applyFont="1" applyFill="1" applyBorder="1" applyAlignment="1">
      <alignment horizontal="right" vertical="center" wrapText="1"/>
    </xf>
    <xf numFmtId="4" fontId="33" fillId="0" borderId="28" xfId="1" applyNumberFormat="1" applyFont="1" applyFill="1" applyBorder="1" applyAlignment="1">
      <alignment horizontal="right" vertical="center" wrapText="1"/>
    </xf>
    <xf numFmtId="0" fontId="4" fillId="9" borderId="0" xfId="0" applyFont="1" applyFill="1" applyAlignment="1">
      <alignment vertical="top" wrapText="1"/>
    </xf>
    <xf numFmtId="2" fontId="4" fillId="0" borderId="3" xfId="0" applyNumberFormat="1" applyFont="1" applyFill="1" applyBorder="1" applyAlignment="1">
      <alignment vertical="top" wrapText="1"/>
    </xf>
    <xf numFmtId="189" fontId="4" fillId="9" borderId="1" xfId="0" applyNumberFormat="1" applyFont="1" applyFill="1" applyBorder="1" applyAlignment="1">
      <alignment horizontal="right" vertical="top" wrapText="1"/>
    </xf>
    <xf numFmtId="189" fontId="4" fillId="0" borderId="1" xfId="0" applyNumberFormat="1" applyFont="1" applyFill="1" applyBorder="1" applyAlignment="1">
      <alignment horizontal="right" vertical="top" wrapText="1"/>
    </xf>
    <xf numFmtId="0" fontId="4" fillId="9" borderId="0" xfId="0" applyFont="1" applyFill="1" applyAlignment="1">
      <alignment vertical="top" wrapText="1"/>
    </xf>
    <xf numFmtId="4" fontId="33" fillId="0" borderId="25" xfId="1" applyNumberFormat="1" applyFont="1" applyFill="1" applyBorder="1" applyAlignment="1">
      <alignment vertical="center" wrapText="1"/>
    </xf>
    <xf numFmtId="4" fontId="33" fillId="0" borderId="25" xfId="1" applyNumberFormat="1" applyFont="1" applyFill="1" applyBorder="1" applyAlignment="1">
      <alignment horizontal="right" vertical="center" wrapText="1"/>
    </xf>
    <xf numFmtId="4" fontId="33" fillId="0" borderId="22" xfId="1" applyNumberFormat="1" applyFont="1" applyFill="1" applyBorder="1" applyAlignment="1">
      <alignment horizontal="right" vertical="center" wrapText="1"/>
    </xf>
    <xf numFmtId="4" fontId="33" fillId="0" borderId="0" xfId="1" applyNumberFormat="1" applyFont="1" applyFill="1" applyBorder="1" applyAlignment="1">
      <alignment horizontal="right" vertical="center" wrapText="1"/>
    </xf>
    <xf numFmtId="4" fontId="33" fillId="0" borderId="23" xfId="1" applyNumberFormat="1" applyFont="1" applyFill="1" applyBorder="1" applyAlignment="1">
      <alignment vertical="center" wrapText="1"/>
    </xf>
    <xf numFmtId="4" fontId="33" fillId="0" borderId="9" xfId="1" applyNumberFormat="1" applyFont="1" applyFill="1" applyBorder="1" applyAlignment="1">
      <alignment horizontal="right" vertical="center" wrapText="1"/>
    </xf>
    <xf numFmtId="4" fontId="33" fillId="0" borderId="6" xfId="1" applyNumberFormat="1" applyFont="1" applyFill="1" applyBorder="1" applyAlignment="1">
      <alignment horizontal="right" vertical="center" wrapText="1"/>
    </xf>
    <xf numFmtId="4" fontId="33" fillId="0" borderId="29" xfId="1" applyNumberFormat="1" applyFont="1" applyFill="1" applyBorder="1" applyAlignment="1">
      <alignment horizontal="right" vertical="center" wrapText="1"/>
    </xf>
    <xf numFmtId="4" fontId="33" fillId="0" borderId="14" xfId="1" applyNumberFormat="1" applyFont="1" applyFill="1" applyBorder="1" applyAlignment="1">
      <alignment horizontal="right" vertical="center" wrapText="1"/>
    </xf>
    <xf numFmtId="4" fontId="33" fillId="0" borderId="3" xfId="0" applyNumberFormat="1" applyFont="1" applyFill="1" applyBorder="1" applyAlignment="1">
      <alignment vertical="top" wrapText="1"/>
    </xf>
    <xf numFmtId="4" fontId="33" fillId="0" borderId="3" xfId="0" applyNumberFormat="1" applyFont="1" applyFill="1" applyBorder="1" applyAlignment="1">
      <alignment vertical="center" wrapText="1"/>
    </xf>
    <xf numFmtId="4" fontId="39" fillId="0" borderId="3" xfId="0" applyNumberFormat="1" applyFont="1" applyFill="1" applyBorder="1" applyAlignment="1">
      <alignment vertical="center"/>
    </xf>
    <xf numFmtId="175" fontId="35" fillId="0" borderId="3" xfId="0" applyNumberFormat="1" applyFont="1" applyFill="1" applyBorder="1" applyAlignment="1">
      <alignment horizontal="left" vertical="center"/>
    </xf>
    <xf numFmtId="175" fontId="0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vertical="center"/>
    </xf>
    <xf numFmtId="3" fontId="33" fillId="0" borderId="3" xfId="0" applyNumberFormat="1" applyFont="1" applyFill="1" applyBorder="1" applyAlignment="1">
      <alignment vertical="center" wrapText="1"/>
    </xf>
    <xf numFmtId="4" fontId="33" fillId="0" borderId="3" xfId="0" applyNumberFormat="1" applyFont="1" applyFill="1" applyBorder="1" applyAlignment="1">
      <alignment vertical="center"/>
    </xf>
    <xf numFmtId="4" fontId="33" fillId="0" borderId="0" xfId="0" applyNumberFormat="1" applyFont="1" applyFill="1" applyAlignment="1">
      <alignment vertical="center" wrapText="1"/>
    </xf>
    <xf numFmtId="4" fontId="39" fillId="0" borderId="0" xfId="0" applyNumberFormat="1" applyFont="1" applyFill="1" applyAlignment="1">
      <alignment vertical="center"/>
    </xf>
    <xf numFmtId="175" fontId="35" fillId="0" borderId="0" xfId="0" applyNumberFormat="1" applyFont="1" applyFill="1" applyAlignment="1">
      <alignment horizontal="left" vertical="center"/>
    </xf>
    <xf numFmtId="175" fontId="0" fillId="0" borderId="0" xfId="0" applyNumberFormat="1" applyFont="1" applyFill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4" fontId="33" fillId="0" borderId="13" xfId="1" applyNumberFormat="1" applyFont="1" applyFill="1" applyBorder="1" applyAlignment="1">
      <alignment horizontal="right" vertical="center" wrapText="1"/>
    </xf>
    <xf numFmtId="0" fontId="27" fillId="9" borderId="1" xfId="0" applyFont="1" applyFill="1" applyBorder="1" applyAlignment="1">
      <alignment horizontal="center" vertical="top" wrapText="1"/>
    </xf>
    <xf numFmtId="49" fontId="27" fillId="9" borderId="1" xfId="0" applyNumberFormat="1" applyFont="1" applyFill="1" applyBorder="1" applyAlignment="1">
      <alignment horizontal="center" vertical="top" wrapText="1"/>
    </xf>
    <xf numFmtId="49" fontId="27" fillId="9" borderId="2" xfId="0" applyNumberFormat="1" applyFont="1" applyFill="1" applyBorder="1" applyAlignment="1">
      <alignment horizontal="center" vertical="top" wrapText="1"/>
    </xf>
    <xf numFmtId="0" fontId="27" fillId="9" borderId="2" xfId="0" applyNumberFormat="1" applyFont="1" applyFill="1" applyBorder="1" applyAlignment="1">
      <alignment vertical="top" wrapText="1"/>
    </xf>
    <xf numFmtId="0" fontId="27" fillId="9" borderId="1" xfId="0" applyFont="1" applyFill="1" applyBorder="1" applyAlignment="1">
      <alignment horizontal="left" vertical="top" wrapText="1"/>
    </xf>
    <xf numFmtId="174" fontId="27" fillId="9" borderId="1" xfId="0" applyNumberFormat="1" applyFont="1" applyFill="1" applyBorder="1" applyAlignment="1">
      <alignment horizontal="center" vertical="center" wrapText="1"/>
    </xf>
    <xf numFmtId="0" fontId="33" fillId="9" borderId="3" xfId="0" applyFont="1" applyFill="1" applyBorder="1" applyAlignment="1">
      <alignment vertical="top" wrapText="1"/>
    </xf>
    <xf numFmtId="0" fontId="27" fillId="9" borderId="1" xfId="0" applyFont="1" applyFill="1" applyBorder="1" applyAlignment="1">
      <alignment vertical="top" wrapText="1"/>
    </xf>
    <xf numFmtId="174" fontId="27" fillId="9" borderId="1" xfId="0" applyNumberFormat="1" applyFont="1" applyFill="1" applyBorder="1" applyAlignment="1">
      <alignment horizontal="right" vertical="top" wrapText="1"/>
    </xf>
    <xf numFmtId="174" fontId="33" fillId="9" borderId="1" xfId="0" applyNumberFormat="1" applyFont="1" applyFill="1" applyBorder="1" applyAlignment="1">
      <alignment horizontal="right" vertical="top" wrapText="1"/>
    </xf>
    <xf numFmtId="49" fontId="27" fillId="9" borderId="0" xfId="0" applyNumberFormat="1" applyFont="1" applyFill="1" applyAlignment="1">
      <alignment horizontal="center" vertical="top" wrapText="1"/>
    </xf>
    <xf numFmtId="0" fontId="27" fillId="9" borderId="0" xfId="0" applyFont="1" applyFill="1" applyAlignment="1">
      <alignment vertical="top" wrapText="1"/>
    </xf>
    <xf numFmtId="174" fontId="27" fillId="9" borderId="0" xfId="0" applyNumberFormat="1" applyFont="1" applyFill="1" applyAlignment="1">
      <alignment vertical="top" wrapText="1"/>
    </xf>
    <xf numFmtId="175" fontId="27" fillId="0" borderId="0" xfId="0" applyNumberFormat="1" applyFont="1" applyFill="1" applyAlignment="1">
      <alignment vertical="top" wrapText="1"/>
    </xf>
    <xf numFmtId="175" fontId="27" fillId="9" borderId="0" xfId="0" applyNumberFormat="1" applyFont="1" applyFill="1" applyAlignment="1">
      <alignment vertical="top" wrapText="1"/>
    </xf>
    <xf numFmtId="49" fontId="27" fillId="9" borderId="2" xfId="0" applyNumberFormat="1" applyFont="1" applyFill="1" applyBorder="1" applyAlignment="1">
      <alignment horizontal="center" vertical="top" wrapText="1"/>
    </xf>
    <xf numFmtId="0" fontId="4" fillId="9" borderId="0" xfId="0" applyFont="1" applyFill="1" applyAlignment="1">
      <alignment vertical="top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40" fillId="0" borderId="0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Fill="1" applyBorder="1" applyAlignment="1">
      <alignment horizontal="left" vertical="center" wrapText="1"/>
    </xf>
    <xf numFmtId="4" fontId="33" fillId="9" borderId="3" xfId="1" applyNumberFormat="1" applyFont="1" applyFill="1" applyBorder="1" applyAlignment="1">
      <alignment horizontal="center" vertical="center" wrapText="1"/>
    </xf>
    <xf numFmtId="175" fontId="34" fillId="0" borderId="3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right" vertical="center" wrapText="1"/>
    </xf>
    <xf numFmtId="4" fontId="33" fillId="0" borderId="16" xfId="3" applyNumberFormat="1" applyFont="1" applyFill="1" applyBorder="1" applyAlignment="1">
      <alignment vertical="center" wrapText="1"/>
    </xf>
    <xf numFmtId="3" fontId="33" fillId="0" borderId="16" xfId="1" applyNumberFormat="1" applyFont="1" applyFill="1" applyBorder="1" applyAlignment="1">
      <alignment vertical="center" wrapText="1"/>
    </xf>
    <xf numFmtId="3" fontId="33" fillId="0" borderId="31" xfId="1" applyNumberFormat="1" applyFont="1" applyFill="1" applyBorder="1" applyAlignment="1">
      <alignment vertical="center" wrapText="1"/>
    </xf>
    <xf numFmtId="3" fontId="33" fillId="0" borderId="27" xfId="1" applyNumberFormat="1" applyFont="1" applyFill="1" applyBorder="1" applyAlignment="1">
      <alignment vertical="center" wrapText="1"/>
    </xf>
    <xf numFmtId="3" fontId="33" fillId="0" borderId="21" xfId="1" applyNumberFormat="1" applyFont="1" applyFill="1" applyBorder="1" applyAlignment="1">
      <alignment vertical="center" wrapText="1"/>
    </xf>
    <xf numFmtId="4" fontId="33" fillId="0" borderId="32" xfId="1" applyNumberFormat="1" applyFont="1" applyFill="1" applyBorder="1" applyAlignment="1">
      <alignment horizontal="right" vertical="center" wrapText="1"/>
    </xf>
    <xf numFmtId="4" fontId="33" fillId="0" borderId="16" xfId="1" applyNumberFormat="1" applyFont="1" applyFill="1" applyBorder="1" applyAlignment="1">
      <alignment horizontal="right" vertical="center" wrapText="1"/>
    </xf>
    <xf numFmtId="4" fontId="33" fillId="0" borderId="33" xfId="1" applyNumberFormat="1" applyFont="1" applyFill="1" applyBorder="1" applyAlignment="1">
      <alignment horizontal="right" vertical="center" wrapText="1"/>
    </xf>
    <xf numFmtId="4" fontId="33" fillId="0" borderId="27" xfId="1" applyNumberFormat="1" applyFont="1" applyFill="1" applyBorder="1" applyAlignment="1">
      <alignment horizontal="right" vertical="center" wrapText="1"/>
    </xf>
    <xf numFmtId="4" fontId="7" fillId="0" borderId="21" xfId="1" applyNumberFormat="1" applyFont="1" applyFill="1" applyBorder="1" applyAlignment="1">
      <alignment vertical="center" wrapText="1"/>
    </xf>
    <xf numFmtId="4" fontId="33" fillId="0" borderId="31" xfId="1" applyNumberFormat="1" applyFont="1" applyFill="1" applyBorder="1" applyAlignment="1">
      <alignment horizontal="right" vertical="center" wrapText="1"/>
    </xf>
    <xf numFmtId="4" fontId="4" fillId="0" borderId="32" xfId="1" applyNumberFormat="1" applyFont="1" applyFill="1" applyBorder="1" applyAlignment="1">
      <alignment horizontal="right" vertical="center" wrapText="1"/>
    </xf>
    <xf numFmtId="4" fontId="4" fillId="0" borderId="16" xfId="1" applyNumberFormat="1" applyFont="1" applyFill="1" applyBorder="1" applyAlignment="1">
      <alignment horizontal="right" vertical="center" wrapText="1"/>
    </xf>
    <xf numFmtId="4" fontId="4" fillId="0" borderId="31" xfId="1" applyNumberFormat="1" applyFont="1" applyFill="1" applyBorder="1" applyAlignment="1">
      <alignment horizontal="right" vertical="center" wrapText="1"/>
    </xf>
    <xf numFmtId="4" fontId="4" fillId="0" borderId="21" xfId="1" applyNumberFormat="1" applyFont="1" applyFill="1" applyBorder="1" applyAlignment="1">
      <alignment horizontal="right" vertical="center" wrapText="1"/>
    </xf>
    <xf numFmtId="4" fontId="33" fillId="0" borderId="21" xfId="1" applyNumberFormat="1" applyFont="1" applyFill="1" applyBorder="1" applyAlignment="1">
      <alignment horizontal="right" vertical="center" wrapText="1"/>
    </xf>
    <xf numFmtId="175" fontId="33" fillId="0" borderId="16" xfId="1" applyNumberFormat="1" applyFont="1" applyFill="1" applyBorder="1" applyAlignment="1">
      <alignment vertical="center" wrapText="1"/>
    </xf>
    <xf numFmtId="4" fontId="33" fillId="0" borderId="20" xfId="1" applyNumberFormat="1" applyFont="1" applyFill="1" applyBorder="1" applyAlignment="1">
      <alignment vertical="center" wrapText="1"/>
    </xf>
    <xf numFmtId="4" fontId="33" fillId="0" borderId="32" xfId="1" applyNumberFormat="1" applyFont="1" applyFill="1" applyBorder="1" applyAlignment="1">
      <alignment vertical="center" wrapText="1"/>
    </xf>
    <xf numFmtId="175" fontId="33" fillId="0" borderId="6" xfId="1" applyNumberFormat="1" applyFont="1" applyFill="1" applyBorder="1" applyAlignment="1">
      <alignment horizontal="center" vertical="center" wrapText="1"/>
    </xf>
    <xf numFmtId="4" fontId="4" fillId="0" borderId="17" xfId="1" applyNumberFormat="1" applyFont="1" applyFill="1" applyBorder="1" applyAlignment="1">
      <alignment horizontal="right" vertical="center" wrapText="1"/>
    </xf>
    <xf numFmtId="4" fontId="33" fillId="0" borderId="17" xfId="1" applyNumberFormat="1" applyFont="1" applyFill="1" applyBorder="1" applyAlignment="1">
      <alignment horizontal="right" vertical="center" wrapText="1"/>
    </xf>
    <xf numFmtId="175" fontId="33" fillId="0" borderId="0" xfId="1" applyNumberFormat="1" applyFont="1" applyFill="1" applyBorder="1" applyAlignment="1">
      <alignment horizontal="center" vertical="center" wrapText="1"/>
    </xf>
    <xf numFmtId="3" fontId="33" fillId="0" borderId="2" xfId="1" applyNumberFormat="1" applyFont="1" applyFill="1" applyBorder="1" applyAlignment="1">
      <alignment horizontal="center" vertical="center" wrapText="1"/>
    </xf>
    <xf numFmtId="4" fontId="33" fillId="0" borderId="2" xfId="1" applyNumberFormat="1" applyFont="1" applyFill="1" applyBorder="1" applyAlignment="1">
      <alignment horizontal="center" vertical="center" wrapText="1"/>
    </xf>
    <xf numFmtId="4" fontId="33" fillId="0" borderId="19" xfId="1" applyNumberFormat="1" applyFont="1" applyFill="1" applyBorder="1" applyAlignment="1">
      <alignment horizontal="right" vertical="center" wrapText="1"/>
    </xf>
    <xf numFmtId="4" fontId="33" fillId="0" borderId="3" xfId="3" applyNumberFormat="1" applyFont="1" applyFill="1" applyBorder="1" applyAlignment="1">
      <alignment horizontal="center" vertical="center" wrapText="1"/>
    </xf>
    <xf numFmtId="175" fontId="33" fillId="0" borderId="3" xfId="1" applyNumberFormat="1" applyFont="1" applyFill="1" applyBorder="1" applyAlignment="1">
      <alignment horizontal="right" vertical="center" wrapText="1"/>
    </xf>
    <xf numFmtId="3" fontId="33" fillId="0" borderId="4" xfId="1" applyNumberFormat="1" applyFont="1" applyFill="1" applyBorder="1" applyAlignment="1">
      <alignment horizontal="right" vertical="center" wrapText="1"/>
    </xf>
    <xf numFmtId="175" fontId="33" fillId="0" borderId="4" xfId="1" applyNumberFormat="1" applyFont="1" applyFill="1" applyBorder="1" applyAlignment="1">
      <alignment horizontal="center" vertical="center" wrapText="1"/>
    </xf>
    <xf numFmtId="175" fontId="33" fillId="0" borderId="16" xfId="1" applyNumberFormat="1" applyFont="1" applyFill="1" applyBorder="1" applyAlignment="1">
      <alignment horizontal="right" vertical="center" wrapText="1"/>
    </xf>
    <xf numFmtId="175" fontId="33" fillId="0" borderId="31" xfId="1" applyNumberFormat="1" applyFont="1" applyFill="1" applyBorder="1" applyAlignment="1">
      <alignment horizontal="right" vertical="center" wrapText="1"/>
    </xf>
    <xf numFmtId="175" fontId="33" fillId="0" borderId="27" xfId="1" applyNumberFormat="1" applyFont="1" applyFill="1" applyBorder="1" applyAlignment="1">
      <alignment horizontal="center" vertical="center" wrapText="1"/>
    </xf>
    <xf numFmtId="4" fontId="33" fillId="0" borderId="4" xfId="1" applyNumberFormat="1" applyFont="1" applyFill="1" applyBorder="1" applyAlignment="1">
      <alignment horizontal="left" vertical="center" wrapText="1"/>
    </xf>
    <xf numFmtId="4" fontId="33" fillId="0" borderId="12" xfId="1" applyNumberFormat="1" applyFont="1" applyFill="1" applyBorder="1" applyAlignment="1">
      <alignment horizontal="right" vertical="center" wrapText="1"/>
    </xf>
    <xf numFmtId="4" fontId="33" fillId="0" borderId="9" xfId="1" applyNumberFormat="1" applyFont="1" applyFill="1" applyBorder="1" applyAlignment="1">
      <alignment vertical="center" wrapText="1"/>
    </xf>
    <xf numFmtId="4" fontId="33" fillId="0" borderId="34" xfId="1" applyNumberFormat="1" applyFont="1" applyFill="1" applyBorder="1" applyAlignment="1">
      <alignment vertical="center" wrapText="1"/>
    </xf>
    <xf numFmtId="4" fontId="4" fillId="0" borderId="12" xfId="1" applyNumberFormat="1" applyFont="1" applyFill="1" applyBorder="1" applyAlignment="1">
      <alignment vertical="center" wrapText="1"/>
    </xf>
    <xf numFmtId="4" fontId="4" fillId="0" borderId="2" xfId="1" applyNumberFormat="1" applyFont="1" applyFill="1" applyBorder="1" applyAlignment="1">
      <alignment vertical="center" wrapText="1"/>
    </xf>
    <xf numFmtId="4" fontId="4" fillId="0" borderId="9" xfId="1" applyNumberFormat="1" applyFont="1" applyFill="1" applyBorder="1" applyAlignment="1">
      <alignment vertical="center" wrapText="1"/>
    </xf>
    <xf numFmtId="3" fontId="33" fillId="0" borderId="32" xfId="1" applyNumberFormat="1" applyFont="1" applyFill="1" applyBorder="1" applyAlignment="1">
      <alignment horizontal="right" vertical="center" wrapText="1"/>
    </xf>
    <xf numFmtId="175" fontId="33" fillId="0" borderId="32" xfId="1" applyNumberFormat="1" applyFont="1" applyFill="1" applyBorder="1" applyAlignment="1">
      <alignment horizontal="right" vertical="center" wrapText="1"/>
    </xf>
    <xf numFmtId="4" fontId="33" fillId="0" borderId="30" xfId="1" applyNumberFormat="1" applyFont="1" applyFill="1" applyBorder="1" applyAlignment="1">
      <alignment vertical="center" wrapText="1"/>
    </xf>
    <xf numFmtId="3" fontId="33" fillId="0" borderId="30" xfId="1" applyNumberFormat="1" applyFont="1" applyFill="1" applyBorder="1" applyAlignment="1">
      <alignment vertical="center" wrapText="1"/>
    </xf>
    <xf numFmtId="0" fontId="4" fillId="9" borderId="0" xfId="0" applyFont="1" applyFill="1" applyAlignment="1">
      <alignment vertical="top" wrapText="1"/>
    </xf>
    <xf numFmtId="0" fontId="35" fillId="9" borderId="0" xfId="0" applyFont="1" applyFill="1" applyBorder="1"/>
    <xf numFmtId="49" fontId="27" fillId="9" borderId="2" xfId="0" applyNumberFormat="1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vertical="top" wrapText="1" indent="3"/>
    </xf>
    <xf numFmtId="2" fontId="4" fillId="0" borderId="3" xfId="0" applyNumberFormat="1" applyFont="1" applyFill="1" applyBorder="1" applyAlignment="1">
      <alignment vertical="distributed" wrapText="1"/>
    </xf>
    <xf numFmtId="49" fontId="27" fillId="9" borderId="2" xfId="0" applyNumberFormat="1" applyFont="1" applyFill="1" applyBorder="1" applyAlignment="1">
      <alignment horizontal="center" vertical="top" wrapText="1"/>
    </xf>
    <xf numFmtId="174" fontId="27" fillId="9" borderId="4" xfId="0" applyNumberFormat="1" applyFont="1" applyFill="1" applyBorder="1" applyAlignment="1">
      <alignment horizontal="center" vertical="center" wrapText="1"/>
    </xf>
    <xf numFmtId="0" fontId="4" fillId="9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174" fontId="31" fillId="2" borderId="0" xfId="0" applyNumberFormat="1" applyFont="1" applyFill="1" applyBorder="1" applyAlignment="1">
      <alignment horizontal="right" vertical="center" wrapText="1"/>
    </xf>
    <xf numFmtId="174" fontId="18" fillId="2" borderId="0" xfId="0" applyNumberFormat="1" applyFont="1" applyFill="1" applyBorder="1" applyAlignment="1">
      <alignment horizontal="right" vertical="center" wrapText="1"/>
    </xf>
    <xf numFmtId="174" fontId="13" fillId="2" borderId="0" xfId="0" applyNumberFormat="1" applyFont="1" applyFill="1" applyAlignment="1">
      <alignment vertical="center" wrapText="1"/>
    </xf>
    <xf numFmtId="174" fontId="4" fillId="2" borderId="0" xfId="0" applyNumberFormat="1" applyFont="1" applyFill="1" applyAlignment="1">
      <alignment vertical="center" wrapText="1"/>
    </xf>
    <xf numFmtId="175" fontId="4" fillId="2" borderId="0" xfId="0" applyNumberFormat="1" applyFont="1" applyFill="1" applyAlignment="1">
      <alignment vertical="center" wrapText="1"/>
    </xf>
    <xf numFmtId="174" fontId="32" fillId="0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49" fontId="13" fillId="0" borderId="25" xfId="0" applyNumberFormat="1" applyFont="1" applyFill="1" applyBorder="1" applyAlignment="1">
      <alignment horizontal="center" vertical="top" wrapText="1"/>
    </xf>
    <xf numFmtId="49" fontId="13" fillId="9" borderId="25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174" fontId="18" fillId="0" borderId="13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top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77" fontId="18" fillId="0" borderId="1" xfId="0" applyNumberFormat="1" applyFont="1" applyFill="1" applyBorder="1" applyAlignment="1">
      <alignment horizontal="right" vertical="center" wrapText="1"/>
    </xf>
    <xf numFmtId="0" fontId="18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74" fontId="4" fillId="0" borderId="3" xfId="0" applyNumberFormat="1" applyFont="1" applyFill="1" applyBorder="1" applyAlignment="1">
      <alignment horizontal="center" vertical="center" wrapText="1"/>
    </xf>
    <xf numFmtId="174" fontId="4" fillId="0" borderId="3" xfId="0" applyNumberFormat="1" applyFont="1" applyFill="1" applyBorder="1" applyAlignment="1">
      <alignment horizontal="center" vertical="top" wrapText="1"/>
    </xf>
    <xf numFmtId="174" fontId="4" fillId="9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13" fillId="0" borderId="10" xfId="0" applyNumberFormat="1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 vertical="top" wrapText="1"/>
    </xf>
    <xf numFmtId="174" fontId="13" fillId="0" borderId="14" xfId="0" applyNumberFormat="1" applyFont="1" applyFill="1" applyBorder="1" applyAlignment="1">
      <alignment horizontal="right" vertical="top" wrapText="1"/>
    </xf>
    <xf numFmtId="174" fontId="13" fillId="0" borderId="1" xfId="0" applyNumberFormat="1" applyFont="1" applyFill="1" applyBorder="1" applyAlignment="1">
      <alignment horizontal="right" vertical="top" wrapText="1"/>
    </xf>
    <xf numFmtId="174" fontId="13" fillId="9" borderId="1" xfId="0" applyNumberFormat="1" applyFont="1" applyFill="1" applyBorder="1" applyAlignment="1">
      <alignment horizontal="right" vertical="top" wrapText="1"/>
    </xf>
    <xf numFmtId="174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left" vertical="top" wrapText="1"/>
    </xf>
    <xf numFmtId="49" fontId="13" fillId="9" borderId="1" xfId="0" applyNumberFormat="1" applyFont="1" applyFill="1" applyBorder="1" applyAlignment="1">
      <alignment horizontal="center" vertical="top" wrapText="1"/>
    </xf>
    <xf numFmtId="174" fontId="13" fillId="9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left" vertical="top" wrapText="1"/>
    </xf>
    <xf numFmtId="174" fontId="13" fillId="0" borderId="1" xfId="0" applyNumberFormat="1" applyFont="1" applyFill="1" applyBorder="1" applyAlignment="1">
      <alignment horizontal="left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Fill="1" applyBorder="1" applyAlignment="1">
      <alignment horizontal="center" vertical="top" wrapText="1"/>
    </xf>
    <xf numFmtId="49" fontId="27" fillId="9" borderId="2" xfId="0" applyNumberFormat="1" applyFont="1" applyFill="1" applyBorder="1" applyAlignment="1">
      <alignment horizontal="center" vertical="top" wrapText="1"/>
    </xf>
    <xf numFmtId="184" fontId="18" fillId="0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left" vertical="top" wrapText="1"/>
    </xf>
    <xf numFmtId="2" fontId="4" fillId="0" borderId="0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35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49" fontId="4" fillId="0" borderId="39" xfId="0" applyNumberFormat="1" applyFont="1" applyFill="1" applyBorder="1" applyAlignment="1">
      <alignment horizontal="center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49" fontId="4" fillId="0" borderId="36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0" fontId="4" fillId="9" borderId="0" xfId="0" applyFont="1" applyFill="1" applyAlignment="1">
      <alignment vertical="top" wrapText="1"/>
    </xf>
    <xf numFmtId="0" fontId="7" fillId="9" borderId="0" xfId="0" applyFont="1" applyFill="1" applyAlignment="1">
      <alignment vertical="center"/>
    </xf>
    <xf numFmtId="0" fontId="37" fillId="9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right" wrapText="1"/>
    </xf>
    <xf numFmtId="3" fontId="5" fillId="0" borderId="0" xfId="1" applyNumberFormat="1" applyFont="1" applyFill="1" applyAlignment="1">
      <alignment horizontal="center" vertical="center" wrapText="1"/>
    </xf>
    <xf numFmtId="175" fontId="5" fillId="2" borderId="21" xfId="1" applyNumberFormat="1" applyFont="1" applyFill="1" applyBorder="1" applyAlignment="1">
      <alignment horizontal="center" vertical="center" wrapText="1"/>
    </xf>
    <xf numFmtId="175" fontId="5" fillId="2" borderId="0" xfId="1" applyNumberFormat="1" applyFont="1" applyFill="1" applyBorder="1" applyAlignment="1">
      <alignment horizontal="center" vertical="center" wrapText="1"/>
    </xf>
    <xf numFmtId="4" fontId="8" fillId="2" borderId="44" xfId="1" applyNumberFormat="1" applyFont="1" applyFill="1" applyBorder="1" applyAlignment="1">
      <alignment horizontal="left" vertical="center"/>
    </xf>
    <xf numFmtId="4" fontId="8" fillId="2" borderId="42" xfId="1" applyNumberFormat="1" applyFont="1" applyFill="1" applyBorder="1" applyAlignment="1">
      <alignment horizontal="left" vertical="center"/>
    </xf>
    <xf numFmtId="4" fontId="8" fillId="2" borderId="43" xfId="1" applyNumberFormat="1" applyFont="1" applyFill="1" applyBorder="1" applyAlignment="1">
      <alignment horizontal="left" vertical="center"/>
    </xf>
    <xf numFmtId="4" fontId="8" fillId="0" borderId="25" xfId="1" applyNumberFormat="1" applyFont="1" applyFill="1" applyBorder="1" applyAlignment="1">
      <alignment horizontal="left" vertical="center"/>
    </xf>
    <xf numFmtId="4" fontId="8" fillId="0" borderId="37" xfId="1" applyNumberFormat="1" applyFont="1" applyFill="1" applyBorder="1" applyAlignment="1">
      <alignment horizontal="left" vertical="center"/>
    </xf>
    <xf numFmtId="4" fontId="8" fillId="0" borderId="15" xfId="1" applyNumberFormat="1" applyFont="1" applyFill="1" applyBorder="1" applyAlignment="1">
      <alignment horizontal="left" vertical="center"/>
    </xf>
    <xf numFmtId="4" fontId="8" fillId="2" borderId="23" xfId="1" applyNumberFormat="1" applyFont="1" applyFill="1" applyBorder="1" applyAlignment="1">
      <alignment horizontal="left" vertical="center"/>
    </xf>
    <xf numFmtId="4" fontId="8" fillId="2" borderId="29" xfId="1" applyNumberFormat="1" applyFont="1" applyFill="1" applyBorder="1" applyAlignment="1">
      <alignment horizontal="left" vertical="center" wrapText="1"/>
    </xf>
    <xf numFmtId="4" fontId="8" fillId="2" borderId="23" xfId="1" applyNumberFormat="1" applyFont="1" applyFill="1" applyBorder="1" applyAlignment="1">
      <alignment horizontal="left" vertical="center" wrapText="1"/>
    </xf>
    <xf numFmtId="4" fontId="8" fillId="2" borderId="24" xfId="1" applyNumberFormat="1" applyFont="1" applyFill="1" applyBorder="1" applyAlignment="1">
      <alignment horizontal="left" vertical="center" wrapText="1"/>
    </xf>
    <xf numFmtId="4" fontId="23" fillId="0" borderId="0" xfId="1" applyNumberFormat="1" applyFont="1" applyFill="1" applyBorder="1" applyAlignment="1">
      <alignment horizontal="center" vertical="center" wrapText="1"/>
    </xf>
    <xf numFmtId="4" fontId="2" fillId="0" borderId="0" xfId="4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8" fillId="0" borderId="3" xfId="1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5" fillId="0" borderId="0" xfId="1" applyNumberFormat="1" applyFont="1" applyFill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left" vertical="center" wrapText="1"/>
    </xf>
    <xf numFmtId="4" fontId="5" fillId="0" borderId="0" xfId="1" applyNumberFormat="1" applyFont="1" applyFill="1" applyBorder="1" applyAlignment="1">
      <alignment horizontal="left" vertical="center" wrapText="1"/>
    </xf>
    <xf numFmtId="4" fontId="7" fillId="0" borderId="3" xfId="1" applyNumberFormat="1" applyFont="1" applyFill="1" applyBorder="1" applyAlignment="1">
      <alignment horizontal="center" vertical="center" wrapText="1"/>
    </xf>
    <xf numFmtId="4" fontId="2" fillId="0" borderId="37" xfId="1" applyNumberFormat="1" applyFont="1" applyFill="1" applyBorder="1" applyAlignment="1">
      <alignment horizontal="center" vertical="center" wrapText="1"/>
    </xf>
    <xf numFmtId="4" fontId="2" fillId="0" borderId="15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left" vertical="center" wrapText="1"/>
    </xf>
    <xf numFmtId="4" fontId="8" fillId="0" borderId="31" xfId="1" applyNumberFormat="1" applyFont="1" applyFill="1" applyBorder="1" applyAlignment="1">
      <alignment horizontal="left" vertical="center"/>
    </xf>
    <xf numFmtId="4" fontId="8" fillId="0" borderId="0" xfId="1" applyNumberFormat="1" applyFont="1" applyFill="1" applyBorder="1" applyAlignment="1">
      <alignment horizontal="left" vertical="center"/>
    </xf>
    <xf numFmtId="4" fontId="8" fillId="0" borderId="20" xfId="1" applyNumberFormat="1" applyFont="1" applyFill="1" applyBorder="1" applyAlignment="1">
      <alignment horizontal="left" vertical="center"/>
    </xf>
    <xf numFmtId="4" fontId="8" fillId="2" borderId="44" xfId="1" applyNumberFormat="1" applyFont="1" applyFill="1" applyBorder="1" applyAlignment="1">
      <alignment horizontal="left" vertical="center" wrapText="1"/>
    </xf>
    <xf numFmtId="4" fontId="8" fillId="2" borderId="42" xfId="1" applyNumberFormat="1" applyFont="1" applyFill="1" applyBorder="1" applyAlignment="1">
      <alignment horizontal="left" vertical="center" wrapText="1"/>
    </xf>
    <xf numFmtId="4" fontId="8" fillId="2" borderId="43" xfId="1" applyNumberFormat="1" applyFont="1" applyFill="1" applyBorder="1" applyAlignment="1">
      <alignment horizontal="left" vertical="center" wrapText="1"/>
    </xf>
    <xf numFmtId="4" fontId="8" fillId="0" borderId="45" xfId="1" applyNumberFormat="1" applyFont="1" applyFill="1" applyBorder="1" applyAlignment="1">
      <alignment horizontal="left" vertical="center"/>
    </xf>
    <xf numFmtId="4" fontId="8" fillId="0" borderId="18" xfId="1" applyNumberFormat="1" applyFont="1" applyFill="1" applyBorder="1" applyAlignment="1">
      <alignment horizontal="left" vertical="center"/>
    </xf>
    <xf numFmtId="4" fontId="8" fillId="0" borderId="19" xfId="1" applyNumberFormat="1" applyFont="1" applyFill="1" applyBorder="1" applyAlignment="1">
      <alignment horizontal="left" vertical="center"/>
    </xf>
    <xf numFmtId="4" fontId="8" fillId="2" borderId="9" xfId="1" applyNumberFormat="1" applyFont="1" applyFill="1" applyBorder="1" applyAlignment="1">
      <alignment horizontal="left" vertical="center" wrapText="1"/>
    </xf>
    <xf numFmtId="4" fontId="8" fillId="2" borderId="34" xfId="1" applyNumberFormat="1" applyFont="1" applyFill="1" applyBorder="1" applyAlignment="1">
      <alignment horizontal="left" vertical="center" wrapText="1"/>
    </xf>
    <xf numFmtId="4" fontId="8" fillId="2" borderId="7" xfId="1" applyNumberFormat="1" applyFont="1" applyFill="1" applyBorder="1" applyAlignment="1">
      <alignment horizontal="left" vertical="center" wrapText="1"/>
    </xf>
    <xf numFmtId="4" fontId="8" fillId="2" borderId="3" xfId="1" applyNumberFormat="1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>
      <alignment horizontal="left" vertical="center" wrapText="1"/>
    </xf>
    <xf numFmtId="4" fontId="8" fillId="0" borderId="3" xfId="1" applyNumberFormat="1" applyFont="1" applyFill="1" applyBorder="1" applyAlignment="1">
      <alignment horizontal="left" vertical="center"/>
    </xf>
    <xf numFmtId="4" fontId="8" fillId="0" borderId="3" xfId="1" applyNumberFormat="1" applyFont="1" applyFill="1" applyBorder="1" applyAlignment="1">
      <alignment horizontal="center" vertical="center" wrapText="1"/>
    </xf>
    <xf numFmtId="4" fontId="8" fillId="0" borderId="9" xfId="1" applyNumberFormat="1" applyFont="1" applyFill="1" applyBorder="1" applyAlignment="1">
      <alignment horizontal="center" vertical="center" wrapText="1"/>
    </xf>
    <xf numFmtId="4" fontId="8" fillId="0" borderId="34" xfId="1" applyNumberFormat="1" applyFont="1" applyFill="1" applyBorder="1" applyAlignment="1">
      <alignment horizontal="center" vertical="center" wrapText="1"/>
    </xf>
    <xf numFmtId="4" fontId="8" fillId="0" borderId="7" xfId="1" applyNumberFormat="1" applyFont="1" applyFill="1" applyBorder="1" applyAlignment="1">
      <alignment horizontal="center" vertical="center" wrapText="1"/>
    </xf>
    <xf numFmtId="4" fontId="8" fillId="2" borderId="41" xfId="1" applyNumberFormat="1" applyFont="1" applyFill="1" applyBorder="1" applyAlignment="1">
      <alignment horizontal="left" vertical="center" wrapText="1"/>
    </xf>
    <xf numFmtId="4" fontId="40" fillId="0" borderId="3" xfId="1" applyNumberFormat="1" applyFont="1" applyFill="1" applyBorder="1" applyAlignment="1">
      <alignment horizontal="center" vertical="center" wrapText="1"/>
    </xf>
    <xf numFmtId="4" fontId="40" fillId="0" borderId="3" xfId="1" applyNumberFormat="1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 wrapText="1"/>
    </xf>
    <xf numFmtId="4" fontId="40" fillId="0" borderId="3" xfId="0" applyNumberFormat="1" applyFont="1" applyFill="1" applyBorder="1" applyAlignment="1">
      <alignment horizontal="left" vertical="center" wrapText="1"/>
    </xf>
    <xf numFmtId="4" fontId="40" fillId="0" borderId="3" xfId="1" applyNumberFormat="1" applyFont="1" applyFill="1" applyBorder="1" applyAlignment="1">
      <alignment horizontal="left" vertical="center"/>
    </xf>
    <xf numFmtId="4" fontId="33" fillId="0" borderId="0" xfId="1" applyNumberFormat="1" applyFont="1" applyFill="1" applyBorder="1" applyAlignment="1">
      <alignment horizontal="right" vertical="top" wrapText="1"/>
    </xf>
    <xf numFmtId="0" fontId="39" fillId="0" borderId="0" xfId="0" applyFont="1" applyFill="1" applyAlignment="1">
      <alignment horizontal="right" vertical="top" wrapText="1"/>
    </xf>
    <xf numFmtId="4" fontId="33" fillId="0" borderId="3" xfId="1" applyNumberFormat="1" applyFont="1" applyFill="1" applyBorder="1" applyAlignment="1">
      <alignment horizontal="center" vertical="center" wrapText="1"/>
    </xf>
    <xf numFmtId="4" fontId="33" fillId="0" borderId="25" xfId="1" applyNumberFormat="1" applyFont="1" applyFill="1" applyBorder="1" applyAlignment="1">
      <alignment horizontal="center" vertical="center" wrapText="1"/>
    </xf>
    <xf numFmtId="4" fontId="33" fillId="0" borderId="37" xfId="1" applyNumberFormat="1" applyFont="1" applyFill="1" applyBorder="1" applyAlignment="1">
      <alignment horizontal="center" vertical="center" wrapText="1"/>
    </xf>
    <xf numFmtId="4" fontId="33" fillId="0" borderId="15" xfId="1" applyNumberFormat="1" applyFont="1" applyFill="1" applyBorder="1" applyAlignment="1">
      <alignment horizontal="center" vertical="center" wrapText="1"/>
    </xf>
    <xf numFmtId="4" fontId="33" fillId="0" borderId="0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>
      <alignment horizontal="center" vertical="center" wrapText="1"/>
    </xf>
    <xf numFmtId="3" fontId="7" fillId="0" borderId="46" xfId="1" applyNumberFormat="1" applyFont="1" applyFill="1" applyBorder="1" applyAlignment="1">
      <alignment horizontal="center" vertical="center" wrapText="1"/>
    </xf>
    <xf numFmtId="3" fontId="7" fillId="0" borderId="47" xfId="1" applyNumberFormat="1" applyFont="1" applyFill="1" applyBorder="1" applyAlignment="1">
      <alignment horizontal="center" vertical="center" wrapText="1"/>
    </xf>
    <xf numFmtId="3" fontId="7" fillId="0" borderId="48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vertical="center" wrapText="1"/>
    </xf>
    <xf numFmtId="4" fontId="40" fillId="0" borderId="25" xfId="1" applyNumberFormat="1" applyFont="1" applyFill="1" applyBorder="1" applyAlignment="1">
      <alignment horizontal="left" vertical="center"/>
    </xf>
    <xf numFmtId="4" fontId="40" fillId="0" borderId="37" xfId="1" applyNumberFormat="1" applyFont="1" applyFill="1" applyBorder="1" applyAlignment="1">
      <alignment horizontal="left" vertical="center"/>
    </xf>
    <xf numFmtId="4" fontId="40" fillId="0" borderId="31" xfId="1" applyNumberFormat="1" applyFont="1" applyFill="1" applyBorder="1" applyAlignment="1">
      <alignment horizontal="center" vertical="center" wrapText="1"/>
    </xf>
    <xf numFmtId="4" fontId="40" fillId="0" borderId="0" xfId="1" applyNumberFormat="1" applyFont="1" applyFill="1" applyBorder="1" applyAlignment="1">
      <alignment horizontal="center" vertical="center" wrapText="1"/>
    </xf>
    <xf numFmtId="4" fontId="40" fillId="0" borderId="22" xfId="1" applyNumberFormat="1" applyFont="1" applyFill="1" applyBorder="1" applyAlignment="1">
      <alignment horizontal="left" vertical="center"/>
    </xf>
    <xf numFmtId="4" fontId="40" fillId="0" borderId="23" xfId="1" applyNumberFormat="1" applyFont="1" applyFill="1" applyBorder="1" applyAlignment="1">
      <alignment horizontal="left" vertical="center"/>
    </xf>
    <xf numFmtId="4" fontId="40" fillId="0" borderId="3" xfId="1" applyNumberFormat="1" applyFont="1" applyFill="1" applyBorder="1" applyAlignment="1">
      <alignment horizontal="center" vertical="center"/>
    </xf>
    <xf numFmtId="4" fontId="4" fillId="0" borderId="0" xfId="4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Alignment="1">
      <alignment horizontal="center" vertical="center" wrapText="1"/>
    </xf>
    <xf numFmtId="4" fontId="33" fillId="0" borderId="0" xfId="0" applyNumberFormat="1" applyFont="1" applyFill="1" applyBorder="1" applyAlignment="1">
      <alignment horizontal="right" vertical="center" wrapText="1"/>
    </xf>
    <xf numFmtId="4" fontId="33" fillId="0" borderId="0" xfId="1" applyNumberFormat="1" applyFont="1" applyFill="1" applyAlignment="1">
      <alignment horizontal="left" vertical="center" wrapText="1"/>
    </xf>
    <xf numFmtId="4" fontId="40" fillId="0" borderId="45" xfId="1" applyNumberFormat="1" applyFont="1" applyFill="1" applyBorder="1" applyAlignment="1">
      <alignment horizontal="left" vertical="center" wrapText="1"/>
    </xf>
    <xf numFmtId="4" fontId="40" fillId="0" borderId="18" xfId="1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75" fontId="18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8" fillId="0" borderId="0" xfId="4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174" fontId="18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174" fontId="4" fillId="9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wrapText="1"/>
    </xf>
    <xf numFmtId="0" fontId="0" fillId="0" borderId="18" xfId="0" applyFont="1" applyFill="1" applyBorder="1" applyAlignment="1"/>
    <xf numFmtId="0" fontId="4" fillId="0" borderId="18" xfId="4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174" fontId="4" fillId="0" borderId="6" xfId="0" applyNumberFormat="1" applyFont="1" applyFill="1" applyBorder="1" applyAlignment="1">
      <alignment horizontal="center" vertical="center" wrapText="1"/>
    </xf>
    <xf numFmtId="174" fontId="4" fillId="0" borderId="27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justify" vertical="top" wrapText="1"/>
      <protection locked="0"/>
    </xf>
    <xf numFmtId="0" fontId="0" fillId="0" borderId="3" xfId="0" applyBorder="1" applyAlignment="1">
      <alignment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13" fillId="9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13" fillId="0" borderId="17" xfId="0" applyNumberFormat="1" applyFont="1" applyFill="1" applyBorder="1" applyAlignment="1">
      <alignment horizontal="center" vertical="top" wrapText="1"/>
    </xf>
    <xf numFmtId="49" fontId="13" fillId="0" borderId="22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49" fontId="13" fillId="0" borderId="21" xfId="0" applyNumberFormat="1" applyFont="1" applyFill="1" applyBorder="1" applyAlignment="1">
      <alignment horizontal="center" vertical="top" wrapText="1"/>
    </xf>
    <xf numFmtId="0" fontId="19" fillId="0" borderId="0" xfId="0" applyFont="1" applyFill="1" applyAlignment="1">
      <alignment vertical="center" wrapText="1"/>
    </xf>
    <xf numFmtId="17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49" fontId="32" fillId="0" borderId="0" xfId="0" applyNumberFormat="1" applyFont="1" applyFill="1" applyBorder="1" applyAlignment="1">
      <alignment horizontal="center" vertical="top" wrapText="1"/>
    </xf>
    <xf numFmtId="49" fontId="13" fillId="0" borderId="1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Fill="1" applyBorder="1" applyAlignment="1">
      <alignment horizontal="center" vertical="top" wrapText="1"/>
    </xf>
    <xf numFmtId="174" fontId="4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9" fontId="4" fillId="9" borderId="1" xfId="0" applyNumberFormat="1" applyFont="1" applyFill="1" applyBorder="1" applyAlignment="1">
      <alignment horizontal="center" vertical="top" wrapText="1"/>
    </xf>
    <xf numFmtId="0" fontId="17" fillId="0" borderId="0" xfId="4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 wrapText="1"/>
    </xf>
    <xf numFmtId="175" fontId="17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49" fontId="17" fillId="0" borderId="10" xfId="0" applyNumberFormat="1" applyFont="1" applyFill="1" applyBorder="1" applyAlignment="1">
      <alignment horizontal="center" vertical="top" wrapText="1"/>
    </xf>
    <xf numFmtId="49" fontId="17" fillId="0" borderId="36" xfId="0" applyNumberFormat="1" applyFont="1" applyFill="1" applyBorder="1" applyAlignment="1">
      <alignment horizontal="center" vertical="top" wrapText="1"/>
    </xf>
    <xf numFmtId="49" fontId="17" fillId="0" borderId="5" xfId="0" applyNumberFormat="1" applyFont="1" applyFill="1" applyBorder="1" applyAlignment="1">
      <alignment horizontal="center" vertical="top" wrapText="1"/>
    </xf>
    <xf numFmtId="49" fontId="17" fillId="0" borderId="50" xfId="0" applyNumberFormat="1" applyFont="1" applyFill="1" applyBorder="1" applyAlignment="1">
      <alignment horizontal="center" vertical="top" wrapText="1"/>
    </xf>
    <xf numFmtId="49" fontId="17" fillId="0" borderId="0" xfId="0" applyNumberFormat="1" applyFont="1" applyFill="1" applyBorder="1" applyAlignment="1">
      <alignment horizontal="center" vertical="top" wrapText="1"/>
    </xf>
    <xf numFmtId="49" fontId="17" fillId="0" borderId="2" xfId="0" applyNumberFormat="1" applyFont="1" applyFill="1" applyBorder="1" applyAlignment="1">
      <alignment horizontal="center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49" fontId="17" fillId="0" borderId="6" xfId="0" applyNumberFormat="1" applyFont="1" applyFill="1" applyBorder="1" applyAlignment="1">
      <alignment horizontal="center" vertical="top" wrapText="1"/>
    </xf>
    <xf numFmtId="49" fontId="17" fillId="0" borderId="14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30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27" xfId="0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left" vertical="top" wrapText="1"/>
    </xf>
    <xf numFmtId="49" fontId="17" fillId="0" borderId="17" xfId="0" applyNumberFormat="1" applyFont="1" applyFill="1" applyBorder="1" applyAlignment="1">
      <alignment horizontal="center" vertical="top" wrapText="1"/>
    </xf>
    <xf numFmtId="49" fontId="17" fillId="0" borderId="18" xfId="0" applyNumberFormat="1" applyFont="1" applyFill="1" applyBorder="1" applyAlignment="1">
      <alignment horizontal="center" vertical="top" wrapText="1"/>
    </xf>
    <xf numFmtId="49" fontId="17" fillId="0" borderId="19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49" fontId="17" fillId="0" borderId="49" xfId="0" applyNumberFormat="1" applyFont="1" applyFill="1" applyBorder="1" applyAlignment="1">
      <alignment horizontal="center" vertical="top" wrapText="1"/>
    </xf>
    <xf numFmtId="49" fontId="17" fillId="0" borderId="16" xfId="0" applyNumberFormat="1" applyFont="1" applyFill="1" applyBorder="1" applyAlignment="1">
      <alignment horizontal="center" vertical="top" wrapText="1"/>
    </xf>
    <xf numFmtId="0" fontId="17" fillId="0" borderId="49" xfId="0" applyFont="1" applyFill="1" applyBorder="1" applyAlignment="1">
      <alignment horizontal="center" vertical="top" wrapText="1"/>
    </xf>
    <xf numFmtId="0" fontId="17" fillId="0" borderId="16" xfId="0" applyFont="1" applyFill="1" applyBorder="1" applyAlignment="1">
      <alignment horizontal="center" vertical="top" wrapText="1"/>
    </xf>
    <xf numFmtId="49" fontId="17" fillId="0" borderId="20" xfId="0" applyNumberFormat="1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top" wrapText="1"/>
    </xf>
    <xf numFmtId="49" fontId="17" fillId="0" borderId="27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9" fontId="17" fillId="0" borderId="28" xfId="0" applyNumberFormat="1" applyFont="1" applyFill="1" applyBorder="1" applyAlignment="1">
      <alignment horizontal="center" vertical="top" wrapText="1"/>
    </xf>
    <xf numFmtId="0" fontId="17" fillId="0" borderId="2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18" xfId="4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center" wrapText="1"/>
    </xf>
    <xf numFmtId="0" fontId="0" fillId="0" borderId="18" xfId="0" applyFill="1" applyBorder="1" applyAlignment="1"/>
    <xf numFmtId="0" fontId="2" fillId="0" borderId="0" xfId="0" applyFont="1" applyFill="1" applyAlignment="1">
      <alignment horizontal="right" vertical="top" wrapText="1"/>
    </xf>
    <xf numFmtId="0" fontId="2" fillId="0" borderId="3" xfId="0" applyFont="1" applyFill="1" applyBorder="1" applyAlignment="1">
      <alignment horizontal="center" vertical="top" wrapText="1"/>
    </xf>
    <xf numFmtId="17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top" wrapText="1"/>
    </xf>
    <xf numFmtId="49" fontId="12" fillId="0" borderId="25" xfId="0" applyNumberFormat="1" applyFont="1" applyFill="1" applyBorder="1" applyAlignment="1">
      <alignment horizontal="center" vertical="top" wrapText="1"/>
    </xf>
    <xf numFmtId="49" fontId="12" fillId="0" borderId="15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6" xfId="0" applyNumberFormat="1" applyFont="1" applyFill="1" applyBorder="1" applyAlignment="1">
      <alignment horizontal="center" vertical="top" wrapText="1"/>
    </xf>
    <xf numFmtId="49" fontId="12" fillId="0" borderId="14" xfId="0" applyNumberFormat="1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174" fontId="12" fillId="0" borderId="3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75" fontId="5" fillId="2" borderId="0" xfId="1" applyNumberFormat="1" applyFont="1" applyFill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7" fillId="9" borderId="10" xfId="0" applyNumberFormat="1" applyFont="1" applyFill="1" applyBorder="1" applyAlignment="1">
      <alignment horizontal="center" vertical="top" wrapText="1"/>
    </xf>
    <xf numFmtId="49" fontId="27" fillId="9" borderId="36" xfId="0" applyNumberFormat="1" applyFont="1" applyFill="1" applyBorder="1" applyAlignment="1">
      <alignment horizontal="center" vertical="top" wrapText="1"/>
    </xf>
    <xf numFmtId="49" fontId="27" fillId="9" borderId="5" xfId="0" applyNumberFormat="1" applyFont="1" applyFill="1" applyBorder="1" applyAlignment="1">
      <alignment horizontal="center" vertical="top" wrapText="1"/>
    </xf>
    <xf numFmtId="0" fontId="27" fillId="9" borderId="10" xfId="0" applyFont="1" applyFill="1" applyBorder="1" applyAlignment="1">
      <alignment horizontal="left" vertical="top" wrapText="1"/>
    </xf>
    <xf numFmtId="0" fontId="27" fillId="9" borderId="36" xfId="0" applyFont="1" applyFill="1" applyBorder="1" applyAlignment="1">
      <alignment horizontal="left" vertical="top" wrapText="1"/>
    </xf>
    <xf numFmtId="0" fontId="39" fillId="0" borderId="5" xfId="0" applyFont="1" applyBorder="1" applyAlignment="1">
      <alignment vertical="top" wrapText="1"/>
    </xf>
    <xf numFmtId="174" fontId="27" fillId="9" borderId="2" xfId="0" applyNumberFormat="1" applyFont="1" applyFill="1" applyBorder="1" applyAlignment="1">
      <alignment horizontal="center" vertical="top" wrapText="1"/>
    </xf>
    <xf numFmtId="174" fontId="27" fillId="9" borderId="4" xfId="0" applyNumberFormat="1" applyFont="1" applyFill="1" applyBorder="1" applyAlignment="1">
      <alignment horizontal="center" vertical="top" wrapText="1"/>
    </xf>
    <xf numFmtId="0" fontId="27" fillId="9" borderId="0" xfId="0" applyFont="1" applyFill="1" applyBorder="1" applyAlignment="1">
      <alignment horizontal="left" vertical="top" wrapText="1"/>
    </xf>
    <xf numFmtId="0" fontId="39" fillId="0" borderId="0" xfId="0" applyFont="1" applyAlignment="1">
      <alignment wrapText="1"/>
    </xf>
    <xf numFmtId="49" fontId="27" fillId="9" borderId="0" xfId="0" applyNumberFormat="1" applyFont="1" applyFill="1" applyBorder="1" applyAlignment="1">
      <alignment horizontal="center" vertical="top" wrapText="1"/>
    </xf>
    <xf numFmtId="49" fontId="27" fillId="9" borderId="2" xfId="0" applyNumberFormat="1" applyFont="1" applyFill="1" applyBorder="1" applyAlignment="1">
      <alignment horizontal="center" vertical="top" wrapText="1"/>
    </xf>
    <xf numFmtId="49" fontId="27" fillId="9" borderId="4" xfId="0" applyNumberFormat="1" applyFont="1" applyFill="1" applyBorder="1" applyAlignment="1">
      <alignment horizontal="center" vertical="top" wrapText="1"/>
    </xf>
    <xf numFmtId="0" fontId="27" fillId="9" borderId="2" xfId="0" applyFont="1" applyFill="1" applyBorder="1" applyAlignment="1">
      <alignment horizontal="center" vertical="top" wrapText="1"/>
    </xf>
    <xf numFmtId="0" fontId="27" fillId="9" borderId="4" xfId="0" applyFont="1" applyFill="1" applyBorder="1" applyAlignment="1">
      <alignment horizontal="center" vertical="top" wrapText="1"/>
    </xf>
    <xf numFmtId="0" fontId="27" fillId="9" borderId="10" xfId="0" applyFont="1" applyFill="1" applyBorder="1" applyAlignment="1">
      <alignment horizontal="center" vertical="top" wrapText="1"/>
    </xf>
    <xf numFmtId="0" fontId="27" fillId="9" borderId="36" xfId="0" applyFont="1" applyFill="1" applyBorder="1" applyAlignment="1">
      <alignment horizontal="center" vertical="top" wrapText="1"/>
    </xf>
    <xf numFmtId="0" fontId="27" fillId="9" borderId="5" xfId="0" applyFont="1" applyFill="1" applyBorder="1" applyAlignment="1">
      <alignment horizontal="center" vertical="top" wrapText="1"/>
    </xf>
    <xf numFmtId="0" fontId="27" fillId="0" borderId="0" xfId="4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right" vertical="top" wrapText="1"/>
    </xf>
    <xf numFmtId="174" fontId="27" fillId="9" borderId="2" xfId="0" applyNumberFormat="1" applyFont="1" applyFill="1" applyBorder="1" applyAlignment="1">
      <alignment horizontal="center" vertical="center" wrapText="1"/>
    </xf>
    <xf numFmtId="174" fontId="27" fillId="9" borderId="16" xfId="0" applyNumberFormat="1" applyFont="1" applyFill="1" applyBorder="1" applyAlignment="1">
      <alignment horizontal="center" vertical="center" wrapText="1"/>
    </xf>
    <xf numFmtId="174" fontId="27" fillId="9" borderId="4" xfId="0" applyNumberFormat="1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3" xfId="2"/>
    <cellStyle name="Обычный_Прил 3-6 (наше) (2)" xfId="3"/>
    <cellStyle name="Стиль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SC_W\&#1055;&#1088;&#1086;&#1075;&#1085;&#1086;&#1079;\&#1055;&#1088;&#1086;&#1075;05_00(27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SC_W\&#1055;&#1088;&#1086;&#1075;&#1085;&#1086;&#1079;\&#1055;&#1088;&#1086;&#1075;05_00(27.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&#1061;&#1072;&#1085;&#1086;&#1074;&#1072;\&#1043;&#1088;(27.07.00)5&#10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&#1061;&#1072;&#1085;&#1086;&#1074;&#1072;\&#1043;&#1088;(27.07.00)5&#106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91;&#1088;&#1072;&#1085;&#1086;&#1074;\Pr(2000)Tabl\9&#1072;&#1087;&#1088;2003\V&#1094;&#1077;&#1083;2.1_2002.1.04.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V&#1045;&#1052;_2001.5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SC_W\&#1055;&#1088;&#1086;&#1075;&#1085;&#1086;&#1079;\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2;&#1083;&#1077;&#1082;/Downloads/.....&#1052;%20&#1055;,,,,/&#1055;&#1088;&#1086;&#1075;&#1088;&#1072;&#1084;&#1084;&#1072;%20&#1053;&#1054;&#1042;&#1040;&#1071;%20&#1076;&#1086;%202020%2027.09%20-%20&#1048;&#1047;&#1052;&#1045;&#1053;&#1045;&#1053;&#1040;%20&#1075;&#1086;&#1088;&#1089;&#1086;&#1074;&#1077;&#1090;%2021,11,17/&#1055;&#1088;&#1080;&#1083;&#1086;&#1078;&#1077;&#1085;&#1080;&#1103;%203-6%2027.09%20&#1074;&#1085;&#1077;&#1089;&#1077;&#1085;&#1099;%20&#1080;&#1079;&#1084;%2015,12,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v2) "/>
      <sheetName val="Печ"/>
      <sheetName val="2002(v1) "/>
      <sheetName val="2004(v1)  "/>
      <sheetName val="2002-03(v2) "/>
      <sheetName val="2002-03(v1) 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  <sheetName val="2002_v1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прил.3-объемы"/>
      <sheetName val="ГПприл4-объемыОценка"/>
      <sheetName val="ГПприл6-ГЗ"/>
      <sheetName val="ПП1"/>
      <sheetName val="ПП2"/>
      <sheetName val="ПП3"/>
      <sheetName val="ПП4 "/>
      <sheetName val="ПП5"/>
      <sheetName val="П5"/>
    </sheetNames>
    <sheetDataSet>
      <sheetData sheetId="0"/>
      <sheetData sheetId="1"/>
      <sheetData sheetId="2">
        <row r="4">
          <cell r="AE4">
            <v>33783.300000000003</v>
          </cell>
        </row>
        <row r="5">
          <cell r="AE5">
            <v>34409.300000000003</v>
          </cell>
        </row>
        <row r="6">
          <cell r="AE6">
            <v>20068.600000000002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  <pageSetUpPr fitToPage="1"/>
  </sheetPr>
  <dimension ref="A1:X52"/>
  <sheetViews>
    <sheetView view="pageBreakPreview" topLeftCell="A17" zoomScale="75" zoomScaleNormal="75" zoomScaleSheetLayoutView="75" zoomScalePageLayoutView="76" workbookViewId="0">
      <selection activeCell="F38" sqref="F38"/>
    </sheetView>
  </sheetViews>
  <sheetFormatPr defaultRowHeight="15.75" x14ac:dyDescent="0.25"/>
  <cols>
    <col min="1" max="1" width="17.140625" style="369" customWidth="1"/>
    <col min="2" max="2" width="23.140625" style="369" customWidth="1"/>
    <col min="3" max="3" width="22.28515625" style="369" customWidth="1"/>
    <col min="4" max="4" width="8" style="369" customWidth="1"/>
    <col min="5" max="5" width="7.42578125" style="369" customWidth="1"/>
    <col min="6" max="6" width="3.28515625" style="369" customWidth="1"/>
    <col min="7" max="7" width="3" style="369" customWidth="1"/>
    <col min="8" max="8" width="3.140625" style="369" customWidth="1"/>
    <col min="9" max="9" width="9.7109375" style="369" customWidth="1"/>
    <col min="10" max="10" width="12.7109375" style="369" customWidth="1"/>
    <col min="11" max="11" width="13.85546875" style="369" customWidth="1"/>
    <col min="12" max="12" width="15" style="369" customWidth="1"/>
    <col min="13" max="13" width="13.42578125" style="369" customWidth="1"/>
    <col min="14" max="14" width="13.5703125" style="369" customWidth="1"/>
    <col min="15" max="15" width="14.85546875" style="515" customWidth="1"/>
    <col min="16" max="24" width="15" style="515" customWidth="1"/>
    <col min="25" max="16384" width="9.140625" style="369"/>
  </cols>
  <sheetData>
    <row r="1" spans="1:24" ht="19.5" customHeight="1" x14ac:dyDescent="0.25">
      <c r="I1" s="732" t="s">
        <v>732</v>
      </c>
      <c r="J1" s="732"/>
      <c r="K1" s="732"/>
      <c r="L1" s="732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732"/>
    </row>
    <row r="2" spans="1:24" ht="37.5" customHeight="1" x14ac:dyDescent="0.25">
      <c r="A2" s="733" t="s">
        <v>706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</row>
    <row r="3" spans="1:24" ht="34.5" customHeight="1" x14ac:dyDescent="0.25">
      <c r="A3" s="734" t="s">
        <v>0</v>
      </c>
      <c r="B3" s="734" t="s">
        <v>1</v>
      </c>
      <c r="C3" s="734" t="s">
        <v>137</v>
      </c>
      <c r="D3" s="734" t="s">
        <v>2</v>
      </c>
      <c r="E3" s="734"/>
      <c r="F3" s="734"/>
      <c r="G3" s="734"/>
      <c r="H3" s="734"/>
      <c r="I3" s="734"/>
      <c r="J3" s="734" t="s">
        <v>3</v>
      </c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</row>
    <row r="4" spans="1:24" ht="49.5" customHeight="1" x14ac:dyDescent="0.25">
      <c r="A4" s="734"/>
      <c r="B4" s="734"/>
      <c r="C4" s="734"/>
      <c r="D4" s="366" t="s">
        <v>138</v>
      </c>
      <c r="E4" s="366" t="s">
        <v>4</v>
      </c>
      <c r="F4" s="734" t="s">
        <v>5</v>
      </c>
      <c r="G4" s="734"/>
      <c r="H4" s="734"/>
      <c r="I4" s="366" t="s">
        <v>6</v>
      </c>
      <c r="J4" s="366" t="s">
        <v>7</v>
      </c>
      <c r="K4" s="366" t="s">
        <v>8</v>
      </c>
      <c r="L4" s="366" t="s">
        <v>9</v>
      </c>
      <c r="M4" s="366" t="s">
        <v>122</v>
      </c>
      <c r="N4" s="366" t="s">
        <v>160</v>
      </c>
      <c r="O4" s="504" t="s">
        <v>163</v>
      </c>
      <c r="P4" s="504" t="s">
        <v>164</v>
      </c>
      <c r="Q4" s="504" t="s">
        <v>391</v>
      </c>
      <c r="R4" s="504" t="s">
        <v>392</v>
      </c>
      <c r="S4" s="504" t="s">
        <v>439</v>
      </c>
      <c r="T4" s="504" t="s">
        <v>440</v>
      </c>
      <c r="U4" s="504" t="s">
        <v>441</v>
      </c>
      <c r="V4" s="504" t="s">
        <v>442</v>
      </c>
      <c r="W4" s="504" t="s">
        <v>443</v>
      </c>
      <c r="X4" s="504" t="s">
        <v>705</v>
      </c>
    </row>
    <row r="5" spans="1:24" ht="48.75" customHeight="1" x14ac:dyDescent="0.25">
      <c r="A5" s="722" t="s">
        <v>10</v>
      </c>
      <c r="B5" s="722" t="s">
        <v>576</v>
      </c>
      <c r="C5" s="329" t="s">
        <v>11</v>
      </c>
      <c r="D5" s="366" t="s">
        <v>12</v>
      </c>
      <c r="E5" s="366" t="s">
        <v>12</v>
      </c>
      <c r="F5" s="734" t="s">
        <v>12</v>
      </c>
      <c r="G5" s="734"/>
      <c r="H5" s="734"/>
      <c r="I5" s="366" t="s">
        <v>12</v>
      </c>
      <c r="J5" s="14">
        <f t="shared" ref="J5:O5" si="0">J7</f>
        <v>91046.6</v>
      </c>
      <c r="K5" s="446">
        <f t="shared" si="0"/>
        <v>103329.2</v>
      </c>
      <c r="L5" s="446" t="s">
        <v>470</v>
      </c>
      <c r="M5" s="14">
        <f t="shared" si="0"/>
        <v>117030.90000000001</v>
      </c>
      <c r="N5" s="14">
        <f t="shared" si="0"/>
        <v>120128.79999999999</v>
      </c>
      <c r="O5" s="505">
        <f t="shared" si="0"/>
        <v>128703.20000000001</v>
      </c>
      <c r="P5" s="505">
        <f t="shared" ref="P5:W5" si="1">P7</f>
        <v>136845.30000000002</v>
      </c>
      <c r="Q5" s="505">
        <f t="shared" si="1"/>
        <v>153495.50599999999</v>
      </c>
      <c r="R5" s="14">
        <f t="shared" si="1"/>
        <v>236088</v>
      </c>
      <c r="S5" s="505">
        <f t="shared" si="1"/>
        <v>204026.8</v>
      </c>
      <c r="T5" s="505">
        <f t="shared" si="1"/>
        <v>257619.62</v>
      </c>
      <c r="U5" s="505">
        <f t="shared" si="1"/>
        <v>351880.6</v>
      </c>
      <c r="V5" s="505">
        <f>V7</f>
        <v>249702.40000000002</v>
      </c>
      <c r="W5" s="505">
        <f t="shared" si="1"/>
        <v>249696.8</v>
      </c>
      <c r="X5" s="505">
        <f>SUM(J5:U5)</f>
        <v>1900194.5260000001</v>
      </c>
    </row>
    <row r="6" spans="1:24" ht="15.75" customHeight="1" x14ac:dyDescent="0.25">
      <c r="A6" s="722"/>
      <c r="B6" s="722"/>
      <c r="C6" s="329" t="s">
        <v>119</v>
      </c>
      <c r="D6" s="366"/>
      <c r="E6" s="366" t="s">
        <v>12</v>
      </c>
      <c r="F6" s="734" t="s">
        <v>12</v>
      </c>
      <c r="G6" s="734"/>
      <c r="H6" s="734"/>
      <c r="I6" s="366" t="s">
        <v>12</v>
      </c>
      <c r="J6" s="14"/>
      <c r="K6" s="14"/>
      <c r="L6" s="14"/>
      <c r="M6" s="14"/>
      <c r="N6" s="14"/>
      <c r="O6" s="505"/>
      <c r="P6" s="505"/>
      <c r="Q6" s="505"/>
      <c r="R6" s="505"/>
      <c r="S6" s="505"/>
      <c r="T6" s="505"/>
      <c r="U6" s="505"/>
      <c r="V6" s="505"/>
      <c r="W6" s="505"/>
      <c r="X6" s="505">
        <f t="shared" ref="X6:X26" si="2">SUM(J6:U6)</f>
        <v>0</v>
      </c>
    </row>
    <row r="7" spans="1:24" ht="15.75" customHeight="1" x14ac:dyDescent="0.25">
      <c r="A7" s="722"/>
      <c r="B7" s="722"/>
      <c r="C7" s="329" t="s">
        <v>13</v>
      </c>
      <c r="D7" s="365" t="s">
        <v>14</v>
      </c>
      <c r="E7" s="366" t="s">
        <v>12</v>
      </c>
      <c r="F7" s="734" t="s">
        <v>12</v>
      </c>
      <c r="G7" s="734"/>
      <c r="H7" s="734"/>
      <c r="I7" s="366" t="s">
        <v>12</v>
      </c>
      <c r="J7" s="14">
        <f>J8+J12+J18+J15</f>
        <v>91046.6</v>
      </c>
      <c r="K7" s="446">
        <f>K8+K12+K18+K15+K21</f>
        <v>103329.2</v>
      </c>
      <c r="L7" s="14">
        <f t="shared" ref="L7:S7" si="3">L8+L12+L18+L15</f>
        <v>107106</v>
      </c>
      <c r="M7" s="14">
        <f t="shared" si="3"/>
        <v>117030.90000000001</v>
      </c>
      <c r="N7" s="14">
        <f t="shared" si="3"/>
        <v>120128.79999999999</v>
      </c>
      <c r="O7" s="505">
        <f t="shared" si="3"/>
        <v>128703.20000000001</v>
      </c>
      <c r="P7" s="505">
        <f t="shared" si="3"/>
        <v>136845.30000000002</v>
      </c>
      <c r="Q7" s="505">
        <f t="shared" si="3"/>
        <v>153495.50599999999</v>
      </c>
      <c r="R7" s="505">
        <f>R8+R12+R18+R15+R21+R24</f>
        <v>236088</v>
      </c>
      <c r="S7" s="505">
        <f t="shared" si="3"/>
        <v>204026.8</v>
      </c>
      <c r="T7" s="505">
        <f>T8+T12+T18+T15+T24</f>
        <v>257619.62</v>
      </c>
      <c r="U7" s="505">
        <f>U8+U12+U18+U15+U24</f>
        <v>351880.6</v>
      </c>
      <c r="V7" s="505">
        <f>V8+V12+V18+V15+V24</f>
        <v>249702.40000000002</v>
      </c>
      <c r="W7" s="505">
        <f>W8+W12+W18+W15+W24</f>
        <v>249696.8</v>
      </c>
      <c r="X7" s="505">
        <f t="shared" si="2"/>
        <v>2007300.5260000001</v>
      </c>
    </row>
    <row r="8" spans="1:24" ht="51" customHeight="1" x14ac:dyDescent="0.25">
      <c r="A8" s="722" t="s">
        <v>15</v>
      </c>
      <c r="B8" s="722" t="s">
        <v>16</v>
      </c>
      <c r="C8" s="329" t="s">
        <v>17</v>
      </c>
      <c r="D8" s="366"/>
      <c r="E8" s="365" t="s">
        <v>18</v>
      </c>
      <c r="F8" s="724" t="s">
        <v>117</v>
      </c>
      <c r="G8" s="724"/>
      <c r="H8" s="724"/>
      <c r="I8" s="365" t="s">
        <v>20</v>
      </c>
      <c r="J8" s="14">
        <f>J10+J11</f>
        <v>36337.800000000003</v>
      </c>
      <c r="K8" s="14">
        <f t="shared" ref="K8:R8" si="4">K11</f>
        <v>40488.099999999991</v>
      </c>
      <c r="L8" s="14">
        <f t="shared" si="4"/>
        <v>36917.300000000003</v>
      </c>
      <c r="M8" s="14">
        <f t="shared" si="4"/>
        <v>33818</v>
      </c>
      <c r="N8" s="14">
        <f t="shared" si="4"/>
        <v>32461.5</v>
      </c>
      <c r="O8" s="505">
        <f t="shared" si="4"/>
        <v>36560.899999999994</v>
      </c>
      <c r="P8" s="505">
        <f>P11</f>
        <v>42435.80000000001</v>
      </c>
      <c r="Q8" s="505">
        <f>Q11</f>
        <v>43894.000000000007</v>
      </c>
      <c r="R8" s="505">
        <f t="shared" si="4"/>
        <v>50352.6</v>
      </c>
      <c r="S8" s="505">
        <f>S11</f>
        <v>60905.299999999996</v>
      </c>
      <c r="T8" s="505">
        <f>T11</f>
        <v>69271.649999999994</v>
      </c>
      <c r="U8" s="505">
        <f>U11</f>
        <v>78413.399999999994</v>
      </c>
      <c r="V8" s="505">
        <f>V11</f>
        <v>67948.800000000003</v>
      </c>
      <c r="W8" s="505">
        <f>W11</f>
        <v>67943.199999999997</v>
      </c>
      <c r="X8" s="505">
        <f t="shared" si="2"/>
        <v>561856.35</v>
      </c>
    </row>
    <row r="9" spans="1:24" ht="30" customHeight="1" x14ac:dyDescent="0.25">
      <c r="A9" s="722"/>
      <c r="B9" s="722"/>
      <c r="C9" s="329" t="s">
        <v>119</v>
      </c>
      <c r="D9" s="366"/>
      <c r="E9" s="365" t="s">
        <v>18</v>
      </c>
      <c r="F9" s="724" t="s">
        <v>469</v>
      </c>
      <c r="G9" s="724"/>
      <c r="H9" s="724"/>
      <c r="I9" s="365" t="s">
        <v>20</v>
      </c>
      <c r="J9" s="14"/>
      <c r="K9" s="14"/>
      <c r="L9" s="14"/>
      <c r="M9" s="14"/>
      <c r="N9" s="14"/>
      <c r="O9" s="505"/>
      <c r="P9" s="505"/>
      <c r="Q9" s="505"/>
      <c r="R9" s="505"/>
      <c r="S9" s="505"/>
      <c r="T9" s="505"/>
      <c r="U9" s="505"/>
      <c r="V9" s="505"/>
      <c r="W9" s="505"/>
      <c r="X9" s="505">
        <f t="shared" si="2"/>
        <v>0</v>
      </c>
    </row>
    <row r="10" spans="1:24" ht="23.25" hidden="1" customHeight="1" x14ac:dyDescent="0.25">
      <c r="A10" s="722"/>
      <c r="B10" s="722"/>
      <c r="C10" s="329" t="s">
        <v>13</v>
      </c>
      <c r="D10" s="366">
        <v>956</v>
      </c>
      <c r="E10" s="365" t="s">
        <v>18</v>
      </c>
      <c r="F10" s="735" t="s">
        <v>118</v>
      </c>
      <c r="G10" s="736"/>
      <c r="H10" s="737"/>
      <c r="I10" s="365" t="s">
        <v>20</v>
      </c>
      <c r="J10" s="14">
        <v>0</v>
      </c>
      <c r="K10" s="14" t="s">
        <v>111</v>
      </c>
      <c r="L10" s="14" t="s">
        <v>111</v>
      </c>
      <c r="M10" s="14"/>
      <c r="N10" s="14"/>
      <c r="O10" s="505"/>
      <c r="P10" s="505"/>
      <c r="Q10" s="505">
        <f t="shared" ref="Q10:Q16" si="5">P10</f>
        <v>0</v>
      </c>
      <c r="R10" s="505"/>
      <c r="S10" s="505"/>
      <c r="T10" s="505"/>
      <c r="U10" s="505"/>
      <c r="V10" s="505"/>
      <c r="W10" s="505"/>
      <c r="X10" s="505">
        <f t="shared" si="2"/>
        <v>0</v>
      </c>
    </row>
    <row r="11" spans="1:24" ht="15.75" customHeight="1" x14ac:dyDescent="0.25">
      <c r="A11" s="722"/>
      <c r="B11" s="722"/>
      <c r="C11" s="329" t="s">
        <v>13</v>
      </c>
      <c r="D11" s="365" t="s">
        <v>14</v>
      </c>
      <c r="E11" s="365" t="s">
        <v>18</v>
      </c>
      <c r="F11" s="724" t="s">
        <v>19</v>
      </c>
      <c r="G11" s="724"/>
      <c r="H11" s="724"/>
      <c r="I11" s="365" t="s">
        <v>20</v>
      </c>
      <c r="J11" s="14">
        <v>36337.800000000003</v>
      </c>
      <c r="K11" s="14">
        <v>40488.099999999991</v>
      </c>
      <c r="L11" s="14">
        <v>36917.300000000003</v>
      </c>
      <c r="M11" s="14">
        <v>33818</v>
      </c>
      <c r="N11" s="14">
        <v>32461.5</v>
      </c>
      <c r="O11" s="14">
        <v>36560.899999999994</v>
      </c>
      <c r="P11" s="505">
        <v>42435.80000000001</v>
      </c>
      <c r="Q11" s="14">
        <v>43894.000000000007</v>
      </c>
      <c r="R11" s="14">
        <v>50352.6</v>
      </c>
      <c r="S11" s="14">
        <v>60905.299999999996</v>
      </c>
      <c r="T11" s="14">
        <v>69271.649999999994</v>
      </c>
      <c r="U11" s="14">
        <v>78413.399999999994</v>
      </c>
      <c r="V11" s="14">
        <v>67948.800000000003</v>
      </c>
      <c r="W11" s="14">
        <v>67943.199999999997</v>
      </c>
      <c r="X11" s="505">
        <f t="shared" si="2"/>
        <v>561856.35</v>
      </c>
    </row>
    <row r="12" spans="1:24" ht="47.25" customHeight="1" x14ac:dyDescent="0.25">
      <c r="A12" s="722" t="s">
        <v>21</v>
      </c>
      <c r="B12" s="722" t="s">
        <v>22</v>
      </c>
      <c r="C12" s="329" t="s">
        <v>23</v>
      </c>
      <c r="D12" s="365"/>
      <c r="E12" s="365" t="s">
        <v>18</v>
      </c>
      <c r="F12" s="724" t="s">
        <v>24</v>
      </c>
      <c r="G12" s="724"/>
      <c r="H12" s="724"/>
      <c r="I12" s="365" t="s">
        <v>20</v>
      </c>
      <c r="J12" s="14">
        <f t="shared" ref="J12:P12" si="6">J14</f>
        <v>34821.300000000003</v>
      </c>
      <c r="K12" s="14">
        <f t="shared" si="6"/>
        <v>37580.000000000007</v>
      </c>
      <c r="L12" s="14">
        <f t="shared" si="6"/>
        <v>47192.3</v>
      </c>
      <c r="M12" s="14">
        <f t="shared" si="6"/>
        <v>52332.800000000003</v>
      </c>
      <c r="N12" s="14">
        <f>N14</f>
        <v>37242.000000000007</v>
      </c>
      <c r="O12" s="505">
        <f t="shared" si="6"/>
        <v>37410.400000000009</v>
      </c>
      <c r="P12" s="505">
        <f t="shared" si="6"/>
        <v>39497.700000000004</v>
      </c>
      <c r="Q12" s="505">
        <f t="shared" ref="Q12:W12" si="7">Q14</f>
        <v>46894</v>
      </c>
      <c r="R12" s="14">
        <f t="shared" si="7"/>
        <v>74954.899999999994</v>
      </c>
      <c r="S12" s="505">
        <f t="shared" si="7"/>
        <v>63694.999999999993</v>
      </c>
      <c r="T12" s="505">
        <f t="shared" si="7"/>
        <v>75812.399999999994</v>
      </c>
      <c r="U12" s="505">
        <f t="shared" si="7"/>
        <v>86387.9</v>
      </c>
      <c r="V12" s="505">
        <f>V14</f>
        <v>69994.2</v>
      </c>
      <c r="W12" s="505">
        <f t="shared" si="7"/>
        <v>69994.2</v>
      </c>
      <c r="X12" s="505">
        <f t="shared" si="2"/>
        <v>633820.70000000007</v>
      </c>
    </row>
    <row r="13" spans="1:24" ht="15.75" customHeight="1" x14ac:dyDescent="0.25">
      <c r="A13" s="722"/>
      <c r="B13" s="722"/>
      <c r="C13" s="329" t="s">
        <v>119</v>
      </c>
      <c r="D13" s="365"/>
      <c r="E13" s="365" t="s">
        <v>18</v>
      </c>
      <c r="F13" s="724" t="s">
        <v>24</v>
      </c>
      <c r="G13" s="724"/>
      <c r="H13" s="724"/>
      <c r="I13" s="365" t="s">
        <v>20</v>
      </c>
      <c r="J13" s="14"/>
      <c r="K13" s="14"/>
      <c r="L13" s="14"/>
      <c r="M13" s="14"/>
      <c r="N13" s="14"/>
      <c r="O13" s="505"/>
      <c r="P13" s="505"/>
      <c r="Q13" s="505">
        <f t="shared" si="5"/>
        <v>0</v>
      </c>
      <c r="R13" s="505"/>
      <c r="S13" s="505"/>
      <c r="T13" s="505"/>
      <c r="U13" s="505"/>
      <c r="V13" s="505"/>
      <c r="W13" s="505"/>
      <c r="X13" s="505">
        <f t="shared" si="2"/>
        <v>0</v>
      </c>
    </row>
    <row r="14" spans="1:24" ht="20.25" customHeight="1" x14ac:dyDescent="0.25">
      <c r="A14" s="722"/>
      <c r="B14" s="722"/>
      <c r="C14" s="329" t="s">
        <v>13</v>
      </c>
      <c r="D14" s="365" t="s">
        <v>14</v>
      </c>
      <c r="E14" s="365" t="s">
        <v>18</v>
      </c>
      <c r="F14" s="724" t="s">
        <v>24</v>
      </c>
      <c r="G14" s="724"/>
      <c r="H14" s="724"/>
      <c r="I14" s="365" t="s">
        <v>20</v>
      </c>
      <c r="J14" s="14">
        <v>34821.300000000003</v>
      </c>
      <c r="K14" s="14">
        <v>37580.000000000007</v>
      </c>
      <c r="L14" s="14">
        <v>47192.3</v>
      </c>
      <c r="M14" s="14">
        <v>52332.800000000003</v>
      </c>
      <c r="N14" s="14">
        <v>37242.000000000007</v>
      </c>
      <c r="O14" s="14">
        <v>37410.400000000009</v>
      </c>
      <c r="P14" s="505">
        <v>39497.700000000004</v>
      </c>
      <c r="Q14" s="14">
        <v>46894</v>
      </c>
      <c r="R14" s="14">
        <v>74954.899999999994</v>
      </c>
      <c r="S14" s="14">
        <v>63694.999999999993</v>
      </c>
      <c r="T14" s="14">
        <v>75812.399999999994</v>
      </c>
      <c r="U14" s="14">
        <v>86387.9</v>
      </c>
      <c r="V14" s="14">
        <v>69994.2</v>
      </c>
      <c r="W14" s="14">
        <v>69994.2</v>
      </c>
      <c r="X14" s="505">
        <f t="shared" si="2"/>
        <v>633820.70000000007</v>
      </c>
    </row>
    <row r="15" spans="1:24" ht="52.5" customHeight="1" x14ac:dyDescent="0.25">
      <c r="A15" s="722" t="s">
        <v>25</v>
      </c>
      <c r="B15" s="722" t="s">
        <v>131</v>
      </c>
      <c r="C15" s="329" t="s">
        <v>17</v>
      </c>
      <c r="D15" s="365"/>
      <c r="E15" s="365" t="s">
        <v>128</v>
      </c>
      <c r="F15" s="724" t="s">
        <v>132</v>
      </c>
      <c r="G15" s="724"/>
      <c r="H15" s="724"/>
      <c r="I15" s="365" t="s">
        <v>20</v>
      </c>
      <c r="J15" s="14">
        <f t="shared" ref="J15:P15" si="8">J17</f>
        <v>18195</v>
      </c>
      <c r="K15" s="14">
        <f t="shared" si="8"/>
        <v>22756.5</v>
      </c>
      <c r="L15" s="14">
        <f t="shared" si="8"/>
        <v>20489.399999999998</v>
      </c>
      <c r="M15" s="432">
        <f t="shared" si="8"/>
        <v>20986.600000000002</v>
      </c>
      <c r="N15" s="432">
        <f t="shared" si="8"/>
        <v>23299.699999999997</v>
      </c>
      <c r="O15" s="511">
        <f>O17</f>
        <v>24013.599999999999</v>
      </c>
      <c r="P15" s="511">
        <f t="shared" si="8"/>
        <v>25927</v>
      </c>
      <c r="Q15" s="505">
        <f t="shared" ref="Q15:W15" si="9">Q17</f>
        <v>30985.1</v>
      </c>
      <c r="R15" s="505">
        <f t="shared" si="9"/>
        <v>33811</v>
      </c>
      <c r="S15" s="505">
        <f t="shared" si="9"/>
        <v>36534.199999999997</v>
      </c>
      <c r="T15" s="505">
        <f t="shared" si="9"/>
        <v>46116.4</v>
      </c>
      <c r="U15" s="505">
        <f t="shared" si="9"/>
        <v>57902.8</v>
      </c>
      <c r="V15" s="505">
        <f>V17</f>
        <v>45677.3</v>
      </c>
      <c r="W15" s="505">
        <f t="shared" si="9"/>
        <v>45677.3</v>
      </c>
      <c r="X15" s="505">
        <f t="shared" si="2"/>
        <v>361017.3</v>
      </c>
    </row>
    <row r="16" spans="1:24" ht="15.75" customHeight="1" x14ac:dyDescent="0.25">
      <c r="A16" s="722"/>
      <c r="B16" s="722"/>
      <c r="C16" s="329" t="s">
        <v>119</v>
      </c>
      <c r="D16" s="365"/>
      <c r="E16" s="365" t="s">
        <v>128</v>
      </c>
      <c r="F16" s="724" t="s">
        <v>132</v>
      </c>
      <c r="G16" s="724"/>
      <c r="H16" s="724"/>
      <c r="I16" s="365" t="s">
        <v>20</v>
      </c>
      <c r="J16" s="14"/>
      <c r="K16" s="14"/>
      <c r="L16" s="14"/>
      <c r="M16" s="432">
        <f>SUM(J16:L16)</f>
        <v>0</v>
      </c>
      <c r="N16" s="432">
        <f>SUM(K16:M16)</f>
        <v>0</v>
      </c>
      <c r="O16" s="511">
        <f>SUM(L16:N16)</f>
        <v>0</v>
      </c>
      <c r="P16" s="511">
        <f>SUM(M16:O16)</f>
        <v>0</v>
      </c>
      <c r="Q16" s="505">
        <f t="shared" si="5"/>
        <v>0</v>
      </c>
      <c r="R16" s="505"/>
      <c r="S16" s="505"/>
      <c r="T16" s="505"/>
      <c r="U16" s="505"/>
      <c r="V16" s="505"/>
      <c r="W16" s="505"/>
      <c r="X16" s="505">
        <f t="shared" si="2"/>
        <v>0</v>
      </c>
    </row>
    <row r="17" spans="1:24" ht="15.75" customHeight="1" x14ac:dyDescent="0.25">
      <c r="A17" s="722"/>
      <c r="B17" s="722"/>
      <c r="C17" s="329" t="s">
        <v>13</v>
      </c>
      <c r="D17" s="365" t="s">
        <v>14</v>
      </c>
      <c r="E17" s="365" t="s">
        <v>128</v>
      </c>
      <c r="F17" s="724" t="s">
        <v>132</v>
      </c>
      <c r="G17" s="724"/>
      <c r="H17" s="724"/>
      <c r="I17" s="365" t="s">
        <v>20</v>
      </c>
      <c r="J17" s="14">
        <v>18195</v>
      </c>
      <c r="K17" s="14">
        <v>22756.5</v>
      </c>
      <c r="L17" s="14">
        <v>20489.399999999998</v>
      </c>
      <c r="M17" s="14">
        <v>20986.600000000002</v>
      </c>
      <c r="N17" s="14">
        <v>23299.699999999997</v>
      </c>
      <c r="O17" s="14">
        <v>24013.599999999999</v>
      </c>
      <c r="P17" s="505">
        <v>25927</v>
      </c>
      <c r="Q17" s="14">
        <v>30985.1</v>
      </c>
      <c r="R17" s="14">
        <v>33811</v>
      </c>
      <c r="S17" s="14">
        <v>36534.199999999997</v>
      </c>
      <c r="T17" s="14">
        <v>46116.4</v>
      </c>
      <c r="U17" s="14">
        <v>57902.8</v>
      </c>
      <c r="V17" s="14">
        <v>45677.3</v>
      </c>
      <c r="W17" s="14">
        <v>45677.3</v>
      </c>
      <c r="X17" s="505">
        <f t="shared" si="2"/>
        <v>361017.3</v>
      </c>
    </row>
    <row r="18" spans="1:24" ht="50.25" customHeight="1" x14ac:dyDescent="0.25">
      <c r="A18" s="722" t="s">
        <v>133</v>
      </c>
      <c r="B18" s="722" t="s">
        <v>468</v>
      </c>
      <c r="C18" s="329" t="s">
        <v>17</v>
      </c>
      <c r="D18" s="365"/>
      <c r="E18" s="365" t="s">
        <v>146</v>
      </c>
      <c r="F18" s="724" t="s">
        <v>28</v>
      </c>
      <c r="G18" s="724"/>
      <c r="H18" s="724"/>
      <c r="I18" s="365" t="s">
        <v>110</v>
      </c>
      <c r="J18" s="14">
        <f t="shared" ref="J18:O18" si="10">J20</f>
        <v>1692.5</v>
      </c>
      <c r="K18" s="14">
        <f t="shared" si="10"/>
        <v>2465.7000000000003</v>
      </c>
      <c r="L18" s="14">
        <f t="shared" si="10"/>
        <v>2506.9999999999995</v>
      </c>
      <c r="M18" s="14">
        <f t="shared" si="10"/>
        <v>9893.5</v>
      </c>
      <c r="N18" s="14">
        <f t="shared" si="10"/>
        <v>27125.599999999995</v>
      </c>
      <c r="O18" s="505">
        <f t="shared" si="10"/>
        <v>30718.299999999996</v>
      </c>
      <c r="P18" s="505">
        <f t="shared" ref="P18:U18" si="11">P20</f>
        <v>28984.799999999996</v>
      </c>
      <c r="Q18" s="505">
        <f t="shared" si="11"/>
        <v>31722.406000000003</v>
      </c>
      <c r="R18" s="505">
        <f t="shared" si="11"/>
        <v>36153.199999999997</v>
      </c>
      <c r="S18" s="505">
        <f t="shared" si="11"/>
        <v>42892.3</v>
      </c>
      <c r="T18" s="505">
        <f t="shared" si="11"/>
        <v>62165.069999999992</v>
      </c>
      <c r="U18" s="505">
        <f t="shared" si="11"/>
        <v>70691.599999999991</v>
      </c>
      <c r="V18" s="505">
        <f>V20</f>
        <v>66082.100000000006</v>
      </c>
      <c r="W18" s="505">
        <f>W20</f>
        <v>66082.100000000006</v>
      </c>
      <c r="X18" s="505">
        <f t="shared" si="2"/>
        <v>347011.97599999997</v>
      </c>
    </row>
    <row r="19" spans="1:24" ht="20.25" customHeight="1" x14ac:dyDescent="0.25">
      <c r="A19" s="722"/>
      <c r="B19" s="722"/>
      <c r="C19" s="329" t="s">
        <v>119</v>
      </c>
      <c r="D19" s="365"/>
      <c r="E19" s="365" t="s">
        <v>27</v>
      </c>
      <c r="F19" s="724" t="s">
        <v>28</v>
      </c>
      <c r="G19" s="724"/>
      <c r="H19" s="724"/>
      <c r="I19" s="365" t="s">
        <v>110</v>
      </c>
      <c r="J19" s="14"/>
      <c r="K19" s="14"/>
      <c r="L19" s="14"/>
      <c r="M19" s="14"/>
      <c r="N19" s="14"/>
      <c r="O19" s="505"/>
      <c r="P19" s="505"/>
      <c r="Q19" s="505"/>
      <c r="R19" s="505"/>
      <c r="S19" s="505"/>
      <c r="T19" s="505"/>
      <c r="U19" s="505"/>
      <c r="V19" s="505"/>
      <c r="W19" s="505"/>
      <c r="X19" s="505">
        <f t="shared" si="2"/>
        <v>0</v>
      </c>
    </row>
    <row r="20" spans="1:24" ht="33" customHeight="1" x14ac:dyDescent="0.25">
      <c r="A20" s="723"/>
      <c r="B20" s="723"/>
      <c r="C20" s="447" t="s">
        <v>13</v>
      </c>
      <c r="D20" s="368" t="s">
        <v>147</v>
      </c>
      <c r="E20" s="368" t="s">
        <v>146</v>
      </c>
      <c r="F20" s="725" t="s">
        <v>148</v>
      </c>
      <c r="G20" s="725"/>
      <c r="H20" s="725"/>
      <c r="I20" s="368" t="s">
        <v>149</v>
      </c>
      <c r="J20" s="48">
        <v>1692.5</v>
      </c>
      <c r="K20" s="48">
        <v>2465.7000000000003</v>
      </c>
      <c r="L20" s="48">
        <v>2506.9999999999995</v>
      </c>
      <c r="M20" s="48">
        <v>9893.5</v>
      </c>
      <c r="N20" s="48">
        <v>27125.599999999995</v>
      </c>
      <c r="O20" s="514">
        <v>30718.299999999996</v>
      </c>
      <c r="P20" s="514">
        <v>28984.799999999996</v>
      </c>
      <c r="Q20" s="505">
        <v>31722.406000000003</v>
      </c>
      <c r="R20" s="14">
        <v>36153.199999999997</v>
      </c>
      <c r="S20" s="505">
        <v>42892.3</v>
      </c>
      <c r="T20" s="505">
        <v>62165.069999999992</v>
      </c>
      <c r="U20" s="505">
        <v>70691.599999999991</v>
      </c>
      <c r="V20" s="505">
        <v>66082.100000000006</v>
      </c>
      <c r="W20" s="505">
        <v>66082.100000000006</v>
      </c>
      <c r="X20" s="505">
        <f t="shared" si="2"/>
        <v>347011.97599999997</v>
      </c>
    </row>
    <row r="21" spans="1:24" ht="51" customHeight="1" x14ac:dyDescent="0.25">
      <c r="A21" s="715" t="s">
        <v>150</v>
      </c>
      <c r="B21" s="715" t="s">
        <v>151</v>
      </c>
      <c r="C21" s="71" t="s">
        <v>17</v>
      </c>
      <c r="D21" s="392" t="s">
        <v>14</v>
      </c>
      <c r="E21" s="392" t="s">
        <v>153</v>
      </c>
      <c r="F21" s="716" t="s">
        <v>148</v>
      </c>
      <c r="G21" s="717"/>
      <c r="H21" s="718"/>
      <c r="I21" s="392" t="s">
        <v>154</v>
      </c>
      <c r="J21" s="118">
        <f>J23</f>
        <v>0</v>
      </c>
      <c r="K21" s="118">
        <v>38.9</v>
      </c>
      <c r="L21" s="118">
        <v>0</v>
      </c>
      <c r="M21" s="118">
        <v>0</v>
      </c>
      <c r="N21" s="118">
        <v>0</v>
      </c>
      <c r="O21" s="494">
        <v>0</v>
      </c>
      <c r="P21" s="494">
        <v>0</v>
      </c>
      <c r="Q21" s="505">
        <v>0</v>
      </c>
      <c r="R21" s="505">
        <v>0</v>
      </c>
      <c r="S21" s="505">
        <v>0</v>
      </c>
      <c r="T21" s="505">
        <v>0</v>
      </c>
      <c r="U21" s="505">
        <v>0</v>
      </c>
      <c r="V21" s="505">
        <v>0</v>
      </c>
      <c r="W21" s="505">
        <v>0</v>
      </c>
      <c r="X21" s="505">
        <f t="shared" si="2"/>
        <v>38.9</v>
      </c>
    </row>
    <row r="22" spans="1:24" ht="18" customHeight="1" x14ac:dyDescent="0.25">
      <c r="A22" s="715"/>
      <c r="B22" s="715"/>
      <c r="C22" s="71" t="s">
        <v>119</v>
      </c>
      <c r="D22" s="392"/>
      <c r="E22" s="392"/>
      <c r="F22" s="716"/>
      <c r="G22" s="717"/>
      <c r="H22" s="718"/>
      <c r="I22" s="392"/>
      <c r="J22" s="118"/>
      <c r="K22" s="118"/>
      <c r="L22" s="118"/>
      <c r="M22" s="118"/>
      <c r="N22" s="118"/>
      <c r="O22" s="494"/>
      <c r="P22" s="494"/>
      <c r="Q22" s="505"/>
      <c r="R22" s="505"/>
      <c r="S22" s="505"/>
      <c r="T22" s="505"/>
      <c r="U22" s="505"/>
      <c r="V22" s="505"/>
      <c r="W22" s="505"/>
      <c r="X22" s="505">
        <f t="shared" si="2"/>
        <v>0</v>
      </c>
    </row>
    <row r="23" spans="1:24" ht="36.75" customHeight="1" x14ac:dyDescent="0.25">
      <c r="A23" s="715"/>
      <c r="B23" s="715"/>
      <c r="C23" s="71" t="s">
        <v>13</v>
      </c>
      <c r="D23" s="392" t="s">
        <v>14</v>
      </c>
      <c r="E23" s="392" t="s">
        <v>146</v>
      </c>
      <c r="F23" s="729" t="s">
        <v>148</v>
      </c>
      <c r="G23" s="730"/>
      <c r="H23" s="731"/>
      <c r="I23" s="392" t="s">
        <v>149</v>
      </c>
      <c r="J23" s="118">
        <v>0</v>
      </c>
      <c r="K23" s="118">
        <v>38.9</v>
      </c>
      <c r="L23" s="118">
        <v>0</v>
      </c>
      <c r="M23" s="118">
        <v>0</v>
      </c>
      <c r="N23" s="118">
        <v>0</v>
      </c>
      <c r="O23" s="494">
        <v>0</v>
      </c>
      <c r="P23" s="494">
        <v>0</v>
      </c>
      <c r="Q23" s="505">
        <v>0</v>
      </c>
      <c r="R23" s="505">
        <v>0</v>
      </c>
      <c r="S23" s="505">
        <v>0</v>
      </c>
      <c r="T23" s="505">
        <v>0</v>
      </c>
      <c r="U23" s="505">
        <v>0</v>
      </c>
      <c r="V23" s="505">
        <v>0</v>
      </c>
      <c r="W23" s="505">
        <v>0</v>
      </c>
      <c r="X23" s="505">
        <f t="shared" si="2"/>
        <v>38.9</v>
      </c>
    </row>
    <row r="24" spans="1:24" ht="51" customHeight="1" x14ac:dyDescent="0.25">
      <c r="A24" s="715" t="s">
        <v>605</v>
      </c>
      <c r="B24" s="715" t="s">
        <v>686</v>
      </c>
      <c r="C24" s="71" t="s">
        <v>17</v>
      </c>
      <c r="D24" s="392" t="s">
        <v>711</v>
      </c>
      <c r="E24" s="392" t="s">
        <v>699</v>
      </c>
      <c r="F24" s="716" t="s">
        <v>606</v>
      </c>
      <c r="G24" s="717"/>
      <c r="H24" s="718"/>
      <c r="I24" s="392" t="s">
        <v>154</v>
      </c>
      <c r="J24" s="118">
        <f>J26</f>
        <v>0</v>
      </c>
      <c r="K24" s="118">
        <v>0</v>
      </c>
      <c r="L24" s="118">
        <v>0</v>
      </c>
      <c r="M24" s="118">
        <v>0</v>
      </c>
      <c r="N24" s="118">
        <v>0</v>
      </c>
      <c r="O24" s="494">
        <v>0</v>
      </c>
      <c r="P24" s="494">
        <v>0</v>
      </c>
      <c r="Q24" s="505">
        <v>0</v>
      </c>
      <c r="R24" s="505">
        <f>R26</f>
        <v>40816.300000000003</v>
      </c>
      <c r="S24" s="505">
        <v>0</v>
      </c>
      <c r="T24" s="505">
        <v>4254.0999999999995</v>
      </c>
      <c r="U24" s="505">
        <v>58484.9</v>
      </c>
      <c r="V24" s="505">
        <v>0</v>
      </c>
      <c r="W24" s="505">
        <v>0</v>
      </c>
      <c r="X24" s="505">
        <f t="shared" si="2"/>
        <v>103555.3</v>
      </c>
    </row>
    <row r="25" spans="1:24" ht="18" customHeight="1" x14ac:dyDescent="0.25">
      <c r="A25" s="715"/>
      <c r="B25" s="715"/>
      <c r="C25" s="71" t="s">
        <v>119</v>
      </c>
      <c r="D25" s="392"/>
      <c r="E25" s="392"/>
      <c r="F25" s="716"/>
      <c r="G25" s="717"/>
      <c r="H25" s="718"/>
      <c r="I25" s="392"/>
      <c r="J25" s="118"/>
      <c r="K25" s="118"/>
      <c r="L25" s="118"/>
      <c r="M25" s="118"/>
      <c r="N25" s="118"/>
      <c r="O25" s="494"/>
      <c r="P25" s="494"/>
      <c r="Q25" s="505"/>
      <c r="R25" s="505"/>
      <c r="S25" s="505"/>
      <c r="T25" s="505"/>
      <c r="U25" s="505"/>
      <c r="V25" s="505"/>
      <c r="W25" s="505"/>
      <c r="X25" s="505">
        <f t="shared" si="2"/>
        <v>0</v>
      </c>
    </row>
    <row r="26" spans="1:24" ht="98.25" customHeight="1" x14ac:dyDescent="0.25">
      <c r="A26" s="715"/>
      <c r="B26" s="715"/>
      <c r="C26" s="71" t="s">
        <v>689</v>
      </c>
      <c r="D26" s="392" t="s">
        <v>712</v>
      </c>
      <c r="E26" s="392" t="s">
        <v>699</v>
      </c>
      <c r="F26" s="716" t="s">
        <v>606</v>
      </c>
      <c r="G26" s="717"/>
      <c r="H26" s="718"/>
      <c r="I26" s="392" t="s">
        <v>154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494">
        <v>0</v>
      </c>
      <c r="P26" s="494">
        <v>0</v>
      </c>
      <c r="Q26" s="505">
        <v>0</v>
      </c>
      <c r="R26" s="505">
        <f>816.3+40000</f>
        <v>40816.300000000003</v>
      </c>
      <c r="S26" s="505">
        <v>0</v>
      </c>
      <c r="T26" s="505">
        <v>4254.0999999999995</v>
      </c>
      <c r="U26" s="505">
        <v>58484.9</v>
      </c>
      <c r="V26" s="505">
        <v>0</v>
      </c>
      <c r="W26" s="505">
        <v>0</v>
      </c>
      <c r="X26" s="505">
        <f t="shared" si="2"/>
        <v>103555.3</v>
      </c>
    </row>
    <row r="27" spans="1:24" ht="27" customHeight="1" x14ac:dyDescent="0.25">
      <c r="D27" s="448"/>
      <c r="E27" s="448"/>
      <c r="F27" s="448"/>
      <c r="G27" s="448"/>
      <c r="H27" s="448"/>
      <c r="I27" s="448"/>
    </row>
    <row r="28" spans="1:24" s="372" customFormat="1" ht="42" customHeight="1" x14ac:dyDescent="0.2">
      <c r="A28" s="728" t="s">
        <v>733</v>
      </c>
      <c r="B28" s="728"/>
      <c r="C28" s="13"/>
      <c r="D28" s="719"/>
      <c r="E28" s="719"/>
      <c r="F28" s="13"/>
      <c r="G28" s="13"/>
      <c r="H28" s="726"/>
      <c r="I28" s="726"/>
      <c r="J28" s="727"/>
      <c r="K28" s="727"/>
      <c r="L28" s="13"/>
      <c r="M28" s="13"/>
      <c r="N28" s="13"/>
      <c r="O28" s="497"/>
      <c r="P28" s="738" t="s">
        <v>734</v>
      </c>
      <c r="Q28" s="738"/>
      <c r="R28" s="738"/>
      <c r="S28" s="738"/>
      <c r="T28" s="738"/>
      <c r="U28" s="738"/>
      <c r="V28" s="738"/>
      <c r="W28" s="738"/>
      <c r="X28" s="738"/>
    </row>
    <row r="29" spans="1:24" s="13" customFormat="1" ht="15.75" customHeight="1" x14ac:dyDescent="0.2">
      <c r="A29" s="720"/>
      <c r="B29" s="720"/>
      <c r="C29" s="720"/>
      <c r="D29" s="720"/>
      <c r="E29" s="721"/>
      <c r="F29" s="721"/>
      <c r="G29" s="721"/>
      <c r="H29" s="721"/>
      <c r="I29" s="721"/>
      <c r="J29" s="370"/>
      <c r="K29" s="370"/>
      <c r="O29" s="497"/>
      <c r="P29" s="552"/>
      <c r="Q29" s="497"/>
      <c r="R29" s="497"/>
      <c r="S29" s="530"/>
      <c r="T29" s="567"/>
      <c r="U29" s="608"/>
      <c r="V29" s="666"/>
      <c r="W29" s="659"/>
      <c r="X29" s="497"/>
    </row>
    <row r="52" spans="8:8" x14ac:dyDescent="0.25">
      <c r="H52" s="369">
        <v>114473.1</v>
      </c>
    </row>
  </sheetData>
  <sheetProtection selectLockedCells="1" selectUnlockedCells="1"/>
  <mergeCells count="50">
    <mergeCell ref="B5:B7"/>
    <mergeCell ref="A12:A14"/>
    <mergeCell ref="B12:B14"/>
    <mergeCell ref="F12:H12"/>
    <mergeCell ref="F13:H13"/>
    <mergeCell ref="A8:A11"/>
    <mergeCell ref="B8:B11"/>
    <mergeCell ref="P28:X28"/>
    <mergeCell ref="F8:H8"/>
    <mergeCell ref="F9:H9"/>
    <mergeCell ref="F11:H11"/>
    <mergeCell ref="F5:H5"/>
    <mergeCell ref="F6:H6"/>
    <mergeCell ref="F7:H7"/>
    <mergeCell ref="F17:H17"/>
    <mergeCell ref="I1:X1"/>
    <mergeCell ref="A2:X2"/>
    <mergeCell ref="A3:A4"/>
    <mergeCell ref="B3:B4"/>
    <mergeCell ref="C3:C4"/>
    <mergeCell ref="F10:H10"/>
    <mergeCell ref="D3:I3"/>
    <mergeCell ref="J3:X3"/>
    <mergeCell ref="F4:H4"/>
    <mergeCell ref="A5:A7"/>
    <mergeCell ref="B21:B23"/>
    <mergeCell ref="F22:H22"/>
    <mergeCell ref="F23:H23"/>
    <mergeCell ref="F19:H19"/>
    <mergeCell ref="F14:H14"/>
    <mergeCell ref="A15:A17"/>
    <mergeCell ref="B15:B17"/>
    <mergeCell ref="F15:H15"/>
    <mergeCell ref="F16:H16"/>
    <mergeCell ref="A29:D29"/>
    <mergeCell ref="E29:I29"/>
    <mergeCell ref="A18:A20"/>
    <mergeCell ref="B18:B20"/>
    <mergeCell ref="F18:H18"/>
    <mergeCell ref="F21:H21"/>
    <mergeCell ref="F20:H20"/>
    <mergeCell ref="H28:K28"/>
    <mergeCell ref="A21:A23"/>
    <mergeCell ref="A28:B28"/>
    <mergeCell ref="A24:A26"/>
    <mergeCell ref="B24:B26"/>
    <mergeCell ref="F24:H24"/>
    <mergeCell ref="F25:H25"/>
    <mergeCell ref="F26:H26"/>
    <mergeCell ref="D28:E28"/>
  </mergeCells>
  <pageMargins left="0.23622047244094491" right="0.23622047244094491" top="0.74803149606299213" bottom="0.74803149606299213" header="0.31496062992125984" footer="0.31496062992125984"/>
  <pageSetup paperSize="9" scale="38" firstPageNumber="0" orientation="landscape" horizontalDpi="300" verticalDpi="300" r:id="rId1"/>
  <headerFooter alignWithMargins="0"/>
  <rowBreaks count="2" manualBreakCount="2">
    <brk id="20" max="18" man="1"/>
    <brk id="2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67"/>
  <sheetViews>
    <sheetView view="pageBreakPreview" zoomScaleNormal="100" zoomScaleSheetLayoutView="100" zoomScalePageLayoutView="75" workbookViewId="0">
      <selection activeCell="D63" sqref="D63:F63"/>
    </sheetView>
  </sheetViews>
  <sheetFormatPr defaultRowHeight="12.75" x14ac:dyDescent="0.2"/>
  <cols>
    <col min="1" max="1" width="19.7109375" style="58" customWidth="1"/>
    <col min="2" max="2" width="17.42578125" style="58" customWidth="1"/>
    <col min="3" max="3" width="33" style="58" customWidth="1"/>
    <col min="4" max="4" width="11.42578125" style="58" customWidth="1"/>
    <col min="5" max="5" width="12.28515625" style="58" customWidth="1"/>
    <col min="6" max="6" width="13.28515625" style="58" customWidth="1"/>
    <col min="7" max="7" width="13.140625" style="58" customWidth="1"/>
    <col min="8" max="8" width="12.7109375" style="426" customWidth="1"/>
    <col min="9" max="9" width="12.28515625" style="501" customWidth="1"/>
    <col min="10" max="10" width="13.28515625" style="501" customWidth="1"/>
    <col min="11" max="11" width="14.42578125" style="501" customWidth="1"/>
    <col min="12" max="17" width="13.140625" style="501" customWidth="1"/>
    <col min="18" max="18" width="14.42578125" style="501" customWidth="1"/>
    <col min="19" max="19" width="10.85546875" style="418" hidden="1" customWidth="1"/>
    <col min="20" max="20" width="11" style="58" hidden="1" customWidth="1"/>
    <col min="21" max="21" width="14.140625" style="58" customWidth="1"/>
    <col min="22" max="22" width="17.28515625" style="58" customWidth="1"/>
    <col min="23" max="23" width="16.5703125" style="58" customWidth="1"/>
    <col min="24" max="24" width="13.140625" style="58" customWidth="1"/>
    <col min="25" max="32" width="9.140625" style="58" customWidth="1"/>
    <col min="33" max="16384" width="9.140625" style="58"/>
  </cols>
  <sheetData>
    <row r="1" spans="1:33" ht="36" customHeight="1" x14ac:dyDescent="0.25">
      <c r="A1" s="369"/>
      <c r="B1" s="369"/>
      <c r="C1" s="369"/>
      <c r="D1" s="748" t="s">
        <v>731</v>
      </c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</row>
    <row r="2" spans="1:33" ht="52.5" customHeight="1" x14ac:dyDescent="0.25">
      <c r="A2" s="733" t="s">
        <v>707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</row>
    <row r="3" spans="1:33" ht="15.75" hidden="1" x14ac:dyDescent="0.25">
      <c r="A3" s="369"/>
      <c r="B3" s="369"/>
      <c r="C3" s="369"/>
      <c r="D3" s="369"/>
      <c r="E3" s="369"/>
      <c r="F3" s="369" t="s">
        <v>362</v>
      </c>
      <c r="G3" s="419">
        <f>G6-G10</f>
        <v>108652.90000000001</v>
      </c>
      <c r="H3" s="419">
        <f>H6-H10</f>
        <v>114472.90000000002</v>
      </c>
      <c r="I3" s="516">
        <f>I6-I10</f>
        <v>122764.40000000001</v>
      </c>
      <c r="J3" s="516">
        <f>J6-J10</f>
        <v>133675.80000000002</v>
      </c>
      <c r="K3" s="516">
        <f>K6-K10</f>
        <v>148527.106</v>
      </c>
      <c r="L3" s="516"/>
      <c r="M3" s="516"/>
      <c r="N3" s="516"/>
      <c r="O3" s="516"/>
      <c r="P3" s="516"/>
      <c r="Q3" s="516"/>
      <c r="R3" s="516">
        <f>R6-R10</f>
        <v>2419899.2759999996</v>
      </c>
      <c r="S3" s="418">
        <v>97192.1</v>
      </c>
    </row>
    <row r="4" spans="1:33" ht="24.75" customHeight="1" x14ac:dyDescent="0.2">
      <c r="A4" s="734" t="s">
        <v>29</v>
      </c>
      <c r="B4" s="734" t="s">
        <v>140</v>
      </c>
      <c r="C4" s="734" t="s">
        <v>30</v>
      </c>
      <c r="D4" s="734" t="s">
        <v>31</v>
      </c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420">
        <f>H3-S3</f>
        <v>17280.800000000017</v>
      </c>
    </row>
    <row r="5" spans="1:33" ht="57.75" customHeight="1" x14ac:dyDescent="0.2">
      <c r="A5" s="734"/>
      <c r="B5" s="734"/>
      <c r="C5" s="734"/>
      <c r="D5" s="366" t="s">
        <v>7</v>
      </c>
      <c r="E5" s="449" t="s">
        <v>8</v>
      </c>
      <c r="F5" s="366" t="s">
        <v>9</v>
      </c>
      <c r="G5" s="366" t="s">
        <v>122</v>
      </c>
      <c r="H5" s="366" t="s">
        <v>160</v>
      </c>
      <c r="I5" s="504" t="s">
        <v>163</v>
      </c>
      <c r="J5" s="504" t="s">
        <v>164</v>
      </c>
      <c r="K5" s="504" t="s">
        <v>391</v>
      </c>
      <c r="L5" s="504" t="s">
        <v>392</v>
      </c>
      <c r="M5" s="504" t="s">
        <v>439</v>
      </c>
      <c r="N5" s="504" t="s">
        <v>440</v>
      </c>
      <c r="O5" s="504" t="s">
        <v>441</v>
      </c>
      <c r="P5" s="504" t="s">
        <v>442</v>
      </c>
      <c r="Q5" s="504" t="s">
        <v>443</v>
      </c>
      <c r="R5" s="504" t="s">
        <v>705</v>
      </c>
      <c r="V5" s="428"/>
    </row>
    <row r="6" spans="1:33" ht="15.75" customHeight="1" x14ac:dyDescent="0.2">
      <c r="A6" s="741" t="s">
        <v>10</v>
      </c>
      <c r="B6" s="741" t="s">
        <v>577</v>
      </c>
      <c r="C6" s="329" t="s">
        <v>32</v>
      </c>
      <c r="D6" s="14">
        <f t="shared" ref="D6:L6" si="0">D8+D9+D10+D11</f>
        <v>91046.599999999991</v>
      </c>
      <c r="E6" s="432">
        <f t="shared" si="0"/>
        <v>103329.2</v>
      </c>
      <c r="F6" s="14">
        <f t="shared" si="0"/>
        <v>107106</v>
      </c>
      <c r="G6" s="14">
        <f t="shared" si="0"/>
        <v>117030.90000000001</v>
      </c>
      <c r="H6" s="14">
        <f t="shared" si="0"/>
        <v>120128.80000000002</v>
      </c>
      <c r="I6" s="505">
        <f t="shared" si="0"/>
        <v>128703.20000000001</v>
      </c>
      <c r="J6" s="528">
        <f>J8+J9+J10+J11</f>
        <v>136845.30000000002</v>
      </c>
      <c r="K6" s="528">
        <f>K8+K9+K10+K11</f>
        <v>153495.50599999999</v>
      </c>
      <c r="L6" s="566">
        <f t="shared" si="0"/>
        <v>236088</v>
      </c>
      <c r="M6" s="565">
        <f>M8+M9+M10+M11</f>
        <v>204026.8</v>
      </c>
      <c r="N6" s="565">
        <f>N8+N9+N10+N11</f>
        <v>257619.62</v>
      </c>
      <c r="O6" s="565">
        <f>O8+O9+O10+O11</f>
        <v>351880.60000000003</v>
      </c>
      <c r="P6" s="565">
        <f>P8+P9+P10+P11</f>
        <v>249702.39999999999</v>
      </c>
      <c r="Q6" s="565">
        <f>Q8+Q9+Q10+Q11</f>
        <v>249696.8</v>
      </c>
      <c r="R6" s="505">
        <f>SUM(D6:Q6)</f>
        <v>2506699.7259999998</v>
      </c>
      <c r="V6" s="428"/>
      <c r="W6" s="428"/>
      <c r="X6" s="428"/>
    </row>
    <row r="7" spans="1:33" ht="15.75" x14ac:dyDescent="0.2">
      <c r="A7" s="741"/>
      <c r="B7" s="741"/>
      <c r="C7" s="329" t="s">
        <v>33</v>
      </c>
      <c r="D7" s="14"/>
      <c r="E7" s="432"/>
      <c r="F7" s="14"/>
      <c r="G7" s="14"/>
      <c r="H7" s="14"/>
      <c r="I7" s="505"/>
      <c r="J7" s="505"/>
      <c r="K7" s="505">
        <f>J7</f>
        <v>0</v>
      </c>
      <c r="L7" s="14">
        <f t="shared" ref="L7:L53" si="1">K7</f>
        <v>0</v>
      </c>
      <c r="M7" s="505"/>
      <c r="N7" s="505"/>
      <c r="O7" s="505"/>
      <c r="P7" s="505"/>
      <c r="Q7" s="505"/>
      <c r="R7" s="505">
        <f t="shared" ref="R7:R60" si="2">SUM(D7:Q7)</f>
        <v>0</v>
      </c>
      <c r="S7" s="422"/>
      <c r="V7" s="428"/>
      <c r="W7" s="428"/>
    </row>
    <row r="8" spans="1:33" ht="15.75" x14ac:dyDescent="0.2">
      <c r="A8" s="741"/>
      <c r="B8" s="741"/>
      <c r="C8" s="423" t="s">
        <v>34</v>
      </c>
      <c r="D8" s="14">
        <f t="shared" ref="D8:J8" si="3">D17+D26+D42+D35</f>
        <v>0</v>
      </c>
      <c r="E8" s="432">
        <f t="shared" si="3"/>
        <v>5.3</v>
      </c>
      <c r="F8" s="14">
        <f t="shared" si="3"/>
        <v>105.2</v>
      </c>
      <c r="G8" s="14">
        <f t="shared" si="3"/>
        <v>101.3</v>
      </c>
      <c r="H8" s="14">
        <f t="shared" si="3"/>
        <v>2398</v>
      </c>
      <c r="I8" s="505">
        <f>I17+I26+I42+I35</f>
        <v>148.1</v>
      </c>
      <c r="J8" s="505">
        <f t="shared" si="3"/>
        <v>2052.6999999999998</v>
      </c>
      <c r="K8" s="505">
        <f>K17+K26+K35+K42</f>
        <v>88.6</v>
      </c>
      <c r="L8" s="14">
        <f>L17+L26+L35+L42+L56</f>
        <v>1675.6</v>
      </c>
      <c r="M8" s="505">
        <f>M17+M26+M35+M42</f>
        <v>3060.6</v>
      </c>
      <c r="N8" s="505">
        <f>N17+N26+N35+N42</f>
        <v>47.2</v>
      </c>
      <c r="O8" s="505">
        <f>O17+O26+O35+O42</f>
        <v>47.4</v>
      </c>
      <c r="P8" s="505">
        <f>P17+P26+P35+P42</f>
        <v>46.1</v>
      </c>
      <c r="Q8" s="505">
        <f>Q17+Q26+Q35+Q42</f>
        <v>40.5</v>
      </c>
      <c r="R8" s="505">
        <f>SUM(D8:Q8)</f>
        <v>9816.6000000000022</v>
      </c>
    </row>
    <row r="9" spans="1:33" ht="15.75" x14ac:dyDescent="0.2">
      <c r="A9" s="741"/>
      <c r="B9" s="741"/>
      <c r="C9" s="423" t="s">
        <v>35</v>
      </c>
      <c r="D9" s="14">
        <f>D18+D27+D43+D36</f>
        <v>6480.5</v>
      </c>
      <c r="E9" s="432">
        <f>E18+E27+E43+E36+E50</f>
        <v>9282.6</v>
      </c>
      <c r="F9" s="14">
        <f t="shared" ref="F9:I11" si="4">F18+F27+F43+F36</f>
        <v>3754.5</v>
      </c>
      <c r="G9" s="14">
        <f t="shared" si="4"/>
        <v>18512.699999999997</v>
      </c>
      <c r="H9" s="14">
        <f t="shared" si="4"/>
        <v>17864.599999999999</v>
      </c>
      <c r="I9" s="505">
        <f>I18+I27+I43+I36</f>
        <v>20183.2</v>
      </c>
      <c r="J9" s="505">
        <f t="shared" ref="J9:M11" si="5">J18+J27+J43+J36</f>
        <v>13330.4</v>
      </c>
      <c r="K9" s="505">
        <f t="shared" si="5"/>
        <v>3625.2</v>
      </c>
      <c r="L9" s="14">
        <f>L18+L27+L43+L36+L57</f>
        <v>57697.1</v>
      </c>
      <c r="M9" s="505">
        <f t="shared" si="5"/>
        <v>5138.3</v>
      </c>
      <c r="N9" s="505">
        <f>N18+N27+N43+N36+N57</f>
        <v>11080.2</v>
      </c>
      <c r="O9" s="505">
        <f>O18+O27+O43+O36+O57</f>
        <v>64484.6</v>
      </c>
      <c r="P9" s="505">
        <f t="shared" ref="P9:Q11" si="6">P18+P27+P43+P36</f>
        <v>309</v>
      </c>
      <c r="Q9" s="505">
        <f t="shared" si="6"/>
        <v>309</v>
      </c>
      <c r="R9" s="505">
        <f t="shared" si="2"/>
        <v>232051.9</v>
      </c>
      <c r="U9" s="386"/>
      <c r="V9" s="386"/>
    </row>
    <row r="10" spans="1:33" ht="15.75" x14ac:dyDescent="0.2">
      <c r="A10" s="741"/>
      <c r="B10" s="741"/>
      <c r="C10" s="423" t="s">
        <v>36</v>
      </c>
      <c r="D10" s="14">
        <f>D19+D28+D44+D37</f>
        <v>2383.6999999999998</v>
      </c>
      <c r="E10" s="432">
        <f>E19+E28+E44+E37</f>
        <v>2858.4</v>
      </c>
      <c r="F10" s="14">
        <f t="shared" si="4"/>
        <v>7748.2000000000007</v>
      </c>
      <c r="G10" s="14">
        <f t="shared" si="4"/>
        <v>8378</v>
      </c>
      <c r="H10" s="14">
        <f t="shared" si="4"/>
        <v>5655.9</v>
      </c>
      <c r="I10" s="505">
        <f t="shared" si="4"/>
        <v>5938.8</v>
      </c>
      <c r="J10" s="505">
        <f t="shared" si="5"/>
        <v>3169.5</v>
      </c>
      <c r="K10" s="505">
        <f t="shared" si="5"/>
        <v>4968.3999999999996</v>
      </c>
      <c r="L10" s="14">
        <f>L19+L28+L44+L37+L58</f>
        <v>5081.5</v>
      </c>
      <c r="M10" s="505">
        <f t="shared" si="5"/>
        <v>8159.5</v>
      </c>
      <c r="N10" s="505">
        <f>N19+N28+N44+N37</f>
        <v>10083.65</v>
      </c>
      <c r="O10" s="505">
        <f>O19+O28+O44+O37</f>
        <v>7600.7</v>
      </c>
      <c r="P10" s="505">
        <f t="shared" si="6"/>
        <v>7387.1</v>
      </c>
      <c r="Q10" s="505">
        <f t="shared" si="6"/>
        <v>7387.1</v>
      </c>
      <c r="R10" s="505">
        <f t="shared" si="2"/>
        <v>86800.450000000026</v>
      </c>
      <c r="U10" s="386"/>
      <c r="V10" s="428"/>
      <c r="W10" s="428"/>
    </row>
    <row r="11" spans="1:33" ht="31.5" x14ac:dyDescent="0.2">
      <c r="A11" s="741"/>
      <c r="B11" s="741"/>
      <c r="C11" s="423" t="s">
        <v>37</v>
      </c>
      <c r="D11" s="14">
        <f>D20+D29+D45+D38</f>
        <v>82182.399999999994</v>
      </c>
      <c r="E11" s="432">
        <f>E20+E29+E45+E38+E52</f>
        <v>91182.9</v>
      </c>
      <c r="F11" s="14">
        <f t="shared" si="4"/>
        <v>95498.1</v>
      </c>
      <c r="G11" s="14">
        <f t="shared" si="4"/>
        <v>90038.900000000009</v>
      </c>
      <c r="H11" s="14">
        <f t="shared" si="4"/>
        <v>94210.300000000017</v>
      </c>
      <c r="I11" s="505">
        <f>I20+I29+I45+I38</f>
        <v>102433.1</v>
      </c>
      <c r="J11" s="505">
        <f t="shared" si="5"/>
        <v>118292.70000000001</v>
      </c>
      <c r="K11" s="505">
        <f t="shared" si="5"/>
        <v>144813.30599999998</v>
      </c>
      <c r="L11" s="14">
        <f>L20+L29+L45+L38+L59</f>
        <v>171633.8</v>
      </c>
      <c r="M11" s="505">
        <f t="shared" si="5"/>
        <v>187668.4</v>
      </c>
      <c r="N11" s="505">
        <f>N20+N29+N45+N38+N59</f>
        <v>236408.57</v>
      </c>
      <c r="O11" s="505">
        <f>O20+O29+O45+O38+O59</f>
        <v>279747.90000000002</v>
      </c>
      <c r="P11" s="505">
        <f t="shared" si="6"/>
        <v>241960.19999999998</v>
      </c>
      <c r="Q11" s="505">
        <f t="shared" si="6"/>
        <v>241960.19999999998</v>
      </c>
      <c r="R11" s="505">
        <f t="shared" si="2"/>
        <v>2178030.7760000001</v>
      </c>
      <c r="U11" s="428"/>
      <c r="V11" s="428"/>
    </row>
    <row r="12" spans="1:33" ht="15.75" x14ac:dyDescent="0.2">
      <c r="A12" s="741"/>
      <c r="B12" s="741"/>
      <c r="C12" s="423" t="s">
        <v>38</v>
      </c>
      <c r="D12" s="14">
        <v>0</v>
      </c>
      <c r="E12" s="432">
        <v>0</v>
      </c>
      <c r="F12" s="14">
        <f>F21+F30+F46</f>
        <v>0</v>
      </c>
      <c r="G12" s="14">
        <f>G21+G30+G46</f>
        <v>0</v>
      </c>
      <c r="H12" s="14">
        <f>H21+H30+H46</f>
        <v>0</v>
      </c>
      <c r="I12" s="505">
        <f>I21+I30+I46</f>
        <v>0</v>
      </c>
      <c r="J12" s="505"/>
      <c r="K12" s="505">
        <f>J12</f>
        <v>0</v>
      </c>
      <c r="L12" s="14">
        <f t="shared" si="1"/>
        <v>0</v>
      </c>
      <c r="M12" s="505"/>
      <c r="N12" s="505"/>
      <c r="O12" s="505"/>
      <c r="P12" s="505"/>
      <c r="Q12" s="505"/>
      <c r="R12" s="505">
        <f t="shared" si="2"/>
        <v>0</v>
      </c>
      <c r="U12" s="428"/>
      <c r="V12" s="554"/>
    </row>
    <row r="13" spans="1:33" s="426" customFormat="1" ht="15.75" hidden="1" x14ac:dyDescent="0.2">
      <c r="A13" s="424"/>
      <c r="B13" s="424" t="s">
        <v>343</v>
      </c>
      <c r="C13" s="425"/>
      <c r="D13" s="421"/>
      <c r="E13" s="450"/>
      <c r="F13" s="421"/>
      <c r="G13" s="421"/>
      <c r="H13" s="14"/>
      <c r="I13" s="505">
        <f>I14-I19</f>
        <v>36045.699999999997</v>
      </c>
      <c r="J13" s="505">
        <f>J14-J19</f>
        <v>42285.700000000012</v>
      </c>
      <c r="K13" s="505">
        <f>K14-K19</f>
        <v>43486.500000000007</v>
      </c>
      <c r="L13" s="14">
        <f t="shared" si="1"/>
        <v>43486.500000000007</v>
      </c>
      <c r="M13" s="505"/>
      <c r="N13" s="505"/>
      <c r="O13" s="505"/>
      <c r="P13" s="505"/>
      <c r="Q13" s="505"/>
      <c r="R13" s="505">
        <f t="shared" si="2"/>
        <v>165304.40000000002</v>
      </c>
      <c r="S13" s="41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</row>
    <row r="14" spans="1:33" ht="15.75" customHeight="1" x14ac:dyDescent="0.2">
      <c r="A14" s="741" t="s">
        <v>15</v>
      </c>
      <c r="B14" s="741" t="s">
        <v>16</v>
      </c>
      <c r="C14" s="329" t="s">
        <v>32</v>
      </c>
      <c r="D14" s="14">
        <f t="shared" ref="D14:I14" si="7">D17+D18+D19+D20+D21</f>
        <v>36337.800000000003</v>
      </c>
      <c r="E14" s="432">
        <f t="shared" si="7"/>
        <v>40488.099999999991</v>
      </c>
      <c r="F14" s="14">
        <f t="shared" si="7"/>
        <v>36917.300000000003</v>
      </c>
      <c r="G14" s="14">
        <f t="shared" si="7"/>
        <v>33818</v>
      </c>
      <c r="H14" s="14">
        <f t="shared" si="7"/>
        <v>32461.5</v>
      </c>
      <c r="I14" s="505">
        <f t="shared" si="7"/>
        <v>36560.899999999994</v>
      </c>
      <c r="J14" s="521">
        <f>J17+J18+J19+J20+J21</f>
        <v>42435.80000000001</v>
      </c>
      <c r="K14" s="521">
        <f>K17+K18+K19+K20+K21</f>
        <v>43894.000000000007</v>
      </c>
      <c r="L14" s="430">
        <f>L17+L18+L19+L20+L21</f>
        <v>50352.6</v>
      </c>
      <c r="M14" s="521">
        <f>M17+M18+M19+M20</f>
        <v>60905.299999999996</v>
      </c>
      <c r="N14" s="521">
        <f>N17+N18+N19+N20</f>
        <v>69271.650000000009</v>
      </c>
      <c r="O14" s="521">
        <f>O17+O18+O19+O20</f>
        <v>78413.399999999994</v>
      </c>
      <c r="P14" s="521">
        <f>P17+P18+P19+P20</f>
        <v>67948.799999999988</v>
      </c>
      <c r="Q14" s="521">
        <f>Q17+Q18+Q19+Q20</f>
        <v>67943.199999999997</v>
      </c>
      <c r="R14" s="505">
        <f t="shared" si="2"/>
        <v>697748.34999999986</v>
      </c>
      <c r="S14" s="427">
        <f>H14-H19</f>
        <v>31859</v>
      </c>
      <c r="T14" s="441">
        <v>32461.5</v>
      </c>
      <c r="U14" s="428"/>
      <c r="V14" s="428"/>
    </row>
    <row r="15" spans="1:33" ht="15.75" x14ac:dyDescent="0.2">
      <c r="A15" s="741"/>
      <c r="B15" s="741"/>
      <c r="C15" s="329" t="s">
        <v>33</v>
      </c>
      <c r="D15" s="14"/>
      <c r="E15" s="432"/>
      <c r="F15" s="14"/>
      <c r="G15" s="14"/>
      <c r="H15" s="14"/>
      <c r="I15" s="505"/>
      <c r="J15" s="505"/>
      <c r="K15" s="505">
        <f>J15</f>
        <v>0</v>
      </c>
      <c r="L15" s="14">
        <f t="shared" si="1"/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505">
        <f t="shared" si="2"/>
        <v>0</v>
      </c>
      <c r="S15" s="422"/>
      <c r="T15" s="428">
        <f>S14-T14</f>
        <v>-602.5</v>
      </c>
      <c r="V15" s="428"/>
    </row>
    <row r="16" spans="1:33" ht="15.75" hidden="1" x14ac:dyDescent="0.2">
      <c r="A16" s="741"/>
      <c r="B16" s="741"/>
      <c r="C16" s="329"/>
      <c r="D16" s="14">
        <f t="shared" ref="D16:L16" si="8">D17+D18+D19+D20+D21</f>
        <v>36337.800000000003</v>
      </c>
      <c r="E16" s="432">
        <f t="shared" si="8"/>
        <v>40488.099999999991</v>
      </c>
      <c r="F16" s="14">
        <f t="shared" si="8"/>
        <v>36917.300000000003</v>
      </c>
      <c r="G16" s="14">
        <f t="shared" si="8"/>
        <v>33818</v>
      </c>
      <c r="H16" s="14">
        <f t="shared" si="8"/>
        <v>32461.5</v>
      </c>
      <c r="I16" s="505">
        <f t="shared" si="8"/>
        <v>36560.899999999994</v>
      </c>
      <c r="J16" s="505">
        <f t="shared" si="8"/>
        <v>42435.80000000001</v>
      </c>
      <c r="K16" s="505">
        <f t="shared" si="8"/>
        <v>43894.000000000007</v>
      </c>
      <c r="L16" s="14">
        <f t="shared" si="8"/>
        <v>50352.6</v>
      </c>
      <c r="M16" s="14"/>
      <c r="N16" s="14"/>
      <c r="O16" s="14"/>
      <c r="P16" s="14"/>
      <c r="Q16" s="14"/>
      <c r="R16" s="505">
        <f t="shared" si="2"/>
        <v>353266</v>
      </c>
    </row>
    <row r="17" spans="1:33" ht="15.75" x14ac:dyDescent="0.2">
      <c r="A17" s="741"/>
      <c r="B17" s="741"/>
      <c r="C17" s="423" t="s">
        <v>34</v>
      </c>
      <c r="D17" s="14">
        <v>0</v>
      </c>
      <c r="E17" s="432">
        <v>5.3</v>
      </c>
      <c r="F17" s="14">
        <v>5.2</v>
      </c>
      <c r="G17" s="14">
        <v>101.3</v>
      </c>
      <c r="H17" s="14">
        <v>4.7000000000000028</v>
      </c>
      <c r="I17" s="505">
        <f>4.4+6.8</f>
        <v>11.2</v>
      </c>
      <c r="J17" s="505">
        <v>52.2</v>
      </c>
      <c r="K17" s="14">
        <v>26.1</v>
      </c>
      <c r="L17" s="14">
        <v>1057.8</v>
      </c>
      <c r="M17" s="14">
        <v>3060.6</v>
      </c>
      <c r="N17" s="14">
        <v>47.2</v>
      </c>
      <c r="O17" s="14">
        <v>47.4</v>
      </c>
      <c r="P17" s="14">
        <v>46.1</v>
      </c>
      <c r="Q17" s="14">
        <v>40.5</v>
      </c>
      <c r="R17" s="505">
        <f t="shared" si="2"/>
        <v>4505.5999999999995</v>
      </c>
      <c r="S17" s="422"/>
      <c r="V17" s="428"/>
    </row>
    <row r="18" spans="1:33" ht="15.75" x14ac:dyDescent="0.2">
      <c r="A18" s="741"/>
      <c r="B18" s="741"/>
      <c r="C18" s="423" t="s">
        <v>35</v>
      </c>
      <c r="D18" s="14">
        <v>6412.9</v>
      </c>
      <c r="E18" s="432">
        <v>6355.3</v>
      </c>
      <c r="F18" s="14">
        <v>2244.3000000000002</v>
      </c>
      <c r="G18" s="14">
        <v>4600</v>
      </c>
      <c r="H18" s="14">
        <v>8118.4000000000005</v>
      </c>
      <c r="I18" s="505">
        <v>10104.199999999999</v>
      </c>
      <c r="J18" s="505">
        <v>5862.6</v>
      </c>
      <c r="K18" s="14">
        <v>1930.2</v>
      </c>
      <c r="L18" s="14">
        <v>407.9</v>
      </c>
      <c r="M18" s="14">
        <v>3129.6</v>
      </c>
      <c r="N18" s="14">
        <v>1196.7</v>
      </c>
      <c r="O18" s="14">
        <v>105.1</v>
      </c>
      <c r="P18" s="14">
        <v>107.5</v>
      </c>
      <c r="Q18" s="14">
        <v>107.5</v>
      </c>
      <c r="R18" s="505">
        <f t="shared" si="2"/>
        <v>50682.19999999999</v>
      </c>
      <c r="S18" s="422"/>
      <c r="V18" s="428"/>
    </row>
    <row r="19" spans="1:33" ht="15.75" x14ac:dyDescent="0.2">
      <c r="A19" s="741"/>
      <c r="B19" s="741"/>
      <c r="C19" s="423" t="s">
        <v>36</v>
      </c>
      <c r="D19" s="14">
        <v>414.9</v>
      </c>
      <c r="E19" s="432">
        <v>582.5</v>
      </c>
      <c r="F19" s="14">
        <v>517.79999999999995</v>
      </c>
      <c r="G19" s="14">
        <v>531</v>
      </c>
      <c r="H19" s="14">
        <f>190.3+35.1+302.1+75</f>
        <v>602.5</v>
      </c>
      <c r="I19" s="505">
        <v>515.20000000000005</v>
      </c>
      <c r="J19" s="505">
        <v>150.10000000000002</v>
      </c>
      <c r="K19" s="14">
        <v>407.5</v>
      </c>
      <c r="L19" s="14">
        <v>947.4</v>
      </c>
      <c r="M19" s="14">
        <v>1264</v>
      </c>
      <c r="N19" s="14">
        <v>2420.1499999999996</v>
      </c>
      <c r="O19" s="14">
        <v>830.7</v>
      </c>
      <c r="P19" s="14">
        <v>816.3</v>
      </c>
      <c r="Q19" s="14">
        <v>816.3</v>
      </c>
      <c r="R19" s="505">
        <f t="shared" si="2"/>
        <v>10816.349999999999</v>
      </c>
      <c r="S19" s="422"/>
      <c r="T19" s="418">
        <v>515.5</v>
      </c>
      <c r="U19" s="428"/>
    </row>
    <row r="20" spans="1:33" ht="31.5" customHeight="1" x14ac:dyDescent="0.2">
      <c r="A20" s="741"/>
      <c r="B20" s="741"/>
      <c r="C20" s="423" t="s">
        <v>37</v>
      </c>
      <c r="D20" s="14">
        <v>29510</v>
      </c>
      <c r="E20" s="432">
        <v>33544.999999999993</v>
      </c>
      <c r="F20" s="14">
        <v>34150</v>
      </c>
      <c r="G20" s="14">
        <v>28585.7</v>
      </c>
      <c r="H20" s="14">
        <v>23735.899999999998</v>
      </c>
      <c r="I20" s="505">
        <v>25930.299999999996</v>
      </c>
      <c r="J20" s="505">
        <v>36370.900000000009</v>
      </c>
      <c r="K20" s="14">
        <v>41530.200000000004</v>
      </c>
      <c r="L20" s="14">
        <v>47939.5</v>
      </c>
      <c r="M20" s="14">
        <v>53451.1</v>
      </c>
      <c r="N20" s="14">
        <v>65607.600000000006</v>
      </c>
      <c r="O20" s="14">
        <v>77430.2</v>
      </c>
      <c r="P20" s="14">
        <v>66978.899999999994</v>
      </c>
      <c r="Q20" s="14">
        <v>66978.899999999994</v>
      </c>
      <c r="R20" s="505">
        <f t="shared" si="2"/>
        <v>631744.19999999995</v>
      </c>
      <c r="V20" s="428"/>
    </row>
    <row r="21" spans="1:33" ht="15.75" x14ac:dyDescent="0.2">
      <c r="A21" s="741"/>
      <c r="B21" s="741"/>
      <c r="C21" s="423" t="s">
        <v>38</v>
      </c>
      <c r="D21" s="14">
        <v>0</v>
      </c>
      <c r="E21" s="432">
        <v>0</v>
      </c>
      <c r="F21" s="14">
        <v>0</v>
      </c>
      <c r="G21" s="14"/>
      <c r="H21" s="14"/>
      <c r="I21" s="505"/>
      <c r="J21" s="505"/>
      <c r="K21" s="14">
        <f>J21</f>
        <v>0</v>
      </c>
      <c r="L21" s="505">
        <f t="shared" si="1"/>
        <v>0</v>
      </c>
      <c r="M21" s="14"/>
      <c r="N21" s="14"/>
      <c r="O21" s="14"/>
      <c r="P21" s="14"/>
      <c r="Q21" s="14"/>
      <c r="R21" s="505">
        <f t="shared" si="2"/>
        <v>0</v>
      </c>
    </row>
    <row r="22" spans="1:33" s="426" customFormat="1" ht="15.75" hidden="1" x14ac:dyDescent="0.2">
      <c r="A22" s="424"/>
      <c r="B22" s="424" t="s">
        <v>343</v>
      </c>
      <c r="C22" s="425"/>
      <c r="D22" s="421"/>
      <c r="E22" s="450"/>
      <c r="F22" s="421"/>
      <c r="G22" s="421"/>
      <c r="H22" s="14"/>
      <c r="I22" s="505">
        <f>I23-I28</f>
        <v>32673.100000000009</v>
      </c>
      <c r="J22" s="505">
        <f>J23-J28</f>
        <v>36997.700000000004</v>
      </c>
      <c r="K22" s="505">
        <f>K23-K28</f>
        <v>43094</v>
      </c>
      <c r="L22" s="505">
        <f t="shared" si="1"/>
        <v>43094</v>
      </c>
      <c r="M22" s="505"/>
      <c r="N22" s="505"/>
      <c r="O22" s="505"/>
      <c r="P22" s="505"/>
      <c r="Q22" s="505"/>
      <c r="R22" s="505">
        <f t="shared" si="2"/>
        <v>155858.80000000002</v>
      </c>
      <c r="S22" s="41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30" customHeight="1" x14ac:dyDescent="0.2">
      <c r="A23" s="745" t="s">
        <v>21</v>
      </c>
      <c r="B23" s="745" t="s">
        <v>22</v>
      </c>
      <c r="C23" s="429" t="s">
        <v>32</v>
      </c>
      <c r="D23" s="14">
        <f>D28+D29+D27</f>
        <v>34821.300000000003</v>
      </c>
      <c r="E23" s="432">
        <f>E28+E29+E27</f>
        <v>37580.000000000007</v>
      </c>
      <c r="F23" s="430">
        <f>F29+F28+F27+F26</f>
        <v>47192.3</v>
      </c>
      <c r="G23" s="14">
        <f>SUM(G26:G29)</f>
        <v>52332.800000000003</v>
      </c>
      <c r="H23" s="14">
        <f>H28+H29+H27+H26</f>
        <v>37242.000000000007</v>
      </c>
      <c r="I23" s="505">
        <f>I25</f>
        <v>37410.400000000009</v>
      </c>
      <c r="J23" s="505">
        <f>J26+J27+J28+J29</f>
        <v>39497.700000000004</v>
      </c>
      <c r="K23" s="505">
        <f>K25</f>
        <v>46894</v>
      </c>
      <c r="L23" s="505">
        <f t="shared" ref="L23:Q23" si="9">L26+L27+L28+L29</f>
        <v>74954.899999999994</v>
      </c>
      <c r="M23" s="505">
        <f t="shared" si="9"/>
        <v>63694.999999999993</v>
      </c>
      <c r="N23" s="505">
        <f t="shared" si="9"/>
        <v>75812.399999999994</v>
      </c>
      <c r="O23" s="505">
        <f t="shared" si="9"/>
        <v>86387.9</v>
      </c>
      <c r="P23" s="505">
        <f t="shared" si="9"/>
        <v>69994.2</v>
      </c>
      <c r="Q23" s="505">
        <f t="shared" si="9"/>
        <v>69994.2</v>
      </c>
      <c r="R23" s="505">
        <f t="shared" si="2"/>
        <v>773809.1</v>
      </c>
      <c r="S23" s="427">
        <f>H23-H28</f>
        <v>32947.700000000004</v>
      </c>
      <c r="T23" s="441">
        <v>37242.000000000007</v>
      </c>
      <c r="V23" s="428"/>
    </row>
    <row r="24" spans="1:33" ht="15.75" x14ac:dyDescent="0.2">
      <c r="A24" s="745"/>
      <c r="B24" s="745"/>
      <c r="C24" s="429" t="s">
        <v>33</v>
      </c>
      <c r="D24" s="14"/>
      <c r="E24" s="432"/>
      <c r="F24" s="14">
        <v>0</v>
      </c>
      <c r="G24" s="14"/>
      <c r="H24" s="14"/>
      <c r="I24" s="505"/>
      <c r="J24" s="505"/>
      <c r="K24" s="505">
        <f>J24</f>
        <v>0</v>
      </c>
      <c r="L24" s="505">
        <f t="shared" si="1"/>
        <v>0</v>
      </c>
      <c r="M24" s="505">
        <v>0</v>
      </c>
      <c r="N24" s="505">
        <v>0</v>
      </c>
      <c r="O24" s="505">
        <v>0</v>
      </c>
      <c r="P24" s="505">
        <v>0</v>
      </c>
      <c r="Q24" s="505">
        <v>0</v>
      </c>
      <c r="R24" s="505">
        <f t="shared" si="2"/>
        <v>0</v>
      </c>
      <c r="T24" s="428">
        <f>S23-T23</f>
        <v>-4294.3000000000029</v>
      </c>
    </row>
    <row r="25" spans="1:33" ht="31.5" hidden="1" x14ac:dyDescent="0.2">
      <c r="A25" s="745"/>
      <c r="B25" s="745"/>
      <c r="C25" s="429" t="s">
        <v>39</v>
      </c>
      <c r="D25" s="14">
        <f t="shared" ref="D25:I25" si="10">D26+D27+D28+D29+D30</f>
        <v>34821.300000000003</v>
      </c>
      <c r="E25" s="432">
        <f t="shared" si="10"/>
        <v>37580</v>
      </c>
      <c r="F25" s="14">
        <f t="shared" si="10"/>
        <v>47192.3</v>
      </c>
      <c r="G25" s="14">
        <f t="shared" si="10"/>
        <v>52332.800000000003</v>
      </c>
      <c r="H25" s="14">
        <f t="shared" si="10"/>
        <v>37242.000000000007</v>
      </c>
      <c r="I25" s="505">
        <f t="shared" si="10"/>
        <v>37410.400000000009</v>
      </c>
      <c r="J25" s="505">
        <f>J26+J27+J28+J29+J30</f>
        <v>39497.700000000004</v>
      </c>
      <c r="K25" s="505">
        <f>K26+K27+K28+K29+K30</f>
        <v>46894</v>
      </c>
      <c r="L25" s="505">
        <f>L26+L27+L28+L29+L30</f>
        <v>74954.899999999994</v>
      </c>
      <c r="M25" s="505"/>
      <c r="N25" s="505"/>
      <c r="O25" s="505"/>
      <c r="P25" s="505"/>
      <c r="Q25" s="505"/>
      <c r="R25" s="505">
        <f t="shared" si="2"/>
        <v>407925.4</v>
      </c>
    </row>
    <row r="26" spans="1:33" ht="16.5" customHeight="1" x14ac:dyDescent="0.2">
      <c r="A26" s="745"/>
      <c r="B26" s="745"/>
      <c r="C26" s="431" t="s">
        <v>34</v>
      </c>
      <c r="D26" s="14">
        <v>0</v>
      </c>
      <c r="E26" s="432">
        <v>0</v>
      </c>
      <c r="F26" s="14">
        <v>100</v>
      </c>
      <c r="G26" s="14"/>
      <c r="H26" s="14">
        <f>2393.3</f>
        <v>2393.3000000000002</v>
      </c>
      <c r="I26" s="505">
        <v>136.9</v>
      </c>
      <c r="J26" s="505">
        <v>2000.5</v>
      </c>
      <c r="K26" s="505">
        <v>62.5</v>
      </c>
      <c r="L26" s="505">
        <v>617.79999999999995</v>
      </c>
      <c r="M26" s="505">
        <v>0</v>
      </c>
      <c r="N26" s="505">
        <v>0</v>
      </c>
      <c r="O26" s="505">
        <v>0</v>
      </c>
      <c r="P26" s="505">
        <v>0</v>
      </c>
      <c r="Q26" s="505">
        <v>0</v>
      </c>
      <c r="R26" s="505">
        <f t="shared" si="2"/>
        <v>5311.0000000000009</v>
      </c>
      <c r="V26" s="428"/>
    </row>
    <row r="27" spans="1:33" ht="18.75" customHeight="1" x14ac:dyDescent="0.2">
      <c r="A27" s="745"/>
      <c r="B27" s="745"/>
      <c r="C27" s="431" t="s">
        <v>35</v>
      </c>
      <c r="D27" s="14">
        <v>40</v>
      </c>
      <c r="E27" s="432">
        <v>130.30000000000001</v>
      </c>
      <c r="F27" s="14">
        <v>1410</v>
      </c>
      <c r="G27" s="14">
        <v>13091.099999999999</v>
      </c>
      <c r="H27" s="14">
        <v>6772.5999999999995</v>
      </c>
      <c r="I27" s="505">
        <v>7641.9000000000005</v>
      </c>
      <c r="J27" s="505">
        <v>3121</v>
      </c>
      <c r="K27" s="505">
        <v>1558.3</v>
      </c>
      <c r="L27" s="505">
        <v>15575.099999999999</v>
      </c>
      <c r="M27" s="505">
        <v>1444</v>
      </c>
      <c r="N27" s="505">
        <v>5397.7</v>
      </c>
      <c r="O27" s="505">
        <v>5876</v>
      </c>
      <c r="P27" s="505">
        <v>0</v>
      </c>
      <c r="Q27" s="505">
        <v>0</v>
      </c>
      <c r="R27" s="505">
        <f t="shared" si="2"/>
        <v>62057.999999999993</v>
      </c>
      <c r="S27" s="422"/>
    </row>
    <row r="28" spans="1:33" ht="15.75" x14ac:dyDescent="0.2">
      <c r="A28" s="745"/>
      <c r="B28" s="745"/>
      <c r="C28" s="431" t="s">
        <v>36</v>
      </c>
      <c r="D28" s="14">
        <v>1541.1</v>
      </c>
      <c r="E28" s="432">
        <v>1423.3</v>
      </c>
      <c r="F28" s="14">
        <f>6493.3-10</f>
        <v>6483.3</v>
      </c>
      <c r="G28" s="14">
        <v>6959</v>
      </c>
      <c r="H28" s="14">
        <v>4294.3</v>
      </c>
      <c r="I28" s="505">
        <v>4737.3</v>
      </c>
      <c r="J28" s="505">
        <v>2500</v>
      </c>
      <c r="K28" s="505">
        <v>3800</v>
      </c>
      <c r="L28" s="505">
        <v>3042.3</v>
      </c>
      <c r="M28" s="505">
        <v>5948.4</v>
      </c>
      <c r="N28" s="505">
        <v>6693.7000000000007</v>
      </c>
      <c r="O28" s="505">
        <v>5483.7</v>
      </c>
      <c r="P28" s="505">
        <v>5284.5</v>
      </c>
      <c r="Q28" s="505">
        <v>5284.5</v>
      </c>
      <c r="R28" s="505">
        <f t="shared" si="2"/>
        <v>63475.399999999994</v>
      </c>
      <c r="V28" s="428"/>
    </row>
    <row r="29" spans="1:33" ht="32.25" customHeight="1" x14ac:dyDescent="0.2">
      <c r="A29" s="745"/>
      <c r="B29" s="745"/>
      <c r="C29" s="431" t="s">
        <v>37</v>
      </c>
      <c r="D29" s="14">
        <v>33240.200000000004</v>
      </c>
      <c r="E29" s="14">
        <v>36026.400000000001</v>
      </c>
      <c r="F29" s="14">
        <v>39199</v>
      </c>
      <c r="G29" s="14">
        <v>32282.700000000004</v>
      </c>
      <c r="H29" s="14">
        <v>23781.800000000007</v>
      </c>
      <c r="I29" s="14">
        <v>24894.300000000007</v>
      </c>
      <c r="J29" s="505">
        <v>31876.200000000004</v>
      </c>
      <c r="K29" s="505">
        <v>41473.199999999997</v>
      </c>
      <c r="L29" s="505">
        <v>55719.700000000004</v>
      </c>
      <c r="M29" s="505">
        <v>56302.599999999991</v>
      </c>
      <c r="N29" s="505">
        <v>63721</v>
      </c>
      <c r="O29" s="505">
        <v>75028.2</v>
      </c>
      <c r="P29" s="505">
        <v>64709.7</v>
      </c>
      <c r="Q29" s="505">
        <v>64709.7</v>
      </c>
      <c r="R29" s="505">
        <f t="shared" si="2"/>
        <v>642964.69999999995</v>
      </c>
      <c r="S29" s="58"/>
    </row>
    <row r="30" spans="1:33" ht="17.25" customHeight="1" x14ac:dyDescent="0.2">
      <c r="A30" s="745"/>
      <c r="B30" s="745"/>
      <c r="C30" s="431" t="s">
        <v>38</v>
      </c>
      <c r="D30" s="14">
        <v>0</v>
      </c>
      <c r="E30" s="432">
        <v>0</v>
      </c>
      <c r="F30" s="14">
        <v>0</v>
      </c>
      <c r="G30" s="14"/>
      <c r="H30" s="14"/>
      <c r="I30" s="505"/>
      <c r="J30" s="505"/>
      <c r="K30" s="505">
        <f>J30</f>
        <v>0</v>
      </c>
      <c r="L30" s="505">
        <f t="shared" si="1"/>
        <v>0</v>
      </c>
      <c r="M30" s="505"/>
      <c r="N30" s="505"/>
      <c r="O30" s="505"/>
      <c r="P30" s="505"/>
      <c r="Q30" s="505"/>
      <c r="R30" s="505">
        <f t="shared" si="2"/>
        <v>0</v>
      </c>
    </row>
    <row r="31" spans="1:33" s="426" customFormat="1" ht="15.75" hidden="1" x14ac:dyDescent="0.2">
      <c r="A31" s="424"/>
      <c r="B31" s="424" t="s">
        <v>343</v>
      </c>
      <c r="C31" s="425"/>
      <c r="D31" s="421"/>
      <c r="E31" s="450"/>
      <c r="F31" s="421"/>
      <c r="G31" s="421"/>
      <c r="H31" s="14"/>
      <c r="I31" s="505">
        <f>I32-I37</f>
        <v>23327.3</v>
      </c>
      <c r="J31" s="505">
        <f>J32-J37</f>
        <v>25407.599999999999</v>
      </c>
      <c r="K31" s="505">
        <f>K32-K37</f>
        <v>30224.199999999997</v>
      </c>
      <c r="L31" s="505">
        <f t="shared" si="1"/>
        <v>30224.199999999997</v>
      </c>
      <c r="M31" s="505"/>
      <c r="N31" s="505"/>
      <c r="O31" s="505"/>
      <c r="P31" s="505"/>
      <c r="Q31" s="505"/>
      <c r="R31" s="505">
        <f t="shared" si="2"/>
        <v>109183.29999999999</v>
      </c>
      <c r="S31" s="41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</row>
    <row r="32" spans="1:33" ht="20.25" customHeight="1" x14ac:dyDescent="0.2">
      <c r="A32" s="742" t="s">
        <v>25</v>
      </c>
      <c r="B32" s="742" t="s">
        <v>131</v>
      </c>
      <c r="C32" s="510" t="s">
        <v>32</v>
      </c>
      <c r="D32" s="505">
        <f>D35+D36+D37+D38+D39</f>
        <v>18195</v>
      </c>
      <c r="E32" s="511">
        <f>E35+E36+E37+E38+E39</f>
        <v>22756.5</v>
      </c>
      <c r="F32" s="505">
        <f>F35+F36+F37+F38+F39</f>
        <v>20489.399999999998</v>
      </c>
      <c r="G32" s="505">
        <f>G33+G35+G36+G37+G38+G39</f>
        <v>20986.600000000002</v>
      </c>
      <c r="H32" s="505">
        <f>H33+H35+H36+H37+H38+H39</f>
        <v>23299.699999999997</v>
      </c>
      <c r="I32" s="511">
        <f>I33+I35+I36+I37+I38+I39</f>
        <v>24013.599999999999</v>
      </c>
      <c r="J32" s="511">
        <f>J33+J35+J36+J37+J38+J39</f>
        <v>25927</v>
      </c>
      <c r="K32" s="505">
        <f t="shared" ref="K32:Q32" si="11">K36+K37+K38+K35</f>
        <v>30985.1</v>
      </c>
      <c r="L32" s="505">
        <f t="shared" si="11"/>
        <v>33811</v>
      </c>
      <c r="M32" s="505">
        <f t="shared" si="11"/>
        <v>36534.200000000004</v>
      </c>
      <c r="N32" s="505">
        <f t="shared" si="11"/>
        <v>46116.4</v>
      </c>
      <c r="O32" s="505">
        <f t="shared" si="11"/>
        <v>57902.8</v>
      </c>
      <c r="P32" s="505">
        <f>P36+P37+P38+P35</f>
        <v>45677.3</v>
      </c>
      <c r="Q32" s="505">
        <f t="shared" si="11"/>
        <v>45677.3</v>
      </c>
      <c r="R32" s="505">
        <f t="shared" si="2"/>
        <v>452371.89999999997</v>
      </c>
      <c r="S32" s="427">
        <f>H32-H37</f>
        <v>22540.6</v>
      </c>
      <c r="T32" s="441">
        <v>23299.699999999997</v>
      </c>
      <c r="V32" s="428"/>
    </row>
    <row r="33" spans="1:22" ht="15.75" x14ac:dyDescent="0.2">
      <c r="A33" s="743"/>
      <c r="B33" s="743"/>
      <c r="C33" s="510" t="s">
        <v>33</v>
      </c>
      <c r="D33" s="505"/>
      <c r="E33" s="511"/>
      <c r="F33" s="505"/>
      <c r="G33" s="505"/>
      <c r="H33" s="505"/>
      <c r="I33" s="511"/>
      <c r="J33" s="511"/>
      <c r="K33" s="505">
        <f>J33</f>
        <v>0</v>
      </c>
      <c r="L33" s="505">
        <f t="shared" si="1"/>
        <v>0</v>
      </c>
      <c r="M33" s="505">
        <v>0</v>
      </c>
      <c r="N33" s="505">
        <v>0</v>
      </c>
      <c r="O33" s="505">
        <v>0</v>
      </c>
      <c r="P33" s="505">
        <v>0</v>
      </c>
      <c r="Q33" s="505">
        <v>0</v>
      </c>
      <c r="R33" s="505">
        <f t="shared" si="2"/>
        <v>0</v>
      </c>
      <c r="T33" s="428">
        <f>S32-T32</f>
        <v>-759.09999999999854</v>
      </c>
    </row>
    <row r="34" spans="1:22" ht="31.5" hidden="1" x14ac:dyDescent="0.2">
      <c r="A34" s="743"/>
      <c r="B34" s="743"/>
      <c r="C34" s="510" t="s">
        <v>39</v>
      </c>
      <c r="D34" s="505">
        <f t="shared" ref="D34:L34" si="12">D35+D36+D37+D38</f>
        <v>18195</v>
      </c>
      <c r="E34" s="511">
        <f t="shared" si="12"/>
        <v>22756.5</v>
      </c>
      <c r="F34" s="505">
        <f t="shared" si="12"/>
        <v>20489.399999999998</v>
      </c>
      <c r="G34" s="505">
        <f t="shared" si="12"/>
        <v>20986.600000000002</v>
      </c>
      <c r="H34" s="505">
        <f t="shared" si="12"/>
        <v>23299.699999999997</v>
      </c>
      <c r="I34" s="505">
        <f t="shared" si="12"/>
        <v>24013.599999999999</v>
      </c>
      <c r="J34" s="505">
        <f t="shared" si="12"/>
        <v>25927</v>
      </c>
      <c r="K34" s="505">
        <f t="shared" si="12"/>
        <v>30985.1</v>
      </c>
      <c r="L34" s="505">
        <f t="shared" si="12"/>
        <v>33811</v>
      </c>
      <c r="M34" s="505"/>
      <c r="N34" s="505"/>
      <c r="O34" s="505"/>
      <c r="P34" s="505"/>
      <c r="Q34" s="505"/>
      <c r="R34" s="505">
        <f t="shared" si="2"/>
        <v>220463.9</v>
      </c>
    </row>
    <row r="35" spans="1:22" ht="18" customHeight="1" x14ac:dyDescent="0.2">
      <c r="A35" s="743"/>
      <c r="B35" s="743"/>
      <c r="C35" s="512" t="s">
        <v>34</v>
      </c>
      <c r="D35" s="505"/>
      <c r="E35" s="511">
        <v>0</v>
      </c>
      <c r="F35" s="505">
        <v>0</v>
      </c>
      <c r="G35" s="505">
        <f>SUM(D35:F35)</f>
        <v>0</v>
      </c>
      <c r="H35" s="505">
        <f>SUM(D35:F35)</f>
        <v>0</v>
      </c>
      <c r="I35" s="511">
        <f>SUM(E35:G35)</f>
        <v>0</v>
      </c>
      <c r="J35" s="511"/>
      <c r="K35" s="505">
        <f>J35</f>
        <v>0</v>
      </c>
      <c r="L35" s="505">
        <f t="shared" si="1"/>
        <v>0</v>
      </c>
      <c r="M35" s="505">
        <v>0</v>
      </c>
      <c r="N35" s="505">
        <v>0</v>
      </c>
      <c r="O35" s="505">
        <v>0</v>
      </c>
      <c r="P35" s="505">
        <v>0</v>
      </c>
      <c r="Q35" s="505">
        <v>0</v>
      </c>
      <c r="R35" s="505">
        <f t="shared" si="2"/>
        <v>0</v>
      </c>
      <c r="S35" s="422"/>
      <c r="V35" s="428"/>
    </row>
    <row r="36" spans="1:22" ht="17.25" customHeight="1" x14ac:dyDescent="0.2">
      <c r="A36" s="743"/>
      <c r="B36" s="743"/>
      <c r="C36" s="512" t="s">
        <v>35</v>
      </c>
      <c r="D36" s="505">
        <v>19.3</v>
      </c>
      <c r="E36" s="511">
        <v>2662.3</v>
      </c>
      <c r="F36" s="505">
        <v>0</v>
      </c>
      <c r="G36" s="505">
        <v>710.5</v>
      </c>
      <c r="H36" s="505">
        <v>2266</v>
      </c>
      <c r="I36" s="505">
        <v>2112.4</v>
      </c>
      <c r="J36" s="505">
        <v>2102</v>
      </c>
      <c r="K36" s="505">
        <v>0</v>
      </c>
      <c r="L36" s="505">
        <v>303.89999999999998</v>
      </c>
      <c r="M36" s="505">
        <v>397.7</v>
      </c>
      <c r="N36" s="505">
        <v>0</v>
      </c>
      <c r="O36" s="505">
        <v>0</v>
      </c>
      <c r="P36" s="505">
        <v>0</v>
      </c>
      <c r="Q36" s="505">
        <v>0</v>
      </c>
      <c r="R36" s="505">
        <f t="shared" si="2"/>
        <v>10574.1</v>
      </c>
    </row>
    <row r="37" spans="1:22" ht="15.75" x14ac:dyDescent="0.2">
      <c r="A37" s="743"/>
      <c r="B37" s="743"/>
      <c r="C37" s="512" t="s">
        <v>36</v>
      </c>
      <c r="D37" s="505">
        <v>427.7</v>
      </c>
      <c r="E37" s="511">
        <v>852.6</v>
      </c>
      <c r="F37" s="505">
        <v>747.1</v>
      </c>
      <c r="G37" s="505">
        <v>888</v>
      </c>
      <c r="H37" s="505">
        <f>385.9+373.2</f>
        <v>759.09999999999991</v>
      </c>
      <c r="I37" s="505">
        <v>686.3</v>
      </c>
      <c r="J37" s="505">
        <v>519.4</v>
      </c>
      <c r="K37" s="505">
        <v>760.9</v>
      </c>
      <c r="L37" s="505">
        <v>1091.8</v>
      </c>
      <c r="M37" s="505">
        <v>947.1</v>
      </c>
      <c r="N37" s="505">
        <v>969.8</v>
      </c>
      <c r="O37" s="505">
        <v>1286.3</v>
      </c>
      <c r="P37" s="505">
        <v>1286.3</v>
      </c>
      <c r="Q37" s="505">
        <v>1286.3</v>
      </c>
      <c r="R37" s="505">
        <f t="shared" si="2"/>
        <v>12508.699999999997</v>
      </c>
      <c r="T37" s="58">
        <v>838.1</v>
      </c>
    </row>
    <row r="38" spans="1:22" ht="33" customHeight="1" x14ac:dyDescent="0.2">
      <c r="A38" s="743"/>
      <c r="B38" s="743"/>
      <c r="C38" s="512" t="s">
        <v>37</v>
      </c>
      <c r="D38" s="505">
        <v>17748</v>
      </c>
      <c r="E38" s="511">
        <v>19241.599999999999</v>
      </c>
      <c r="F38" s="505">
        <v>19742.3</v>
      </c>
      <c r="G38" s="505">
        <v>19388.100000000002</v>
      </c>
      <c r="H38" s="505">
        <v>20274.599999999999</v>
      </c>
      <c r="I38" s="505">
        <v>21214.899999999998</v>
      </c>
      <c r="J38" s="505">
        <v>23305.599999999999</v>
      </c>
      <c r="K38" s="505">
        <v>30224.199999999997</v>
      </c>
      <c r="L38" s="505">
        <v>32415.3</v>
      </c>
      <c r="M38" s="505">
        <v>35189.4</v>
      </c>
      <c r="N38" s="505">
        <v>45146.6</v>
      </c>
      <c r="O38" s="505">
        <v>56616.5</v>
      </c>
      <c r="P38" s="505">
        <v>44391</v>
      </c>
      <c r="Q38" s="505">
        <v>44391</v>
      </c>
      <c r="R38" s="505">
        <f t="shared" si="2"/>
        <v>429289.1</v>
      </c>
    </row>
    <row r="39" spans="1:22" ht="15.75" x14ac:dyDescent="0.2">
      <c r="A39" s="743"/>
      <c r="B39" s="743"/>
      <c r="C39" s="512" t="s">
        <v>38</v>
      </c>
      <c r="D39" s="505">
        <v>0</v>
      </c>
      <c r="E39" s="511">
        <v>0</v>
      </c>
      <c r="F39" s="505">
        <v>0</v>
      </c>
      <c r="G39" s="505">
        <f>SUM(D39:F39)</f>
        <v>0</v>
      </c>
      <c r="H39" s="505">
        <f>SUM(D39:F39)</f>
        <v>0</v>
      </c>
      <c r="I39" s="511">
        <f>SUM(E39:G39)</f>
        <v>0</v>
      </c>
      <c r="J39" s="511"/>
      <c r="K39" s="505">
        <f>J39</f>
        <v>0</v>
      </c>
      <c r="L39" s="505">
        <f t="shared" si="1"/>
        <v>0</v>
      </c>
      <c r="M39" s="505"/>
      <c r="N39" s="505"/>
      <c r="O39" s="505"/>
      <c r="P39" s="505"/>
      <c r="Q39" s="505"/>
      <c r="R39" s="505">
        <f t="shared" si="2"/>
        <v>0</v>
      </c>
    </row>
    <row r="40" spans="1:22" ht="15.75" customHeight="1" x14ac:dyDescent="0.2">
      <c r="A40" s="743" t="s">
        <v>133</v>
      </c>
      <c r="B40" s="743" t="s">
        <v>468</v>
      </c>
      <c r="C40" s="329" t="s">
        <v>32</v>
      </c>
      <c r="D40" s="14">
        <f>D42+D43+D44+D45</f>
        <v>1692.5</v>
      </c>
      <c r="E40" s="432">
        <f>E42+E43+E44+E45</f>
        <v>2465.6999999999998</v>
      </c>
      <c r="F40" s="14">
        <f>F42+F43+F44+F45</f>
        <v>2506.9999999999995</v>
      </c>
      <c r="G40" s="14">
        <f>SUM(G42:G45)</f>
        <v>9893.5</v>
      </c>
      <c r="H40" s="14">
        <f>H42+H43+H44+H45</f>
        <v>27125.599999999999</v>
      </c>
      <c r="I40" s="505">
        <f>I42+I43+I44+I45</f>
        <v>30718.300000000003</v>
      </c>
      <c r="J40" s="505">
        <f>J42+J43+J44+J45</f>
        <v>28984.799999999996</v>
      </c>
      <c r="K40" s="14">
        <f t="shared" ref="K40:Q40" si="13">K43+K45</f>
        <v>31722.406000000003</v>
      </c>
      <c r="L40" s="14">
        <f t="shared" si="13"/>
        <v>36153.200000000004</v>
      </c>
      <c r="M40" s="14">
        <f t="shared" si="13"/>
        <v>42892.3</v>
      </c>
      <c r="N40" s="14">
        <f t="shared" si="13"/>
        <v>62165.069999999992</v>
      </c>
      <c r="O40" s="14">
        <f t="shared" si="13"/>
        <v>70691.599999999991</v>
      </c>
      <c r="P40" s="14">
        <f>P43+P45</f>
        <v>66082.100000000006</v>
      </c>
      <c r="Q40" s="14">
        <f t="shared" si="13"/>
        <v>66082.100000000006</v>
      </c>
      <c r="R40" s="505">
        <f t="shared" si="2"/>
        <v>479176.17599999998</v>
      </c>
      <c r="S40" s="427">
        <f>H40-H44</f>
        <v>27125.599999999999</v>
      </c>
      <c r="T40" s="441">
        <v>27125.599999999995</v>
      </c>
    </row>
    <row r="41" spans="1:22" ht="15.75" x14ac:dyDescent="0.2">
      <c r="A41" s="743"/>
      <c r="B41" s="743"/>
      <c r="C41" s="329" t="s">
        <v>33</v>
      </c>
      <c r="D41" s="14"/>
      <c r="E41" s="432"/>
      <c r="F41" s="14"/>
      <c r="G41" s="14"/>
      <c r="H41" s="14"/>
      <c r="I41" s="505"/>
      <c r="J41" s="505"/>
      <c r="K41" s="14">
        <f>J41</f>
        <v>0</v>
      </c>
      <c r="L41" s="14">
        <f t="shared" si="1"/>
        <v>0</v>
      </c>
      <c r="M41" s="14"/>
      <c r="N41" s="14"/>
      <c r="O41" s="14"/>
      <c r="P41" s="14"/>
      <c r="Q41" s="14"/>
      <c r="R41" s="505">
        <f t="shared" si="2"/>
        <v>0</v>
      </c>
      <c r="T41" s="428">
        <f>S40-T40</f>
        <v>0</v>
      </c>
      <c r="V41" s="428"/>
    </row>
    <row r="42" spans="1:22" ht="15.75" x14ac:dyDescent="0.2">
      <c r="A42" s="743"/>
      <c r="B42" s="743"/>
      <c r="C42" s="423" t="s">
        <v>34</v>
      </c>
      <c r="D42" s="14">
        <v>0</v>
      </c>
      <c r="E42" s="432">
        <v>0</v>
      </c>
      <c r="F42" s="14">
        <v>0</v>
      </c>
      <c r="G42" s="14"/>
      <c r="H42" s="14"/>
      <c r="I42" s="505"/>
      <c r="J42" s="505"/>
      <c r="K42" s="14">
        <f>J42</f>
        <v>0</v>
      </c>
      <c r="L42" s="14">
        <f t="shared" si="1"/>
        <v>0</v>
      </c>
      <c r="M42" s="14"/>
      <c r="N42" s="14"/>
      <c r="O42" s="14"/>
      <c r="P42" s="14"/>
      <c r="Q42" s="14"/>
      <c r="R42" s="505">
        <f t="shared" si="2"/>
        <v>0</v>
      </c>
      <c r="T42" s="386"/>
      <c r="U42" s="386"/>
      <c r="V42" s="386"/>
    </row>
    <row r="43" spans="1:22" ht="15.75" x14ac:dyDescent="0.2">
      <c r="A43" s="743"/>
      <c r="B43" s="743"/>
      <c r="C43" s="423" t="s">
        <v>35</v>
      </c>
      <c r="D43" s="328">
        <v>8.3000000000000007</v>
      </c>
      <c r="E43" s="432">
        <v>99.7</v>
      </c>
      <c r="F43" s="328">
        <v>100.2</v>
      </c>
      <c r="G43" s="328">
        <v>111.1</v>
      </c>
      <c r="H43" s="328">
        <v>707.6</v>
      </c>
      <c r="I43" s="517">
        <v>324.70000000000005</v>
      </c>
      <c r="J43" s="517">
        <v>2244.7999999999997</v>
      </c>
      <c r="K43" s="328">
        <v>136.70000000000002</v>
      </c>
      <c r="L43" s="328">
        <v>1410.1999999999998</v>
      </c>
      <c r="M43" s="328">
        <v>167.00000000000003</v>
      </c>
      <c r="N43" s="328">
        <v>390.8</v>
      </c>
      <c r="O43" s="328">
        <v>603.5</v>
      </c>
      <c r="P43" s="328">
        <v>201.5</v>
      </c>
      <c r="Q43" s="328">
        <v>201.5</v>
      </c>
      <c r="R43" s="505">
        <f t="shared" si="2"/>
        <v>6707.5999999999995</v>
      </c>
    </row>
    <row r="44" spans="1:22" ht="15.75" x14ac:dyDescent="0.2">
      <c r="A44" s="743"/>
      <c r="B44" s="743"/>
      <c r="C44" s="423" t="s">
        <v>36</v>
      </c>
      <c r="D44" s="14">
        <v>0</v>
      </c>
      <c r="E44" s="432">
        <v>0</v>
      </c>
      <c r="F44" s="14">
        <v>0</v>
      </c>
      <c r="G44" s="14"/>
      <c r="H44" s="14"/>
      <c r="I44" s="505"/>
      <c r="J44" s="505"/>
      <c r="K44" s="14">
        <f>J44</f>
        <v>0</v>
      </c>
      <c r="L44" s="14">
        <f t="shared" si="1"/>
        <v>0</v>
      </c>
      <c r="M44" s="14"/>
      <c r="N44" s="14"/>
      <c r="O44" s="14"/>
      <c r="P44" s="14"/>
      <c r="Q44" s="14"/>
      <c r="R44" s="505">
        <f t="shared" si="2"/>
        <v>0</v>
      </c>
    </row>
    <row r="45" spans="1:22" ht="33.75" customHeight="1" x14ac:dyDescent="0.2">
      <c r="A45" s="743"/>
      <c r="B45" s="743"/>
      <c r="C45" s="423" t="s">
        <v>37</v>
      </c>
      <c r="D45" s="14">
        <v>1684.2</v>
      </c>
      <c r="E45" s="432">
        <v>2366</v>
      </c>
      <c r="F45" s="14">
        <v>2406.7999999999997</v>
      </c>
      <c r="G45" s="14">
        <v>9782.4</v>
      </c>
      <c r="H45" s="14">
        <v>26418</v>
      </c>
      <c r="I45" s="505">
        <v>30393.600000000002</v>
      </c>
      <c r="J45" s="505">
        <v>26739.999999999996</v>
      </c>
      <c r="K45" s="14">
        <v>31585.706000000002</v>
      </c>
      <c r="L45" s="14">
        <v>34743.000000000007</v>
      </c>
      <c r="M45" s="14">
        <v>42725.3</v>
      </c>
      <c r="N45" s="14">
        <v>61774.26999999999</v>
      </c>
      <c r="O45" s="14">
        <v>70088.099999999991</v>
      </c>
      <c r="P45" s="14">
        <v>65880.600000000006</v>
      </c>
      <c r="Q45" s="14">
        <v>65880.600000000006</v>
      </c>
      <c r="R45" s="505">
        <f t="shared" si="2"/>
        <v>472468.57599999988</v>
      </c>
    </row>
    <row r="46" spans="1:22" ht="15.75" x14ac:dyDescent="0.2">
      <c r="A46" s="741"/>
      <c r="B46" s="741"/>
      <c r="C46" s="433" t="s">
        <v>38</v>
      </c>
      <c r="D46" s="48">
        <v>0</v>
      </c>
      <c r="E46" s="451">
        <v>0</v>
      </c>
      <c r="F46" s="14">
        <v>0</v>
      </c>
      <c r="G46" s="14">
        <v>0</v>
      </c>
      <c r="H46" s="14">
        <v>0</v>
      </c>
      <c r="I46" s="505">
        <v>0</v>
      </c>
      <c r="J46" s="505"/>
      <c r="K46" s="14">
        <f t="shared" ref="K46:K53" si="14">J46</f>
        <v>0</v>
      </c>
      <c r="L46" s="14">
        <f t="shared" si="1"/>
        <v>0</v>
      </c>
      <c r="M46" s="14">
        <f t="shared" ref="M46:M52" si="15">L46</f>
        <v>0</v>
      </c>
      <c r="N46" s="14">
        <f t="shared" ref="N46:O52" si="16">M46</f>
        <v>0</v>
      </c>
      <c r="O46" s="14">
        <f t="shared" si="16"/>
        <v>0</v>
      </c>
      <c r="P46" s="14">
        <f t="shared" ref="P46:Q52" si="17">N46</f>
        <v>0</v>
      </c>
      <c r="Q46" s="14">
        <f t="shared" si="17"/>
        <v>0</v>
      </c>
      <c r="R46" s="505">
        <f t="shared" si="2"/>
        <v>0</v>
      </c>
      <c r="T46" s="386"/>
      <c r="U46" s="386"/>
      <c r="V46" s="386"/>
    </row>
    <row r="47" spans="1:22" ht="15.75" x14ac:dyDescent="0.2">
      <c r="A47" s="745" t="s">
        <v>150</v>
      </c>
      <c r="B47" s="745" t="s">
        <v>151</v>
      </c>
      <c r="C47" s="71" t="s">
        <v>32</v>
      </c>
      <c r="D47" s="118">
        <v>0</v>
      </c>
      <c r="E47" s="452">
        <v>38.9</v>
      </c>
      <c r="F47" s="14">
        <v>0</v>
      </c>
      <c r="G47" s="14"/>
      <c r="H47" s="14"/>
      <c r="I47" s="505"/>
      <c r="J47" s="505"/>
      <c r="K47" s="505">
        <f t="shared" si="14"/>
        <v>0</v>
      </c>
      <c r="L47" s="505">
        <f t="shared" si="1"/>
        <v>0</v>
      </c>
      <c r="M47" s="505">
        <f t="shared" si="15"/>
        <v>0</v>
      </c>
      <c r="N47" s="505">
        <f t="shared" si="16"/>
        <v>0</v>
      </c>
      <c r="O47" s="505">
        <f t="shared" si="16"/>
        <v>0</v>
      </c>
      <c r="P47" s="505">
        <f t="shared" si="17"/>
        <v>0</v>
      </c>
      <c r="Q47" s="505">
        <f t="shared" si="17"/>
        <v>0</v>
      </c>
      <c r="R47" s="505">
        <f t="shared" si="2"/>
        <v>38.9</v>
      </c>
      <c r="T47" s="386"/>
      <c r="U47" s="386"/>
      <c r="V47" s="386"/>
    </row>
    <row r="48" spans="1:22" ht="15.75" x14ac:dyDescent="0.2">
      <c r="A48" s="745"/>
      <c r="B48" s="745"/>
      <c r="C48" s="71" t="s">
        <v>33</v>
      </c>
      <c r="D48" s="118"/>
      <c r="E48" s="452"/>
      <c r="F48" s="14"/>
      <c r="G48" s="14">
        <f t="shared" ref="G48:I51" si="18">G63+G71+G86+G79</f>
        <v>0</v>
      </c>
      <c r="H48" s="14">
        <f>H63+H71+H86+H79</f>
        <v>0</v>
      </c>
      <c r="I48" s="505">
        <f t="shared" si="18"/>
        <v>0</v>
      </c>
      <c r="J48" s="505"/>
      <c r="K48" s="505">
        <f t="shared" si="14"/>
        <v>0</v>
      </c>
      <c r="L48" s="505">
        <f t="shared" si="1"/>
        <v>0</v>
      </c>
      <c r="M48" s="505">
        <f t="shared" si="15"/>
        <v>0</v>
      </c>
      <c r="N48" s="505">
        <f t="shared" si="16"/>
        <v>0</v>
      </c>
      <c r="O48" s="505">
        <f t="shared" si="16"/>
        <v>0</v>
      </c>
      <c r="P48" s="505">
        <f t="shared" si="17"/>
        <v>0</v>
      </c>
      <c r="Q48" s="505">
        <f t="shared" si="17"/>
        <v>0</v>
      </c>
      <c r="R48" s="505">
        <f t="shared" si="2"/>
        <v>0</v>
      </c>
      <c r="T48" s="386"/>
      <c r="U48" s="386"/>
      <c r="V48" s="386"/>
    </row>
    <row r="49" spans="1:22" ht="15.75" x14ac:dyDescent="0.2">
      <c r="A49" s="745"/>
      <c r="B49" s="745"/>
      <c r="C49" s="423" t="s">
        <v>34</v>
      </c>
      <c r="D49" s="118">
        <v>0</v>
      </c>
      <c r="E49" s="452">
        <v>0</v>
      </c>
      <c r="F49" s="14">
        <v>0</v>
      </c>
      <c r="G49" s="14">
        <f t="shared" si="18"/>
        <v>0</v>
      </c>
      <c r="H49" s="14">
        <f>H64+H72+H87+H80</f>
        <v>0</v>
      </c>
      <c r="I49" s="505">
        <f t="shared" si="18"/>
        <v>0</v>
      </c>
      <c r="J49" s="505"/>
      <c r="K49" s="505">
        <f t="shared" si="14"/>
        <v>0</v>
      </c>
      <c r="L49" s="505">
        <f t="shared" si="1"/>
        <v>0</v>
      </c>
      <c r="M49" s="505">
        <f t="shared" si="15"/>
        <v>0</v>
      </c>
      <c r="N49" s="505">
        <f t="shared" si="16"/>
        <v>0</v>
      </c>
      <c r="O49" s="505">
        <f t="shared" si="16"/>
        <v>0</v>
      </c>
      <c r="P49" s="505">
        <f t="shared" si="17"/>
        <v>0</v>
      </c>
      <c r="Q49" s="505">
        <f t="shared" si="17"/>
        <v>0</v>
      </c>
      <c r="R49" s="505">
        <f t="shared" si="2"/>
        <v>0</v>
      </c>
      <c r="T49" s="386"/>
      <c r="U49" s="386"/>
      <c r="V49" s="386"/>
    </row>
    <row r="50" spans="1:22" ht="15.75" x14ac:dyDescent="0.2">
      <c r="A50" s="745"/>
      <c r="B50" s="745"/>
      <c r="C50" s="423" t="s">
        <v>35</v>
      </c>
      <c r="D50" s="118">
        <v>0</v>
      </c>
      <c r="E50" s="452">
        <v>35</v>
      </c>
      <c r="F50" s="14">
        <v>0</v>
      </c>
      <c r="G50" s="14">
        <f t="shared" si="18"/>
        <v>0</v>
      </c>
      <c r="H50" s="14">
        <f>H65+H73+H88+H81</f>
        <v>0</v>
      </c>
      <c r="I50" s="505">
        <f t="shared" si="18"/>
        <v>0</v>
      </c>
      <c r="J50" s="505"/>
      <c r="K50" s="505">
        <f t="shared" si="14"/>
        <v>0</v>
      </c>
      <c r="L50" s="505">
        <f t="shared" si="1"/>
        <v>0</v>
      </c>
      <c r="M50" s="505">
        <f t="shared" si="15"/>
        <v>0</v>
      </c>
      <c r="N50" s="505">
        <f t="shared" si="16"/>
        <v>0</v>
      </c>
      <c r="O50" s="505">
        <f t="shared" si="16"/>
        <v>0</v>
      </c>
      <c r="P50" s="505">
        <f t="shared" si="17"/>
        <v>0</v>
      </c>
      <c r="Q50" s="505">
        <f t="shared" si="17"/>
        <v>0</v>
      </c>
      <c r="R50" s="505">
        <f t="shared" si="2"/>
        <v>35</v>
      </c>
      <c r="T50" s="386"/>
      <c r="U50" s="386"/>
      <c r="V50" s="386"/>
    </row>
    <row r="51" spans="1:22" ht="15.75" x14ac:dyDescent="0.2">
      <c r="A51" s="745"/>
      <c r="B51" s="745"/>
      <c r="C51" s="423" t="s">
        <v>36</v>
      </c>
      <c r="D51" s="118">
        <v>0</v>
      </c>
      <c r="E51" s="452">
        <v>0</v>
      </c>
      <c r="F51" s="14">
        <v>0</v>
      </c>
      <c r="G51" s="14">
        <f t="shared" si="18"/>
        <v>0</v>
      </c>
      <c r="H51" s="14">
        <f>H66+H74+H89+H82</f>
        <v>0</v>
      </c>
      <c r="I51" s="505">
        <f t="shared" si="18"/>
        <v>0</v>
      </c>
      <c r="J51" s="505"/>
      <c r="K51" s="505">
        <f t="shared" si="14"/>
        <v>0</v>
      </c>
      <c r="L51" s="505">
        <f t="shared" si="1"/>
        <v>0</v>
      </c>
      <c r="M51" s="505">
        <f t="shared" si="15"/>
        <v>0</v>
      </c>
      <c r="N51" s="505">
        <f t="shared" si="16"/>
        <v>0</v>
      </c>
      <c r="O51" s="505">
        <f t="shared" si="16"/>
        <v>0</v>
      </c>
      <c r="P51" s="505">
        <f t="shared" si="17"/>
        <v>0</v>
      </c>
      <c r="Q51" s="505">
        <f t="shared" si="17"/>
        <v>0</v>
      </c>
      <c r="R51" s="505">
        <f t="shared" si="2"/>
        <v>0</v>
      </c>
      <c r="T51" s="386"/>
      <c r="U51" s="386"/>
      <c r="V51" s="386"/>
    </row>
    <row r="52" spans="1:22" ht="31.5" x14ac:dyDescent="0.2">
      <c r="A52" s="745"/>
      <c r="B52" s="745"/>
      <c r="C52" s="423" t="s">
        <v>37</v>
      </c>
      <c r="D52" s="118">
        <v>0</v>
      </c>
      <c r="E52" s="452">
        <v>3.9</v>
      </c>
      <c r="F52" s="14"/>
      <c r="G52" s="14">
        <f>G67+G75+G90</f>
        <v>0</v>
      </c>
      <c r="H52" s="14">
        <f>H67+H75+H90</f>
        <v>0</v>
      </c>
      <c r="I52" s="505">
        <f>I67+I75+I90</f>
        <v>0</v>
      </c>
      <c r="J52" s="505"/>
      <c r="K52" s="505">
        <f t="shared" si="14"/>
        <v>0</v>
      </c>
      <c r="L52" s="505">
        <f t="shared" si="1"/>
        <v>0</v>
      </c>
      <c r="M52" s="505">
        <f t="shared" si="15"/>
        <v>0</v>
      </c>
      <c r="N52" s="505">
        <f t="shared" si="16"/>
        <v>0</v>
      </c>
      <c r="O52" s="505">
        <f t="shared" si="16"/>
        <v>0</v>
      </c>
      <c r="P52" s="505">
        <f t="shared" si="17"/>
        <v>0</v>
      </c>
      <c r="Q52" s="505">
        <f t="shared" si="17"/>
        <v>0</v>
      </c>
      <c r="R52" s="505">
        <f t="shared" si="2"/>
        <v>3.9</v>
      </c>
      <c r="T52" s="386"/>
      <c r="U52" s="386"/>
      <c r="V52" s="386"/>
    </row>
    <row r="53" spans="1:22" ht="15.75" x14ac:dyDescent="0.2">
      <c r="A53" s="745"/>
      <c r="B53" s="745"/>
      <c r="C53" s="433" t="s">
        <v>38</v>
      </c>
      <c r="D53" s="118">
        <v>0</v>
      </c>
      <c r="E53" s="452">
        <v>0</v>
      </c>
      <c r="F53" s="14">
        <v>0</v>
      </c>
      <c r="G53" s="14">
        <f>G63+G64+G65+G66+G67</f>
        <v>0</v>
      </c>
      <c r="H53" s="14">
        <f>H63+H64+H65+H66+H67</f>
        <v>0</v>
      </c>
      <c r="I53" s="505">
        <f>I63+I64+I65+I66+I67</f>
        <v>0</v>
      </c>
      <c r="J53" s="505"/>
      <c r="K53" s="505">
        <f t="shared" si="14"/>
        <v>0</v>
      </c>
      <c r="L53" s="505">
        <f t="shared" si="1"/>
        <v>0</v>
      </c>
      <c r="M53" s="505"/>
      <c r="N53" s="505"/>
      <c r="O53" s="505"/>
      <c r="P53" s="505"/>
      <c r="Q53" s="505"/>
      <c r="R53" s="505">
        <f t="shared" si="2"/>
        <v>0</v>
      </c>
      <c r="T53" s="386"/>
      <c r="U53" s="386"/>
      <c r="V53" s="386"/>
    </row>
    <row r="54" spans="1:22" ht="15.75" x14ac:dyDescent="0.2">
      <c r="A54" s="745" t="s">
        <v>605</v>
      </c>
      <c r="B54" s="745" t="s">
        <v>607</v>
      </c>
      <c r="C54" s="71" t="s">
        <v>32</v>
      </c>
      <c r="D54" s="118">
        <v>0</v>
      </c>
      <c r="E54" s="452">
        <v>0</v>
      </c>
      <c r="F54" s="14">
        <v>0</v>
      </c>
      <c r="G54" s="14"/>
      <c r="H54" s="14"/>
      <c r="I54" s="505"/>
      <c r="J54" s="505"/>
      <c r="K54" s="505">
        <f t="shared" ref="K54:K60" si="19">J54</f>
        <v>0</v>
      </c>
      <c r="L54" s="505">
        <f t="shared" ref="L54:Q54" si="20">L56+L57+L58+L59+L60</f>
        <v>40816.300000000003</v>
      </c>
      <c r="M54" s="505">
        <f t="shared" si="20"/>
        <v>0</v>
      </c>
      <c r="N54" s="505">
        <f t="shared" si="20"/>
        <v>4254.1000000000004</v>
      </c>
      <c r="O54" s="505">
        <f t="shared" si="20"/>
        <v>58484.9</v>
      </c>
      <c r="P54" s="505">
        <f t="shared" si="20"/>
        <v>0</v>
      </c>
      <c r="Q54" s="505">
        <f t="shared" si="20"/>
        <v>0</v>
      </c>
      <c r="R54" s="505">
        <f t="shared" si="2"/>
        <v>103555.3</v>
      </c>
      <c r="T54" s="386"/>
      <c r="U54" s="386"/>
      <c r="V54" s="386"/>
    </row>
    <row r="55" spans="1:22" ht="15.75" x14ac:dyDescent="0.2">
      <c r="A55" s="745"/>
      <c r="B55" s="745"/>
      <c r="C55" s="71" t="s">
        <v>33</v>
      </c>
      <c r="D55" s="118"/>
      <c r="E55" s="452"/>
      <c r="F55" s="14"/>
      <c r="G55" s="14">
        <f t="shared" ref="G55:I58" si="21">G70+G78+G93+G86</f>
        <v>0</v>
      </c>
      <c r="H55" s="14">
        <f t="shared" si="21"/>
        <v>0</v>
      </c>
      <c r="I55" s="505">
        <f t="shared" si="21"/>
        <v>0</v>
      </c>
      <c r="J55" s="505"/>
      <c r="K55" s="505">
        <f t="shared" si="19"/>
        <v>0</v>
      </c>
      <c r="L55" s="505">
        <f t="shared" ref="L55:L60" si="22">K55</f>
        <v>0</v>
      </c>
      <c r="M55" s="505">
        <f t="shared" ref="M55:M60" si="23">L55</f>
        <v>0</v>
      </c>
      <c r="N55" s="505">
        <f t="shared" ref="N55:O60" si="24">M55</f>
        <v>0</v>
      </c>
      <c r="O55" s="505">
        <f t="shared" si="24"/>
        <v>0</v>
      </c>
      <c r="P55" s="505">
        <f>N55</f>
        <v>0</v>
      </c>
      <c r="Q55" s="505">
        <f>O55</f>
        <v>0</v>
      </c>
      <c r="R55" s="505">
        <f t="shared" si="2"/>
        <v>0</v>
      </c>
      <c r="T55" s="386"/>
      <c r="U55" s="386"/>
      <c r="V55" s="386"/>
    </row>
    <row r="56" spans="1:22" ht="15.75" x14ac:dyDescent="0.2">
      <c r="A56" s="745"/>
      <c r="B56" s="745"/>
      <c r="C56" s="423" t="s">
        <v>34</v>
      </c>
      <c r="D56" s="118">
        <v>0</v>
      </c>
      <c r="E56" s="452">
        <v>0</v>
      </c>
      <c r="F56" s="14">
        <v>0</v>
      </c>
      <c r="G56" s="14">
        <f t="shared" si="21"/>
        <v>0</v>
      </c>
      <c r="H56" s="14">
        <f t="shared" si="21"/>
        <v>0</v>
      </c>
      <c r="I56" s="505">
        <f t="shared" si="21"/>
        <v>0</v>
      </c>
      <c r="J56" s="505"/>
      <c r="K56" s="505">
        <f t="shared" si="19"/>
        <v>0</v>
      </c>
      <c r="L56" s="505">
        <f t="shared" si="22"/>
        <v>0</v>
      </c>
      <c r="M56" s="505">
        <f t="shared" si="23"/>
        <v>0</v>
      </c>
      <c r="N56" s="505">
        <f t="shared" si="24"/>
        <v>0</v>
      </c>
      <c r="O56" s="505">
        <v>0</v>
      </c>
      <c r="P56" s="505">
        <f>N56</f>
        <v>0</v>
      </c>
      <c r="Q56" s="505">
        <f>O56</f>
        <v>0</v>
      </c>
      <c r="R56" s="505">
        <f t="shared" si="2"/>
        <v>0</v>
      </c>
      <c r="T56" s="386"/>
      <c r="U56" s="386"/>
      <c r="V56" s="386"/>
    </row>
    <row r="57" spans="1:22" ht="15.75" x14ac:dyDescent="0.2">
      <c r="A57" s="745"/>
      <c r="B57" s="745"/>
      <c r="C57" s="423" t="s">
        <v>35</v>
      </c>
      <c r="D57" s="118">
        <v>0</v>
      </c>
      <c r="E57" s="452">
        <v>0</v>
      </c>
      <c r="F57" s="14">
        <v>0</v>
      </c>
      <c r="G57" s="14">
        <f t="shared" si="21"/>
        <v>0</v>
      </c>
      <c r="H57" s="14">
        <f t="shared" si="21"/>
        <v>0</v>
      </c>
      <c r="I57" s="505">
        <f t="shared" si="21"/>
        <v>0</v>
      </c>
      <c r="J57" s="505"/>
      <c r="K57" s="505">
        <f t="shared" si="19"/>
        <v>0</v>
      </c>
      <c r="L57" s="505">
        <v>40000</v>
      </c>
      <c r="M57" s="505">
        <v>0</v>
      </c>
      <c r="N57" s="505">
        <v>4095</v>
      </c>
      <c r="O57" s="505">
        <v>57900</v>
      </c>
      <c r="P57" s="505">
        <v>0</v>
      </c>
      <c r="Q57" s="505">
        <v>0</v>
      </c>
      <c r="R57" s="505">
        <f t="shared" si="2"/>
        <v>101995</v>
      </c>
      <c r="T57" s="386"/>
      <c r="U57" s="386"/>
      <c r="V57" s="386"/>
    </row>
    <row r="58" spans="1:22" ht="15.75" x14ac:dyDescent="0.2">
      <c r="A58" s="745"/>
      <c r="B58" s="745"/>
      <c r="C58" s="423" t="s">
        <v>36</v>
      </c>
      <c r="D58" s="118">
        <v>0</v>
      </c>
      <c r="E58" s="452">
        <v>0</v>
      </c>
      <c r="F58" s="14">
        <v>0</v>
      </c>
      <c r="G58" s="14">
        <f t="shared" si="21"/>
        <v>0</v>
      </c>
      <c r="H58" s="14">
        <f t="shared" si="21"/>
        <v>0</v>
      </c>
      <c r="I58" s="505">
        <f t="shared" si="21"/>
        <v>0</v>
      </c>
      <c r="J58" s="505"/>
      <c r="K58" s="505">
        <f t="shared" si="19"/>
        <v>0</v>
      </c>
      <c r="L58" s="505">
        <f t="shared" si="22"/>
        <v>0</v>
      </c>
      <c r="M58" s="505">
        <f t="shared" si="23"/>
        <v>0</v>
      </c>
      <c r="N58" s="505">
        <f t="shared" si="24"/>
        <v>0</v>
      </c>
      <c r="O58" s="505">
        <v>0</v>
      </c>
      <c r="P58" s="505">
        <f>N58</f>
        <v>0</v>
      </c>
      <c r="Q58" s="505">
        <f>O58</f>
        <v>0</v>
      </c>
      <c r="R58" s="505">
        <f t="shared" si="2"/>
        <v>0</v>
      </c>
      <c r="T58" s="386"/>
      <c r="U58" s="386"/>
      <c r="V58" s="386"/>
    </row>
    <row r="59" spans="1:22" ht="31.5" x14ac:dyDescent="0.2">
      <c r="A59" s="745"/>
      <c r="B59" s="745"/>
      <c r="C59" s="423" t="s">
        <v>37</v>
      </c>
      <c r="D59" s="118">
        <v>0</v>
      </c>
      <c r="E59" s="452">
        <v>0</v>
      </c>
      <c r="F59" s="14"/>
      <c r="G59" s="14">
        <f>G74+G82+G97</f>
        <v>0</v>
      </c>
      <c r="H59" s="14">
        <f>H74+H82+H97</f>
        <v>0</v>
      </c>
      <c r="I59" s="505">
        <f>I74+I82+I97</f>
        <v>0</v>
      </c>
      <c r="J59" s="505"/>
      <c r="K59" s="505">
        <f t="shared" si="19"/>
        <v>0</v>
      </c>
      <c r="L59" s="505">
        <v>816.3</v>
      </c>
      <c r="M59" s="505">
        <v>0</v>
      </c>
      <c r="N59" s="505">
        <v>159.1</v>
      </c>
      <c r="O59" s="505">
        <v>584.9</v>
      </c>
      <c r="P59" s="505">
        <v>0</v>
      </c>
      <c r="Q59" s="505">
        <v>0</v>
      </c>
      <c r="R59" s="505">
        <f t="shared" si="2"/>
        <v>1560.3</v>
      </c>
      <c r="T59" s="386"/>
      <c r="U59" s="386"/>
      <c r="V59" s="386"/>
    </row>
    <row r="60" spans="1:22" ht="15.75" x14ac:dyDescent="0.2">
      <c r="A60" s="745"/>
      <c r="B60" s="745"/>
      <c r="C60" s="662" t="s">
        <v>38</v>
      </c>
      <c r="D60" s="118">
        <v>0</v>
      </c>
      <c r="E60" s="452">
        <v>0</v>
      </c>
      <c r="F60" s="14">
        <v>0</v>
      </c>
      <c r="G60" s="14">
        <f>G70+G71+G72+G73+G74</f>
        <v>0</v>
      </c>
      <c r="H60" s="14">
        <f>H70+H71+H72+H73+H74</f>
        <v>0</v>
      </c>
      <c r="I60" s="505">
        <f>I70+I71+I72+I73+I74</f>
        <v>0</v>
      </c>
      <c r="J60" s="505"/>
      <c r="K60" s="505">
        <f t="shared" si="19"/>
        <v>0</v>
      </c>
      <c r="L60" s="505">
        <f t="shared" si="22"/>
        <v>0</v>
      </c>
      <c r="M60" s="505">
        <f t="shared" si="23"/>
        <v>0</v>
      </c>
      <c r="N60" s="505">
        <f t="shared" si="24"/>
        <v>0</v>
      </c>
      <c r="O60" s="505">
        <f t="shared" si="24"/>
        <v>0</v>
      </c>
      <c r="P60" s="505">
        <f>N60</f>
        <v>0</v>
      </c>
      <c r="Q60" s="505">
        <f>O60</f>
        <v>0</v>
      </c>
      <c r="R60" s="505">
        <f t="shared" si="2"/>
        <v>0</v>
      </c>
      <c r="T60" s="386"/>
      <c r="U60" s="386"/>
      <c r="V60" s="386"/>
    </row>
    <row r="61" spans="1:22" ht="15.75" x14ac:dyDescent="0.2">
      <c r="A61" s="331"/>
      <c r="B61" s="331"/>
      <c r="C61" s="434"/>
      <c r="D61" s="435"/>
      <c r="E61" s="435"/>
      <c r="F61" s="435"/>
      <c r="G61" s="435"/>
      <c r="H61" s="436"/>
      <c r="I61" s="518"/>
      <c r="J61" s="518"/>
      <c r="K61" s="518"/>
      <c r="L61" s="518"/>
      <c r="M61" s="518"/>
      <c r="N61" s="518"/>
      <c r="O61" s="518"/>
      <c r="P61" s="518"/>
      <c r="Q61" s="518"/>
      <c r="R61" s="518"/>
    </row>
    <row r="62" spans="1:22" x14ac:dyDescent="0.2">
      <c r="C62" s="437"/>
      <c r="D62" s="386"/>
      <c r="E62" s="386"/>
      <c r="H62" s="438"/>
    </row>
    <row r="63" spans="1:22" s="390" customFormat="1" ht="56.25" customHeight="1" x14ac:dyDescent="0.2">
      <c r="A63" s="746" t="s">
        <v>735</v>
      </c>
      <c r="B63" s="746"/>
      <c r="C63" s="747"/>
      <c r="D63" s="744"/>
      <c r="E63" s="744"/>
      <c r="F63" s="744"/>
      <c r="H63" s="439"/>
      <c r="I63" s="519"/>
      <c r="J63" s="739" t="s">
        <v>734</v>
      </c>
      <c r="K63" s="739"/>
      <c r="L63" s="739"/>
      <c r="M63" s="739"/>
      <c r="N63" s="739"/>
      <c r="O63" s="739"/>
      <c r="P63" s="739"/>
      <c r="Q63" s="739"/>
      <c r="R63" s="740"/>
      <c r="S63" s="440"/>
    </row>
    <row r="64" spans="1:22" x14ac:dyDescent="0.2">
      <c r="C64" s="437"/>
    </row>
    <row r="65" spans="3:3" x14ac:dyDescent="0.2">
      <c r="C65" s="437"/>
    </row>
    <row r="66" spans="3:3" x14ac:dyDescent="0.2">
      <c r="C66" s="437"/>
    </row>
    <row r="67" spans="3:3" x14ac:dyDescent="0.2">
      <c r="C67" s="437"/>
    </row>
  </sheetData>
  <sheetProtection selectLockedCells="1" selectUnlockedCells="1"/>
  <autoFilter ref="A5:R5"/>
  <mergeCells count="23">
    <mergeCell ref="B6:B12"/>
    <mergeCell ref="B23:B30"/>
    <mergeCell ref="A40:A46"/>
    <mergeCell ref="A23:A30"/>
    <mergeCell ref="B40:B46"/>
    <mergeCell ref="A32:A39"/>
    <mergeCell ref="A14:A21"/>
    <mergeCell ref="A6:A12"/>
    <mergeCell ref="D1:R1"/>
    <mergeCell ref="A2:R2"/>
    <mergeCell ref="A4:A5"/>
    <mergeCell ref="B4:B5"/>
    <mergeCell ref="C4:C5"/>
    <mergeCell ref="D4:R4"/>
    <mergeCell ref="J63:R63"/>
    <mergeCell ref="B14:B21"/>
    <mergeCell ref="B32:B39"/>
    <mergeCell ref="D63:F63"/>
    <mergeCell ref="A47:A53"/>
    <mergeCell ref="B47:B53"/>
    <mergeCell ref="A63:C63"/>
    <mergeCell ref="A54:A60"/>
    <mergeCell ref="B54:B60"/>
  </mergeCells>
  <pageMargins left="0.19685039370078741" right="0.19685039370078741" top="0.62992125984251968" bottom="0.35433070866141736" header="0.51181102362204722" footer="0.51181102362204722"/>
  <pageSetup paperSize="9" scale="55" firstPageNumber="0" fitToHeight="5" orientation="landscape" horizontalDpi="300" verticalDpi="300" r:id="rId1"/>
  <headerFooter alignWithMargins="0"/>
  <ignoredErrors>
    <ignoredError sqref="K34:L3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101"/>
  <sheetViews>
    <sheetView topLeftCell="A19" zoomScale="75" zoomScaleNormal="75" zoomScaleSheetLayoutView="70" workbookViewId="0">
      <selection activeCell="A37" sqref="A37:M37"/>
    </sheetView>
  </sheetViews>
  <sheetFormatPr defaultRowHeight="18.75" outlineLevelRow="1" x14ac:dyDescent="0.2"/>
  <cols>
    <col min="1" max="1" width="54.140625" style="148" customWidth="1"/>
    <col min="2" max="2" width="13.28515625" style="126" hidden="1" customWidth="1"/>
    <col min="3" max="3" width="11.140625" style="126" customWidth="1"/>
    <col min="4" max="4" width="10.7109375" style="126" customWidth="1"/>
    <col min="5" max="5" width="11.28515625" style="126" customWidth="1"/>
    <col min="6" max="8" width="10.28515625" style="126" customWidth="1"/>
    <col min="9" max="9" width="11.5703125" style="126" customWidth="1"/>
    <col min="10" max="10" width="11.140625" style="126" hidden="1" customWidth="1"/>
    <col min="11" max="11" width="10.7109375" style="126" customWidth="1"/>
    <col min="12" max="12" width="11" style="126" customWidth="1"/>
    <col min="13" max="13" width="10.140625" style="126" customWidth="1"/>
    <col min="14" max="14" width="12.7109375" style="196" customWidth="1"/>
    <col min="15" max="16" width="10.5703125" style="243" customWidth="1"/>
    <col min="17" max="17" width="10.85546875" style="243" customWidth="1"/>
    <col min="18" max="18" width="13.5703125" style="149" customWidth="1"/>
    <col min="19" max="19" width="12.7109375" style="149" hidden="1" customWidth="1"/>
    <col min="20" max="20" width="12.140625" style="149" hidden="1" customWidth="1"/>
    <col min="21" max="21" width="13.42578125" style="218" hidden="1" customWidth="1"/>
    <col min="22" max="22" width="12.42578125" style="149" hidden="1" customWidth="1"/>
    <col min="23" max="24" width="14" style="150" customWidth="1"/>
    <col min="25" max="25" width="10.42578125" style="150" customWidth="1"/>
    <col min="26" max="26" width="12.5703125" style="150" customWidth="1"/>
    <col min="27" max="27" width="12.140625" style="126" bestFit="1" customWidth="1"/>
    <col min="28" max="29" width="12.140625" style="126" customWidth="1"/>
    <col min="30" max="30" width="12.7109375" style="126" customWidth="1"/>
    <col min="31" max="31" width="12" style="126" customWidth="1"/>
    <col min="32" max="32" width="10.42578125" style="126" customWidth="1"/>
    <col min="33" max="16384" width="9.140625" style="126"/>
  </cols>
  <sheetData>
    <row r="1" spans="1:32" ht="96.75" customHeight="1" x14ac:dyDescent="0.2">
      <c r="E1" s="770" t="s">
        <v>136</v>
      </c>
      <c r="F1" s="770"/>
      <c r="G1" s="770"/>
      <c r="H1" s="770"/>
      <c r="I1" s="770"/>
      <c r="J1" s="771"/>
      <c r="K1" s="771"/>
      <c r="L1" s="771"/>
      <c r="M1" s="771"/>
    </row>
    <row r="2" spans="1:32" ht="39.75" customHeight="1" x14ac:dyDescent="0.2">
      <c r="A2" s="762" t="s">
        <v>40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S2" s="266"/>
      <c r="T2" s="267">
        <v>2017</v>
      </c>
      <c r="U2" s="268"/>
      <c r="V2" s="269"/>
      <c r="W2" s="749">
        <v>2018</v>
      </c>
      <c r="X2" s="749"/>
      <c r="Y2" s="749"/>
      <c r="Z2" s="749"/>
      <c r="AA2" s="749">
        <v>2019</v>
      </c>
      <c r="AB2" s="749"/>
      <c r="AC2" s="749"/>
      <c r="AD2" s="749">
        <v>2020</v>
      </c>
      <c r="AE2" s="749"/>
      <c r="AF2" s="749"/>
    </row>
    <row r="3" spans="1:32" x14ac:dyDescent="0.2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S3" s="750" t="s">
        <v>342</v>
      </c>
      <c r="T3" s="751"/>
      <c r="U3" s="270"/>
      <c r="V3" s="271" t="s">
        <v>369</v>
      </c>
      <c r="W3" s="238" t="s">
        <v>408</v>
      </c>
      <c r="X3" s="238" t="s">
        <v>398</v>
      </c>
      <c r="Y3" s="302" t="s">
        <v>382</v>
      </c>
      <c r="Z3" s="327" t="s">
        <v>370</v>
      </c>
      <c r="AA3" s="238" t="s">
        <v>367</v>
      </c>
      <c r="AB3" s="238" t="s">
        <v>369</v>
      </c>
      <c r="AC3" s="238" t="s">
        <v>370</v>
      </c>
      <c r="AD3" s="238" t="s">
        <v>367</v>
      </c>
      <c r="AE3" s="238" t="s">
        <v>369</v>
      </c>
      <c r="AF3" s="238" t="s">
        <v>370</v>
      </c>
    </row>
    <row r="4" spans="1:32" s="150" customFormat="1" ht="39" customHeight="1" x14ac:dyDescent="0.2">
      <c r="A4" s="772" t="s">
        <v>41</v>
      </c>
      <c r="B4" s="774" t="s">
        <v>176</v>
      </c>
      <c r="C4" s="775"/>
      <c r="D4" s="775"/>
      <c r="E4" s="775"/>
      <c r="F4" s="775"/>
      <c r="G4" s="775"/>
      <c r="H4" s="775"/>
      <c r="I4" s="775"/>
      <c r="J4" s="773" t="s">
        <v>42</v>
      </c>
      <c r="K4" s="773"/>
      <c r="L4" s="773"/>
      <c r="M4" s="773"/>
      <c r="N4" s="773"/>
      <c r="O4" s="773"/>
      <c r="P4" s="773"/>
      <c r="Q4" s="774"/>
      <c r="R4" s="168" t="s">
        <v>371</v>
      </c>
      <c r="S4" s="272" t="s">
        <v>339</v>
      </c>
      <c r="T4" s="273">
        <f>M9+M13+M17+M21+M54+M58+M62+M66+M72</f>
        <v>34468.200000000004</v>
      </c>
      <c r="U4" s="270">
        <f>V4-T4</f>
        <v>-0.20000000000436557</v>
      </c>
      <c r="V4" s="274">
        <v>34468</v>
      </c>
      <c r="W4" s="224">
        <f>N9+N13+N17+N21+N54+N58+N62+N66+N72</f>
        <v>31371.7</v>
      </c>
      <c r="X4" s="289">
        <v>31858.9</v>
      </c>
      <c r="Y4" s="303">
        <v>465.8</v>
      </c>
      <c r="Z4" s="236">
        <f>X4-W4-Y4</f>
        <v>21.400000000000716</v>
      </c>
      <c r="AA4" s="224">
        <f>O9+O13+O17+O21+O54+O58+O62+O66+O72</f>
        <v>25855</v>
      </c>
      <c r="AB4" s="289">
        <v>25855</v>
      </c>
      <c r="AC4" s="236">
        <f>AB4-AA4</f>
        <v>0</v>
      </c>
      <c r="AD4" s="224">
        <f>P9+P13+P17+P21+P54+P58+P62+Q66+Q72</f>
        <v>25855</v>
      </c>
      <c r="AE4" s="235">
        <v>25855</v>
      </c>
      <c r="AF4" s="236">
        <f>AE4-AD4</f>
        <v>0</v>
      </c>
    </row>
    <row r="5" spans="1:32" ht="37.5" x14ac:dyDescent="0.2">
      <c r="A5" s="772"/>
      <c r="B5" s="154" t="s">
        <v>7</v>
      </c>
      <c r="C5" s="155" t="s">
        <v>8</v>
      </c>
      <c r="D5" s="155" t="s">
        <v>9</v>
      </c>
      <c r="E5" s="155" t="s">
        <v>122</v>
      </c>
      <c r="F5" s="156" t="s">
        <v>160</v>
      </c>
      <c r="G5" s="157" t="s">
        <v>163</v>
      </c>
      <c r="H5" s="157" t="s">
        <v>164</v>
      </c>
      <c r="I5" s="157" t="s">
        <v>391</v>
      </c>
      <c r="J5" s="155" t="s">
        <v>7</v>
      </c>
      <c r="K5" s="155" t="s">
        <v>8</v>
      </c>
      <c r="L5" s="155" t="s">
        <v>9</v>
      </c>
      <c r="M5" s="155" t="s">
        <v>122</v>
      </c>
      <c r="N5" s="158" t="s">
        <v>160</v>
      </c>
      <c r="O5" s="244" t="s">
        <v>163</v>
      </c>
      <c r="P5" s="244" t="s">
        <v>164</v>
      </c>
      <c r="Q5" s="244" t="s">
        <v>391</v>
      </c>
      <c r="R5" s="168" t="s">
        <v>372</v>
      </c>
      <c r="S5" s="272" t="s">
        <v>340</v>
      </c>
      <c r="T5" s="273">
        <f>M29+M36+M85+M91+M68</f>
        <v>52302.799999999996</v>
      </c>
      <c r="U5" s="270">
        <f>V5-T5</f>
        <v>-6958.9999999999927</v>
      </c>
      <c r="V5" s="274">
        <v>45343.8</v>
      </c>
      <c r="W5" s="224">
        <f>N29+N36+N85+N91+N68</f>
        <v>33550.500000000007</v>
      </c>
      <c r="X5" s="289">
        <v>32947.800000000003</v>
      </c>
      <c r="Y5" s="303">
        <v>3701.8</v>
      </c>
      <c r="Z5" s="236">
        <f>X5-W5-Y5</f>
        <v>-4304.5000000000045</v>
      </c>
      <c r="AA5" s="224">
        <f>O29+O36+O85+O91+O68</f>
        <v>37410.400000000016</v>
      </c>
      <c r="AB5" s="289">
        <v>23935.9</v>
      </c>
      <c r="AC5" s="236">
        <f>AB5-AA5</f>
        <v>-13474.500000000015</v>
      </c>
      <c r="AD5" s="224">
        <f>P29+P36+Q85+Q91+Q68</f>
        <v>39497.700000000004</v>
      </c>
      <c r="AE5" s="235">
        <v>23935.9</v>
      </c>
      <c r="AF5" s="236">
        <f>AE5-AD5</f>
        <v>-15561.800000000003</v>
      </c>
    </row>
    <row r="6" spans="1:32" ht="42.75" customHeight="1" x14ac:dyDescent="0.2">
      <c r="A6" s="759" t="s">
        <v>198</v>
      </c>
      <c r="B6" s="760"/>
      <c r="C6" s="760"/>
      <c r="D6" s="760"/>
      <c r="E6" s="760"/>
      <c r="F6" s="760"/>
      <c r="G6" s="760"/>
      <c r="H6" s="760"/>
      <c r="I6" s="760"/>
      <c r="J6" s="760"/>
      <c r="K6" s="760"/>
      <c r="L6" s="760"/>
      <c r="M6" s="760"/>
      <c r="N6" s="760"/>
      <c r="O6" s="760"/>
      <c r="P6" s="760"/>
      <c r="Q6" s="761"/>
      <c r="R6" s="168" t="s">
        <v>373</v>
      </c>
      <c r="S6" s="272" t="s">
        <v>341</v>
      </c>
      <c r="T6" s="273">
        <f>M43+M87+M50</f>
        <v>20986.400000000001</v>
      </c>
      <c r="U6" s="270">
        <f>V6-T6</f>
        <v>-887.80000000000291</v>
      </c>
      <c r="V6" s="274">
        <v>20098.599999999999</v>
      </c>
      <c r="W6" s="224">
        <f>N43+N87+N50</f>
        <v>23209.699999999997</v>
      </c>
      <c r="X6" s="289">
        <v>22540.7</v>
      </c>
      <c r="Y6" s="303">
        <v>90</v>
      </c>
      <c r="Z6" s="236">
        <f>X6-W6-Y6</f>
        <v>-758.99999999999636</v>
      </c>
      <c r="AA6" s="224">
        <f>O43+O87+O50</f>
        <v>24013.599999999999</v>
      </c>
      <c r="AB6" s="289">
        <v>17918</v>
      </c>
      <c r="AC6" s="236">
        <f>AB6-AA6</f>
        <v>-6095.5999999999985</v>
      </c>
      <c r="AD6" s="224">
        <f>P43+Q87+P50</f>
        <v>25927</v>
      </c>
      <c r="AE6" s="235">
        <v>17918</v>
      </c>
      <c r="AF6" s="236">
        <f>AE6-AD6</f>
        <v>-8009</v>
      </c>
    </row>
    <row r="7" spans="1:32" ht="27" customHeight="1" x14ac:dyDescent="0.2">
      <c r="A7" s="777" t="s">
        <v>43</v>
      </c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9"/>
      <c r="R7" s="168" t="s">
        <v>374</v>
      </c>
      <c r="S7" s="275" t="s">
        <v>368</v>
      </c>
      <c r="T7" s="276">
        <v>9893.5</v>
      </c>
      <c r="U7" s="277"/>
      <c r="V7" s="278">
        <f>SUM(V4:V6)</f>
        <v>99910.399999999994</v>
      </c>
      <c r="W7" s="150">
        <v>27125.599999999995</v>
      </c>
      <c r="X7" s="150">
        <v>27125.7</v>
      </c>
      <c r="Z7" s="236">
        <f>X7-W7-Y7</f>
        <v>0.10000000000582077</v>
      </c>
      <c r="AA7" s="126">
        <v>30718.299999999996</v>
      </c>
      <c r="AB7" s="126">
        <v>20493.900000000001</v>
      </c>
      <c r="AC7" s="236">
        <f>AB7-AA7</f>
        <v>-10224.399999999994</v>
      </c>
      <c r="AD7" s="126">
        <v>28984.799999999996</v>
      </c>
      <c r="AE7" s="126">
        <v>20493.900000000001</v>
      </c>
      <c r="AF7" s="236">
        <f>AE7-AD7</f>
        <v>-8490.8999999999942</v>
      </c>
    </row>
    <row r="8" spans="1:32" x14ac:dyDescent="0.2">
      <c r="A8" s="172" t="s">
        <v>44</v>
      </c>
      <c r="B8" s="123"/>
      <c r="C8" s="123"/>
      <c r="D8" s="123"/>
      <c r="E8" s="123"/>
      <c r="F8" s="123"/>
      <c r="G8" s="123"/>
      <c r="H8" s="127"/>
      <c r="I8" s="127"/>
      <c r="J8" s="123"/>
      <c r="K8" s="123"/>
      <c r="L8" s="123"/>
      <c r="M8" s="123"/>
      <c r="N8" s="291"/>
      <c r="O8" s="245"/>
      <c r="P8" s="245"/>
      <c r="Q8" s="245"/>
      <c r="R8" s="149" t="s">
        <v>330</v>
      </c>
      <c r="S8" s="149" t="s">
        <v>331</v>
      </c>
      <c r="T8" s="201">
        <f>SUM(T4:T7)</f>
        <v>117650.9</v>
      </c>
      <c r="W8" s="218">
        <f>SUM(W4:W7)</f>
        <v>115257.5</v>
      </c>
      <c r="X8" s="218">
        <f>SUM(X4:X7)</f>
        <v>114473.1</v>
      </c>
      <c r="Y8" s="304">
        <f>SUM(Y4:Y7)</f>
        <v>4257.6000000000004</v>
      </c>
      <c r="Z8" s="236">
        <f>X8-W8-Y8</f>
        <v>-5041.9999999999945</v>
      </c>
      <c r="AA8" s="218">
        <f>SUM(AA4:AA7)</f>
        <v>117997.30000000002</v>
      </c>
      <c r="AB8" s="218">
        <f>SUM(AB4:AB7)</f>
        <v>88202.799999999988</v>
      </c>
      <c r="AC8" s="236">
        <f>AB8-AA8</f>
        <v>-29794.500000000029</v>
      </c>
      <c r="AD8" s="218">
        <f>SUM(AD4:AD7)</f>
        <v>120264.5</v>
      </c>
      <c r="AE8" s="218">
        <f>SUM(AE4:AE7)</f>
        <v>88202.799999999988</v>
      </c>
      <c r="AF8" s="236">
        <f>AE8-AD8</f>
        <v>-32061.700000000012</v>
      </c>
    </row>
    <row r="9" spans="1:32" ht="39.75" customHeight="1" x14ac:dyDescent="0.2">
      <c r="A9" s="161" t="s">
        <v>45</v>
      </c>
      <c r="B9" s="123">
        <v>22815</v>
      </c>
      <c r="C9" s="123">
        <v>22818</v>
      </c>
      <c r="D9" s="123">
        <v>23039</v>
      </c>
      <c r="E9" s="123">
        <v>23041</v>
      </c>
      <c r="F9" s="123">
        <v>23043</v>
      </c>
      <c r="G9" s="162">
        <v>23045</v>
      </c>
      <c r="H9" s="163">
        <v>23047</v>
      </c>
      <c r="I9" s="163">
        <v>23047</v>
      </c>
      <c r="J9" s="164">
        <v>20624.8</v>
      </c>
      <c r="K9" s="165">
        <v>19303</v>
      </c>
      <c r="L9" s="165">
        <f>19876.6+158.7</f>
        <v>20035.3</v>
      </c>
      <c r="M9" s="165">
        <v>19775.900000000001</v>
      </c>
      <c r="N9" s="292">
        <f>15871.5+1591.1-3669.9+1838.9+1352.2+1635.2</f>
        <v>18619</v>
      </c>
      <c r="O9" s="246">
        <f>15871.5-2277.1+87.4-579.5</f>
        <v>13102.3</v>
      </c>
      <c r="P9" s="247">
        <f>15871.5-2856.6+87.4</f>
        <v>13102.3</v>
      </c>
      <c r="Q9" s="247">
        <f>15871.5-2856.6+87.4</f>
        <v>13102.3</v>
      </c>
      <c r="R9" s="149">
        <v>14220.2</v>
      </c>
      <c r="S9" s="149">
        <v>4870.8</v>
      </c>
      <c r="T9" s="149">
        <f>SUM(R9:S9)</f>
        <v>19091</v>
      </c>
      <c r="U9" s="218">
        <f>T9-M9</f>
        <v>-684.90000000000146</v>
      </c>
      <c r="X9" s="233">
        <f>97192-Y8</f>
        <v>92934.399999999994</v>
      </c>
      <c r="Y9" s="301"/>
      <c r="Z9" s="236"/>
      <c r="AA9" s="234"/>
      <c r="AB9" s="234">
        <v>88202.8</v>
      </c>
      <c r="AC9" s="234"/>
      <c r="AD9" s="234"/>
      <c r="AE9" s="234">
        <v>88202.8</v>
      </c>
      <c r="AF9" s="234"/>
    </row>
    <row r="10" spans="1:32" ht="42.75" customHeight="1" x14ac:dyDescent="0.2">
      <c r="A10" s="759" t="s">
        <v>199</v>
      </c>
      <c r="B10" s="760"/>
      <c r="C10" s="760"/>
      <c r="D10" s="760"/>
      <c r="E10" s="760"/>
      <c r="F10" s="760"/>
      <c r="G10" s="760"/>
      <c r="H10" s="760"/>
      <c r="I10" s="760"/>
      <c r="J10" s="760"/>
      <c r="K10" s="760"/>
      <c r="L10" s="760"/>
      <c r="M10" s="760"/>
      <c r="N10" s="760"/>
      <c r="O10" s="760"/>
      <c r="P10" s="760"/>
      <c r="Q10" s="761"/>
      <c r="X10" s="237">
        <f>X8-X9</f>
        <v>21538.700000000012</v>
      </c>
      <c r="Y10" s="301"/>
      <c r="Z10" s="237"/>
      <c r="AA10" s="237">
        <f>AA8-AA9</f>
        <v>117997.30000000002</v>
      </c>
      <c r="AB10" s="237">
        <f>AB8-AB9</f>
        <v>0</v>
      </c>
      <c r="AC10" s="237"/>
      <c r="AD10" s="237">
        <f>AD8-AD9</f>
        <v>120264.5</v>
      </c>
      <c r="AE10" s="237">
        <f>AE8-AE9</f>
        <v>0</v>
      </c>
      <c r="AF10" s="237"/>
    </row>
    <row r="11" spans="1:32" ht="27" customHeight="1" x14ac:dyDescent="0.2">
      <c r="A11" s="777" t="s">
        <v>200</v>
      </c>
      <c r="B11" s="778"/>
      <c r="C11" s="778"/>
      <c r="D11" s="778"/>
      <c r="E11" s="778"/>
      <c r="F11" s="778"/>
      <c r="G11" s="778"/>
      <c r="H11" s="778"/>
      <c r="I11" s="778"/>
      <c r="J11" s="778"/>
      <c r="K11" s="778"/>
      <c r="L11" s="778"/>
      <c r="M11" s="778"/>
      <c r="N11" s="778"/>
      <c r="O11" s="778"/>
      <c r="P11" s="778"/>
      <c r="Q11" s="779"/>
    </row>
    <row r="12" spans="1:32" x14ac:dyDescent="0.2">
      <c r="A12" s="172" t="s">
        <v>44</v>
      </c>
      <c r="B12" s="123"/>
      <c r="C12" s="123"/>
      <c r="D12" s="123"/>
      <c r="E12" s="123"/>
      <c r="F12" s="123"/>
      <c r="G12" s="123"/>
      <c r="H12" s="123"/>
      <c r="I12" s="127"/>
      <c r="J12" s="123"/>
      <c r="K12" s="123"/>
      <c r="L12" s="123"/>
      <c r="M12" s="123"/>
      <c r="N12" s="291"/>
      <c r="O12" s="245"/>
      <c r="P12" s="245"/>
      <c r="Q12" s="245"/>
    </row>
    <row r="13" spans="1:32" ht="35.25" customHeight="1" x14ac:dyDescent="0.2">
      <c r="A13" s="161" t="s">
        <v>45</v>
      </c>
      <c r="B13" s="123">
        <v>0</v>
      </c>
      <c r="C13" s="123">
        <v>325</v>
      </c>
      <c r="D13" s="123">
        <v>330</v>
      </c>
      <c r="E13" s="123">
        <v>335</v>
      </c>
      <c r="F13" s="123">
        <v>340</v>
      </c>
      <c r="G13" s="123">
        <v>345</v>
      </c>
      <c r="H13" s="320">
        <v>350</v>
      </c>
      <c r="I13" s="163">
        <v>350</v>
      </c>
      <c r="J13" s="164">
        <v>0</v>
      </c>
      <c r="K13" s="165">
        <v>689.4</v>
      </c>
      <c r="L13" s="165">
        <v>716.2</v>
      </c>
      <c r="M13" s="165">
        <f>SUM(R13:S13)</f>
        <v>1214.6999999999998</v>
      </c>
      <c r="N13" s="293">
        <v>1041.5999999999999</v>
      </c>
      <c r="O13" s="248">
        <v>1041.5999999999999</v>
      </c>
      <c r="P13" s="249">
        <v>1041.5999999999999</v>
      </c>
      <c r="Q13" s="249">
        <v>1041.5999999999999</v>
      </c>
      <c r="R13" s="149">
        <v>741.3</v>
      </c>
      <c r="S13" s="149">
        <v>473.4</v>
      </c>
      <c r="T13" s="149">
        <f>SUM(R13:S13)</f>
        <v>1214.6999999999998</v>
      </c>
      <c r="U13" s="218">
        <f>T13-M13</f>
        <v>0</v>
      </c>
    </row>
    <row r="14" spans="1:32" ht="21" customHeight="1" x14ac:dyDescent="0.2">
      <c r="A14" s="780" t="s">
        <v>201</v>
      </c>
      <c r="B14" s="781"/>
      <c r="C14" s="781"/>
      <c r="D14" s="781"/>
      <c r="E14" s="781"/>
      <c r="F14" s="781"/>
      <c r="G14" s="781"/>
      <c r="H14" s="781"/>
      <c r="I14" s="760"/>
      <c r="J14" s="781"/>
      <c r="K14" s="781"/>
      <c r="L14" s="781"/>
      <c r="M14" s="781"/>
      <c r="N14" s="781"/>
      <c r="O14" s="781"/>
      <c r="P14" s="781"/>
      <c r="Q14" s="782"/>
    </row>
    <row r="15" spans="1:32" ht="26.25" customHeight="1" x14ac:dyDescent="0.2">
      <c r="A15" s="783" t="s">
        <v>202</v>
      </c>
      <c r="B15" s="784"/>
      <c r="C15" s="784"/>
      <c r="D15" s="784"/>
      <c r="E15" s="784"/>
      <c r="F15" s="784"/>
      <c r="G15" s="784"/>
      <c r="H15" s="784"/>
      <c r="I15" s="784"/>
      <c r="J15" s="784"/>
      <c r="K15" s="784"/>
      <c r="L15" s="784"/>
      <c r="M15" s="784"/>
      <c r="N15" s="784"/>
      <c r="O15" s="784"/>
      <c r="P15" s="784"/>
      <c r="Q15" s="785"/>
    </row>
    <row r="16" spans="1:32" x14ac:dyDescent="0.2">
      <c r="A16" s="172" t="s">
        <v>44</v>
      </c>
      <c r="B16" s="123"/>
      <c r="C16" s="123"/>
      <c r="D16" s="123"/>
      <c r="E16" s="123"/>
      <c r="F16" s="123"/>
      <c r="G16" s="123"/>
      <c r="H16" s="123"/>
      <c r="I16" s="127"/>
      <c r="J16" s="123"/>
      <c r="K16" s="123"/>
      <c r="L16" s="123"/>
      <c r="M16" s="123"/>
      <c r="N16" s="291"/>
      <c r="O16" s="245"/>
      <c r="P16" s="245"/>
      <c r="Q16" s="245"/>
      <c r="R16" s="149" t="s">
        <v>332</v>
      </c>
      <c r="S16" s="149" t="s">
        <v>333</v>
      </c>
    </row>
    <row r="17" spans="1:21" ht="37.5" customHeight="1" x14ac:dyDescent="0.2">
      <c r="A17" s="161" t="s">
        <v>45</v>
      </c>
      <c r="B17" s="123"/>
      <c r="C17" s="123">
        <v>66</v>
      </c>
      <c r="D17" s="123">
        <v>66</v>
      </c>
      <c r="E17" s="123">
        <v>66</v>
      </c>
      <c r="F17" s="123">
        <v>66</v>
      </c>
      <c r="G17" s="123">
        <v>66</v>
      </c>
      <c r="H17" s="152">
        <v>67</v>
      </c>
      <c r="I17" s="321">
        <v>67</v>
      </c>
      <c r="J17" s="164"/>
      <c r="K17" s="165">
        <v>1956.5</v>
      </c>
      <c r="L17" s="165">
        <v>2133.4</v>
      </c>
      <c r="M17" s="165">
        <f>SUM(R17:S17)</f>
        <v>2953.7</v>
      </c>
      <c r="N17" s="166">
        <v>2574.1999999999998</v>
      </c>
      <c r="O17" s="248">
        <v>2574.1999999999998</v>
      </c>
      <c r="P17" s="249">
        <v>2574.1999999999998</v>
      </c>
      <c r="Q17" s="249">
        <v>2574.1999999999998</v>
      </c>
      <c r="R17" s="149">
        <v>1970.4</v>
      </c>
      <c r="S17" s="149">
        <v>983.3</v>
      </c>
      <c r="T17" s="149">
        <f>SUM(R17:S17)</f>
        <v>2953.7</v>
      </c>
      <c r="U17" s="218">
        <f>T17-M17</f>
        <v>0</v>
      </c>
    </row>
    <row r="18" spans="1:21" ht="22.5" customHeight="1" x14ac:dyDescent="0.2">
      <c r="A18" s="780" t="s">
        <v>166</v>
      </c>
      <c r="B18" s="781"/>
      <c r="C18" s="781"/>
      <c r="D18" s="781"/>
      <c r="E18" s="781"/>
      <c r="F18" s="781"/>
      <c r="G18" s="781"/>
      <c r="H18" s="781"/>
      <c r="I18" s="760"/>
      <c r="J18" s="781"/>
      <c r="K18" s="781"/>
      <c r="L18" s="781"/>
      <c r="M18" s="781"/>
      <c r="N18" s="781"/>
      <c r="O18" s="781"/>
      <c r="P18" s="781"/>
      <c r="Q18" s="782"/>
    </row>
    <row r="19" spans="1:21" ht="23.25" customHeight="1" x14ac:dyDescent="0.2">
      <c r="A19" s="783" t="s">
        <v>43</v>
      </c>
      <c r="B19" s="784"/>
      <c r="C19" s="784"/>
      <c r="D19" s="784"/>
      <c r="E19" s="784"/>
      <c r="F19" s="784"/>
      <c r="G19" s="784"/>
      <c r="H19" s="784"/>
      <c r="I19" s="784"/>
      <c r="J19" s="784"/>
      <c r="K19" s="784"/>
      <c r="L19" s="784"/>
      <c r="M19" s="784"/>
      <c r="N19" s="784"/>
      <c r="O19" s="784"/>
      <c r="P19" s="784"/>
      <c r="Q19" s="785"/>
    </row>
    <row r="20" spans="1:21" x14ac:dyDescent="0.2">
      <c r="A20" s="172" t="s">
        <v>44</v>
      </c>
      <c r="B20" s="123"/>
      <c r="C20" s="123"/>
      <c r="D20" s="123"/>
      <c r="E20" s="123"/>
      <c r="F20" s="123"/>
      <c r="G20" s="123"/>
      <c r="H20" s="127"/>
      <c r="I20" s="127"/>
      <c r="J20" s="123"/>
      <c r="K20" s="123"/>
      <c r="L20" s="123"/>
      <c r="M20" s="123"/>
      <c r="N20" s="291"/>
      <c r="O20" s="245"/>
      <c r="P20" s="245"/>
      <c r="Q20" s="245"/>
    </row>
    <row r="21" spans="1:21" ht="37.5" customHeight="1" x14ac:dyDescent="0.2">
      <c r="A21" s="161" t="s">
        <v>45</v>
      </c>
      <c r="B21" s="123"/>
      <c r="C21" s="123">
        <v>39789</v>
      </c>
      <c r="D21" s="123">
        <v>40460</v>
      </c>
      <c r="E21" s="123">
        <v>41083</v>
      </c>
      <c r="F21" s="123">
        <v>41726</v>
      </c>
      <c r="G21" s="162">
        <v>42356</v>
      </c>
      <c r="H21" s="321">
        <v>42970</v>
      </c>
      <c r="I21" s="321">
        <v>42970</v>
      </c>
      <c r="J21" s="164"/>
      <c r="K21" s="165">
        <v>6718.6</v>
      </c>
      <c r="L21" s="165">
        <v>7372.7</v>
      </c>
      <c r="M21" s="165">
        <f>SUM(R21:S21)</f>
        <v>6210.1</v>
      </c>
      <c r="N21" s="166">
        <v>5429.3</v>
      </c>
      <c r="O21" s="248">
        <v>5429.3</v>
      </c>
      <c r="P21" s="249">
        <v>5429.3</v>
      </c>
      <c r="Q21" s="249">
        <v>5429.3</v>
      </c>
      <c r="R21" s="149">
        <v>1857.4</v>
      </c>
      <c r="S21" s="149">
        <v>4352.7</v>
      </c>
      <c r="T21" s="149">
        <f>SUM(R21:S21)</f>
        <v>6210.1</v>
      </c>
      <c r="U21" s="218">
        <f>T21-M21</f>
        <v>0</v>
      </c>
    </row>
    <row r="22" spans="1:21" ht="18.75" customHeight="1" x14ac:dyDescent="0.2">
      <c r="A22" s="752" t="s">
        <v>167</v>
      </c>
      <c r="B22" s="753"/>
      <c r="C22" s="753"/>
      <c r="D22" s="753"/>
      <c r="E22" s="753"/>
      <c r="F22" s="753"/>
      <c r="G22" s="753"/>
      <c r="H22" s="758"/>
      <c r="I22" s="758"/>
      <c r="J22" s="753"/>
      <c r="K22" s="753"/>
      <c r="L22" s="753"/>
      <c r="M22" s="753"/>
      <c r="N22" s="753"/>
      <c r="O22" s="753"/>
      <c r="P22" s="753"/>
      <c r="Q22" s="754"/>
    </row>
    <row r="23" spans="1:21" ht="25.5" customHeight="1" x14ac:dyDescent="0.2">
      <c r="A23" s="755" t="s">
        <v>46</v>
      </c>
      <c r="B23" s="756"/>
      <c r="C23" s="756"/>
      <c r="D23" s="756"/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7"/>
    </row>
    <row r="24" spans="1:21" ht="36.75" customHeight="1" x14ac:dyDescent="0.2">
      <c r="A24" s="169" t="s">
        <v>47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291"/>
      <c r="Q24" s="250"/>
      <c r="R24" s="149" t="s">
        <v>334</v>
      </c>
      <c r="S24" s="149" t="s">
        <v>335</v>
      </c>
    </row>
    <row r="25" spans="1:21" ht="34.5" customHeight="1" x14ac:dyDescent="0.2">
      <c r="A25" s="161" t="s">
        <v>45</v>
      </c>
      <c r="B25" s="123"/>
      <c r="C25" s="123">
        <v>83625</v>
      </c>
      <c r="D25" s="123">
        <v>87792</v>
      </c>
      <c r="E25" s="123">
        <v>87800</v>
      </c>
      <c r="F25" s="123">
        <v>87820</v>
      </c>
      <c r="G25" s="123">
        <v>87840</v>
      </c>
      <c r="H25" s="123">
        <v>87860</v>
      </c>
      <c r="I25" s="123">
        <v>87860</v>
      </c>
      <c r="J25" s="123"/>
      <c r="K25" s="123">
        <v>33927.4</v>
      </c>
      <c r="L25" s="123">
        <f>36626.3+355.5</f>
        <v>36981.800000000003</v>
      </c>
      <c r="M25" s="123">
        <v>0</v>
      </c>
      <c r="N25" s="170">
        <v>0</v>
      </c>
      <c r="O25" s="251">
        <v>0</v>
      </c>
      <c r="P25" s="251">
        <v>0</v>
      </c>
      <c r="Q25" s="251">
        <v>0</v>
      </c>
      <c r="R25" s="149" t="s">
        <v>334</v>
      </c>
      <c r="S25" s="149" t="s">
        <v>335</v>
      </c>
    </row>
    <row r="26" spans="1:21" ht="18.75" customHeight="1" x14ac:dyDescent="0.2">
      <c r="A26" s="752" t="s">
        <v>293</v>
      </c>
      <c r="B26" s="753"/>
      <c r="C26" s="753"/>
      <c r="D26" s="753"/>
      <c r="E26" s="753"/>
      <c r="F26" s="753"/>
      <c r="G26" s="753"/>
      <c r="H26" s="753"/>
      <c r="I26" s="753"/>
      <c r="J26" s="753"/>
      <c r="K26" s="753"/>
      <c r="L26" s="753"/>
      <c r="M26" s="753"/>
      <c r="N26" s="753"/>
      <c r="O26" s="753"/>
      <c r="P26" s="753"/>
      <c r="Q26" s="754"/>
      <c r="R26" s="149" t="s">
        <v>334</v>
      </c>
      <c r="S26" s="149" t="s">
        <v>335</v>
      </c>
    </row>
    <row r="27" spans="1:21" ht="25.5" customHeight="1" x14ac:dyDescent="0.2">
      <c r="A27" s="755" t="s">
        <v>267</v>
      </c>
      <c r="B27" s="756"/>
      <c r="C27" s="756"/>
      <c r="D27" s="756"/>
      <c r="E27" s="756"/>
      <c r="F27" s="756"/>
      <c r="G27" s="756"/>
      <c r="H27" s="756"/>
      <c r="I27" s="756"/>
      <c r="J27" s="756"/>
      <c r="K27" s="756"/>
      <c r="L27" s="756"/>
      <c r="M27" s="756"/>
      <c r="N27" s="756"/>
      <c r="O27" s="756"/>
      <c r="P27" s="756"/>
      <c r="Q27" s="757"/>
      <c r="R27" s="149" t="s">
        <v>334</v>
      </c>
      <c r="S27" s="149" t="s">
        <v>335</v>
      </c>
    </row>
    <row r="28" spans="1:21" ht="36.75" customHeight="1" x14ac:dyDescent="0.2">
      <c r="A28" s="169" t="s">
        <v>47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291"/>
      <c r="Q28" s="250"/>
      <c r="R28" s="149" t="s">
        <v>334</v>
      </c>
      <c r="S28" s="149" t="s">
        <v>335</v>
      </c>
    </row>
    <row r="29" spans="1:21" ht="34.5" customHeight="1" x14ac:dyDescent="0.2">
      <c r="A29" s="161" t="s">
        <v>45</v>
      </c>
      <c r="B29" s="123"/>
      <c r="C29" s="123">
        <v>899</v>
      </c>
      <c r="D29" s="123">
        <v>924</v>
      </c>
      <c r="E29" s="123">
        <v>924</v>
      </c>
      <c r="F29" s="123">
        <v>924</v>
      </c>
      <c r="G29" s="123">
        <v>924</v>
      </c>
      <c r="H29" s="123">
        <v>924</v>
      </c>
      <c r="I29" s="123">
        <v>924</v>
      </c>
      <c r="J29" s="123"/>
      <c r="K29" s="123">
        <v>0</v>
      </c>
      <c r="L29" s="123">
        <v>0</v>
      </c>
      <c r="M29" s="290">
        <v>47547.5</v>
      </c>
      <c r="N29" s="239">
        <v>29317.600000000006</v>
      </c>
      <c r="O29" s="252">
        <v>33177.500000000015</v>
      </c>
      <c r="P29" s="252">
        <v>35264.800000000003</v>
      </c>
      <c r="Q29" s="252">
        <f>P29</f>
        <v>35264.800000000003</v>
      </c>
      <c r="R29" s="149">
        <v>22121.9</v>
      </c>
      <c r="S29" s="149">
        <v>7532.1</v>
      </c>
      <c r="T29" s="149">
        <f>SUM(R29:S29)</f>
        <v>29654</v>
      </c>
      <c r="U29" s="218">
        <f>T29-M29</f>
        <v>-17893.5</v>
      </c>
    </row>
    <row r="30" spans="1:21" ht="18.75" customHeight="1" x14ac:dyDescent="0.2">
      <c r="A30" s="752" t="s">
        <v>203</v>
      </c>
      <c r="B30" s="753"/>
      <c r="C30" s="753"/>
      <c r="D30" s="753"/>
      <c r="E30" s="753"/>
      <c r="F30" s="753"/>
      <c r="G30" s="753"/>
      <c r="H30" s="753"/>
      <c r="I30" s="753"/>
      <c r="J30" s="753"/>
      <c r="K30" s="753"/>
      <c r="L30" s="753"/>
      <c r="M30" s="753"/>
      <c r="N30" s="753"/>
      <c r="O30" s="753"/>
      <c r="P30" s="753"/>
      <c r="Q30" s="754"/>
    </row>
    <row r="31" spans="1:21" ht="21" customHeight="1" x14ac:dyDescent="0.2">
      <c r="A31" s="755" t="s">
        <v>46</v>
      </c>
      <c r="B31" s="756"/>
      <c r="C31" s="756"/>
      <c r="D31" s="756"/>
      <c r="E31" s="756"/>
      <c r="F31" s="756"/>
      <c r="G31" s="756"/>
      <c r="H31" s="756"/>
      <c r="I31" s="756"/>
      <c r="J31" s="756"/>
      <c r="K31" s="756"/>
      <c r="L31" s="756"/>
      <c r="M31" s="756"/>
      <c r="N31" s="756"/>
      <c r="O31" s="756"/>
      <c r="P31" s="756"/>
      <c r="Q31" s="757"/>
    </row>
    <row r="32" spans="1:21" ht="36.75" customHeight="1" x14ac:dyDescent="0.2">
      <c r="A32" s="169" t="s">
        <v>47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291"/>
      <c r="Q32" s="250"/>
    </row>
    <row r="33" spans="1:21" ht="34.5" customHeight="1" x14ac:dyDescent="0.2">
      <c r="A33" s="161" t="s">
        <v>45</v>
      </c>
      <c r="B33" s="123"/>
      <c r="C33" s="123">
        <v>2646</v>
      </c>
      <c r="D33" s="123">
        <v>2804</v>
      </c>
      <c r="E33" s="123">
        <v>3960</v>
      </c>
      <c r="F33" s="123">
        <v>13040</v>
      </c>
      <c r="G33" s="123">
        <v>13100</v>
      </c>
      <c r="H33" s="123">
        <v>13130</v>
      </c>
      <c r="I33" s="123">
        <v>13130</v>
      </c>
      <c r="J33" s="123"/>
      <c r="K33" s="123">
        <v>497.9</v>
      </c>
      <c r="L33" s="123">
        <v>551.20000000000005</v>
      </c>
      <c r="M33" s="123">
        <v>0</v>
      </c>
      <c r="N33" s="170">
        <v>0</v>
      </c>
      <c r="O33" s="251">
        <v>0</v>
      </c>
      <c r="P33" s="251">
        <v>0</v>
      </c>
      <c r="Q33" s="251">
        <v>0</v>
      </c>
    </row>
    <row r="34" spans="1:21" ht="21" customHeight="1" x14ac:dyDescent="0.2">
      <c r="A34" s="755" t="s">
        <v>267</v>
      </c>
      <c r="B34" s="756"/>
      <c r="C34" s="756"/>
      <c r="D34" s="756"/>
      <c r="E34" s="756"/>
      <c r="F34" s="756"/>
      <c r="G34" s="756"/>
      <c r="H34" s="756"/>
      <c r="I34" s="756"/>
      <c r="J34" s="756"/>
      <c r="K34" s="756"/>
      <c r="L34" s="756"/>
      <c r="M34" s="756"/>
      <c r="N34" s="756"/>
      <c r="O34" s="756"/>
      <c r="P34" s="756"/>
      <c r="Q34" s="757"/>
    </row>
    <row r="35" spans="1:21" ht="36.75" customHeight="1" x14ac:dyDescent="0.2">
      <c r="A35" s="169" t="s">
        <v>47</v>
      </c>
      <c r="B35" s="125"/>
      <c r="C35" s="125"/>
      <c r="D35" s="125"/>
      <c r="E35" s="125"/>
      <c r="F35" s="125"/>
      <c r="G35" s="125"/>
      <c r="H35" s="125"/>
      <c r="I35" s="184"/>
      <c r="J35" s="125"/>
      <c r="K35" s="125"/>
      <c r="L35" s="125"/>
      <c r="M35" s="125"/>
      <c r="N35" s="291"/>
      <c r="Q35" s="250"/>
    </row>
    <row r="36" spans="1:21" ht="34.5" customHeight="1" x14ac:dyDescent="0.2">
      <c r="A36" s="161" t="s">
        <v>45</v>
      </c>
      <c r="B36" s="123"/>
      <c r="C36" s="123">
        <v>43</v>
      </c>
      <c r="D36" s="123">
        <v>47</v>
      </c>
      <c r="E36" s="123">
        <v>91</v>
      </c>
      <c r="F36" s="123">
        <v>636</v>
      </c>
      <c r="G36" s="123">
        <v>637</v>
      </c>
      <c r="H36" s="152">
        <v>638</v>
      </c>
      <c r="I36" s="321">
        <v>638</v>
      </c>
      <c r="J36" s="185"/>
      <c r="K36" s="123">
        <v>0</v>
      </c>
      <c r="L36" s="123">
        <v>0</v>
      </c>
      <c r="M36" s="123">
        <f>R36</f>
        <v>1397.7</v>
      </c>
      <c r="N36" s="170">
        <v>1263.7</v>
      </c>
      <c r="O36" s="253">
        <v>1263.7</v>
      </c>
      <c r="P36" s="251">
        <v>1263.7</v>
      </c>
      <c r="Q36" s="251">
        <v>1263.7</v>
      </c>
      <c r="R36" s="149">
        <v>1397.7</v>
      </c>
      <c r="T36" s="149">
        <f>SUM(R36:S36)</f>
        <v>1397.7</v>
      </c>
      <c r="U36" s="218">
        <f>T36-M36</f>
        <v>0</v>
      </c>
    </row>
    <row r="37" spans="1:21" ht="38.25" customHeight="1" x14ac:dyDescent="0.2">
      <c r="A37" s="776" t="s">
        <v>168</v>
      </c>
      <c r="B37" s="776"/>
      <c r="C37" s="776"/>
      <c r="D37" s="776"/>
      <c r="E37" s="776"/>
      <c r="F37" s="776"/>
      <c r="G37" s="776"/>
      <c r="H37" s="776"/>
      <c r="I37" s="790"/>
      <c r="J37" s="776"/>
      <c r="K37" s="776"/>
      <c r="L37" s="776"/>
      <c r="M37" s="776"/>
      <c r="O37" s="245"/>
      <c r="P37" s="245"/>
      <c r="Q37" s="245"/>
    </row>
    <row r="38" spans="1:21" ht="18.75" customHeight="1" x14ac:dyDescent="0.2">
      <c r="A38" s="776" t="s">
        <v>134</v>
      </c>
      <c r="B38" s="776"/>
      <c r="C38" s="776"/>
      <c r="D38" s="776"/>
      <c r="E38" s="776"/>
      <c r="F38" s="776"/>
      <c r="G38" s="776"/>
      <c r="H38" s="776"/>
      <c r="I38" s="776"/>
      <c r="J38" s="776"/>
      <c r="K38" s="776"/>
      <c r="L38" s="776"/>
      <c r="M38" s="776"/>
      <c r="N38" s="291"/>
      <c r="O38" s="245"/>
      <c r="P38" s="245"/>
      <c r="Q38" s="245"/>
    </row>
    <row r="39" spans="1:21" ht="31.5" x14ac:dyDescent="0.2">
      <c r="A39" s="172" t="s">
        <v>135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291"/>
      <c r="O39" s="245"/>
      <c r="P39" s="245"/>
      <c r="Q39" s="245"/>
      <c r="R39" s="149" t="s">
        <v>336</v>
      </c>
      <c r="S39" s="149" t="s">
        <v>337</v>
      </c>
    </row>
    <row r="40" spans="1:21" ht="31.5" x14ac:dyDescent="0.2">
      <c r="A40" s="173" t="s">
        <v>45</v>
      </c>
      <c r="B40" s="128"/>
      <c r="C40" s="143">
        <v>167</v>
      </c>
      <c r="D40" s="143">
        <v>174</v>
      </c>
      <c r="E40" s="144">
        <v>0</v>
      </c>
      <c r="F40" s="144">
        <v>0</v>
      </c>
      <c r="G40" s="144">
        <v>0</v>
      </c>
      <c r="H40" s="144">
        <v>0</v>
      </c>
      <c r="I40" s="144">
        <v>0</v>
      </c>
      <c r="J40" s="144"/>
      <c r="K40" s="144">
        <v>7033.7</v>
      </c>
      <c r="L40" s="144">
        <f>7425.9+306.4+20</f>
        <v>7752.2999999999993</v>
      </c>
      <c r="M40" s="144">
        <v>0</v>
      </c>
      <c r="N40" s="145">
        <v>0</v>
      </c>
      <c r="O40" s="254">
        <v>0</v>
      </c>
      <c r="P40" s="255">
        <v>0</v>
      </c>
      <c r="Q40" s="255">
        <f>P40</f>
        <v>0</v>
      </c>
      <c r="R40" s="149" t="s">
        <v>336</v>
      </c>
      <c r="S40" s="149" t="s">
        <v>337</v>
      </c>
    </row>
    <row r="41" spans="1:21" ht="18.75" customHeight="1" x14ac:dyDescent="0.2">
      <c r="A41" s="776" t="s">
        <v>294</v>
      </c>
      <c r="B41" s="776"/>
      <c r="C41" s="776"/>
      <c r="D41" s="776"/>
      <c r="E41" s="776"/>
      <c r="F41" s="776"/>
      <c r="G41" s="776"/>
      <c r="H41" s="776"/>
      <c r="I41" s="776"/>
      <c r="J41" s="776"/>
      <c r="K41" s="776"/>
      <c r="L41" s="776"/>
      <c r="M41" s="776"/>
      <c r="N41" s="291"/>
      <c r="O41" s="245"/>
      <c r="P41" s="256"/>
      <c r="Q41" s="255"/>
      <c r="R41" s="149" t="s">
        <v>336</v>
      </c>
      <c r="S41" s="149" t="s">
        <v>337</v>
      </c>
    </row>
    <row r="42" spans="1:21" ht="31.5" x14ac:dyDescent="0.2">
      <c r="A42" s="172" t="s">
        <v>135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291"/>
      <c r="O42" s="245"/>
      <c r="P42" s="256"/>
      <c r="Q42" s="255"/>
    </row>
    <row r="43" spans="1:21" ht="31.5" x14ac:dyDescent="0.2">
      <c r="A43" s="173" t="s">
        <v>45</v>
      </c>
      <c r="B43" s="128"/>
      <c r="C43" s="143">
        <v>0</v>
      </c>
      <c r="D43" s="143">
        <v>0</v>
      </c>
      <c r="E43" s="144">
        <v>29459</v>
      </c>
      <c r="F43" s="144">
        <v>38357</v>
      </c>
      <c r="G43" s="144">
        <v>46474</v>
      </c>
      <c r="H43" s="144">
        <v>46474</v>
      </c>
      <c r="I43" s="144">
        <v>46474</v>
      </c>
      <c r="J43" s="144"/>
      <c r="K43" s="144">
        <v>0</v>
      </c>
      <c r="L43" s="144">
        <v>0</v>
      </c>
      <c r="M43" s="144">
        <v>12438.5</v>
      </c>
      <c r="N43" s="145">
        <v>16536.199999999997</v>
      </c>
      <c r="O43" s="257">
        <v>17250.099999999999</v>
      </c>
      <c r="P43" s="257">
        <v>19163.5</v>
      </c>
      <c r="Q43" s="255">
        <f>P43</f>
        <v>19163.5</v>
      </c>
      <c r="R43" s="149">
        <v>6690.2</v>
      </c>
      <c r="S43" s="149">
        <v>4830.5</v>
      </c>
      <c r="T43" s="149">
        <f>SUM(R43:S43)</f>
        <v>11520.7</v>
      </c>
      <c r="U43" s="218">
        <f>T43-M43</f>
        <v>-917.79999999999927</v>
      </c>
    </row>
    <row r="44" spans="1:21" ht="36" customHeight="1" x14ac:dyDescent="0.2">
      <c r="A44" s="776" t="s">
        <v>169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N44" s="291"/>
      <c r="O44" s="245"/>
      <c r="P44" s="256"/>
      <c r="Q44" s="256"/>
    </row>
    <row r="45" spans="1:21" ht="18.75" customHeight="1" x14ac:dyDescent="0.2">
      <c r="A45" s="776" t="s">
        <v>134</v>
      </c>
      <c r="B45" s="776"/>
      <c r="C45" s="776"/>
      <c r="D45" s="776"/>
      <c r="E45" s="776"/>
      <c r="F45" s="776"/>
      <c r="G45" s="776"/>
      <c r="H45" s="776"/>
      <c r="I45" s="776"/>
      <c r="J45" s="776"/>
      <c r="K45" s="776"/>
      <c r="L45" s="776"/>
      <c r="M45" s="776"/>
      <c r="O45" s="245"/>
      <c r="P45" s="256"/>
      <c r="Q45" s="256"/>
    </row>
    <row r="46" spans="1:21" ht="31.5" x14ac:dyDescent="0.2">
      <c r="A46" s="172" t="s">
        <v>135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291"/>
      <c r="O46" s="245"/>
      <c r="P46" s="256"/>
      <c r="Q46" s="256"/>
    </row>
    <row r="47" spans="1:21" ht="31.5" x14ac:dyDescent="0.2">
      <c r="A47" s="173" t="s">
        <v>45</v>
      </c>
      <c r="B47" s="128"/>
      <c r="C47" s="128">
        <v>370</v>
      </c>
      <c r="D47" s="128">
        <v>355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/>
      <c r="K47" s="129">
        <v>11455.4</v>
      </c>
      <c r="L47" s="129">
        <v>12120.9</v>
      </c>
      <c r="M47" s="129">
        <v>0</v>
      </c>
      <c r="N47" s="130">
        <v>0</v>
      </c>
      <c r="O47" s="258">
        <v>0</v>
      </c>
      <c r="P47" s="258">
        <v>0</v>
      </c>
      <c r="Q47" s="258">
        <f>P47</f>
        <v>0</v>
      </c>
    </row>
    <row r="48" spans="1:21" ht="18.75" customHeight="1" x14ac:dyDescent="0.2">
      <c r="A48" s="776" t="s">
        <v>294</v>
      </c>
      <c r="B48" s="776"/>
      <c r="C48" s="776"/>
      <c r="D48" s="776"/>
      <c r="E48" s="776"/>
      <c r="F48" s="776"/>
      <c r="G48" s="776"/>
      <c r="H48" s="776"/>
      <c r="I48" s="776"/>
      <c r="J48" s="776"/>
      <c r="K48" s="776"/>
      <c r="L48" s="776"/>
      <c r="M48" s="776"/>
      <c r="N48" s="291"/>
      <c r="O48" s="245"/>
      <c r="P48" s="256"/>
      <c r="Q48" s="256"/>
    </row>
    <row r="49" spans="1:21" ht="31.5" x14ac:dyDescent="0.2">
      <c r="A49" s="172" t="s">
        <v>135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291"/>
      <c r="P49" s="245"/>
      <c r="Q49" s="245"/>
    </row>
    <row r="50" spans="1:21" ht="31.5" x14ac:dyDescent="0.2">
      <c r="A50" s="173" t="s">
        <v>45</v>
      </c>
      <c r="B50" s="128"/>
      <c r="C50" s="143">
        <v>0</v>
      </c>
      <c r="D50" s="143">
        <v>0</v>
      </c>
      <c r="E50" s="144">
        <v>61071</v>
      </c>
      <c r="F50" s="144">
        <v>44526</v>
      </c>
      <c r="G50" s="144">
        <v>34551</v>
      </c>
      <c r="H50" s="144">
        <v>34551</v>
      </c>
      <c r="I50" s="144">
        <v>34551</v>
      </c>
      <c r="J50" s="144"/>
      <c r="K50" s="144">
        <v>0</v>
      </c>
      <c r="L50" s="144">
        <v>0</v>
      </c>
      <c r="M50" s="144">
        <f>SUM(R50:S50)</f>
        <v>8001.7</v>
      </c>
      <c r="N50" s="294">
        <f>7256.4-636.6-90</f>
        <v>6529.7999999999993</v>
      </c>
      <c r="O50" s="259">
        <f>7256.4-636.6</f>
        <v>6619.7999999999993</v>
      </c>
      <c r="P50" s="259">
        <f>7256.4-636.6</f>
        <v>6619.7999999999993</v>
      </c>
      <c r="Q50" s="259">
        <f>P50</f>
        <v>6619.7999999999993</v>
      </c>
      <c r="R50" s="149">
        <v>7558.9</v>
      </c>
      <c r="S50" s="149">
        <v>442.8</v>
      </c>
      <c r="T50" s="149">
        <f>SUM(R50:S50)</f>
        <v>8001.7</v>
      </c>
      <c r="U50" s="218">
        <f>T50-M50</f>
        <v>0</v>
      </c>
    </row>
    <row r="51" spans="1:21" ht="30.75" customHeight="1" x14ac:dyDescent="0.2">
      <c r="A51" s="789" t="s">
        <v>170</v>
      </c>
      <c r="B51" s="789"/>
      <c r="C51" s="789"/>
      <c r="D51" s="789"/>
      <c r="E51" s="789"/>
      <c r="F51" s="789"/>
      <c r="G51" s="789"/>
      <c r="H51" s="789"/>
      <c r="I51" s="789"/>
      <c r="J51" s="789"/>
      <c r="K51" s="789"/>
      <c r="L51" s="789"/>
      <c r="M51" s="789"/>
      <c r="N51" s="789"/>
      <c r="O51" s="789"/>
      <c r="P51" s="789"/>
      <c r="Q51" s="789"/>
    </row>
    <row r="52" spans="1:21" ht="22.5" customHeight="1" x14ac:dyDescent="0.2">
      <c r="A52" s="777" t="s">
        <v>205</v>
      </c>
      <c r="B52" s="778"/>
      <c r="C52" s="778"/>
      <c r="D52" s="778"/>
      <c r="E52" s="778"/>
      <c r="F52" s="778"/>
      <c r="G52" s="778"/>
      <c r="H52" s="778"/>
      <c r="I52" s="778"/>
      <c r="J52" s="778"/>
      <c r="K52" s="778"/>
      <c r="L52" s="778"/>
      <c r="M52" s="778"/>
      <c r="N52" s="778"/>
      <c r="O52" s="778"/>
      <c r="P52" s="778"/>
      <c r="Q52" s="779"/>
      <c r="R52" s="149" t="s">
        <v>330</v>
      </c>
      <c r="S52" s="149" t="s">
        <v>331</v>
      </c>
    </row>
    <row r="53" spans="1:21" x14ac:dyDescent="0.2">
      <c r="A53" s="172" t="s">
        <v>44</v>
      </c>
      <c r="B53" s="123"/>
      <c r="C53" s="123"/>
      <c r="D53" s="123"/>
      <c r="E53" s="123"/>
      <c r="F53" s="123"/>
      <c r="G53" s="123"/>
      <c r="H53" s="123"/>
      <c r="I53" s="127"/>
      <c r="J53" s="123"/>
      <c r="K53" s="123"/>
      <c r="L53" s="123"/>
      <c r="M53" s="123"/>
      <c r="N53" s="291"/>
      <c r="O53" s="245"/>
      <c r="P53" s="245"/>
      <c r="Q53" s="245"/>
    </row>
    <row r="54" spans="1:21" ht="36" customHeight="1" x14ac:dyDescent="0.2">
      <c r="A54" s="161" t="s">
        <v>45</v>
      </c>
      <c r="B54" s="123"/>
      <c r="C54" s="175">
        <v>280674</v>
      </c>
      <c r="D54" s="175">
        <v>280791</v>
      </c>
      <c r="E54" s="175">
        <v>281350</v>
      </c>
      <c r="F54" s="175">
        <v>281500</v>
      </c>
      <c r="G54" s="175">
        <v>282000</v>
      </c>
      <c r="H54" s="323">
        <v>282500</v>
      </c>
      <c r="I54" s="323">
        <v>282500</v>
      </c>
      <c r="J54" s="322"/>
      <c r="K54" s="176">
        <v>1178.5999999999999</v>
      </c>
      <c r="L54" s="177">
        <v>1232.0999999999999</v>
      </c>
      <c r="M54" s="144">
        <f>SUM(R54:S54)</f>
        <v>1753.4</v>
      </c>
      <c r="N54" s="295">
        <v>1498.5</v>
      </c>
      <c r="O54" s="260">
        <v>1498.5</v>
      </c>
      <c r="P54" s="261">
        <v>1498.5</v>
      </c>
      <c r="Q54" s="261">
        <v>1498.5</v>
      </c>
      <c r="R54" s="149">
        <v>1245.3</v>
      </c>
      <c r="S54" s="149">
        <v>508.1</v>
      </c>
      <c r="T54" s="149">
        <f>SUM(R54:S54)</f>
        <v>1753.4</v>
      </c>
      <c r="U54" s="218">
        <f>T54-M54</f>
        <v>0</v>
      </c>
    </row>
    <row r="55" spans="1:21" ht="23.25" customHeight="1" x14ac:dyDescent="0.2">
      <c r="A55" s="789" t="s">
        <v>204</v>
      </c>
      <c r="B55" s="789"/>
      <c r="C55" s="789"/>
      <c r="D55" s="789"/>
      <c r="E55" s="789"/>
      <c r="F55" s="789"/>
      <c r="G55" s="789"/>
      <c r="H55" s="789"/>
      <c r="I55" s="789"/>
      <c r="J55" s="789"/>
      <c r="K55" s="789"/>
      <c r="L55" s="789"/>
      <c r="M55" s="789"/>
      <c r="N55" s="789"/>
      <c r="O55" s="789"/>
      <c r="P55" s="789"/>
      <c r="Q55" s="789"/>
    </row>
    <row r="56" spans="1:21" ht="22.5" customHeight="1" x14ac:dyDescent="0.2">
      <c r="A56" s="777" t="s">
        <v>205</v>
      </c>
      <c r="B56" s="778"/>
      <c r="C56" s="778"/>
      <c r="D56" s="778"/>
      <c r="E56" s="778"/>
      <c r="F56" s="778"/>
      <c r="G56" s="778"/>
      <c r="H56" s="778"/>
      <c r="I56" s="778"/>
      <c r="J56" s="778"/>
      <c r="K56" s="778"/>
      <c r="L56" s="778"/>
      <c r="M56" s="778"/>
      <c r="N56" s="778"/>
      <c r="O56" s="778"/>
      <c r="P56" s="778"/>
      <c r="Q56" s="779"/>
      <c r="R56" s="149" t="s">
        <v>330</v>
      </c>
      <c r="S56" s="149" t="s">
        <v>331</v>
      </c>
    </row>
    <row r="57" spans="1:21" x14ac:dyDescent="0.2">
      <c r="A57" s="172" t="s">
        <v>44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291"/>
      <c r="O57" s="245"/>
      <c r="P57" s="245"/>
      <c r="Q57" s="245"/>
    </row>
    <row r="58" spans="1:21" ht="36.75" customHeight="1" x14ac:dyDescent="0.2">
      <c r="A58" s="161" t="s">
        <v>45</v>
      </c>
      <c r="B58" s="123"/>
      <c r="C58" s="47">
        <v>6914</v>
      </c>
      <c r="D58" s="47">
        <v>7000</v>
      </c>
      <c r="E58" s="47">
        <v>7000</v>
      </c>
      <c r="F58" s="47">
        <v>7000</v>
      </c>
      <c r="G58" s="47">
        <v>7000</v>
      </c>
      <c r="H58" s="324">
        <v>7100</v>
      </c>
      <c r="I58" s="324">
        <v>7100</v>
      </c>
      <c r="J58" s="179"/>
      <c r="K58" s="179">
        <v>1067.4000000000001</v>
      </c>
      <c r="L58" s="179">
        <v>1125.7</v>
      </c>
      <c r="M58" s="144">
        <f>SUM(R58:S58)</f>
        <v>1614</v>
      </c>
      <c r="N58" s="296">
        <v>1373.5</v>
      </c>
      <c r="O58" s="262">
        <v>1373.5</v>
      </c>
      <c r="P58" s="262">
        <v>1373.5</v>
      </c>
      <c r="Q58" s="262">
        <v>1373.5</v>
      </c>
      <c r="R58" s="149">
        <v>1358.6</v>
      </c>
      <c r="S58" s="149">
        <v>255.4</v>
      </c>
      <c r="T58" s="149">
        <f>SUM(R58:S58)</f>
        <v>1614</v>
      </c>
      <c r="U58" s="218">
        <f>T58-M58</f>
        <v>0</v>
      </c>
    </row>
    <row r="59" spans="1:21" ht="34.5" customHeight="1" x14ac:dyDescent="0.2">
      <c r="A59" s="786" t="s">
        <v>171</v>
      </c>
      <c r="B59" s="787"/>
      <c r="C59" s="787"/>
      <c r="D59" s="787"/>
      <c r="E59" s="787"/>
      <c r="F59" s="787"/>
      <c r="G59" s="787"/>
      <c r="H59" s="787"/>
      <c r="I59" s="787"/>
      <c r="J59" s="787"/>
      <c r="K59" s="787"/>
      <c r="L59" s="787"/>
      <c r="M59" s="787"/>
      <c r="N59" s="787"/>
      <c r="O59" s="787"/>
      <c r="P59" s="787"/>
      <c r="Q59" s="788"/>
      <c r="R59" s="149" t="s">
        <v>332</v>
      </c>
      <c r="S59" s="149" t="s">
        <v>333</v>
      </c>
    </row>
    <row r="60" spans="1:21" ht="24" customHeight="1" x14ac:dyDescent="0.2">
      <c r="A60" s="791" t="s">
        <v>173</v>
      </c>
      <c r="B60" s="791"/>
      <c r="C60" s="791"/>
      <c r="D60" s="791"/>
      <c r="E60" s="791"/>
      <c r="F60" s="791"/>
      <c r="G60" s="791"/>
      <c r="H60" s="791"/>
      <c r="I60" s="791"/>
      <c r="J60" s="791"/>
      <c r="K60" s="791"/>
      <c r="L60" s="791"/>
      <c r="M60" s="791"/>
      <c r="N60" s="791"/>
      <c r="O60" s="791"/>
      <c r="P60" s="791"/>
      <c r="Q60" s="791"/>
    </row>
    <row r="61" spans="1:21" x14ac:dyDescent="0.2">
      <c r="A61" s="180" t="s">
        <v>44</v>
      </c>
      <c r="B61" s="125"/>
      <c r="C61" s="125"/>
      <c r="D61" s="125"/>
      <c r="E61" s="125"/>
      <c r="F61" s="125"/>
      <c r="G61" s="125"/>
      <c r="H61" s="184"/>
      <c r="I61" s="184"/>
      <c r="J61" s="125"/>
      <c r="K61" s="125"/>
      <c r="L61" s="125"/>
      <c r="M61" s="184"/>
      <c r="N61" s="291"/>
      <c r="Q61" s="250"/>
    </row>
    <row r="62" spans="1:21" ht="39.75" customHeight="1" x14ac:dyDescent="0.2">
      <c r="A62" s="161" t="s">
        <v>45</v>
      </c>
      <c r="B62" s="123"/>
      <c r="C62" s="47">
        <v>14644</v>
      </c>
      <c r="D62" s="47">
        <v>14858</v>
      </c>
      <c r="E62" s="47">
        <v>15066</v>
      </c>
      <c r="F62" s="47">
        <v>15272</v>
      </c>
      <c r="G62" s="314">
        <v>15400</v>
      </c>
      <c r="H62" s="316">
        <v>15523</v>
      </c>
      <c r="I62" s="316">
        <v>15523</v>
      </c>
      <c r="J62" s="315"/>
      <c r="K62" s="179">
        <v>350.7</v>
      </c>
      <c r="L62" s="317">
        <v>387.3</v>
      </c>
      <c r="M62" s="146">
        <f>SUM(R62:S62)</f>
        <v>659.8</v>
      </c>
      <c r="N62" s="318">
        <v>579.5</v>
      </c>
      <c r="O62" s="263">
        <v>579.5</v>
      </c>
      <c r="P62" s="263">
        <v>579.5</v>
      </c>
      <c r="Q62" s="263">
        <v>579.5</v>
      </c>
      <c r="R62" s="181">
        <v>324.7</v>
      </c>
      <c r="S62" s="181">
        <v>335.1</v>
      </c>
      <c r="T62" s="149">
        <f>SUM(R62:S62)</f>
        <v>659.8</v>
      </c>
      <c r="U62" s="218">
        <f>T62-M62</f>
        <v>0</v>
      </c>
    </row>
    <row r="63" spans="1:21" ht="30.75" customHeight="1" x14ac:dyDescent="0.2">
      <c r="A63" s="759" t="s">
        <v>172</v>
      </c>
      <c r="B63" s="760"/>
      <c r="C63" s="760"/>
      <c r="D63" s="760"/>
      <c r="E63" s="760"/>
      <c r="F63" s="760"/>
      <c r="G63" s="760"/>
      <c r="H63" s="760"/>
      <c r="I63" s="760"/>
      <c r="J63" s="760"/>
      <c r="K63" s="760"/>
      <c r="L63" s="760"/>
      <c r="M63" s="760"/>
      <c r="N63" s="760"/>
      <c r="O63" s="760"/>
      <c r="P63" s="760"/>
      <c r="Q63" s="761"/>
      <c r="R63" s="181"/>
      <c r="S63" s="181"/>
      <c r="T63" s="181"/>
    </row>
    <row r="64" spans="1:21" ht="24" customHeight="1" x14ac:dyDescent="0.2">
      <c r="A64" s="755" t="s">
        <v>208</v>
      </c>
      <c r="B64" s="756"/>
      <c r="C64" s="756"/>
      <c r="D64" s="756"/>
      <c r="E64" s="756"/>
      <c r="F64" s="756"/>
      <c r="G64" s="756"/>
      <c r="H64" s="756"/>
      <c r="I64" s="756"/>
      <c r="J64" s="756"/>
      <c r="K64" s="756"/>
      <c r="L64" s="756"/>
      <c r="M64" s="756"/>
      <c r="N64" s="756"/>
      <c r="O64" s="756"/>
      <c r="P64" s="756"/>
      <c r="Q64" s="757"/>
      <c r="R64" s="181"/>
      <c r="S64" s="181"/>
      <c r="T64" s="181"/>
    </row>
    <row r="65" spans="1:21" x14ac:dyDescent="0.2">
      <c r="A65" s="169" t="s">
        <v>44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291"/>
      <c r="Q65" s="250"/>
      <c r="R65" s="149" t="s">
        <v>332</v>
      </c>
      <c r="S65" s="149" t="s">
        <v>333</v>
      </c>
      <c r="T65" s="181"/>
    </row>
    <row r="66" spans="1:21" ht="35.25" customHeight="1" x14ac:dyDescent="0.2">
      <c r="A66" s="161" t="s">
        <v>45</v>
      </c>
      <c r="B66" s="123"/>
      <c r="C66" s="123">
        <v>68</v>
      </c>
      <c r="D66" s="123">
        <v>68</v>
      </c>
      <c r="E66" s="123">
        <v>68</v>
      </c>
      <c r="F66" s="123">
        <v>68</v>
      </c>
      <c r="G66" s="162">
        <v>38</v>
      </c>
      <c r="H66" s="162">
        <v>38</v>
      </c>
      <c r="I66" s="162">
        <v>38</v>
      </c>
      <c r="J66" s="165"/>
      <c r="K66" s="165">
        <v>27.7</v>
      </c>
      <c r="L66" s="165">
        <v>190.7</v>
      </c>
      <c r="M66" s="144">
        <f>SUM(R66:S66)</f>
        <v>46.699999999999996</v>
      </c>
      <c r="N66" s="170">
        <v>41.4</v>
      </c>
      <c r="O66" s="251">
        <v>41.4</v>
      </c>
      <c r="P66" s="251">
        <v>41.4</v>
      </c>
      <c r="Q66" s="251">
        <v>41.4</v>
      </c>
      <c r="R66" s="149">
        <v>13.4</v>
      </c>
      <c r="S66" s="149">
        <v>33.299999999999997</v>
      </c>
      <c r="T66" s="149">
        <f>SUM(R66:S66)</f>
        <v>46.699999999999996</v>
      </c>
      <c r="U66" s="218">
        <f>T66-M66</f>
        <v>0</v>
      </c>
    </row>
    <row r="67" spans="1:21" ht="38.25" customHeight="1" collapsed="1" x14ac:dyDescent="0.2">
      <c r="A67" s="197" t="s">
        <v>47</v>
      </c>
      <c r="B67" s="123"/>
      <c r="C67" s="123"/>
      <c r="D67" s="123"/>
      <c r="E67" s="123"/>
      <c r="F67" s="123"/>
      <c r="G67" s="123"/>
      <c r="H67" s="127"/>
      <c r="I67" s="127"/>
      <c r="J67" s="123"/>
      <c r="K67" s="123"/>
      <c r="L67" s="123"/>
      <c r="M67" s="127"/>
      <c r="N67" s="124"/>
      <c r="O67" s="264"/>
      <c r="P67" s="264"/>
      <c r="Q67" s="245"/>
      <c r="R67" s="149" t="s">
        <v>334</v>
      </c>
      <c r="S67" s="149" t="s">
        <v>335</v>
      </c>
    </row>
    <row r="68" spans="1:21" ht="40.5" customHeight="1" x14ac:dyDescent="0.2">
      <c r="A68" s="161" t="s">
        <v>45</v>
      </c>
      <c r="B68" s="123"/>
      <c r="C68" s="123">
        <v>38</v>
      </c>
      <c r="D68" s="123">
        <v>38</v>
      </c>
      <c r="E68" s="123">
        <v>38</v>
      </c>
      <c r="F68" s="123">
        <v>38</v>
      </c>
      <c r="G68" s="162">
        <v>38</v>
      </c>
      <c r="H68" s="162">
        <v>38</v>
      </c>
      <c r="I68" s="162">
        <v>38</v>
      </c>
      <c r="J68" s="164"/>
      <c r="K68" s="165">
        <v>71.099999999999994</v>
      </c>
      <c r="L68" s="198">
        <v>44.2</v>
      </c>
      <c r="M68" s="146">
        <f>SUM(R68:S68)</f>
        <v>189.89999999999998</v>
      </c>
      <c r="N68" s="124">
        <v>155.80000000000001</v>
      </c>
      <c r="O68" s="251">
        <v>155.80000000000001</v>
      </c>
      <c r="P68" s="251">
        <v>155.80000000000001</v>
      </c>
      <c r="Q68" s="251">
        <v>155.80000000000001</v>
      </c>
      <c r="R68" s="149">
        <v>167.7</v>
      </c>
      <c r="S68" s="149">
        <v>22.2</v>
      </c>
      <c r="T68" s="149">
        <f>SUM(R68:S68)</f>
        <v>189.89999999999998</v>
      </c>
      <c r="U68" s="218">
        <f>T68-M68</f>
        <v>0</v>
      </c>
    </row>
    <row r="69" spans="1:21" ht="22.5" customHeight="1" x14ac:dyDescent="0.2">
      <c r="A69" s="759" t="s">
        <v>206</v>
      </c>
      <c r="B69" s="760"/>
      <c r="C69" s="760"/>
      <c r="D69" s="760"/>
      <c r="E69" s="760"/>
      <c r="F69" s="760"/>
      <c r="G69" s="760"/>
      <c r="H69" s="760"/>
      <c r="I69" s="760"/>
      <c r="J69" s="760"/>
      <c r="K69" s="760"/>
      <c r="L69" s="760"/>
      <c r="M69" s="760"/>
      <c r="N69" s="760"/>
      <c r="O69" s="760"/>
      <c r="P69" s="760"/>
      <c r="Q69" s="761"/>
      <c r="R69" s="181"/>
      <c r="S69" s="181"/>
      <c r="T69" s="181"/>
    </row>
    <row r="70" spans="1:21" ht="24" customHeight="1" x14ac:dyDescent="0.2">
      <c r="A70" s="755" t="s">
        <v>209</v>
      </c>
      <c r="B70" s="756"/>
      <c r="C70" s="756"/>
      <c r="D70" s="756"/>
      <c r="E70" s="756"/>
      <c r="F70" s="756"/>
      <c r="G70" s="756"/>
      <c r="H70" s="756"/>
      <c r="I70" s="756"/>
      <c r="J70" s="756"/>
      <c r="K70" s="756"/>
      <c r="L70" s="756"/>
      <c r="M70" s="756"/>
      <c r="N70" s="756"/>
      <c r="O70" s="756"/>
      <c r="P70" s="756"/>
      <c r="Q70" s="757"/>
      <c r="R70" s="181"/>
      <c r="S70" s="181"/>
      <c r="T70" s="181"/>
    </row>
    <row r="71" spans="1:21" x14ac:dyDescent="0.2">
      <c r="A71" s="169" t="s">
        <v>44</v>
      </c>
      <c r="B71" s="125"/>
      <c r="C71" s="125"/>
      <c r="D71" s="125"/>
      <c r="E71" s="125"/>
      <c r="F71" s="125"/>
      <c r="G71" s="125"/>
      <c r="H71" s="125"/>
      <c r="I71" s="184"/>
      <c r="J71" s="125"/>
      <c r="K71" s="125"/>
      <c r="L71" s="125"/>
      <c r="M71" s="125"/>
      <c r="N71" s="291"/>
      <c r="Q71" s="250"/>
      <c r="R71" s="149" t="s">
        <v>332</v>
      </c>
      <c r="S71" s="149" t="s">
        <v>333</v>
      </c>
      <c r="T71" s="181"/>
    </row>
    <row r="72" spans="1:21" ht="39" customHeight="1" x14ac:dyDescent="0.2">
      <c r="A72" s="161" t="s">
        <v>45</v>
      </c>
      <c r="B72" s="123"/>
      <c r="C72" s="123">
        <v>558</v>
      </c>
      <c r="D72" s="123">
        <v>559</v>
      </c>
      <c r="E72" s="123">
        <v>559</v>
      </c>
      <c r="F72" s="123">
        <v>560</v>
      </c>
      <c r="G72" s="123">
        <v>560</v>
      </c>
      <c r="H72" s="152">
        <v>561</v>
      </c>
      <c r="I72" s="321">
        <v>561</v>
      </c>
      <c r="J72" s="164"/>
      <c r="K72" s="165">
        <v>175.3</v>
      </c>
      <c r="L72" s="165">
        <v>35.1</v>
      </c>
      <c r="M72" s="144">
        <f>SUM(R72:S72)</f>
        <v>239.9</v>
      </c>
      <c r="N72" s="170">
        <v>214.7</v>
      </c>
      <c r="O72" s="251">
        <v>214.7</v>
      </c>
      <c r="P72" s="251">
        <v>214.7</v>
      </c>
      <c r="Q72" s="251">
        <v>214.7</v>
      </c>
      <c r="R72" s="149">
        <v>13.5</v>
      </c>
      <c r="S72" s="149">
        <v>226.4</v>
      </c>
      <c r="T72" s="149">
        <f>SUM(R72:S72)</f>
        <v>239.9</v>
      </c>
      <c r="U72" s="218">
        <f>T72-M72</f>
        <v>0</v>
      </c>
    </row>
    <row r="73" spans="1:21" ht="28.5" customHeight="1" x14ac:dyDescent="0.2">
      <c r="A73" s="796" t="s">
        <v>207</v>
      </c>
      <c r="B73" s="781"/>
      <c r="C73" s="781"/>
      <c r="D73" s="781"/>
      <c r="E73" s="781"/>
      <c r="F73" s="781"/>
      <c r="G73" s="781"/>
      <c r="H73" s="781"/>
      <c r="I73" s="760"/>
      <c r="J73" s="781"/>
      <c r="K73" s="781"/>
      <c r="L73" s="781"/>
      <c r="M73" s="781"/>
      <c r="N73" s="781"/>
      <c r="O73" s="781"/>
      <c r="P73" s="781"/>
      <c r="Q73" s="782"/>
    </row>
    <row r="74" spans="1:21" ht="30.75" customHeight="1" x14ac:dyDescent="0.2">
      <c r="A74" s="767" t="s">
        <v>174</v>
      </c>
      <c r="B74" s="767"/>
      <c r="C74" s="767"/>
      <c r="D74" s="767"/>
      <c r="E74" s="767"/>
      <c r="F74" s="767"/>
      <c r="G74" s="767"/>
      <c r="H74" s="767"/>
      <c r="I74" s="767"/>
      <c r="J74" s="767"/>
      <c r="K74" s="767"/>
      <c r="L74" s="767"/>
      <c r="M74" s="767"/>
      <c r="N74" s="767"/>
      <c r="O74" s="767"/>
      <c r="P74" s="767"/>
      <c r="Q74" s="767"/>
    </row>
    <row r="75" spans="1:21" ht="47.25" hidden="1" outlineLevel="1" x14ac:dyDescent="0.2">
      <c r="A75" s="183" t="s">
        <v>48</v>
      </c>
      <c r="B75" s="123">
        <v>503</v>
      </c>
      <c r="C75" s="123"/>
      <c r="D75" s="123">
        <v>500</v>
      </c>
      <c r="E75" s="123">
        <v>500</v>
      </c>
      <c r="F75" s="123"/>
      <c r="G75" s="123"/>
      <c r="H75" s="123"/>
      <c r="I75" s="123"/>
      <c r="J75" s="165">
        <f>1659.9-76.9</f>
        <v>1583</v>
      </c>
      <c r="K75" s="165"/>
      <c r="L75" s="165">
        <f>1664.9-83.2</f>
        <v>1581.7</v>
      </c>
      <c r="M75" s="123">
        <f>L75</f>
        <v>1581.7</v>
      </c>
      <c r="Q75" s="245"/>
    </row>
    <row r="76" spans="1:21" ht="63" hidden="1" outlineLevel="1" x14ac:dyDescent="0.2">
      <c r="A76" s="183" t="s">
        <v>49</v>
      </c>
      <c r="B76" s="123">
        <v>209</v>
      </c>
      <c r="C76" s="123"/>
      <c r="D76" s="123">
        <v>209</v>
      </c>
      <c r="E76" s="123">
        <v>209</v>
      </c>
      <c r="F76" s="123"/>
      <c r="G76" s="123"/>
      <c r="H76" s="123"/>
      <c r="I76" s="123"/>
      <c r="J76" s="165">
        <f>2891.6-15.4</f>
        <v>2876.2</v>
      </c>
      <c r="K76" s="165"/>
      <c r="L76" s="165">
        <f>2893.6-15.4</f>
        <v>2878.2</v>
      </c>
      <c r="M76" s="165">
        <f>2893.6-15.4</f>
        <v>2878.2</v>
      </c>
      <c r="Q76" s="245"/>
    </row>
    <row r="77" spans="1:21" ht="47.25" hidden="1" outlineLevel="1" x14ac:dyDescent="0.2">
      <c r="A77" s="183" t="s">
        <v>50</v>
      </c>
      <c r="B77" s="123">
        <v>383</v>
      </c>
      <c r="C77" s="123"/>
      <c r="D77" s="123">
        <v>383</v>
      </c>
      <c r="E77" s="123">
        <v>383</v>
      </c>
      <c r="F77" s="123"/>
      <c r="G77" s="123"/>
      <c r="H77" s="123"/>
      <c r="I77" s="123"/>
      <c r="J77" s="165">
        <v>783</v>
      </c>
      <c r="K77" s="165"/>
      <c r="L77" s="165">
        <v>800.4</v>
      </c>
      <c r="M77" s="123">
        <f t="shared" ref="M77:M83" si="0">L77</f>
        <v>800.4</v>
      </c>
      <c r="Q77" s="245"/>
    </row>
    <row r="78" spans="1:21" ht="31.5" hidden="1" outlineLevel="1" x14ac:dyDescent="0.2">
      <c r="A78" s="183" t="s">
        <v>51</v>
      </c>
      <c r="B78" s="123">
        <v>572</v>
      </c>
      <c r="C78" s="123"/>
      <c r="D78" s="123">
        <v>572</v>
      </c>
      <c r="E78" s="123">
        <v>572</v>
      </c>
      <c r="F78" s="123"/>
      <c r="G78" s="123"/>
      <c r="H78" s="123"/>
      <c r="I78" s="123"/>
      <c r="J78" s="165">
        <v>1101.7</v>
      </c>
      <c r="K78" s="165"/>
      <c r="L78" s="165">
        <v>922.5</v>
      </c>
      <c r="M78" s="123">
        <f t="shared" si="0"/>
        <v>922.5</v>
      </c>
      <c r="Q78" s="245"/>
    </row>
    <row r="79" spans="1:21" ht="47.25" hidden="1" outlineLevel="1" x14ac:dyDescent="0.2">
      <c r="A79" s="183" t="s">
        <v>52</v>
      </c>
      <c r="B79" s="123">
        <v>589</v>
      </c>
      <c r="C79" s="123"/>
      <c r="D79" s="123">
        <v>590</v>
      </c>
      <c r="E79" s="123">
        <v>590</v>
      </c>
      <c r="F79" s="123"/>
      <c r="G79" s="123"/>
      <c r="H79" s="123"/>
      <c r="I79" s="123"/>
      <c r="J79" s="165">
        <v>6877.9</v>
      </c>
      <c r="K79" s="165"/>
      <c r="L79" s="165">
        <v>6902.2</v>
      </c>
      <c r="M79" s="123">
        <f t="shared" si="0"/>
        <v>6902.2</v>
      </c>
      <c r="Q79" s="245"/>
    </row>
    <row r="80" spans="1:21" ht="31.5" hidden="1" outlineLevel="1" x14ac:dyDescent="0.2">
      <c r="A80" s="183" t="s">
        <v>53</v>
      </c>
      <c r="B80" s="123">
        <v>167</v>
      </c>
      <c r="C80" s="123"/>
      <c r="D80" s="123">
        <v>169</v>
      </c>
      <c r="E80" s="123">
        <v>169</v>
      </c>
      <c r="F80" s="123"/>
      <c r="G80" s="123"/>
      <c r="H80" s="123"/>
      <c r="I80" s="123"/>
      <c r="J80" s="165">
        <v>2745.7</v>
      </c>
      <c r="K80" s="165"/>
      <c r="L80" s="165">
        <v>2664.8</v>
      </c>
      <c r="M80" s="123">
        <f t="shared" si="0"/>
        <v>2664.8</v>
      </c>
      <c r="Q80" s="245"/>
    </row>
    <row r="81" spans="1:26" ht="47.25" hidden="1" outlineLevel="1" x14ac:dyDescent="0.2">
      <c r="A81" s="183" t="s">
        <v>54</v>
      </c>
      <c r="B81" s="123">
        <v>290</v>
      </c>
      <c r="C81" s="123"/>
      <c r="D81" s="123">
        <v>290</v>
      </c>
      <c r="E81" s="123">
        <v>290</v>
      </c>
      <c r="F81" s="123"/>
      <c r="G81" s="123"/>
      <c r="H81" s="123"/>
      <c r="I81" s="123"/>
      <c r="J81" s="165">
        <v>3065.9</v>
      </c>
      <c r="K81" s="165"/>
      <c r="L81" s="165">
        <v>3834.3</v>
      </c>
      <c r="M81" s="123">
        <f t="shared" si="0"/>
        <v>3834.3</v>
      </c>
      <c r="Q81" s="245"/>
    </row>
    <row r="82" spans="1:26" ht="47.25" hidden="1" outlineLevel="1" x14ac:dyDescent="0.2">
      <c r="A82" s="183" t="s">
        <v>55</v>
      </c>
      <c r="B82" s="123">
        <v>220</v>
      </c>
      <c r="C82" s="123"/>
      <c r="D82" s="123">
        <v>220</v>
      </c>
      <c r="E82" s="123">
        <v>220</v>
      </c>
      <c r="F82" s="123"/>
      <c r="G82" s="123"/>
      <c r="H82" s="123"/>
      <c r="I82" s="123"/>
      <c r="J82" s="165">
        <v>600</v>
      </c>
      <c r="K82" s="165"/>
      <c r="L82" s="165">
        <v>700</v>
      </c>
      <c r="M82" s="123">
        <f t="shared" si="0"/>
        <v>700</v>
      </c>
      <c r="Q82" s="245"/>
    </row>
    <row r="83" spans="1:26" ht="47.25" hidden="1" outlineLevel="1" x14ac:dyDescent="0.2">
      <c r="A83" s="183" t="s">
        <v>56</v>
      </c>
      <c r="B83" s="123">
        <v>102</v>
      </c>
      <c r="C83" s="123"/>
      <c r="D83" s="123">
        <v>102</v>
      </c>
      <c r="E83" s="123">
        <v>102</v>
      </c>
      <c r="F83" s="123"/>
      <c r="G83" s="123"/>
      <c r="H83" s="123"/>
      <c r="I83" s="123"/>
      <c r="J83" s="165">
        <v>1799.2</v>
      </c>
      <c r="K83" s="165"/>
      <c r="L83" s="165">
        <v>1911</v>
      </c>
      <c r="M83" s="123">
        <f t="shared" si="0"/>
        <v>1911</v>
      </c>
      <c r="Q83" s="245"/>
    </row>
    <row r="84" spans="1:26" ht="38.25" customHeight="1" collapsed="1" x14ac:dyDescent="0.2">
      <c r="A84" s="197" t="s">
        <v>47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291"/>
      <c r="Q84" s="245"/>
      <c r="R84" s="149" t="s">
        <v>334</v>
      </c>
      <c r="S84" s="149" t="s">
        <v>335</v>
      </c>
    </row>
    <row r="85" spans="1:26" ht="40.5" customHeight="1" x14ac:dyDescent="0.2">
      <c r="A85" s="161" t="s">
        <v>45</v>
      </c>
      <c r="B85" s="123"/>
      <c r="C85" s="123">
        <v>188</v>
      </c>
      <c r="D85" s="123">
        <v>188</v>
      </c>
      <c r="E85" s="123">
        <v>188</v>
      </c>
      <c r="F85" s="123">
        <v>188</v>
      </c>
      <c r="G85" s="123">
        <v>188</v>
      </c>
      <c r="H85" s="123">
        <v>188</v>
      </c>
      <c r="I85" s="123">
        <v>188</v>
      </c>
      <c r="J85" s="165"/>
      <c r="K85" s="165">
        <v>640.1</v>
      </c>
      <c r="L85" s="165">
        <v>714.7</v>
      </c>
      <c r="M85" s="144">
        <f>SUM(R85:S85)</f>
        <v>1821.1999999999998</v>
      </c>
      <c r="N85" s="170">
        <v>1621.3</v>
      </c>
      <c r="O85" s="251">
        <v>1621.3</v>
      </c>
      <c r="P85" s="251">
        <v>1621.3</v>
      </c>
      <c r="Q85" s="251">
        <v>1621.3</v>
      </c>
      <c r="R85" s="149">
        <v>1784.1</v>
      </c>
      <c r="S85" s="149">
        <v>37.1</v>
      </c>
      <c r="T85" s="149">
        <f>SUM(R85:S85)</f>
        <v>1821.1999999999998</v>
      </c>
      <c r="U85" s="218">
        <f>T85-M85</f>
        <v>0</v>
      </c>
    </row>
    <row r="86" spans="1:26" ht="53.25" customHeight="1" collapsed="1" x14ac:dyDescent="0.2">
      <c r="A86" s="197" t="s">
        <v>135</v>
      </c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4"/>
      <c r="P86" s="245"/>
      <c r="Q86" s="245"/>
      <c r="R86" s="149" t="s">
        <v>336</v>
      </c>
      <c r="S86" s="149" t="s">
        <v>337</v>
      </c>
    </row>
    <row r="87" spans="1:26" ht="40.5" customHeight="1" x14ac:dyDescent="0.2">
      <c r="A87" s="161" t="s">
        <v>45</v>
      </c>
      <c r="B87" s="123"/>
      <c r="C87" s="123">
        <v>38</v>
      </c>
      <c r="D87" s="123">
        <v>38</v>
      </c>
      <c r="E87" s="123">
        <v>38</v>
      </c>
      <c r="F87" s="123">
        <v>38</v>
      </c>
      <c r="G87" s="123">
        <v>38</v>
      </c>
      <c r="H87" s="123">
        <v>38</v>
      </c>
      <c r="I87" s="123">
        <v>38</v>
      </c>
      <c r="J87" s="165"/>
      <c r="K87" s="165">
        <v>167.9</v>
      </c>
      <c r="L87" s="165">
        <f>170.8-50</f>
        <v>120.80000000000001</v>
      </c>
      <c r="M87" s="123">
        <f>SUM(R87:S87)</f>
        <v>546.20000000000005</v>
      </c>
      <c r="N87" s="124">
        <v>143.69999999999999</v>
      </c>
      <c r="O87" s="251">
        <v>143.69999999999999</v>
      </c>
      <c r="P87" s="251">
        <v>143.69999999999999</v>
      </c>
      <c r="Q87" s="251">
        <v>143.69999999999999</v>
      </c>
      <c r="R87" s="149">
        <v>546.20000000000005</v>
      </c>
      <c r="T87" s="149">
        <f>SUM(R87:S87)</f>
        <v>546.20000000000005</v>
      </c>
      <c r="U87" s="218">
        <f>T87-M87</f>
        <v>0</v>
      </c>
    </row>
    <row r="88" spans="1:26" ht="33.75" customHeight="1" x14ac:dyDescent="0.2">
      <c r="A88" s="793" t="s">
        <v>175</v>
      </c>
      <c r="B88" s="794"/>
      <c r="C88" s="794"/>
      <c r="D88" s="794"/>
      <c r="E88" s="794"/>
      <c r="F88" s="794"/>
      <c r="G88" s="794"/>
      <c r="H88" s="794"/>
      <c r="I88" s="794"/>
      <c r="J88" s="794"/>
      <c r="K88" s="794"/>
      <c r="L88" s="794"/>
      <c r="M88" s="794"/>
      <c r="N88" s="794"/>
      <c r="O88" s="794"/>
      <c r="P88" s="794"/>
      <c r="Q88" s="795"/>
    </row>
    <row r="89" spans="1:26" ht="18.75" customHeight="1" x14ac:dyDescent="0.2">
      <c r="A89" s="792" t="s">
        <v>177</v>
      </c>
      <c r="B89" s="792"/>
      <c r="C89" s="792"/>
      <c r="D89" s="792"/>
      <c r="E89" s="792"/>
      <c r="F89" s="792"/>
      <c r="G89" s="792"/>
      <c r="H89" s="792"/>
      <c r="I89" s="792"/>
      <c r="J89" s="792"/>
      <c r="K89" s="792"/>
      <c r="L89" s="792"/>
      <c r="M89" s="792"/>
      <c r="N89" s="792"/>
      <c r="O89" s="792"/>
      <c r="P89" s="792"/>
      <c r="Q89" s="792"/>
    </row>
    <row r="90" spans="1:26" ht="35.25" customHeight="1" x14ac:dyDescent="0.2">
      <c r="A90" s="169" t="s">
        <v>393</v>
      </c>
      <c r="B90" s="125"/>
      <c r="C90" s="125"/>
      <c r="D90" s="125"/>
      <c r="E90" s="125"/>
      <c r="F90" s="125"/>
      <c r="G90" s="125"/>
      <c r="H90" s="184"/>
      <c r="I90" s="184"/>
      <c r="J90" s="125"/>
      <c r="K90" s="125"/>
      <c r="L90" s="125"/>
      <c r="M90" s="184"/>
      <c r="N90" s="291"/>
      <c r="Q90" s="250"/>
      <c r="R90" s="149" t="s">
        <v>334</v>
      </c>
      <c r="S90" s="149" t="s">
        <v>335</v>
      </c>
    </row>
    <row r="91" spans="1:26" ht="37.5" customHeight="1" x14ac:dyDescent="0.2">
      <c r="A91" s="161" t="s">
        <v>45</v>
      </c>
      <c r="B91" s="123"/>
      <c r="C91" s="123">
        <v>89</v>
      </c>
      <c r="D91" s="123">
        <v>89</v>
      </c>
      <c r="E91" s="123">
        <v>89</v>
      </c>
      <c r="F91" s="123">
        <v>89</v>
      </c>
      <c r="G91" s="162">
        <v>90</v>
      </c>
      <c r="H91" s="321">
        <v>91</v>
      </c>
      <c r="I91" s="321">
        <v>91</v>
      </c>
      <c r="J91" s="185"/>
      <c r="K91" s="123">
        <v>426.8</v>
      </c>
      <c r="L91" s="162">
        <v>481.9</v>
      </c>
      <c r="M91" s="146">
        <f>SUM(R91:S91)</f>
        <v>1346.5</v>
      </c>
      <c r="N91" s="170">
        <v>1192.0999999999999</v>
      </c>
      <c r="O91" s="251">
        <v>1192.0999999999999</v>
      </c>
      <c r="P91" s="251">
        <v>1192.0999999999999</v>
      </c>
      <c r="Q91" s="251">
        <v>1192.0999999999999</v>
      </c>
      <c r="R91" s="149">
        <v>1309.4000000000001</v>
      </c>
      <c r="S91" s="149">
        <v>37.1</v>
      </c>
      <c r="T91" s="149">
        <f>SUM(R91:S91)</f>
        <v>1346.5</v>
      </c>
      <c r="U91" s="218">
        <f>T91-M91</f>
        <v>0</v>
      </c>
    </row>
    <row r="92" spans="1:26" outlineLevel="1" x14ac:dyDescent="0.2">
      <c r="A92" s="186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T92" s="149">
        <f>SUM(T9:T91)</f>
        <v>88261.199999999968</v>
      </c>
    </row>
    <row r="93" spans="1:26" s="190" customFormat="1" ht="19.5" customHeight="1" x14ac:dyDescent="0.2">
      <c r="A93" s="188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297"/>
      <c r="O93" s="265"/>
      <c r="P93" s="265"/>
      <c r="Q93" s="265"/>
      <c r="R93" s="191"/>
      <c r="S93" s="191"/>
      <c r="T93" s="191"/>
      <c r="U93" s="219"/>
      <c r="V93" s="191"/>
      <c r="W93" s="192"/>
      <c r="X93" s="192"/>
      <c r="Y93" s="192"/>
      <c r="Z93" s="192"/>
    </row>
    <row r="94" spans="1:26" ht="19.5" customHeight="1" x14ac:dyDescent="0.2">
      <c r="A94" s="193" t="s">
        <v>263</v>
      </c>
      <c r="B94" s="765"/>
      <c r="C94" s="765"/>
      <c r="D94" s="765"/>
      <c r="E94" s="768"/>
      <c r="F94" s="768"/>
      <c r="G94" s="768"/>
      <c r="H94" s="768"/>
      <c r="I94" s="768"/>
      <c r="J94" s="766"/>
      <c r="K94" s="766"/>
      <c r="L94" s="766"/>
      <c r="M94" s="766"/>
      <c r="N94" s="769" t="s">
        <v>338</v>
      </c>
      <c r="O94" s="769"/>
      <c r="P94" s="769"/>
      <c r="Q94" s="769"/>
    </row>
    <row r="95" spans="1:26" ht="37.5" customHeight="1" x14ac:dyDescent="0.2">
      <c r="A95" s="763"/>
      <c r="B95" s="763"/>
      <c r="C95" s="194"/>
      <c r="D95" s="764"/>
      <c r="E95" s="764"/>
      <c r="F95" s="764"/>
      <c r="G95" s="764"/>
      <c r="H95" s="764"/>
      <c r="I95" s="764"/>
      <c r="J95" s="764"/>
      <c r="K95" s="195"/>
      <c r="L95" s="188"/>
      <c r="M95" s="188"/>
    </row>
    <row r="96" spans="1:26" ht="37.5" customHeight="1" x14ac:dyDescent="0.2"/>
    <row r="97" ht="37.5" customHeight="1" x14ac:dyDescent="0.2"/>
    <row r="98" ht="37.5" customHeight="1" x14ac:dyDescent="0.2"/>
    <row r="99" ht="37.5" customHeight="1" x14ac:dyDescent="0.2"/>
    <row r="100" ht="37.5" customHeight="1" x14ac:dyDescent="0.2"/>
    <row r="101" ht="37.5" customHeight="1" x14ac:dyDescent="0.2"/>
  </sheetData>
  <sheetProtection selectLockedCells="1" selectUnlockedCells="1"/>
  <mergeCells count="50">
    <mergeCell ref="A69:Q69"/>
    <mergeCell ref="A44:M44"/>
    <mergeCell ref="A89:Q89"/>
    <mergeCell ref="A88:Q88"/>
    <mergeCell ref="A73:Q73"/>
    <mergeCell ref="A70:Q70"/>
    <mergeCell ref="A30:Q30"/>
    <mergeCell ref="A31:Q31"/>
    <mergeCell ref="A64:Q64"/>
    <mergeCell ref="A63:Q63"/>
    <mergeCell ref="A60:Q60"/>
    <mergeCell ref="A34:Q34"/>
    <mergeCell ref="A52:Q52"/>
    <mergeCell ref="A19:Q19"/>
    <mergeCell ref="A14:Q14"/>
    <mergeCell ref="A59:Q59"/>
    <mergeCell ref="A41:M41"/>
    <mergeCell ref="A48:M48"/>
    <mergeCell ref="A55:Q55"/>
    <mergeCell ref="A56:Q56"/>
    <mergeCell ref="A15:Q15"/>
    <mergeCell ref="A37:M37"/>
    <mergeCell ref="A51:Q51"/>
    <mergeCell ref="E1:M1"/>
    <mergeCell ref="A4:A5"/>
    <mergeCell ref="J4:Q4"/>
    <mergeCell ref="B4:I4"/>
    <mergeCell ref="A38:M38"/>
    <mergeCell ref="A45:M45"/>
    <mergeCell ref="A10:Q10"/>
    <mergeCell ref="A11:Q11"/>
    <mergeCell ref="A7:Q7"/>
    <mergeCell ref="A18:Q18"/>
    <mergeCell ref="A95:B95"/>
    <mergeCell ref="D95:J95"/>
    <mergeCell ref="B94:D94"/>
    <mergeCell ref="J94:M94"/>
    <mergeCell ref="A74:Q74"/>
    <mergeCell ref="E94:I94"/>
    <mergeCell ref="N94:Q94"/>
    <mergeCell ref="W2:Z2"/>
    <mergeCell ref="AA2:AC2"/>
    <mergeCell ref="AD2:AF2"/>
    <mergeCell ref="S3:T3"/>
    <mergeCell ref="A26:Q26"/>
    <mergeCell ref="A27:Q27"/>
    <mergeCell ref="A23:Q23"/>
    <mergeCell ref="A22:Q22"/>
    <mergeCell ref="A6:Q6"/>
    <mergeCell ref="A2:Q2"/>
  </mergeCells>
  <pageMargins left="0.70866141732283472" right="0.23622047244094491" top="0.74803149606299213" bottom="0.74803149606299213" header="0.51181102362204722" footer="0.51181102362204722"/>
  <pageSetup paperSize="9" scale="67" firstPageNumber="0" fitToHeight="8" orientation="landscape" horizontalDpi="300" verticalDpi="300" r:id="rId1"/>
  <headerFooter alignWithMargins="0"/>
  <rowBreaks count="3" manualBreakCount="3">
    <brk id="15" max="16" man="1"/>
    <brk id="39" max="16" man="1"/>
    <brk id="62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103"/>
  <sheetViews>
    <sheetView view="pageBreakPreview" topLeftCell="A87" zoomScale="120" zoomScaleNormal="100" zoomScaleSheetLayoutView="120" workbookViewId="0">
      <selection activeCell="A98" sqref="A98"/>
    </sheetView>
  </sheetViews>
  <sheetFormatPr defaultRowHeight="18.75" outlineLevelRow="1" x14ac:dyDescent="0.2"/>
  <cols>
    <col min="1" max="1" width="26.140625" style="148" customWidth="1"/>
    <col min="2" max="2" width="13.28515625" style="148" hidden="1" customWidth="1"/>
    <col min="3" max="3" width="8.5703125" style="148" customWidth="1"/>
    <col min="4" max="4" width="9.140625" style="148" customWidth="1"/>
    <col min="5" max="5" width="8.42578125" style="148" customWidth="1"/>
    <col min="6" max="6" width="7" style="148" customWidth="1"/>
    <col min="7" max="7" width="7.5703125" style="444" customWidth="1"/>
    <col min="8" max="8" width="7.42578125" style="148" customWidth="1"/>
    <col min="9" max="9" width="7.7109375" style="148" customWidth="1"/>
    <col min="10" max="10" width="7.140625" style="148" customWidth="1"/>
    <col min="11" max="11" width="1" style="148" hidden="1" customWidth="1"/>
    <col min="12" max="16" width="8.42578125" style="148" customWidth="1"/>
    <col min="17" max="17" width="8" style="148" customWidth="1"/>
    <col min="18" max="18" width="7.5703125" style="148" customWidth="1"/>
    <col min="19" max="19" width="8.85546875" style="148" customWidth="1"/>
    <col min="20" max="20" width="8.42578125" style="148" customWidth="1"/>
    <col min="21" max="21" width="7.85546875" style="444" customWidth="1"/>
    <col min="22" max="22" width="9.140625" style="148" customWidth="1"/>
    <col min="23" max="23" width="8.5703125" style="527" customWidth="1"/>
    <col min="24" max="24" width="8.42578125" style="527" customWidth="1"/>
    <col min="25" max="25" width="9.85546875" style="400" hidden="1" customWidth="1"/>
    <col min="26" max="26" width="12.7109375" style="401" hidden="1" customWidth="1"/>
    <col min="27" max="27" width="12.140625" style="401" hidden="1" customWidth="1"/>
    <col min="28" max="28" width="13.42578125" style="401" hidden="1" customWidth="1"/>
    <col min="29" max="29" width="12.42578125" style="401" hidden="1" customWidth="1"/>
    <col min="30" max="31" width="14" style="402" hidden="1" customWidth="1"/>
    <col min="32" max="32" width="10.42578125" style="402" hidden="1" customWidth="1"/>
    <col min="33" max="33" width="12.5703125" style="402" hidden="1" customWidth="1"/>
    <col min="34" max="34" width="13.7109375" style="148" hidden="1" customWidth="1"/>
    <col min="35" max="35" width="12.140625" style="148" hidden="1" customWidth="1"/>
    <col min="36" max="36" width="10.42578125" style="402" hidden="1" customWidth="1"/>
    <col min="37" max="37" width="12.140625" style="148" hidden="1" customWidth="1"/>
    <col min="38" max="38" width="12.7109375" style="148" hidden="1" customWidth="1"/>
    <col min="39" max="40" width="12" style="148" hidden="1" customWidth="1"/>
    <col min="41" max="41" width="13.85546875" style="148" hidden="1" customWidth="1"/>
    <col min="42" max="42" width="9.140625" style="148" hidden="1" customWidth="1"/>
    <col min="43" max="43" width="9.140625" style="453" customWidth="1"/>
    <col min="44" max="47" width="9.140625" style="148" customWidth="1"/>
    <col min="48" max="48" width="38.42578125" style="148" customWidth="1"/>
    <col min="49" max="16384" width="9.140625" style="148"/>
  </cols>
  <sheetData>
    <row r="1" spans="1:48" ht="25.5" customHeight="1" thickBot="1" x14ac:dyDescent="0.25">
      <c r="A1" s="453"/>
      <c r="B1" s="453"/>
      <c r="C1" s="453"/>
      <c r="D1" s="453"/>
      <c r="E1" s="802" t="s">
        <v>736</v>
      </c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3"/>
      <c r="U1" s="803"/>
      <c r="V1" s="803"/>
      <c r="W1" s="803"/>
      <c r="X1" s="523"/>
    </row>
    <row r="2" spans="1:48" ht="16.5" customHeight="1" x14ac:dyDescent="0.2">
      <c r="A2" s="808" t="s">
        <v>40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808"/>
      <c r="O2" s="808"/>
      <c r="P2" s="808"/>
      <c r="Q2" s="808"/>
      <c r="R2" s="808"/>
      <c r="S2" s="808"/>
      <c r="T2" s="808"/>
      <c r="U2" s="808"/>
      <c r="V2" s="808"/>
      <c r="W2" s="808"/>
      <c r="X2" s="524"/>
      <c r="Z2" s="403"/>
      <c r="AA2" s="404">
        <v>2017</v>
      </c>
      <c r="AB2" s="405"/>
      <c r="AC2" s="406"/>
      <c r="AD2" s="809">
        <v>2018</v>
      </c>
      <c r="AE2" s="809"/>
      <c r="AF2" s="809"/>
      <c r="AG2" s="809"/>
      <c r="AH2" s="810">
        <v>2019</v>
      </c>
      <c r="AI2" s="811"/>
      <c r="AJ2" s="811"/>
      <c r="AK2" s="812"/>
      <c r="AL2" s="809">
        <v>2020</v>
      </c>
      <c r="AM2" s="809"/>
      <c r="AN2" s="809"/>
      <c r="AO2" s="809"/>
    </row>
    <row r="3" spans="1:48" s="402" customFormat="1" ht="23.25" customHeight="1" x14ac:dyDescent="0.2">
      <c r="A3" s="804" t="s">
        <v>41</v>
      </c>
      <c r="B3" s="805" t="s">
        <v>176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7"/>
      <c r="Q3" s="804" t="s">
        <v>42</v>
      </c>
      <c r="R3" s="804"/>
      <c r="S3" s="804"/>
      <c r="T3" s="804"/>
      <c r="U3" s="804"/>
      <c r="V3" s="804"/>
      <c r="W3" s="804"/>
      <c r="X3" s="804"/>
      <c r="Y3" s="804"/>
      <c r="Z3" s="804"/>
      <c r="AA3" s="804"/>
      <c r="AB3" s="804"/>
      <c r="AC3" s="804"/>
      <c r="AD3" s="804"/>
      <c r="AE3" s="804"/>
      <c r="AF3" s="804"/>
      <c r="AG3" s="804"/>
      <c r="AH3" s="804"/>
      <c r="AI3" s="804"/>
      <c r="AJ3" s="804"/>
      <c r="AK3" s="804"/>
      <c r="AL3" s="804"/>
      <c r="AM3" s="804"/>
      <c r="AN3" s="804"/>
      <c r="AO3" s="804"/>
      <c r="AP3" s="804"/>
      <c r="AQ3" s="804"/>
      <c r="AR3" s="804"/>
      <c r="AS3" s="804"/>
      <c r="AT3" s="804"/>
      <c r="AU3" s="804"/>
      <c r="AV3" s="409"/>
    </row>
    <row r="4" spans="1:48" ht="33.75" customHeight="1" x14ac:dyDescent="0.2">
      <c r="A4" s="804"/>
      <c r="B4" s="454" t="s">
        <v>7</v>
      </c>
      <c r="C4" s="454" t="s">
        <v>8</v>
      </c>
      <c r="D4" s="454" t="s">
        <v>9</v>
      </c>
      <c r="E4" s="454" t="s">
        <v>122</v>
      </c>
      <c r="F4" s="454" t="s">
        <v>160</v>
      </c>
      <c r="G4" s="454" t="s">
        <v>163</v>
      </c>
      <c r="H4" s="454" t="s">
        <v>164</v>
      </c>
      <c r="I4" s="454" t="s">
        <v>391</v>
      </c>
      <c r="J4" s="455" t="s">
        <v>392</v>
      </c>
      <c r="K4" s="533" t="s">
        <v>7</v>
      </c>
      <c r="L4" s="455" t="s">
        <v>439</v>
      </c>
      <c r="M4" s="525" t="s">
        <v>440</v>
      </c>
      <c r="N4" s="474" t="s">
        <v>441</v>
      </c>
      <c r="O4" s="474" t="s">
        <v>442</v>
      </c>
      <c r="P4" s="474" t="s">
        <v>443</v>
      </c>
      <c r="Q4" s="454" t="s">
        <v>8</v>
      </c>
      <c r="R4" s="454" t="s">
        <v>9</v>
      </c>
      <c r="S4" s="454" t="s">
        <v>122</v>
      </c>
      <c r="T4" s="454" t="s">
        <v>160</v>
      </c>
      <c r="U4" s="454" t="s">
        <v>163</v>
      </c>
      <c r="V4" s="454" t="s">
        <v>164</v>
      </c>
      <c r="W4" s="612" t="s">
        <v>391</v>
      </c>
      <c r="X4" s="612" t="s">
        <v>392</v>
      </c>
      <c r="Y4" s="609" t="s">
        <v>392</v>
      </c>
      <c r="Z4" s="609" t="s">
        <v>439</v>
      </c>
      <c r="AA4" s="609" t="s">
        <v>440</v>
      </c>
      <c r="AB4" s="609" t="s">
        <v>441</v>
      </c>
      <c r="AC4" s="609" t="s">
        <v>442</v>
      </c>
      <c r="AD4" s="609" t="s">
        <v>443</v>
      </c>
      <c r="AE4" s="609" t="s">
        <v>444</v>
      </c>
      <c r="AF4" s="609" t="s">
        <v>445</v>
      </c>
      <c r="AG4" s="609" t="s">
        <v>446</v>
      </c>
      <c r="AH4" s="609" t="s">
        <v>447</v>
      </c>
      <c r="AI4" s="609" t="s">
        <v>448</v>
      </c>
      <c r="AJ4" s="609" t="s">
        <v>449</v>
      </c>
      <c r="AK4" s="609" t="s">
        <v>450</v>
      </c>
      <c r="AL4" s="609" t="s">
        <v>451</v>
      </c>
      <c r="AM4" s="609" t="s">
        <v>452</v>
      </c>
      <c r="AN4" s="609" t="s">
        <v>453</v>
      </c>
      <c r="AO4" s="609" t="s">
        <v>454</v>
      </c>
      <c r="AP4" s="609" t="s">
        <v>455</v>
      </c>
      <c r="AQ4" s="612" t="s">
        <v>439</v>
      </c>
      <c r="AR4" s="612" t="s">
        <v>440</v>
      </c>
      <c r="AS4" s="612" t="s">
        <v>441</v>
      </c>
      <c r="AT4" s="612" t="s">
        <v>442</v>
      </c>
      <c r="AU4" s="612" t="s">
        <v>443</v>
      </c>
      <c r="AV4" s="407"/>
    </row>
    <row r="5" spans="1:48" ht="21.75" customHeight="1" x14ac:dyDescent="0.2">
      <c r="A5" s="797" t="s">
        <v>198</v>
      </c>
      <c r="B5" s="797"/>
      <c r="C5" s="797"/>
      <c r="D5" s="797"/>
      <c r="E5" s="797"/>
      <c r="F5" s="797"/>
      <c r="G5" s="797"/>
      <c r="H5" s="797"/>
      <c r="I5" s="797"/>
      <c r="J5" s="797"/>
      <c r="K5" s="797"/>
      <c r="L5" s="797"/>
      <c r="M5" s="797"/>
      <c r="N5" s="797"/>
      <c r="O5" s="797"/>
      <c r="P5" s="797"/>
      <c r="Q5" s="797"/>
      <c r="R5" s="797"/>
      <c r="S5" s="797"/>
      <c r="T5" s="797"/>
      <c r="U5" s="797"/>
      <c r="V5" s="797"/>
      <c r="W5" s="797"/>
      <c r="X5" s="797"/>
      <c r="Y5" s="797"/>
      <c r="Z5" s="797"/>
      <c r="AA5" s="797"/>
      <c r="AB5" s="797"/>
      <c r="AC5" s="797"/>
      <c r="AD5" s="797"/>
      <c r="AE5" s="797"/>
      <c r="AF5" s="797"/>
      <c r="AG5" s="797"/>
      <c r="AH5" s="797"/>
      <c r="AI5" s="797"/>
      <c r="AJ5" s="797"/>
      <c r="AK5" s="797"/>
      <c r="AL5" s="797"/>
      <c r="AM5" s="797"/>
      <c r="AN5" s="797"/>
      <c r="AO5" s="797"/>
      <c r="AP5" s="797"/>
      <c r="AQ5" s="797"/>
      <c r="AR5" s="797"/>
      <c r="AS5" s="797"/>
      <c r="AT5" s="797"/>
      <c r="AU5" s="797"/>
      <c r="AV5" s="408"/>
    </row>
    <row r="6" spans="1:48" ht="17.25" customHeight="1" x14ac:dyDescent="0.2">
      <c r="A6" s="801" t="s">
        <v>427</v>
      </c>
      <c r="B6" s="801"/>
      <c r="C6" s="801"/>
      <c r="D6" s="801"/>
      <c r="E6" s="801"/>
      <c r="F6" s="801"/>
      <c r="G6" s="801"/>
      <c r="H6" s="801"/>
      <c r="I6" s="801"/>
      <c r="J6" s="801"/>
      <c r="K6" s="801"/>
      <c r="L6" s="801"/>
      <c r="M6" s="801"/>
      <c r="N6" s="801"/>
      <c r="O6" s="801"/>
      <c r="P6" s="801"/>
      <c r="Q6" s="801"/>
      <c r="R6" s="801"/>
      <c r="S6" s="801"/>
      <c r="T6" s="801"/>
      <c r="U6" s="801"/>
      <c r="V6" s="801"/>
      <c r="W6" s="801"/>
      <c r="X6" s="801"/>
      <c r="Y6" s="801"/>
      <c r="Z6" s="801"/>
      <c r="AA6" s="801"/>
      <c r="AB6" s="801"/>
      <c r="AC6" s="801"/>
      <c r="AD6" s="801"/>
      <c r="AE6" s="801"/>
      <c r="AF6" s="801"/>
      <c r="AG6" s="801"/>
      <c r="AH6" s="801"/>
      <c r="AI6" s="801"/>
      <c r="AJ6" s="801"/>
      <c r="AK6" s="801"/>
      <c r="AL6" s="801"/>
      <c r="AM6" s="801"/>
      <c r="AN6" s="801"/>
      <c r="AO6" s="801"/>
      <c r="AP6" s="801"/>
      <c r="AQ6" s="801"/>
      <c r="AR6" s="801"/>
      <c r="AS6" s="801"/>
      <c r="AT6" s="801"/>
      <c r="AU6" s="801"/>
      <c r="AV6" s="408"/>
    </row>
    <row r="7" spans="1:48" ht="22.5" x14ac:dyDescent="0.2">
      <c r="A7" s="455" t="s">
        <v>44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550" t="s">
        <v>330</v>
      </c>
      <c r="Z7" s="551" t="s">
        <v>331</v>
      </c>
      <c r="AA7" s="551">
        <f>SUM(AA3:AA6)</f>
        <v>0</v>
      </c>
      <c r="AB7" s="551"/>
      <c r="AC7" s="551"/>
      <c r="AD7" s="551">
        <f>SUM(AD3:AD6)</f>
        <v>0</v>
      </c>
      <c r="AE7" s="551">
        <f>SUM(AE3:AE6)</f>
        <v>0</v>
      </c>
      <c r="AF7" s="551">
        <f>SUM(AF3:AF6)</f>
        <v>0</v>
      </c>
      <c r="AG7" s="551">
        <f>AE7-AD7-AF7</f>
        <v>0</v>
      </c>
      <c r="AH7" s="551">
        <f>SUM(AH3:AH6)</f>
        <v>0</v>
      </c>
      <c r="AI7" s="551">
        <f>SUM(AI3:AI6)</f>
        <v>0</v>
      </c>
      <c r="AJ7" s="551">
        <f>SUM(AJ3:AJ6)</f>
        <v>0</v>
      </c>
      <c r="AK7" s="613">
        <f>AI7-AH7-AJ7</f>
        <v>0</v>
      </c>
      <c r="AL7" s="551">
        <f>SUM(AL3:AL6)</f>
        <v>0</v>
      </c>
      <c r="AM7" s="551">
        <f>SUM(AM3:AM6)</f>
        <v>0</v>
      </c>
      <c r="AN7" s="551">
        <f>SUM(AN3:AN6)</f>
        <v>0</v>
      </c>
      <c r="AO7" s="613">
        <f>AM7-AL7-AN7</f>
        <v>0</v>
      </c>
      <c r="AP7" s="410"/>
      <c r="AQ7" s="455"/>
      <c r="AR7" s="410"/>
      <c r="AS7" s="410"/>
      <c r="AT7" s="410"/>
      <c r="AU7" s="410"/>
      <c r="AV7" s="408"/>
    </row>
    <row r="8" spans="1:48" ht="33.75" x14ac:dyDescent="0.2">
      <c r="A8" s="465" t="s">
        <v>45</v>
      </c>
      <c r="B8" s="455">
        <v>22815</v>
      </c>
      <c r="C8" s="455">
        <v>22818</v>
      </c>
      <c r="D8" s="455">
        <v>23039</v>
      </c>
      <c r="E8" s="455">
        <v>23041</v>
      </c>
      <c r="F8" s="456">
        <v>179838</v>
      </c>
      <c r="G8" s="456">
        <v>185803</v>
      </c>
      <c r="H8" s="466">
        <v>186402</v>
      </c>
      <c r="I8" s="466">
        <v>162503</v>
      </c>
      <c r="J8" s="456">
        <v>207000</v>
      </c>
      <c r="K8" s="457">
        <v>20624.8</v>
      </c>
      <c r="L8" s="457">
        <v>225820</v>
      </c>
      <c r="M8" s="457">
        <v>263450</v>
      </c>
      <c r="N8" s="457">
        <v>338720</v>
      </c>
      <c r="O8" s="457">
        <v>376360</v>
      </c>
      <c r="P8" s="457">
        <v>376360</v>
      </c>
      <c r="Q8" s="457">
        <v>19303</v>
      </c>
      <c r="R8" s="457">
        <f>19876.6+158.7</f>
        <v>20035.3</v>
      </c>
      <c r="S8" s="457">
        <v>19775.900000000001</v>
      </c>
      <c r="T8" s="457">
        <v>16392.849999999999</v>
      </c>
      <c r="U8" s="457">
        <v>17370.900000000001</v>
      </c>
      <c r="V8" s="457">
        <v>13750</v>
      </c>
      <c r="W8" s="457">
        <v>14931.8</v>
      </c>
      <c r="X8" s="457">
        <v>17370.599999999999</v>
      </c>
      <c r="Y8" s="550"/>
      <c r="Z8" s="551"/>
      <c r="AA8" s="551"/>
      <c r="AB8" s="551"/>
      <c r="AC8" s="551"/>
      <c r="AD8" s="551"/>
      <c r="AE8" s="551"/>
      <c r="AF8" s="551"/>
      <c r="AG8" s="551"/>
      <c r="AH8" s="551"/>
      <c r="AI8" s="551"/>
      <c r="AJ8" s="551"/>
      <c r="AK8" s="613"/>
      <c r="AL8" s="551"/>
      <c r="AM8" s="551"/>
      <c r="AN8" s="551"/>
      <c r="AO8" s="613"/>
      <c r="AP8" s="410"/>
      <c r="AQ8" s="457">
        <v>24676.6</v>
      </c>
      <c r="AR8" s="457">
        <v>29682.5</v>
      </c>
      <c r="AS8" s="457">
        <v>33393.699999999997</v>
      </c>
      <c r="AT8" s="457">
        <v>30405</v>
      </c>
      <c r="AU8" s="457">
        <v>30595.1</v>
      </c>
      <c r="AV8" s="412"/>
    </row>
    <row r="9" spans="1:48" ht="30" customHeight="1" x14ac:dyDescent="0.2">
      <c r="A9" s="797" t="s">
        <v>199</v>
      </c>
      <c r="B9" s="797"/>
      <c r="C9" s="797"/>
      <c r="D9" s="797"/>
      <c r="E9" s="797"/>
      <c r="F9" s="797"/>
      <c r="G9" s="797"/>
      <c r="H9" s="797"/>
      <c r="I9" s="797"/>
      <c r="J9" s="797"/>
      <c r="K9" s="797"/>
      <c r="L9" s="797"/>
      <c r="M9" s="797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7"/>
      <c r="AI9" s="797"/>
      <c r="AJ9" s="797"/>
      <c r="AK9" s="797"/>
      <c r="AL9" s="797"/>
      <c r="AM9" s="797"/>
      <c r="AN9" s="797"/>
      <c r="AO9" s="797"/>
      <c r="AP9" s="797"/>
      <c r="AQ9" s="797"/>
      <c r="AR9" s="797"/>
      <c r="AS9" s="797"/>
      <c r="AT9" s="797"/>
      <c r="AU9" s="797"/>
      <c r="AV9" s="408"/>
    </row>
    <row r="10" spans="1:48" ht="18" customHeight="1" x14ac:dyDescent="0.2">
      <c r="A10" s="801" t="s">
        <v>456</v>
      </c>
      <c r="B10" s="801"/>
      <c r="C10" s="801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801"/>
      <c r="O10" s="801"/>
      <c r="P10" s="801"/>
      <c r="Q10" s="801"/>
      <c r="R10" s="801"/>
      <c r="S10" s="801"/>
      <c r="T10" s="801"/>
      <c r="U10" s="801"/>
      <c r="V10" s="801"/>
      <c r="W10" s="801"/>
      <c r="X10" s="801"/>
      <c r="Y10" s="801"/>
      <c r="Z10" s="801"/>
      <c r="AA10" s="801"/>
      <c r="AB10" s="801"/>
      <c r="AC10" s="801"/>
      <c r="AD10" s="801"/>
      <c r="AE10" s="801"/>
      <c r="AF10" s="801"/>
      <c r="AG10" s="801"/>
      <c r="AH10" s="801"/>
      <c r="AI10" s="801"/>
      <c r="AJ10" s="801"/>
      <c r="AK10" s="801"/>
      <c r="AL10" s="801"/>
      <c r="AM10" s="801"/>
      <c r="AN10" s="801"/>
      <c r="AO10" s="801"/>
      <c r="AP10" s="801"/>
      <c r="AQ10" s="801"/>
      <c r="AR10" s="801"/>
      <c r="AS10" s="801"/>
      <c r="AT10" s="801"/>
      <c r="AU10" s="801"/>
      <c r="AV10" s="408"/>
    </row>
    <row r="11" spans="1:48" ht="22.5" x14ac:dyDescent="0.2">
      <c r="A11" s="455" t="s">
        <v>44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550"/>
      <c r="Z11" s="551"/>
      <c r="AA11" s="551"/>
      <c r="AB11" s="551"/>
      <c r="AC11" s="551"/>
      <c r="AD11" s="442"/>
      <c r="AE11" s="442"/>
      <c r="AF11" s="442"/>
      <c r="AG11" s="442"/>
      <c r="AH11" s="410"/>
      <c r="AI11" s="410"/>
      <c r="AJ11" s="442"/>
      <c r="AK11" s="410"/>
      <c r="AL11" s="410"/>
      <c r="AM11" s="410"/>
      <c r="AN11" s="410"/>
      <c r="AO11" s="410"/>
      <c r="AP11" s="410"/>
      <c r="AQ11" s="455"/>
      <c r="AR11" s="410"/>
      <c r="AS11" s="410"/>
      <c r="AT11" s="410"/>
      <c r="AU11" s="410"/>
      <c r="AV11" s="408"/>
    </row>
    <row r="12" spans="1:48" ht="35.25" customHeight="1" x14ac:dyDescent="0.2">
      <c r="A12" s="465" t="s">
        <v>45</v>
      </c>
      <c r="B12" s="455">
        <v>0</v>
      </c>
      <c r="C12" s="455">
        <v>325</v>
      </c>
      <c r="D12" s="455">
        <v>330</v>
      </c>
      <c r="E12" s="455">
        <v>335</v>
      </c>
      <c r="F12" s="456">
        <v>332</v>
      </c>
      <c r="G12" s="456">
        <v>21900</v>
      </c>
      <c r="H12" s="466">
        <v>22204</v>
      </c>
      <c r="I12" s="466">
        <v>22559</v>
      </c>
      <c r="J12" s="456">
        <v>22570</v>
      </c>
      <c r="K12" s="457">
        <v>0</v>
      </c>
      <c r="L12" s="457">
        <v>0</v>
      </c>
      <c r="M12" s="457">
        <v>0</v>
      </c>
      <c r="N12" s="457">
        <v>0</v>
      </c>
      <c r="O12" s="457">
        <v>0</v>
      </c>
      <c r="P12" s="457">
        <v>0</v>
      </c>
      <c r="Q12" s="457">
        <v>689.4</v>
      </c>
      <c r="R12" s="457">
        <v>716.2</v>
      </c>
      <c r="S12" s="457">
        <v>1214.7</v>
      </c>
      <c r="T12" s="457">
        <v>1169.8900000000001</v>
      </c>
      <c r="U12" s="457">
        <v>2769.1</v>
      </c>
      <c r="V12" s="457">
        <v>3608.5</v>
      </c>
      <c r="W12" s="457">
        <v>4286.8999999999996</v>
      </c>
      <c r="X12" s="457">
        <v>4335.5</v>
      </c>
      <c r="Y12" s="614">
        <f>W12</f>
        <v>4286.8999999999996</v>
      </c>
      <c r="Z12" s="614">
        <f t="shared" ref="Z12:AP12" si="0">Y12</f>
        <v>4286.8999999999996</v>
      </c>
      <c r="AA12" s="614">
        <f t="shared" si="0"/>
        <v>4286.8999999999996</v>
      </c>
      <c r="AB12" s="614">
        <f t="shared" si="0"/>
        <v>4286.8999999999996</v>
      </c>
      <c r="AC12" s="614">
        <f t="shared" si="0"/>
        <v>4286.8999999999996</v>
      </c>
      <c r="AD12" s="614">
        <f t="shared" si="0"/>
        <v>4286.8999999999996</v>
      </c>
      <c r="AE12" s="614">
        <f t="shared" si="0"/>
        <v>4286.8999999999996</v>
      </c>
      <c r="AF12" s="614">
        <f t="shared" si="0"/>
        <v>4286.8999999999996</v>
      </c>
      <c r="AG12" s="614">
        <f t="shared" si="0"/>
        <v>4286.8999999999996</v>
      </c>
      <c r="AH12" s="614">
        <f t="shared" si="0"/>
        <v>4286.8999999999996</v>
      </c>
      <c r="AI12" s="614">
        <f t="shared" si="0"/>
        <v>4286.8999999999996</v>
      </c>
      <c r="AJ12" s="614">
        <f t="shared" si="0"/>
        <v>4286.8999999999996</v>
      </c>
      <c r="AK12" s="614">
        <f t="shared" si="0"/>
        <v>4286.8999999999996</v>
      </c>
      <c r="AL12" s="614">
        <f t="shared" si="0"/>
        <v>4286.8999999999996</v>
      </c>
      <c r="AM12" s="614">
        <f t="shared" si="0"/>
        <v>4286.8999999999996</v>
      </c>
      <c r="AN12" s="614">
        <f t="shared" si="0"/>
        <v>4286.8999999999996</v>
      </c>
      <c r="AO12" s="614">
        <f t="shared" si="0"/>
        <v>4286.8999999999996</v>
      </c>
      <c r="AP12" s="614">
        <f t="shared" si="0"/>
        <v>4286.8999999999996</v>
      </c>
      <c r="AQ12" s="457">
        <v>0</v>
      </c>
      <c r="AR12" s="457">
        <v>0</v>
      </c>
      <c r="AS12" s="457">
        <v>0</v>
      </c>
      <c r="AT12" s="457">
        <v>0</v>
      </c>
      <c r="AU12" s="457">
        <v>0</v>
      </c>
      <c r="AV12" s="483"/>
    </row>
    <row r="13" spans="1:48" ht="21" customHeight="1" x14ac:dyDescent="0.2">
      <c r="A13" s="797" t="s">
        <v>472</v>
      </c>
      <c r="B13" s="797"/>
      <c r="C13" s="797"/>
      <c r="D13" s="797"/>
      <c r="E13" s="797"/>
      <c r="F13" s="797"/>
      <c r="G13" s="797"/>
      <c r="H13" s="797"/>
      <c r="I13" s="797"/>
      <c r="J13" s="797"/>
      <c r="K13" s="797"/>
      <c r="L13" s="797"/>
      <c r="M13" s="797"/>
      <c r="N13" s="797"/>
      <c r="O13" s="797"/>
      <c r="P13" s="797"/>
      <c r="Q13" s="797"/>
      <c r="R13" s="797"/>
      <c r="S13" s="797"/>
      <c r="T13" s="797"/>
      <c r="U13" s="797"/>
      <c r="V13" s="797"/>
      <c r="W13" s="797"/>
      <c r="X13" s="797"/>
      <c r="Y13" s="797"/>
      <c r="Z13" s="797"/>
      <c r="AA13" s="797"/>
      <c r="AB13" s="797"/>
      <c r="AC13" s="797"/>
      <c r="AD13" s="797"/>
      <c r="AE13" s="797"/>
      <c r="AF13" s="797"/>
      <c r="AG13" s="797"/>
      <c r="AH13" s="797"/>
      <c r="AI13" s="797"/>
      <c r="AJ13" s="797"/>
      <c r="AK13" s="797"/>
      <c r="AL13" s="797"/>
      <c r="AM13" s="797"/>
      <c r="AN13" s="797"/>
      <c r="AO13" s="797"/>
      <c r="AP13" s="797"/>
      <c r="AQ13" s="797"/>
      <c r="AR13" s="797"/>
      <c r="AS13" s="797"/>
      <c r="AT13" s="797"/>
      <c r="AU13" s="797"/>
      <c r="AV13" s="408"/>
    </row>
    <row r="14" spans="1:48" ht="26.25" customHeight="1" x14ac:dyDescent="0.2">
      <c r="A14" s="801" t="s">
        <v>471</v>
      </c>
      <c r="B14" s="801"/>
      <c r="C14" s="801"/>
      <c r="D14" s="801"/>
      <c r="E14" s="801"/>
      <c r="F14" s="801"/>
      <c r="G14" s="801"/>
      <c r="H14" s="801"/>
      <c r="I14" s="801"/>
      <c r="J14" s="801"/>
      <c r="K14" s="801"/>
      <c r="L14" s="801"/>
      <c r="M14" s="801"/>
      <c r="N14" s="801"/>
      <c r="O14" s="801"/>
      <c r="P14" s="801"/>
      <c r="Q14" s="801"/>
      <c r="R14" s="801"/>
      <c r="S14" s="801"/>
      <c r="T14" s="801"/>
      <c r="U14" s="801"/>
      <c r="V14" s="801"/>
      <c r="W14" s="801"/>
      <c r="X14" s="801"/>
      <c r="Y14" s="801"/>
      <c r="Z14" s="801"/>
      <c r="AA14" s="801"/>
      <c r="AB14" s="801"/>
      <c r="AC14" s="801"/>
      <c r="AD14" s="801"/>
      <c r="AE14" s="801"/>
      <c r="AF14" s="801"/>
      <c r="AG14" s="801"/>
      <c r="AH14" s="801"/>
      <c r="AI14" s="801"/>
      <c r="AJ14" s="801"/>
      <c r="AK14" s="801"/>
      <c r="AL14" s="801"/>
      <c r="AM14" s="801"/>
      <c r="AN14" s="801"/>
      <c r="AO14" s="801"/>
      <c r="AP14" s="801"/>
      <c r="AQ14" s="801"/>
      <c r="AR14" s="801"/>
      <c r="AS14" s="801"/>
      <c r="AT14" s="801"/>
      <c r="AU14" s="801"/>
      <c r="AV14" s="408"/>
    </row>
    <row r="15" spans="1:48" ht="22.5" x14ac:dyDescent="0.2">
      <c r="A15" s="455" t="s">
        <v>44</v>
      </c>
      <c r="B15" s="455"/>
      <c r="C15" s="455"/>
      <c r="D15" s="455"/>
      <c r="E15" s="455"/>
      <c r="F15" s="455"/>
      <c r="G15" s="455"/>
      <c r="H15" s="455"/>
      <c r="I15" s="455"/>
      <c r="J15" s="456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550" t="s">
        <v>332</v>
      </c>
      <c r="Z15" s="551" t="s">
        <v>333</v>
      </c>
      <c r="AA15" s="551"/>
      <c r="AB15" s="551"/>
      <c r="AC15" s="551"/>
      <c r="AD15" s="442"/>
      <c r="AE15" s="442"/>
      <c r="AF15" s="442"/>
      <c r="AG15" s="442"/>
      <c r="AH15" s="410"/>
      <c r="AI15" s="410"/>
      <c r="AJ15" s="442"/>
      <c r="AK15" s="410"/>
      <c r="AL15" s="410"/>
      <c r="AM15" s="410"/>
      <c r="AN15" s="410"/>
      <c r="AO15" s="410"/>
      <c r="AP15" s="410"/>
      <c r="AQ15" s="455"/>
      <c r="AR15" s="410"/>
      <c r="AS15" s="410"/>
      <c r="AT15" s="410"/>
      <c r="AU15" s="410"/>
      <c r="AV15" s="408"/>
    </row>
    <row r="16" spans="1:48" ht="37.5" customHeight="1" x14ac:dyDescent="0.2">
      <c r="A16" s="465" t="s">
        <v>45</v>
      </c>
      <c r="B16" s="455"/>
      <c r="C16" s="456">
        <v>66</v>
      </c>
      <c r="D16" s="456">
        <v>66</v>
      </c>
      <c r="E16" s="456">
        <v>66</v>
      </c>
      <c r="F16" s="456">
        <v>66</v>
      </c>
      <c r="G16" s="456">
        <v>50</v>
      </c>
      <c r="H16" s="456">
        <v>70</v>
      </c>
      <c r="I16" s="456">
        <v>70</v>
      </c>
      <c r="J16" s="456">
        <v>70</v>
      </c>
      <c r="K16" s="457"/>
      <c r="L16" s="457">
        <v>0</v>
      </c>
      <c r="M16" s="457">
        <v>0</v>
      </c>
      <c r="N16" s="457">
        <v>0</v>
      </c>
      <c r="O16" s="457">
        <v>0</v>
      </c>
      <c r="P16" s="457">
        <v>0</v>
      </c>
      <c r="Q16" s="457">
        <v>1956.5</v>
      </c>
      <c r="R16" s="457">
        <v>2133.4</v>
      </c>
      <c r="S16" s="457">
        <v>2953.7</v>
      </c>
      <c r="T16" s="457">
        <f>3510.04+21.4</f>
        <v>3531.44</v>
      </c>
      <c r="U16" s="457">
        <v>3018</v>
      </c>
      <c r="V16" s="457">
        <v>3557.8</v>
      </c>
      <c r="W16" s="457">
        <v>3034.6</v>
      </c>
      <c r="X16" s="457">
        <v>3053.2</v>
      </c>
      <c r="Y16" s="614">
        <f>W16</f>
        <v>3034.6</v>
      </c>
      <c r="Z16" s="614">
        <f t="shared" ref="Z16:AP16" si="1">Y16</f>
        <v>3034.6</v>
      </c>
      <c r="AA16" s="614">
        <f t="shared" si="1"/>
        <v>3034.6</v>
      </c>
      <c r="AB16" s="614">
        <f t="shared" si="1"/>
        <v>3034.6</v>
      </c>
      <c r="AC16" s="614">
        <f t="shared" si="1"/>
        <v>3034.6</v>
      </c>
      <c r="AD16" s="614">
        <f t="shared" si="1"/>
        <v>3034.6</v>
      </c>
      <c r="AE16" s="614">
        <f t="shared" si="1"/>
        <v>3034.6</v>
      </c>
      <c r="AF16" s="614">
        <f t="shared" si="1"/>
        <v>3034.6</v>
      </c>
      <c r="AG16" s="614">
        <f t="shared" si="1"/>
        <v>3034.6</v>
      </c>
      <c r="AH16" s="614">
        <f t="shared" si="1"/>
        <v>3034.6</v>
      </c>
      <c r="AI16" s="614">
        <f t="shared" si="1"/>
        <v>3034.6</v>
      </c>
      <c r="AJ16" s="614">
        <f t="shared" si="1"/>
        <v>3034.6</v>
      </c>
      <c r="AK16" s="614">
        <f t="shared" si="1"/>
        <v>3034.6</v>
      </c>
      <c r="AL16" s="614">
        <f t="shared" si="1"/>
        <v>3034.6</v>
      </c>
      <c r="AM16" s="614">
        <f t="shared" si="1"/>
        <v>3034.6</v>
      </c>
      <c r="AN16" s="614">
        <f t="shared" si="1"/>
        <v>3034.6</v>
      </c>
      <c r="AO16" s="614">
        <f t="shared" si="1"/>
        <v>3034.6</v>
      </c>
      <c r="AP16" s="614">
        <f t="shared" si="1"/>
        <v>3034.6</v>
      </c>
      <c r="AQ16" s="457">
        <v>0</v>
      </c>
      <c r="AR16" s="457">
        <v>0</v>
      </c>
      <c r="AS16" s="457">
        <v>0</v>
      </c>
      <c r="AT16" s="457">
        <v>0</v>
      </c>
      <c r="AU16" s="457">
        <v>0</v>
      </c>
      <c r="AV16" s="483"/>
    </row>
    <row r="17" spans="1:48" ht="16.5" customHeight="1" x14ac:dyDescent="0.2">
      <c r="A17" s="797" t="s">
        <v>166</v>
      </c>
      <c r="B17" s="797"/>
      <c r="C17" s="797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O17" s="797"/>
      <c r="P17" s="797"/>
      <c r="Q17" s="797"/>
      <c r="R17" s="797"/>
      <c r="S17" s="797"/>
      <c r="T17" s="797"/>
      <c r="U17" s="797"/>
      <c r="V17" s="797"/>
      <c r="W17" s="797"/>
      <c r="X17" s="797"/>
      <c r="Y17" s="797"/>
      <c r="Z17" s="797"/>
      <c r="AA17" s="797"/>
      <c r="AB17" s="797"/>
      <c r="AC17" s="797"/>
      <c r="AD17" s="797"/>
      <c r="AE17" s="797"/>
      <c r="AF17" s="797"/>
      <c r="AG17" s="797"/>
      <c r="AH17" s="797"/>
      <c r="AI17" s="797"/>
      <c r="AJ17" s="797"/>
      <c r="AK17" s="797"/>
      <c r="AL17" s="797"/>
      <c r="AM17" s="797"/>
      <c r="AN17" s="797"/>
      <c r="AO17" s="797"/>
      <c r="AP17" s="797"/>
      <c r="AQ17" s="797"/>
      <c r="AR17" s="797"/>
      <c r="AS17" s="797"/>
      <c r="AT17" s="797"/>
      <c r="AU17" s="797"/>
      <c r="AV17" s="408"/>
    </row>
    <row r="18" spans="1:48" ht="23.25" customHeight="1" x14ac:dyDescent="0.2">
      <c r="A18" s="801" t="s">
        <v>491</v>
      </c>
      <c r="B18" s="801"/>
      <c r="C18" s="801"/>
      <c r="D18" s="801"/>
      <c r="E18" s="801"/>
      <c r="F18" s="801"/>
      <c r="G18" s="801"/>
      <c r="H18" s="801"/>
      <c r="I18" s="801"/>
      <c r="J18" s="801"/>
      <c r="K18" s="801"/>
      <c r="L18" s="801"/>
      <c r="M18" s="801"/>
      <c r="N18" s="801"/>
      <c r="O18" s="801"/>
      <c r="P18" s="801"/>
      <c r="Q18" s="801"/>
      <c r="R18" s="801"/>
      <c r="S18" s="801"/>
      <c r="T18" s="801"/>
      <c r="U18" s="801"/>
      <c r="V18" s="801"/>
      <c r="W18" s="801"/>
      <c r="X18" s="801"/>
      <c r="Y18" s="801"/>
      <c r="Z18" s="801"/>
      <c r="AA18" s="801"/>
      <c r="AB18" s="801"/>
      <c r="AC18" s="801"/>
      <c r="AD18" s="801"/>
      <c r="AE18" s="801"/>
      <c r="AF18" s="801"/>
      <c r="AG18" s="801"/>
      <c r="AH18" s="801"/>
      <c r="AI18" s="801"/>
      <c r="AJ18" s="801"/>
      <c r="AK18" s="801"/>
      <c r="AL18" s="801"/>
      <c r="AM18" s="801"/>
      <c r="AN18" s="801"/>
      <c r="AO18" s="801"/>
      <c r="AP18" s="801"/>
      <c r="AQ18" s="801"/>
      <c r="AR18" s="801"/>
      <c r="AS18" s="801"/>
      <c r="AT18" s="801"/>
      <c r="AU18" s="801"/>
      <c r="AV18" s="813"/>
    </row>
    <row r="19" spans="1:48" ht="41.25" customHeight="1" x14ac:dyDescent="0.2">
      <c r="A19" s="455" t="s">
        <v>44</v>
      </c>
      <c r="B19" s="455"/>
      <c r="C19" s="455"/>
      <c r="D19" s="455"/>
      <c r="E19" s="455"/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550"/>
      <c r="Z19" s="551"/>
      <c r="AA19" s="551"/>
      <c r="AB19" s="551"/>
      <c r="AC19" s="551"/>
      <c r="AD19" s="442"/>
      <c r="AE19" s="442"/>
      <c r="AF19" s="442"/>
      <c r="AG19" s="442"/>
      <c r="AH19" s="410"/>
      <c r="AI19" s="410"/>
      <c r="AJ19" s="442"/>
      <c r="AK19" s="410"/>
      <c r="AL19" s="410"/>
      <c r="AM19" s="410"/>
      <c r="AN19" s="410"/>
      <c r="AO19" s="410"/>
      <c r="AP19" s="410"/>
      <c r="AQ19" s="455"/>
      <c r="AR19" s="410"/>
      <c r="AS19" s="410"/>
      <c r="AT19" s="410"/>
      <c r="AU19" s="410"/>
      <c r="AV19" s="813"/>
    </row>
    <row r="20" spans="1:48" ht="33.75" x14ac:dyDescent="0.2">
      <c r="A20" s="615" t="s">
        <v>45</v>
      </c>
      <c r="B20" s="467"/>
      <c r="C20" s="467">
        <v>39789</v>
      </c>
      <c r="D20" s="467">
        <v>40460</v>
      </c>
      <c r="E20" s="467">
        <v>41083</v>
      </c>
      <c r="F20" s="616">
        <v>40990</v>
      </c>
      <c r="G20" s="617">
        <v>36910</v>
      </c>
      <c r="H20" s="618">
        <v>43822</v>
      </c>
      <c r="I20" s="619">
        <v>37980</v>
      </c>
      <c r="J20" s="616">
        <v>46230</v>
      </c>
      <c r="K20" s="620"/>
      <c r="L20" s="655">
        <v>47146</v>
      </c>
      <c r="M20" s="655">
        <v>48233</v>
      </c>
      <c r="N20" s="655">
        <v>49710</v>
      </c>
      <c r="O20" s="655">
        <v>50611</v>
      </c>
      <c r="P20" s="655">
        <v>50611</v>
      </c>
      <c r="Q20" s="621">
        <v>6718.6</v>
      </c>
      <c r="R20" s="621">
        <v>7372.7</v>
      </c>
      <c r="S20" s="621">
        <v>6210.1</v>
      </c>
      <c r="T20" s="621">
        <v>2537.84</v>
      </c>
      <c r="U20" s="621">
        <v>3470.6</v>
      </c>
      <c r="V20" s="621">
        <v>6838.2</v>
      </c>
      <c r="W20" s="622">
        <v>7840.7</v>
      </c>
      <c r="X20" s="623">
        <v>11782.7</v>
      </c>
      <c r="AP20" s="624"/>
      <c r="AQ20" s="623">
        <v>17060.2</v>
      </c>
      <c r="AR20" s="623">
        <v>19056.400000000001</v>
      </c>
      <c r="AS20" s="623">
        <v>23450.1</v>
      </c>
      <c r="AT20" s="623">
        <v>21275.200000000001</v>
      </c>
      <c r="AU20" s="623">
        <v>21477</v>
      </c>
      <c r="AV20" s="412"/>
    </row>
    <row r="21" spans="1:48" ht="18.75" customHeight="1" x14ac:dyDescent="0.2">
      <c r="A21" s="820" t="s">
        <v>167</v>
      </c>
      <c r="B21" s="820"/>
      <c r="C21" s="820"/>
      <c r="D21" s="820"/>
      <c r="E21" s="820"/>
      <c r="F21" s="820"/>
      <c r="G21" s="820"/>
      <c r="H21" s="820"/>
      <c r="I21" s="820"/>
      <c r="J21" s="820"/>
      <c r="K21" s="820"/>
      <c r="L21" s="820"/>
      <c r="M21" s="820"/>
      <c r="N21" s="820"/>
      <c r="O21" s="820"/>
      <c r="P21" s="820"/>
      <c r="Q21" s="820"/>
      <c r="R21" s="820"/>
      <c r="S21" s="820"/>
      <c r="T21" s="820"/>
      <c r="U21" s="820"/>
      <c r="V21" s="820"/>
      <c r="W21" s="820"/>
      <c r="X21" s="820"/>
      <c r="Y21" s="820"/>
      <c r="Z21" s="820"/>
      <c r="AA21" s="820"/>
      <c r="AB21" s="820"/>
      <c r="AC21" s="820"/>
      <c r="AD21" s="820"/>
      <c r="AE21" s="820"/>
      <c r="AF21" s="820"/>
      <c r="AG21" s="820"/>
      <c r="AH21" s="820"/>
      <c r="AI21" s="820"/>
      <c r="AJ21" s="820"/>
      <c r="AK21" s="820"/>
      <c r="AL21" s="820"/>
      <c r="AM21" s="820"/>
      <c r="AN21" s="820"/>
      <c r="AO21" s="820"/>
      <c r="AP21" s="820"/>
      <c r="AQ21" s="820"/>
      <c r="AR21" s="820"/>
      <c r="AS21" s="820"/>
      <c r="AT21" s="820"/>
      <c r="AU21" s="820"/>
      <c r="AV21" s="408"/>
    </row>
    <row r="22" spans="1:48" ht="25.5" customHeight="1" x14ac:dyDescent="0.2">
      <c r="A22" s="801" t="s">
        <v>46</v>
      </c>
      <c r="B22" s="801"/>
      <c r="C22" s="801"/>
      <c r="D22" s="801"/>
      <c r="E22" s="801"/>
      <c r="F22" s="801"/>
      <c r="G22" s="801"/>
      <c r="H22" s="801"/>
      <c r="I22" s="801"/>
      <c r="J22" s="801"/>
      <c r="K22" s="801"/>
      <c r="L22" s="801"/>
      <c r="M22" s="801"/>
      <c r="N22" s="801"/>
      <c r="O22" s="801"/>
      <c r="P22" s="801"/>
      <c r="Q22" s="801"/>
      <c r="R22" s="801"/>
      <c r="S22" s="801"/>
      <c r="T22" s="801"/>
      <c r="U22" s="801"/>
      <c r="V22" s="801"/>
      <c r="W22" s="801"/>
      <c r="X22" s="801"/>
      <c r="Y22" s="801"/>
      <c r="Z22" s="801"/>
      <c r="AA22" s="801"/>
      <c r="AB22" s="801"/>
      <c r="AC22" s="801"/>
      <c r="AD22" s="801"/>
      <c r="AE22" s="801"/>
      <c r="AF22" s="801"/>
      <c r="AG22" s="801"/>
      <c r="AH22" s="801"/>
      <c r="AI22" s="801"/>
      <c r="AJ22" s="801"/>
      <c r="AK22" s="801"/>
      <c r="AL22" s="801"/>
      <c r="AM22" s="801"/>
      <c r="AN22" s="801"/>
      <c r="AO22" s="801"/>
      <c r="AP22" s="801"/>
      <c r="AQ22" s="801"/>
      <c r="AR22" s="801"/>
      <c r="AS22" s="801"/>
      <c r="AT22" s="801"/>
      <c r="AU22" s="801"/>
      <c r="AV22" s="408"/>
    </row>
    <row r="23" spans="1:48" ht="36.75" customHeight="1" x14ac:dyDescent="0.2">
      <c r="A23" s="455" t="s">
        <v>47</v>
      </c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550" t="s">
        <v>334</v>
      </c>
      <c r="Z23" s="551" t="s">
        <v>335</v>
      </c>
      <c r="AA23" s="551"/>
      <c r="AB23" s="551"/>
      <c r="AC23" s="551"/>
      <c r="AD23" s="442"/>
      <c r="AE23" s="442"/>
      <c r="AF23" s="442"/>
      <c r="AG23" s="442"/>
      <c r="AH23" s="410"/>
      <c r="AI23" s="410"/>
      <c r="AJ23" s="442"/>
      <c r="AK23" s="410"/>
      <c r="AL23" s="410"/>
      <c r="AM23" s="410"/>
      <c r="AN23" s="410"/>
      <c r="AO23" s="410"/>
      <c r="AP23" s="410"/>
      <c r="AQ23" s="455"/>
      <c r="AR23" s="410"/>
      <c r="AS23" s="410"/>
      <c r="AT23" s="410"/>
      <c r="AU23" s="410"/>
      <c r="AV23" s="408"/>
    </row>
    <row r="24" spans="1:48" ht="34.5" customHeight="1" x14ac:dyDescent="0.2">
      <c r="A24" s="615" t="s">
        <v>45</v>
      </c>
      <c r="B24" s="467"/>
      <c r="C24" s="467">
        <v>83625</v>
      </c>
      <c r="D24" s="467">
        <v>87792</v>
      </c>
      <c r="E24" s="467">
        <v>87800</v>
      </c>
      <c r="F24" s="467">
        <v>0</v>
      </c>
      <c r="G24" s="467">
        <v>0</v>
      </c>
      <c r="H24" s="467">
        <v>0</v>
      </c>
      <c r="I24" s="467">
        <v>0</v>
      </c>
      <c r="J24" s="467">
        <v>0</v>
      </c>
      <c r="K24" s="467">
        <v>0</v>
      </c>
      <c r="L24" s="467">
        <v>0</v>
      </c>
      <c r="M24" s="467">
        <v>0</v>
      </c>
      <c r="N24" s="467">
        <v>0</v>
      </c>
      <c r="O24" s="467">
        <v>0</v>
      </c>
      <c r="P24" s="467">
        <v>0</v>
      </c>
      <c r="Q24" s="467">
        <v>0</v>
      </c>
      <c r="R24" s="467">
        <v>0</v>
      </c>
      <c r="S24" s="467">
        <v>0</v>
      </c>
      <c r="T24" s="467">
        <v>0</v>
      </c>
      <c r="U24" s="467">
        <v>0</v>
      </c>
      <c r="V24" s="621">
        <f>U24</f>
        <v>0</v>
      </c>
      <c r="W24" s="625">
        <f>V24</f>
        <v>0</v>
      </c>
      <c r="X24" s="623">
        <f>W24</f>
        <v>0</v>
      </c>
      <c r="Y24" s="626">
        <f>W24</f>
        <v>0</v>
      </c>
      <c r="Z24" s="627">
        <f t="shared" ref="Z24:AP24" si="2">Y24</f>
        <v>0</v>
      </c>
      <c r="AA24" s="627">
        <f t="shared" si="2"/>
        <v>0</v>
      </c>
      <c r="AB24" s="627">
        <f t="shared" si="2"/>
        <v>0</v>
      </c>
      <c r="AC24" s="627">
        <f t="shared" si="2"/>
        <v>0</v>
      </c>
      <c r="AD24" s="627">
        <f t="shared" si="2"/>
        <v>0</v>
      </c>
      <c r="AE24" s="627">
        <f t="shared" si="2"/>
        <v>0</v>
      </c>
      <c r="AF24" s="627">
        <f t="shared" si="2"/>
        <v>0</v>
      </c>
      <c r="AG24" s="627">
        <f t="shared" si="2"/>
        <v>0</v>
      </c>
      <c r="AH24" s="627">
        <f t="shared" si="2"/>
        <v>0</v>
      </c>
      <c r="AI24" s="627">
        <f t="shared" si="2"/>
        <v>0</v>
      </c>
      <c r="AJ24" s="627">
        <f t="shared" si="2"/>
        <v>0</v>
      </c>
      <c r="AK24" s="627">
        <f t="shared" si="2"/>
        <v>0</v>
      </c>
      <c r="AL24" s="627">
        <f t="shared" si="2"/>
        <v>0</v>
      </c>
      <c r="AM24" s="627">
        <f t="shared" si="2"/>
        <v>0</v>
      </c>
      <c r="AN24" s="627">
        <f t="shared" si="2"/>
        <v>0</v>
      </c>
      <c r="AO24" s="628">
        <f t="shared" si="2"/>
        <v>0</v>
      </c>
      <c r="AP24" s="629">
        <f t="shared" si="2"/>
        <v>0</v>
      </c>
      <c r="AQ24" s="630">
        <v>0</v>
      </c>
      <c r="AR24" s="623">
        <f>AP24</f>
        <v>0</v>
      </c>
      <c r="AS24" s="623">
        <f>AP24</f>
        <v>0</v>
      </c>
      <c r="AT24" s="623">
        <f>AP24</f>
        <v>0</v>
      </c>
      <c r="AU24" s="623">
        <f>AQ24</f>
        <v>0</v>
      </c>
      <c r="AV24" s="483"/>
    </row>
    <row r="25" spans="1:48" ht="18.75" customHeight="1" x14ac:dyDescent="0.2">
      <c r="A25" s="820" t="s">
        <v>683</v>
      </c>
      <c r="B25" s="820"/>
      <c r="C25" s="820"/>
      <c r="D25" s="820"/>
      <c r="E25" s="820"/>
      <c r="F25" s="820"/>
      <c r="G25" s="820"/>
      <c r="H25" s="820"/>
      <c r="I25" s="820"/>
      <c r="J25" s="820"/>
      <c r="K25" s="820"/>
      <c r="L25" s="820"/>
      <c r="M25" s="820"/>
      <c r="N25" s="820"/>
      <c r="O25" s="820"/>
      <c r="P25" s="820"/>
      <c r="Q25" s="820"/>
      <c r="R25" s="820"/>
      <c r="S25" s="820"/>
      <c r="T25" s="820"/>
      <c r="U25" s="820"/>
      <c r="V25" s="820"/>
      <c r="W25" s="820"/>
      <c r="X25" s="820"/>
      <c r="Y25" s="820"/>
      <c r="Z25" s="820"/>
      <c r="AA25" s="820"/>
      <c r="AB25" s="820"/>
      <c r="AC25" s="820"/>
      <c r="AD25" s="820"/>
      <c r="AE25" s="820"/>
      <c r="AF25" s="820"/>
      <c r="AG25" s="820"/>
      <c r="AH25" s="820"/>
      <c r="AI25" s="820"/>
      <c r="AJ25" s="820"/>
      <c r="AK25" s="820"/>
      <c r="AL25" s="820"/>
      <c r="AM25" s="820"/>
      <c r="AN25" s="820"/>
      <c r="AO25" s="820"/>
      <c r="AP25" s="820"/>
      <c r="AQ25" s="820"/>
      <c r="AR25" s="820"/>
      <c r="AS25" s="820"/>
      <c r="AT25" s="820"/>
      <c r="AU25" s="820"/>
      <c r="AV25" s="412"/>
    </row>
    <row r="26" spans="1:48" ht="25.5" customHeight="1" x14ac:dyDescent="0.2">
      <c r="A26" s="801" t="s">
        <v>570</v>
      </c>
      <c r="B26" s="801"/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801"/>
      <c r="Q26" s="801"/>
      <c r="R26" s="801"/>
      <c r="S26" s="801"/>
      <c r="T26" s="801"/>
      <c r="U26" s="801"/>
      <c r="V26" s="801"/>
      <c r="W26" s="801"/>
      <c r="X26" s="801"/>
      <c r="Y26" s="801"/>
      <c r="Z26" s="801"/>
      <c r="AA26" s="801"/>
      <c r="AB26" s="801"/>
      <c r="AC26" s="801"/>
      <c r="AD26" s="801"/>
      <c r="AE26" s="801"/>
      <c r="AF26" s="801"/>
      <c r="AG26" s="801"/>
      <c r="AH26" s="801"/>
      <c r="AI26" s="801"/>
      <c r="AJ26" s="801"/>
      <c r="AK26" s="801"/>
      <c r="AL26" s="801"/>
      <c r="AM26" s="801"/>
      <c r="AN26" s="801"/>
      <c r="AO26" s="801"/>
      <c r="AP26" s="801"/>
      <c r="AQ26" s="801"/>
      <c r="AR26" s="801"/>
      <c r="AS26" s="801"/>
      <c r="AT26" s="801"/>
      <c r="AU26" s="801"/>
      <c r="AV26" s="412"/>
    </row>
    <row r="27" spans="1:48" ht="36.75" customHeight="1" x14ac:dyDescent="0.2">
      <c r="A27" s="455" t="s">
        <v>47</v>
      </c>
      <c r="B27" s="455"/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550" t="s">
        <v>334</v>
      </c>
      <c r="Z27" s="551" t="s">
        <v>335</v>
      </c>
      <c r="AA27" s="551"/>
      <c r="AB27" s="551"/>
      <c r="AC27" s="551"/>
      <c r="AD27" s="442"/>
      <c r="AE27" s="442"/>
      <c r="AF27" s="442"/>
      <c r="AG27" s="442"/>
      <c r="AH27" s="410"/>
      <c r="AI27" s="410"/>
      <c r="AJ27" s="442"/>
      <c r="AK27" s="410"/>
      <c r="AL27" s="410"/>
      <c r="AM27" s="410"/>
      <c r="AN27" s="410"/>
      <c r="AO27" s="410"/>
      <c r="AP27" s="410"/>
      <c r="AQ27" s="455"/>
      <c r="AR27" s="410"/>
      <c r="AS27" s="410"/>
      <c r="AT27" s="410"/>
      <c r="AU27" s="410"/>
      <c r="AV27" s="151"/>
    </row>
    <row r="28" spans="1:48" ht="66" customHeight="1" x14ac:dyDescent="0.2">
      <c r="A28" s="615" t="s">
        <v>45</v>
      </c>
      <c r="B28" s="467"/>
      <c r="C28" s="467">
        <v>899</v>
      </c>
      <c r="D28" s="467">
        <v>924</v>
      </c>
      <c r="E28" s="467">
        <v>924</v>
      </c>
      <c r="F28" s="616">
        <v>88360</v>
      </c>
      <c r="G28" s="616">
        <v>56680</v>
      </c>
      <c r="H28" s="616">
        <v>56720</v>
      </c>
      <c r="I28" s="616">
        <v>63250</v>
      </c>
      <c r="J28" s="616">
        <v>48136</v>
      </c>
      <c r="K28" s="467"/>
      <c r="L28" s="467">
        <v>75430</v>
      </c>
      <c r="M28" s="467">
        <v>106599</v>
      </c>
      <c r="N28" s="467">
        <v>139365</v>
      </c>
      <c r="O28" s="467">
        <v>154622</v>
      </c>
      <c r="P28" s="467">
        <v>154622</v>
      </c>
      <c r="Q28" s="467">
        <v>0</v>
      </c>
      <c r="R28" s="467">
        <v>0</v>
      </c>
      <c r="S28" s="631">
        <v>40588.5</v>
      </c>
      <c r="T28" s="467">
        <v>16186.25</v>
      </c>
      <c r="U28" s="467">
        <v>16919.2</v>
      </c>
      <c r="V28" s="621">
        <v>16520.099999999999</v>
      </c>
      <c r="W28" s="625">
        <v>20523.400000000001</v>
      </c>
      <c r="X28" s="623">
        <v>18243.599999999999</v>
      </c>
      <c r="AP28" s="624"/>
      <c r="AQ28" s="480">
        <v>23383.4</v>
      </c>
      <c r="AR28" s="623">
        <v>33414.699999999997</v>
      </c>
      <c r="AS28" s="623">
        <v>42176</v>
      </c>
      <c r="AT28" s="623">
        <v>33699.699999999997</v>
      </c>
      <c r="AU28" s="623">
        <v>33715.9</v>
      </c>
      <c r="AV28" s="151"/>
    </row>
    <row r="29" spans="1:48" ht="18.75" customHeight="1" x14ac:dyDescent="0.2">
      <c r="A29" s="820" t="s">
        <v>203</v>
      </c>
      <c r="B29" s="820"/>
      <c r="C29" s="820"/>
      <c r="D29" s="820"/>
      <c r="E29" s="820"/>
      <c r="F29" s="820"/>
      <c r="G29" s="820"/>
      <c r="H29" s="820"/>
      <c r="I29" s="820"/>
      <c r="J29" s="820"/>
      <c r="K29" s="820"/>
      <c r="L29" s="820"/>
      <c r="M29" s="820"/>
      <c r="N29" s="820"/>
      <c r="O29" s="820"/>
      <c r="P29" s="820"/>
      <c r="Q29" s="820"/>
      <c r="R29" s="820"/>
      <c r="S29" s="820"/>
      <c r="T29" s="820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0"/>
      <c r="AI29" s="820"/>
      <c r="AJ29" s="820"/>
      <c r="AK29" s="820"/>
      <c r="AL29" s="820"/>
      <c r="AM29" s="820"/>
      <c r="AN29" s="820"/>
      <c r="AO29" s="820"/>
      <c r="AP29" s="820"/>
      <c r="AQ29" s="820"/>
      <c r="AR29" s="820"/>
      <c r="AS29" s="820"/>
      <c r="AT29" s="820"/>
      <c r="AU29" s="820"/>
      <c r="AV29" s="408"/>
    </row>
    <row r="30" spans="1:48" ht="21" customHeight="1" x14ac:dyDescent="0.2">
      <c r="A30" s="801" t="s">
        <v>492</v>
      </c>
      <c r="B30" s="801"/>
      <c r="C30" s="801"/>
      <c r="D30" s="801"/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1"/>
      <c r="P30" s="801"/>
      <c r="Q30" s="801"/>
      <c r="R30" s="801"/>
      <c r="S30" s="801"/>
      <c r="T30" s="801"/>
      <c r="U30" s="801"/>
      <c r="V30" s="801"/>
      <c r="W30" s="801"/>
      <c r="X30" s="801"/>
      <c r="Y30" s="801"/>
      <c r="Z30" s="801"/>
      <c r="AA30" s="801"/>
      <c r="AB30" s="801"/>
      <c r="AC30" s="801"/>
      <c r="AD30" s="801"/>
      <c r="AE30" s="801"/>
      <c r="AF30" s="801"/>
      <c r="AG30" s="801"/>
      <c r="AH30" s="801"/>
      <c r="AI30" s="801"/>
      <c r="AJ30" s="801"/>
      <c r="AK30" s="801"/>
      <c r="AL30" s="801"/>
      <c r="AM30" s="801"/>
      <c r="AN30" s="801"/>
      <c r="AO30" s="801"/>
      <c r="AP30" s="801"/>
      <c r="AQ30" s="801"/>
      <c r="AR30" s="801"/>
      <c r="AS30" s="801"/>
      <c r="AT30" s="801"/>
      <c r="AU30" s="801"/>
      <c r="AV30" s="408"/>
    </row>
    <row r="31" spans="1:48" ht="36.75" customHeight="1" x14ac:dyDescent="0.2">
      <c r="A31" s="455" t="s">
        <v>47</v>
      </c>
      <c r="B31" s="455"/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550"/>
      <c r="Z31" s="551"/>
      <c r="AA31" s="551"/>
      <c r="AB31" s="551"/>
      <c r="AC31" s="551"/>
      <c r="AD31" s="442"/>
      <c r="AE31" s="442"/>
      <c r="AF31" s="442"/>
      <c r="AG31" s="442"/>
      <c r="AH31" s="410"/>
      <c r="AI31" s="410"/>
      <c r="AJ31" s="442"/>
      <c r="AK31" s="410"/>
      <c r="AL31" s="410"/>
      <c r="AM31" s="410"/>
      <c r="AN31" s="410"/>
      <c r="AO31" s="410"/>
      <c r="AP31" s="410"/>
      <c r="AQ31" s="455"/>
      <c r="AR31" s="410"/>
      <c r="AS31" s="410"/>
      <c r="AT31" s="410"/>
      <c r="AU31" s="410"/>
      <c r="AV31" s="408"/>
    </row>
    <row r="32" spans="1:48" ht="34.5" customHeight="1" x14ac:dyDescent="0.2">
      <c r="A32" s="465" t="s">
        <v>45</v>
      </c>
      <c r="B32" s="455"/>
      <c r="C32" s="455">
        <v>2646</v>
      </c>
      <c r="D32" s="455">
        <v>2804</v>
      </c>
      <c r="E32" s="455">
        <v>3960</v>
      </c>
      <c r="F32" s="456">
        <v>18920</v>
      </c>
      <c r="G32" s="456">
        <v>19000</v>
      </c>
      <c r="H32" s="456">
        <v>12000</v>
      </c>
      <c r="I32" s="456">
        <v>18000</v>
      </c>
      <c r="J32" s="456">
        <v>18110</v>
      </c>
      <c r="K32" s="455"/>
      <c r="L32" s="456">
        <v>33760</v>
      </c>
      <c r="M32" s="456">
        <v>36640</v>
      </c>
      <c r="N32" s="456">
        <v>39510</v>
      </c>
      <c r="O32" s="456">
        <v>42640</v>
      </c>
      <c r="P32" s="456">
        <v>42640</v>
      </c>
      <c r="Q32" s="455">
        <v>497.9</v>
      </c>
      <c r="R32" s="455">
        <v>551.20000000000005</v>
      </c>
      <c r="S32" s="455">
        <v>0</v>
      </c>
      <c r="T32" s="455">
        <v>8133.36</v>
      </c>
      <c r="U32" s="455">
        <v>7988.9</v>
      </c>
      <c r="V32" s="457">
        <v>5855.6</v>
      </c>
      <c r="W32" s="457">
        <v>6780.3</v>
      </c>
      <c r="X32" s="457">
        <v>12868.9</v>
      </c>
      <c r="Y32" s="614">
        <f>W32</f>
        <v>6780.3</v>
      </c>
      <c r="Z32" s="614">
        <f t="shared" ref="Z32:AP32" si="3">Y32</f>
        <v>6780.3</v>
      </c>
      <c r="AA32" s="614">
        <f t="shared" si="3"/>
        <v>6780.3</v>
      </c>
      <c r="AB32" s="614">
        <f t="shared" si="3"/>
        <v>6780.3</v>
      </c>
      <c r="AC32" s="614">
        <f t="shared" si="3"/>
        <v>6780.3</v>
      </c>
      <c r="AD32" s="614">
        <f t="shared" si="3"/>
        <v>6780.3</v>
      </c>
      <c r="AE32" s="614">
        <f t="shared" si="3"/>
        <v>6780.3</v>
      </c>
      <c r="AF32" s="614">
        <f t="shared" si="3"/>
        <v>6780.3</v>
      </c>
      <c r="AG32" s="614">
        <f t="shared" si="3"/>
        <v>6780.3</v>
      </c>
      <c r="AH32" s="614">
        <f t="shared" si="3"/>
        <v>6780.3</v>
      </c>
      <c r="AI32" s="614">
        <f t="shared" si="3"/>
        <v>6780.3</v>
      </c>
      <c r="AJ32" s="614">
        <f t="shared" si="3"/>
        <v>6780.3</v>
      </c>
      <c r="AK32" s="614">
        <f t="shared" si="3"/>
        <v>6780.3</v>
      </c>
      <c r="AL32" s="614">
        <f t="shared" si="3"/>
        <v>6780.3</v>
      </c>
      <c r="AM32" s="614">
        <f t="shared" si="3"/>
        <v>6780.3</v>
      </c>
      <c r="AN32" s="614">
        <f t="shared" si="3"/>
        <v>6780.3</v>
      </c>
      <c r="AO32" s="614">
        <f t="shared" si="3"/>
        <v>6780.3</v>
      </c>
      <c r="AP32" s="614">
        <f t="shared" si="3"/>
        <v>6780.3</v>
      </c>
      <c r="AQ32" s="457">
        <v>12281.8</v>
      </c>
      <c r="AR32" s="457">
        <v>5264.3</v>
      </c>
      <c r="AS32" s="457">
        <v>6150.9</v>
      </c>
      <c r="AT32" s="457">
        <v>6023.6</v>
      </c>
      <c r="AU32" s="457">
        <v>6017.2</v>
      </c>
      <c r="AV32" s="443"/>
    </row>
    <row r="33" spans="1:48" ht="21" customHeight="1" x14ac:dyDescent="0.2">
      <c r="A33" s="814" t="s">
        <v>267</v>
      </c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815"/>
      <c r="O33" s="815"/>
      <c r="P33" s="815"/>
      <c r="Q33" s="815"/>
      <c r="R33" s="815"/>
      <c r="S33" s="815"/>
      <c r="T33" s="815"/>
      <c r="U33" s="815"/>
      <c r="V33" s="815"/>
      <c r="W33" s="815"/>
      <c r="X33" s="815"/>
      <c r="Y33" s="815"/>
      <c r="Z33" s="815"/>
      <c r="AA33" s="815"/>
      <c r="AB33" s="815"/>
      <c r="AC33" s="815"/>
      <c r="AD33" s="815"/>
      <c r="AE33" s="815"/>
      <c r="AF33" s="815"/>
      <c r="AG33" s="815"/>
      <c r="AH33" s="815"/>
      <c r="AI33" s="815"/>
      <c r="AJ33" s="815"/>
      <c r="AK33" s="815"/>
      <c r="AL33" s="815"/>
      <c r="AM33" s="815"/>
      <c r="AN33" s="815"/>
      <c r="AO33" s="815"/>
      <c r="AP33" s="815"/>
      <c r="AQ33" s="815"/>
      <c r="AR33" s="815"/>
      <c r="AS33" s="815"/>
      <c r="AT33" s="815"/>
      <c r="AU33" s="815"/>
      <c r="AV33" s="408"/>
    </row>
    <row r="34" spans="1:48" ht="36.75" customHeight="1" x14ac:dyDescent="0.2">
      <c r="A34" s="455" t="s">
        <v>47</v>
      </c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550"/>
      <c r="Z34" s="551"/>
      <c r="AA34" s="551"/>
      <c r="AB34" s="551"/>
      <c r="AC34" s="551"/>
      <c r="AD34" s="442"/>
      <c r="AE34" s="442"/>
      <c r="AF34" s="442"/>
      <c r="AG34" s="442"/>
      <c r="AH34" s="410"/>
      <c r="AI34" s="410"/>
      <c r="AJ34" s="442"/>
      <c r="AK34" s="410"/>
      <c r="AL34" s="410"/>
      <c r="AM34" s="410"/>
      <c r="AN34" s="410"/>
      <c r="AO34" s="410"/>
      <c r="AP34" s="410"/>
      <c r="AQ34" s="455"/>
      <c r="AR34" s="410"/>
      <c r="AS34" s="410"/>
      <c r="AT34" s="410"/>
      <c r="AU34" s="410"/>
      <c r="AV34" s="408"/>
    </row>
    <row r="35" spans="1:48" ht="34.5" customHeight="1" x14ac:dyDescent="0.2">
      <c r="A35" s="615" t="s">
        <v>45</v>
      </c>
      <c r="B35" s="467"/>
      <c r="C35" s="467">
        <v>43</v>
      </c>
      <c r="D35" s="467">
        <v>47</v>
      </c>
      <c r="E35" s="467">
        <v>91</v>
      </c>
      <c r="F35" s="467">
        <v>0</v>
      </c>
      <c r="G35" s="467">
        <v>0</v>
      </c>
      <c r="H35" s="467">
        <v>0</v>
      </c>
      <c r="I35" s="467">
        <v>0</v>
      </c>
      <c r="J35" s="632">
        <v>0</v>
      </c>
      <c r="K35" s="633"/>
      <c r="L35" s="633">
        <v>0</v>
      </c>
      <c r="M35" s="633">
        <v>0</v>
      </c>
      <c r="N35" s="633">
        <v>0</v>
      </c>
      <c r="O35" s="633">
        <v>0</v>
      </c>
      <c r="P35" s="633">
        <v>0</v>
      </c>
      <c r="Q35" s="467">
        <v>0</v>
      </c>
      <c r="R35" s="467">
        <v>0</v>
      </c>
      <c r="S35" s="467">
        <v>1397.7</v>
      </c>
      <c r="T35" s="480">
        <v>0</v>
      </c>
      <c r="U35" s="480">
        <v>0</v>
      </c>
      <c r="V35" s="621">
        <f>U35</f>
        <v>0</v>
      </c>
      <c r="W35" s="625">
        <f>V35</f>
        <v>0</v>
      </c>
      <c r="X35" s="623">
        <f>W35</f>
        <v>0</v>
      </c>
      <c r="Y35" s="626">
        <f>W35</f>
        <v>0</v>
      </c>
      <c r="Z35" s="627">
        <f t="shared" ref="Z35:AP35" si="4">Y35</f>
        <v>0</v>
      </c>
      <c r="AA35" s="627">
        <f t="shared" si="4"/>
        <v>0</v>
      </c>
      <c r="AB35" s="627">
        <f t="shared" si="4"/>
        <v>0</v>
      </c>
      <c r="AC35" s="627">
        <f t="shared" si="4"/>
        <v>0</v>
      </c>
      <c r="AD35" s="627">
        <f t="shared" si="4"/>
        <v>0</v>
      </c>
      <c r="AE35" s="627">
        <f t="shared" si="4"/>
        <v>0</v>
      </c>
      <c r="AF35" s="627">
        <f t="shared" si="4"/>
        <v>0</v>
      </c>
      <c r="AG35" s="627">
        <f t="shared" si="4"/>
        <v>0</v>
      </c>
      <c r="AH35" s="627">
        <f t="shared" si="4"/>
        <v>0</v>
      </c>
      <c r="AI35" s="627">
        <f t="shared" si="4"/>
        <v>0</v>
      </c>
      <c r="AJ35" s="627">
        <f t="shared" si="4"/>
        <v>0</v>
      </c>
      <c r="AK35" s="627">
        <f t="shared" si="4"/>
        <v>0</v>
      </c>
      <c r="AL35" s="627">
        <f t="shared" si="4"/>
        <v>0</v>
      </c>
      <c r="AM35" s="627">
        <f t="shared" si="4"/>
        <v>0</v>
      </c>
      <c r="AN35" s="627">
        <f t="shared" si="4"/>
        <v>0</v>
      </c>
      <c r="AO35" s="628">
        <f t="shared" si="4"/>
        <v>0</v>
      </c>
      <c r="AP35" s="629">
        <f t="shared" si="4"/>
        <v>0</v>
      </c>
      <c r="AQ35" s="630">
        <v>0</v>
      </c>
      <c r="AR35" s="623">
        <f>AP35</f>
        <v>0</v>
      </c>
      <c r="AS35" s="623">
        <f>AP35</f>
        <v>0</v>
      </c>
      <c r="AT35" s="623">
        <f>AP35</f>
        <v>0</v>
      </c>
      <c r="AU35" s="623">
        <f>AQ35</f>
        <v>0</v>
      </c>
      <c r="AV35" s="443"/>
    </row>
    <row r="36" spans="1:48" ht="21" customHeight="1" x14ac:dyDescent="0.2">
      <c r="A36" s="797" t="s">
        <v>579</v>
      </c>
      <c r="B36" s="797"/>
      <c r="C36" s="797"/>
      <c r="D36" s="797"/>
      <c r="E36" s="797"/>
      <c r="F36" s="797"/>
      <c r="G36" s="797"/>
      <c r="H36" s="797"/>
      <c r="I36" s="797"/>
      <c r="J36" s="797"/>
      <c r="K36" s="797"/>
      <c r="L36" s="797"/>
      <c r="M36" s="797"/>
      <c r="N36" s="797"/>
      <c r="O36" s="797"/>
      <c r="P36" s="797"/>
      <c r="Q36" s="797"/>
      <c r="R36" s="797"/>
      <c r="S36" s="797"/>
      <c r="T36" s="797"/>
      <c r="U36" s="797"/>
      <c r="V36" s="797"/>
      <c r="W36" s="797"/>
      <c r="X36" s="797"/>
      <c r="Y36" s="797"/>
      <c r="Z36" s="797"/>
      <c r="AA36" s="797"/>
      <c r="AB36" s="797"/>
      <c r="AC36" s="797"/>
      <c r="AD36" s="797"/>
      <c r="AE36" s="797"/>
      <c r="AF36" s="797"/>
      <c r="AG36" s="797"/>
      <c r="AH36" s="797"/>
      <c r="AI36" s="797"/>
      <c r="AJ36" s="797"/>
      <c r="AK36" s="797"/>
      <c r="AL36" s="797"/>
      <c r="AM36" s="797"/>
      <c r="AN36" s="797"/>
      <c r="AO36" s="797"/>
      <c r="AP36" s="797"/>
      <c r="AQ36" s="797"/>
      <c r="AR36" s="797"/>
      <c r="AS36" s="797"/>
      <c r="AT36" s="797"/>
      <c r="AU36" s="797"/>
      <c r="AV36" s="408"/>
    </row>
    <row r="37" spans="1:48" ht="18.75" customHeight="1" x14ac:dyDescent="0.2">
      <c r="A37" s="798" t="s">
        <v>134</v>
      </c>
      <c r="B37" s="798"/>
      <c r="C37" s="798"/>
      <c r="D37" s="798"/>
      <c r="E37" s="798"/>
      <c r="F37" s="798"/>
      <c r="G37" s="798"/>
      <c r="H37" s="798"/>
      <c r="I37" s="798"/>
      <c r="J37" s="798"/>
      <c r="K37" s="798"/>
      <c r="L37" s="798"/>
      <c r="M37" s="798"/>
      <c r="N37" s="798"/>
      <c r="O37" s="798"/>
      <c r="P37" s="798"/>
      <c r="Q37" s="798"/>
      <c r="R37" s="798"/>
      <c r="S37" s="798"/>
      <c r="T37" s="798"/>
      <c r="U37" s="798"/>
      <c r="V37" s="798"/>
      <c r="W37" s="798"/>
      <c r="X37" s="798"/>
      <c r="Y37" s="798"/>
      <c r="Z37" s="798"/>
      <c r="AA37" s="798"/>
      <c r="AB37" s="798"/>
      <c r="AC37" s="798"/>
      <c r="AD37" s="798"/>
      <c r="AE37" s="798"/>
      <c r="AF37" s="798"/>
      <c r="AG37" s="798"/>
      <c r="AH37" s="798"/>
      <c r="AI37" s="798"/>
      <c r="AJ37" s="798"/>
      <c r="AK37" s="798"/>
      <c r="AL37" s="798"/>
      <c r="AM37" s="798"/>
      <c r="AN37" s="798"/>
      <c r="AO37" s="798"/>
      <c r="AP37" s="798"/>
      <c r="AQ37" s="798"/>
      <c r="AR37" s="798"/>
      <c r="AS37" s="798"/>
      <c r="AT37" s="798"/>
      <c r="AU37" s="798"/>
      <c r="AV37" s="408"/>
    </row>
    <row r="38" spans="1:48" ht="45" x14ac:dyDescent="0.2">
      <c r="A38" s="468" t="s">
        <v>135</v>
      </c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74"/>
      <c r="U38" s="474"/>
      <c r="V38" s="474"/>
      <c r="W38" s="537"/>
      <c r="X38" s="474"/>
      <c r="Y38" s="400" t="s">
        <v>336</v>
      </c>
      <c r="Z38" s="401" t="s">
        <v>337</v>
      </c>
      <c r="AP38" s="534"/>
      <c r="AQ38" s="537"/>
      <c r="AR38" s="535"/>
      <c r="AS38" s="535"/>
      <c r="AT38" s="535"/>
      <c r="AU38" s="535"/>
      <c r="AV38" s="408"/>
    </row>
    <row r="39" spans="1:48" ht="33.75" x14ac:dyDescent="0.2">
      <c r="A39" s="475" t="s">
        <v>45</v>
      </c>
      <c r="B39" s="476"/>
      <c r="C39" s="477">
        <v>167</v>
      </c>
      <c r="D39" s="477">
        <v>174</v>
      </c>
      <c r="E39" s="472">
        <v>0</v>
      </c>
      <c r="F39" s="472">
        <v>0</v>
      </c>
      <c r="G39" s="472">
        <v>0</v>
      </c>
      <c r="H39" s="472">
        <v>0</v>
      </c>
      <c r="I39" s="472">
        <v>0</v>
      </c>
      <c r="J39" s="472">
        <v>0</v>
      </c>
      <c r="K39" s="472"/>
      <c r="L39" s="472">
        <v>0</v>
      </c>
      <c r="M39" s="472">
        <v>0</v>
      </c>
      <c r="N39" s="472">
        <v>0</v>
      </c>
      <c r="O39" s="472">
        <v>0</v>
      </c>
      <c r="P39" s="472">
        <v>0</v>
      </c>
      <c r="Q39" s="472">
        <v>7033.7</v>
      </c>
      <c r="R39" s="472">
        <f>7425.9+306.4+20</f>
        <v>7752.2999999999993</v>
      </c>
      <c r="S39" s="472">
        <v>0</v>
      </c>
      <c r="T39" s="472">
        <v>0</v>
      </c>
      <c r="U39" s="634">
        <v>0</v>
      </c>
      <c r="V39" s="539">
        <f>U39</f>
        <v>0</v>
      </c>
      <c r="W39" s="573">
        <f>V39</f>
        <v>0</v>
      </c>
      <c r="X39" s="574">
        <f>W39</f>
        <v>0</v>
      </c>
      <c r="Y39" s="540">
        <f>W39</f>
        <v>0</v>
      </c>
      <c r="Z39" s="541">
        <f t="shared" ref="Z39:AP39" si="5">Y39</f>
        <v>0</v>
      </c>
      <c r="AA39" s="541">
        <f t="shared" si="5"/>
        <v>0</v>
      </c>
      <c r="AB39" s="541">
        <f t="shared" si="5"/>
        <v>0</v>
      </c>
      <c r="AC39" s="541">
        <f t="shared" si="5"/>
        <v>0</v>
      </c>
      <c r="AD39" s="541">
        <f t="shared" si="5"/>
        <v>0</v>
      </c>
      <c r="AE39" s="541">
        <f t="shared" si="5"/>
        <v>0</v>
      </c>
      <c r="AF39" s="541">
        <f t="shared" si="5"/>
        <v>0</v>
      </c>
      <c r="AG39" s="541">
        <f t="shared" si="5"/>
        <v>0</v>
      </c>
      <c r="AH39" s="541">
        <f t="shared" si="5"/>
        <v>0</v>
      </c>
      <c r="AI39" s="541">
        <f t="shared" si="5"/>
        <v>0</v>
      </c>
      <c r="AJ39" s="541">
        <f t="shared" si="5"/>
        <v>0</v>
      </c>
      <c r="AK39" s="541">
        <f t="shared" si="5"/>
        <v>0</v>
      </c>
      <c r="AL39" s="541">
        <f t="shared" si="5"/>
        <v>0</v>
      </c>
      <c r="AM39" s="541">
        <f t="shared" si="5"/>
        <v>0</v>
      </c>
      <c r="AN39" s="541">
        <f t="shared" si="5"/>
        <v>0</v>
      </c>
      <c r="AO39" s="542">
        <f t="shared" si="5"/>
        <v>0</v>
      </c>
      <c r="AP39" s="635">
        <f t="shared" si="5"/>
        <v>0</v>
      </c>
      <c r="AQ39" s="636">
        <v>0</v>
      </c>
      <c r="AR39" s="574">
        <f>AP39</f>
        <v>0</v>
      </c>
      <c r="AS39" s="574">
        <f>AP39</f>
        <v>0</v>
      </c>
      <c r="AT39" s="574">
        <f>AP39</f>
        <v>0</v>
      </c>
      <c r="AU39" s="574">
        <f>AQ39</f>
        <v>0</v>
      </c>
      <c r="AV39" s="443"/>
    </row>
    <row r="40" spans="1:48" ht="18.75" customHeight="1" x14ac:dyDescent="0.2">
      <c r="A40" s="798" t="s">
        <v>294</v>
      </c>
      <c r="B40" s="798"/>
      <c r="C40" s="798"/>
      <c r="D40" s="798"/>
      <c r="E40" s="798"/>
      <c r="F40" s="798"/>
      <c r="G40" s="798"/>
      <c r="H40" s="798"/>
      <c r="I40" s="798"/>
      <c r="J40" s="798"/>
      <c r="K40" s="798"/>
      <c r="L40" s="798"/>
      <c r="M40" s="798"/>
      <c r="N40" s="798"/>
      <c r="O40" s="798"/>
      <c r="P40" s="798"/>
      <c r="Q40" s="798"/>
      <c r="R40" s="798"/>
      <c r="S40" s="798"/>
      <c r="T40" s="798"/>
      <c r="U40" s="798"/>
      <c r="V40" s="798"/>
      <c r="W40" s="798"/>
      <c r="X40" s="798"/>
      <c r="Y40" s="798"/>
      <c r="Z40" s="798"/>
      <c r="AA40" s="798"/>
      <c r="AB40" s="798"/>
      <c r="AC40" s="798"/>
      <c r="AD40" s="798"/>
      <c r="AE40" s="798"/>
      <c r="AF40" s="798"/>
      <c r="AG40" s="798"/>
      <c r="AH40" s="798"/>
      <c r="AI40" s="798"/>
      <c r="AJ40" s="798"/>
      <c r="AK40" s="798"/>
      <c r="AL40" s="798"/>
      <c r="AM40" s="798"/>
      <c r="AN40" s="798"/>
      <c r="AO40" s="798"/>
      <c r="AP40" s="798"/>
      <c r="AQ40" s="798"/>
      <c r="AR40" s="798"/>
      <c r="AS40" s="798"/>
      <c r="AT40" s="798"/>
      <c r="AU40" s="798"/>
      <c r="AV40" s="408"/>
    </row>
    <row r="41" spans="1:48" ht="45" x14ac:dyDescent="0.2">
      <c r="A41" s="467" t="s">
        <v>135</v>
      </c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80"/>
      <c r="U41" s="480"/>
      <c r="V41" s="632"/>
      <c r="W41" s="637"/>
      <c r="X41" s="545"/>
      <c r="AP41" s="534"/>
      <c r="AQ41" s="537"/>
      <c r="AR41" s="535"/>
      <c r="AS41" s="535"/>
      <c r="AT41" s="535"/>
      <c r="AU41" s="535"/>
      <c r="AV41" s="408"/>
    </row>
    <row r="42" spans="1:48" ht="33.75" x14ac:dyDescent="0.2">
      <c r="A42" s="475" t="s">
        <v>45</v>
      </c>
      <c r="B42" s="476"/>
      <c r="C42" s="477">
        <v>0</v>
      </c>
      <c r="D42" s="477">
        <v>0</v>
      </c>
      <c r="E42" s="472">
        <v>29459</v>
      </c>
      <c r="F42" s="638">
        <v>71774</v>
      </c>
      <c r="G42" s="638">
        <v>85198</v>
      </c>
      <c r="H42" s="638">
        <v>96508</v>
      </c>
      <c r="I42" s="638">
        <v>115233</v>
      </c>
      <c r="J42" s="638">
        <v>123749</v>
      </c>
      <c r="K42" s="472"/>
      <c r="L42" s="638">
        <v>11700</v>
      </c>
      <c r="M42" s="472">
        <v>109176.5</v>
      </c>
      <c r="N42" s="472">
        <v>109176.5</v>
      </c>
      <c r="O42" s="472">
        <v>109176.5</v>
      </c>
      <c r="P42" s="472">
        <v>109176.5</v>
      </c>
      <c r="Q42" s="472">
        <v>0</v>
      </c>
      <c r="R42" s="472">
        <v>0</v>
      </c>
      <c r="S42" s="472">
        <v>12438.5</v>
      </c>
      <c r="T42" s="639">
        <f>13159.92+31.2</f>
        <v>13191.12</v>
      </c>
      <c r="U42" s="639">
        <v>15033.4</v>
      </c>
      <c r="V42" s="539">
        <v>18991.5</v>
      </c>
      <c r="W42" s="573">
        <v>20819.599999999999</v>
      </c>
      <c r="X42" s="574">
        <v>26306.5</v>
      </c>
      <c r="Y42" s="540">
        <f t="shared" ref="Y42:AP42" si="6">X42</f>
        <v>26306.5</v>
      </c>
      <c r="Z42" s="541">
        <f t="shared" si="6"/>
        <v>26306.5</v>
      </c>
      <c r="AA42" s="541">
        <f t="shared" si="6"/>
        <v>26306.5</v>
      </c>
      <c r="AB42" s="541">
        <f t="shared" si="6"/>
        <v>26306.5</v>
      </c>
      <c r="AC42" s="541">
        <f t="shared" si="6"/>
        <v>26306.5</v>
      </c>
      <c r="AD42" s="541">
        <f t="shared" si="6"/>
        <v>26306.5</v>
      </c>
      <c r="AE42" s="541">
        <f t="shared" si="6"/>
        <v>26306.5</v>
      </c>
      <c r="AF42" s="541">
        <f t="shared" si="6"/>
        <v>26306.5</v>
      </c>
      <c r="AG42" s="541">
        <f t="shared" si="6"/>
        <v>26306.5</v>
      </c>
      <c r="AH42" s="541">
        <f t="shared" si="6"/>
        <v>26306.5</v>
      </c>
      <c r="AI42" s="541">
        <f t="shared" si="6"/>
        <v>26306.5</v>
      </c>
      <c r="AJ42" s="541">
        <f t="shared" si="6"/>
        <v>26306.5</v>
      </c>
      <c r="AK42" s="541">
        <f t="shared" si="6"/>
        <v>26306.5</v>
      </c>
      <c r="AL42" s="541">
        <f t="shared" si="6"/>
        <v>26306.5</v>
      </c>
      <c r="AM42" s="541">
        <f t="shared" si="6"/>
        <v>26306.5</v>
      </c>
      <c r="AN42" s="541">
        <f t="shared" si="6"/>
        <v>26306.5</v>
      </c>
      <c r="AO42" s="541">
        <f t="shared" si="6"/>
        <v>26306.5</v>
      </c>
      <c r="AP42" s="542">
        <f t="shared" si="6"/>
        <v>26306.5</v>
      </c>
      <c r="AQ42" s="640">
        <v>28154.3</v>
      </c>
      <c r="AR42" s="574">
        <v>32429.1</v>
      </c>
      <c r="AS42" s="574">
        <v>42187.5</v>
      </c>
      <c r="AT42" s="574">
        <v>37358.400000000001</v>
      </c>
      <c r="AU42" s="574">
        <v>37358.400000000001</v>
      </c>
      <c r="AV42" s="483"/>
    </row>
    <row r="43" spans="1:48" ht="20.25" customHeight="1" x14ac:dyDescent="0.2">
      <c r="A43" s="797" t="s">
        <v>578</v>
      </c>
      <c r="B43" s="797"/>
      <c r="C43" s="797"/>
      <c r="D43" s="797"/>
      <c r="E43" s="797"/>
      <c r="F43" s="797"/>
      <c r="G43" s="797"/>
      <c r="H43" s="797"/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7"/>
      <c r="Z43" s="797"/>
      <c r="AA43" s="797"/>
      <c r="AB43" s="797"/>
      <c r="AC43" s="797"/>
      <c r="AD43" s="797"/>
      <c r="AE43" s="797"/>
      <c r="AF43" s="797"/>
      <c r="AG43" s="797"/>
      <c r="AH43" s="797"/>
      <c r="AI43" s="797"/>
      <c r="AJ43" s="797"/>
      <c r="AK43" s="797"/>
      <c r="AL43" s="797"/>
      <c r="AM43" s="797"/>
      <c r="AN43" s="797"/>
      <c r="AO43" s="797"/>
      <c r="AP43" s="797"/>
      <c r="AQ43" s="797"/>
      <c r="AR43" s="797"/>
      <c r="AS43" s="797"/>
      <c r="AT43" s="797"/>
      <c r="AU43" s="797"/>
      <c r="AV43" s="408"/>
    </row>
    <row r="44" spans="1:48" ht="18.75" customHeight="1" x14ac:dyDescent="0.2">
      <c r="A44" s="798" t="s">
        <v>134</v>
      </c>
      <c r="B44" s="798"/>
      <c r="C44" s="798"/>
      <c r="D44" s="798"/>
      <c r="E44" s="798"/>
      <c r="F44" s="798"/>
      <c r="G44" s="798"/>
      <c r="H44" s="798"/>
      <c r="I44" s="798"/>
      <c r="J44" s="798"/>
      <c r="K44" s="798"/>
      <c r="L44" s="798"/>
      <c r="M44" s="798"/>
      <c r="N44" s="798"/>
      <c r="O44" s="798"/>
      <c r="P44" s="798"/>
      <c r="Q44" s="798"/>
      <c r="R44" s="798"/>
      <c r="S44" s="798"/>
      <c r="T44" s="798"/>
      <c r="U44" s="798"/>
      <c r="V44" s="798"/>
      <c r="W44" s="798"/>
      <c r="X44" s="798"/>
      <c r="Y44" s="798"/>
      <c r="Z44" s="798"/>
      <c r="AA44" s="798"/>
      <c r="AB44" s="798"/>
      <c r="AC44" s="798"/>
      <c r="AD44" s="798"/>
      <c r="AE44" s="798"/>
      <c r="AF44" s="798"/>
      <c r="AG44" s="798"/>
      <c r="AH44" s="798"/>
      <c r="AI44" s="798"/>
      <c r="AJ44" s="798"/>
      <c r="AK44" s="798"/>
      <c r="AL44" s="798"/>
      <c r="AM44" s="798"/>
      <c r="AN44" s="798"/>
      <c r="AO44" s="798"/>
      <c r="AP44" s="798"/>
      <c r="AQ44" s="798"/>
      <c r="AR44" s="798"/>
      <c r="AS44" s="798"/>
      <c r="AT44" s="798"/>
      <c r="AU44" s="798"/>
      <c r="AV44" s="408"/>
    </row>
    <row r="45" spans="1:48" ht="37.5" customHeight="1" x14ac:dyDescent="0.2">
      <c r="A45" s="455" t="s">
        <v>135</v>
      </c>
      <c r="B45" s="455"/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550"/>
      <c r="Z45" s="551"/>
      <c r="AA45" s="551"/>
      <c r="AB45" s="551"/>
      <c r="AC45" s="551"/>
      <c r="AD45" s="442"/>
      <c r="AE45" s="442"/>
      <c r="AF45" s="442"/>
      <c r="AG45" s="442"/>
      <c r="AH45" s="410"/>
      <c r="AI45" s="410"/>
      <c r="AJ45" s="442"/>
      <c r="AK45" s="410"/>
      <c r="AL45" s="410"/>
      <c r="AM45" s="410"/>
      <c r="AN45" s="410"/>
      <c r="AO45" s="410"/>
      <c r="AP45" s="410"/>
      <c r="AQ45" s="455"/>
      <c r="AR45" s="410"/>
      <c r="AS45" s="410"/>
      <c r="AT45" s="410"/>
      <c r="AU45" s="410"/>
      <c r="AV45" s="408"/>
    </row>
    <row r="46" spans="1:48" ht="33.75" x14ac:dyDescent="0.2">
      <c r="A46" s="465" t="s">
        <v>45</v>
      </c>
      <c r="B46" s="641"/>
      <c r="C46" s="641">
        <v>370</v>
      </c>
      <c r="D46" s="641">
        <v>355</v>
      </c>
      <c r="E46" s="454">
        <v>0</v>
      </c>
      <c r="F46" s="454">
        <v>0</v>
      </c>
      <c r="G46" s="454">
        <v>0</v>
      </c>
      <c r="H46" s="454">
        <v>0</v>
      </c>
      <c r="I46" s="454">
        <v>0</v>
      </c>
      <c r="J46" s="454">
        <v>0</v>
      </c>
      <c r="K46" s="454"/>
      <c r="L46" s="454">
        <v>0</v>
      </c>
      <c r="M46" s="454">
        <v>0</v>
      </c>
      <c r="N46" s="454">
        <v>0</v>
      </c>
      <c r="O46" s="454">
        <v>0</v>
      </c>
      <c r="P46" s="454">
        <v>0</v>
      </c>
      <c r="Q46" s="454">
        <v>11455.4</v>
      </c>
      <c r="R46" s="454">
        <v>12120.9</v>
      </c>
      <c r="S46" s="454">
        <v>0</v>
      </c>
      <c r="T46" s="454">
        <v>0</v>
      </c>
      <c r="U46" s="454">
        <v>0</v>
      </c>
      <c r="V46" s="457">
        <f>U46</f>
        <v>0</v>
      </c>
      <c r="W46" s="457">
        <f>V46</f>
        <v>0</v>
      </c>
      <c r="X46" s="457">
        <f t="shared" ref="X46:AP46" si="7">W46</f>
        <v>0</v>
      </c>
      <c r="Y46" s="614">
        <f t="shared" si="7"/>
        <v>0</v>
      </c>
      <c r="Z46" s="614">
        <f t="shared" si="7"/>
        <v>0</v>
      </c>
      <c r="AA46" s="614">
        <f t="shared" si="7"/>
        <v>0</v>
      </c>
      <c r="AB46" s="614">
        <f t="shared" si="7"/>
        <v>0</v>
      </c>
      <c r="AC46" s="614">
        <f t="shared" si="7"/>
        <v>0</v>
      </c>
      <c r="AD46" s="614">
        <f t="shared" si="7"/>
        <v>0</v>
      </c>
      <c r="AE46" s="614">
        <f t="shared" si="7"/>
        <v>0</v>
      </c>
      <c r="AF46" s="614">
        <f t="shared" si="7"/>
        <v>0</v>
      </c>
      <c r="AG46" s="614">
        <f t="shared" si="7"/>
        <v>0</v>
      </c>
      <c r="AH46" s="614">
        <f t="shared" si="7"/>
        <v>0</v>
      </c>
      <c r="AI46" s="614">
        <f t="shared" si="7"/>
        <v>0</v>
      </c>
      <c r="AJ46" s="614">
        <f t="shared" si="7"/>
        <v>0</v>
      </c>
      <c r="AK46" s="614">
        <f t="shared" si="7"/>
        <v>0</v>
      </c>
      <c r="AL46" s="614">
        <f t="shared" si="7"/>
        <v>0</v>
      </c>
      <c r="AM46" s="614">
        <f t="shared" si="7"/>
        <v>0</v>
      </c>
      <c r="AN46" s="614">
        <f t="shared" si="7"/>
        <v>0</v>
      </c>
      <c r="AO46" s="614">
        <f t="shared" si="7"/>
        <v>0</v>
      </c>
      <c r="AP46" s="614">
        <f t="shared" si="7"/>
        <v>0</v>
      </c>
      <c r="AQ46" s="457">
        <v>0</v>
      </c>
      <c r="AR46" s="457">
        <f>AP46</f>
        <v>0</v>
      </c>
      <c r="AS46" s="457">
        <f>AP46</f>
        <v>0</v>
      </c>
      <c r="AT46" s="457">
        <f>AP46</f>
        <v>0</v>
      </c>
      <c r="AU46" s="457">
        <f>AQ46</f>
        <v>0</v>
      </c>
      <c r="AV46" s="483"/>
    </row>
    <row r="47" spans="1:48" ht="13.5" customHeight="1" x14ac:dyDescent="0.2">
      <c r="A47" s="827" t="s">
        <v>473</v>
      </c>
      <c r="B47" s="828"/>
      <c r="C47" s="828"/>
      <c r="D47" s="828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8"/>
      <c r="Y47" s="828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8"/>
      <c r="AK47" s="828"/>
      <c r="AL47" s="828"/>
      <c r="AM47" s="828"/>
      <c r="AN47" s="828"/>
      <c r="AO47" s="828"/>
      <c r="AP47" s="828"/>
      <c r="AQ47" s="828"/>
      <c r="AR47" s="828"/>
      <c r="AS47" s="828"/>
      <c r="AT47" s="828"/>
      <c r="AU47" s="828"/>
      <c r="AV47" s="408"/>
    </row>
    <row r="48" spans="1:48" ht="45" x14ac:dyDescent="0.2">
      <c r="A48" s="459" t="s">
        <v>135</v>
      </c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78"/>
      <c r="U48" s="478"/>
      <c r="V48" s="455"/>
      <c r="W48" s="568"/>
      <c r="X48" s="455"/>
      <c r="AP48" s="531"/>
      <c r="AQ48" s="568"/>
      <c r="AR48" s="410"/>
      <c r="AS48" s="410"/>
      <c r="AT48" s="410"/>
      <c r="AU48" s="410"/>
      <c r="AV48" s="408"/>
    </row>
    <row r="49" spans="1:48" ht="33.75" x14ac:dyDescent="0.2">
      <c r="A49" s="475" t="s">
        <v>45</v>
      </c>
      <c r="B49" s="476"/>
      <c r="C49" s="477">
        <v>0</v>
      </c>
      <c r="D49" s="477">
        <v>0</v>
      </c>
      <c r="E49" s="638">
        <v>61071</v>
      </c>
      <c r="F49" s="638">
        <v>77625</v>
      </c>
      <c r="G49" s="638">
        <v>67182</v>
      </c>
      <c r="H49" s="638">
        <v>54171</v>
      </c>
      <c r="I49" s="638">
        <v>44309</v>
      </c>
      <c r="J49" s="638">
        <v>30936</v>
      </c>
      <c r="K49" s="472"/>
      <c r="L49" s="638">
        <v>37417</v>
      </c>
      <c r="M49" s="638">
        <v>37777</v>
      </c>
      <c r="N49" s="638">
        <v>37777</v>
      </c>
      <c r="O49" s="638">
        <v>37777</v>
      </c>
      <c r="P49" s="638">
        <v>37777</v>
      </c>
      <c r="Q49" s="472">
        <v>0</v>
      </c>
      <c r="R49" s="472">
        <v>0</v>
      </c>
      <c r="S49" s="472">
        <v>8001.7</v>
      </c>
      <c r="T49" s="639">
        <v>9007.18</v>
      </c>
      <c r="U49" s="639">
        <v>8267.7999999999993</v>
      </c>
      <c r="V49" s="539">
        <v>6416.2</v>
      </c>
      <c r="W49" s="573">
        <v>8922</v>
      </c>
      <c r="X49" s="574">
        <v>6397.7</v>
      </c>
      <c r="Y49" s="540">
        <f>W49</f>
        <v>8922</v>
      </c>
      <c r="Z49" s="541">
        <f t="shared" ref="Z49:AP49" si="8">Y49</f>
        <v>8922</v>
      </c>
      <c r="AA49" s="541">
        <f t="shared" si="8"/>
        <v>8922</v>
      </c>
      <c r="AB49" s="541">
        <f t="shared" si="8"/>
        <v>8922</v>
      </c>
      <c r="AC49" s="541">
        <f t="shared" si="8"/>
        <v>8922</v>
      </c>
      <c r="AD49" s="541">
        <f t="shared" si="8"/>
        <v>8922</v>
      </c>
      <c r="AE49" s="541">
        <f t="shared" si="8"/>
        <v>8922</v>
      </c>
      <c r="AF49" s="541">
        <f t="shared" si="8"/>
        <v>8922</v>
      </c>
      <c r="AG49" s="541">
        <f t="shared" si="8"/>
        <v>8922</v>
      </c>
      <c r="AH49" s="541">
        <f t="shared" si="8"/>
        <v>8922</v>
      </c>
      <c r="AI49" s="541">
        <f t="shared" si="8"/>
        <v>8922</v>
      </c>
      <c r="AJ49" s="541">
        <f t="shared" si="8"/>
        <v>8922</v>
      </c>
      <c r="AK49" s="541">
        <f t="shared" si="8"/>
        <v>8922</v>
      </c>
      <c r="AL49" s="541">
        <f t="shared" si="8"/>
        <v>8922</v>
      </c>
      <c r="AM49" s="541">
        <f t="shared" si="8"/>
        <v>8922</v>
      </c>
      <c r="AN49" s="541">
        <f t="shared" si="8"/>
        <v>8922</v>
      </c>
      <c r="AO49" s="542">
        <f t="shared" si="8"/>
        <v>8922</v>
      </c>
      <c r="AP49" s="635">
        <f t="shared" si="8"/>
        <v>8922</v>
      </c>
      <c r="AQ49" s="636">
        <v>7027.7</v>
      </c>
      <c r="AR49" s="574">
        <v>10154.299999999999</v>
      </c>
      <c r="AS49" s="574">
        <v>8938.2999999999993</v>
      </c>
      <c r="AT49" s="574">
        <v>7032.6</v>
      </c>
      <c r="AU49" s="574">
        <v>7032.6</v>
      </c>
      <c r="AV49" s="483"/>
    </row>
    <row r="50" spans="1:48" ht="22.5" customHeight="1" x14ac:dyDescent="0.2">
      <c r="A50" s="797" t="s">
        <v>489</v>
      </c>
      <c r="B50" s="797"/>
      <c r="C50" s="797"/>
      <c r="D50" s="797"/>
      <c r="E50" s="797"/>
      <c r="F50" s="797"/>
      <c r="G50" s="797"/>
      <c r="H50" s="797"/>
      <c r="I50" s="797"/>
      <c r="J50" s="797"/>
      <c r="K50" s="797"/>
      <c r="L50" s="797"/>
      <c r="M50" s="797"/>
      <c r="N50" s="797"/>
      <c r="O50" s="797"/>
      <c r="P50" s="797"/>
      <c r="Q50" s="797"/>
      <c r="R50" s="797"/>
      <c r="S50" s="797"/>
      <c r="T50" s="797"/>
      <c r="U50" s="797"/>
      <c r="V50" s="797"/>
      <c r="W50" s="797"/>
      <c r="X50" s="797"/>
      <c r="Y50" s="797"/>
      <c r="Z50" s="797"/>
      <c r="AA50" s="797"/>
      <c r="AB50" s="797"/>
      <c r="AC50" s="797"/>
      <c r="AD50" s="797"/>
      <c r="AE50" s="797"/>
      <c r="AF50" s="797"/>
      <c r="AG50" s="797"/>
      <c r="AH50" s="797"/>
      <c r="AI50" s="797"/>
      <c r="AJ50" s="797"/>
      <c r="AK50" s="797"/>
      <c r="AL50" s="797"/>
      <c r="AM50" s="797"/>
      <c r="AN50" s="797"/>
      <c r="AO50" s="797"/>
      <c r="AP50" s="797"/>
      <c r="AQ50" s="797"/>
      <c r="AR50" s="797"/>
      <c r="AS50" s="797"/>
      <c r="AT50" s="797"/>
      <c r="AU50" s="797"/>
      <c r="AV50" s="408"/>
    </row>
    <row r="51" spans="1:48" ht="18.75" customHeight="1" x14ac:dyDescent="0.2">
      <c r="A51" s="801" t="s">
        <v>428</v>
      </c>
      <c r="B51" s="801"/>
      <c r="C51" s="801"/>
      <c r="D51" s="801"/>
      <c r="E51" s="801"/>
      <c r="F51" s="801"/>
      <c r="G51" s="801"/>
      <c r="H51" s="801"/>
      <c r="I51" s="801"/>
      <c r="J51" s="801"/>
      <c r="K51" s="801"/>
      <c r="L51" s="801"/>
      <c r="M51" s="801"/>
      <c r="N51" s="801"/>
      <c r="O51" s="801"/>
      <c r="P51" s="801"/>
      <c r="Q51" s="801"/>
      <c r="R51" s="801"/>
      <c r="S51" s="801"/>
      <c r="T51" s="801"/>
      <c r="U51" s="801"/>
      <c r="V51" s="801"/>
      <c r="W51" s="801"/>
      <c r="X51" s="801"/>
      <c r="Y51" s="801"/>
      <c r="Z51" s="801"/>
      <c r="AA51" s="801"/>
      <c r="AB51" s="801"/>
      <c r="AC51" s="801"/>
      <c r="AD51" s="801"/>
      <c r="AE51" s="801"/>
      <c r="AF51" s="801"/>
      <c r="AG51" s="801"/>
      <c r="AH51" s="801"/>
      <c r="AI51" s="801"/>
      <c r="AJ51" s="801"/>
      <c r="AK51" s="801"/>
      <c r="AL51" s="801"/>
      <c r="AM51" s="801"/>
      <c r="AN51" s="801"/>
      <c r="AO51" s="801"/>
      <c r="AP51" s="801"/>
      <c r="AQ51" s="801"/>
      <c r="AR51" s="801"/>
      <c r="AS51" s="801"/>
      <c r="AT51" s="801"/>
      <c r="AU51" s="801"/>
      <c r="AV51" s="408"/>
    </row>
    <row r="52" spans="1:48" ht="22.5" x14ac:dyDescent="0.2">
      <c r="A52" s="455" t="s">
        <v>44</v>
      </c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55"/>
      <c r="Y52" s="550"/>
      <c r="Z52" s="551"/>
      <c r="AA52" s="551"/>
      <c r="AB52" s="551"/>
      <c r="AC52" s="551"/>
      <c r="AD52" s="442"/>
      <c r="AE52" s="442"/>
      <c r="AF52" s="442"/>
      <c r="AG52" s="442"/>
      <c r="AH52" s="410"/>
      <c r="AI52" s="410"/>
      <c r="AJ52" s="442"/>
      <c r="AK52" s="410"/>
      <c r="AL52" s="410"/>
      <c r="AM52" s="410"/>
      <c r="AN52" s="410"/>
      <c r="AO52" s="410"/>
      <c r="AP52" s="410"/>
      <c r="AQ52" s="455"/>
      <c r="AR52" s="410"/>
      <c r="AS52" s="410"/>
      <c r="AT52" s="410"/>
      <c r="AU52" s="410"/>
      <c r="AV52" s="408"/>
    </row>
    <row r="53" spans="1:48" ht="36" customHeight="1" x14ac:dyDescent="0.2">
      <c r="A53" s="465" t="s">
        <v>45</v>
      </c>
      <c r="B53" s="455"/>
      <c r="C53" s="456">
        <v>280674</v>
      </c>
      <c r="D53" s="456">
        <v>280791</v>
      </c>
      <c r="E53" s="456">
        <v>281350</v>
      </c>
      <c r="F53" s="456">
        <v>277910</v>
      </c>
      <c r="G53" s="456">
        <v>277930</v>
      </c>
      <c r="H53" s="466">
        <v>276756</v>
      </c>
      <c r="I53" s="466">
        <v>265345</v>
      </c>
      <c r="J53" s="466">
        <v>265474</v>
      </c>
      <c r="K53" s="466"/>
      <c r="L53" s="466">
        <v>267915</v>
      </c>
      <c r="M53" s="466">
        <v>265225</v>
      </c>
      <c r="N53" s="466">
        <v>265130</v>
      </c>
      <c r="O53" s="466">
        <v>265035</v>
      </c>
      <c r="P53" s="466">
        <v>265035</v>
      </c>
      <c r="Q53" s="466">
        <v>1178.5999999999999</v>
      </c>
      <c r="R53" s="466">
        <v>1232.0999999999999</v>
      </c>
      <c r="S53" s="470">
        <v>1753.4</v>
      </c>
      <c r="T53" s="642">
        <v>3742.9</v>
      </c>
      <c r="U53" s="642">
        <v>2752.3</v>
      </c>
      <c r="V53" s="457">
        <v>3295.8</v>
      </c>
      <c r="W53" s="457">
        <v>3449.9</v>
      </c>
      <c r="X53" s="457">
        <v>4505</v>
      </c>
      <c r="Y53" s="614">
        <f>W53</f>
        <v>3449.9</v>
      </c>
      <c r="Z53" s="614">
        <f t="shared" ref="Z53:AP53" si="9">Y53</f>
        <v>3449.9</v>
      </c>
      <c r="AA53" s="614">
        <f t="shared" si="9"/>
        <v>3449.9</v>
      </c>
      <c r="AB53" s="614">
        <f t="shared" si="9"/>
        <v>3449.9</v>
      </c>
      <c r="AC53" s="614">
        <f t="shared" si="9"/>
        <v>3449.9</v>
      </c>
      <c r="AD53" s="614">
        <f t="shared" si="9"/>
        <v>3449.9</v>
      </c>
      <c r="AE53" s="614">
        <f t="shared" si="9"/>
        <v>3449.9</v>
      </c>
      <c r="AF53" s="614">
        <f t="shared" si="9"/>
        <v>3449.9</v>
      </c>
      <c r="AG53" s="614">
        <f t="shared" si="9"/>
        <v>3449.9</v>
      </c>
      <c r="AH53" s="614">
        <f t="shared" si="9"/>
        <v>3449.9</v>
      </c>
      <c r="AI53" s="614">
        <f t="shared" si="9"/>
        <v>3449.9</v>
      </c>
      <c r="AJ53" s="614">
        <f t="shared" si="9"/>
        <v>3449.9</v>
      </c>
      <c r="AK53" s="614">
        <f t="shared" si="9"/>
        <v>3449.9</v>
      </c>
      <c r="AL53" s="614">
        <f t="shared" si="9"/>
        <v>3449.9</v>
      </c>
      <c r="AM53" s="614">
        <f t="shared" si="9"/>
        <v>3449.9</v>
      </c>
      <c r="AN53" s="614">
        <f t="shared" si="9"/>
        <v>3449.9</v>
      </c>
      <c r="AO53" s="614">
        <f t="shared" si="9"/>
        <v>3449.9</v>
      </c>
      <c r="AP53" s="614">
        <f t="shared" si="9"/>
        <v>3449.9</v>
      </c>
      <c r="AQ53" s="457">
        <v>8077.6</v>
      </c>
      <c r="AR53" s="457">
        <v>9504</v>
      </c>
      <c r="AS53" s="457">
        <v>13230.8</v>
      </c>
      <c r="AT53" s="457">
        <v>8842.5</v>
      </c>
      <c r="AU53" s="457">
        <v>8601.4</v>
      </c>
      <c r="AV53" s="483"/>
    </row>
    <row r="54" spans="1:48" ht="15" customHeight="1" x14ac:dyDescent="0.2">
      <c r="A54" s="797" t="s">
        <v>204</v>
      </c>
      <c r="B54" s="797"/>
      <c r="C54" s="797"/>
      <c r="D54" s="797"/>
      <c r="E54" s="797"/>
      <c r="F54" s="797"/>
      <c r="G54" s="797"/>
      <c r="H54" s="797"/>
      <c r="I54" s="797"/>
      <c r="J54" s="797"/>
      <c r="K54" s="797"/>
      <c r="L54" s="797"/>
      <c r="M54" s="797"/>
      <c r="N54" s="797"/>
      <c r="O54" s="797"/>
      <c r="P54" s="797"/>
      <c r="Q54" s="797"/>
      <c r="R54" s="797"/>
      <c r="S54" s="797"/>
      <c r="T54" s="797"/>
      <c r="U54" s="797"/>
      <c r="V54" s="797"/>
      <c r="W54" s="797"/>
      <c r="X54" s="797"/>
      <c r="Y54" s="797"/>
      <c r="Z54" s="797"/>
      <c r="AA54" s="797"/>
      <c r="AB54" s="797"/>
      <c r="AC54" s="797"/>
      <c r="AD54" s="797"/>
      <c r="AE54" s="797"/>
      <c r="AF54" s="797"/>
      <c r="AG54" s="797"/>
      <c r="AH54" s="797"/>
      <c r="AI54" s="797"/>
      <c r="AJ54" s="797"/>
      <c r="AK54" s="797"/>
      <c r="AL54" s="797"/>
      <c r="AM54" s="797"/>
      <c r="AN54" s="797"/>
      <c r="AO54" s="797"/>
      <c r="AP54" s="797"/>
      <c r="AQ54" s="797"/>
      <c r="AR54" s="797"/>
      <c r="AS54" s="797"/>
      <c r="AT54" s="797"/>
      <c r="AU54" s="797"/>
      <c r="AV54" s="408"/>
    </row>
    <row r="55" spans="1:48" ht="16.5" customHeight="1" x14ac:dyDescent="0.2">
      <c r="A55" s="801" t="s">
        <v>428</v>
      </c>
      <c r="B55" s="801"/>
      <c r="C55" s="801"/>
      <c r="D55" s="801"/>
      <c r="E55" s="801"/>
      <c r="F55" s="801"/>
      <c r="G55" s="801"/>
      <c r="H55" s="801"/>
      <c r="I55" s="801"/>
      <c r="J55" s="801"/>
      <c r="K55" s="801"/>
      <c r="L55" s="801"/>
      <c r="M55" s="801"/>
      <c r="N55" s="801"/>
      <c r="O55" s="801"/>
      <c r="P55" s="801"/>
      <c r="Q55" s="801"/>
      <c r="R55" s="801"/>
      <c r="S55" s="801"/>
      <c r="T55" s="801"/>
      <c r="U55" s="801"/>
      <c r="V55" s="801"/>
      <c r="W55" s="801"/>
      <c r="X55" s="801"/>
      <c r="Y55" s="801"/>
      <c r="Z55" s="801"/>
      <c r="AA55" s="801"/>
      <c r="AB55" s="801"/>
      <c r="AC55" s="801"/>
      <c r="AD55" s="801"/>
      <c r="AE55" s="801"/>
      <c r="AF55" s="801"/>
      <c r="AG55" s="801"/>
      <c r="AH55" s="801"/>
      <c r="AI55" s="801"/>
      <c r="AJ55" s="801"/>
      <c r="AK55" s="801"/>
      <c r="AL55" s="801"/>
      <c r="AM55" s="801"/>
      <c r="AN55" s="801"/>
      <c r="AO55" s="801"/>
      <c r="AP55" s="801"/>
      <c r="AQ55" s="801"/>
      <c r="AR55" s="801"/>
      <c r="AS55" s="801"/>
      <c r="AT55" s="801"/>
      <c r="AU55" s="801"/>
      <c r="AV55" s="408"/>
    </row>
    <row r="56" spans="1:48" ht="22.5" x14ac:dyDescent="0.2">
      <c r="A56" s="455" t="s">
        <v>44</v>
      </c>
      <c r="B56" s="455"/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550"/>
      <c r="Z56" s="551"/>
      <c r="AA56" s="551"/>
      <c r="AB56" s="551"/>
      <c r="AC56" s="551"/>
      <c r="AD56" s="442"/>
      <c r="AE56" s="442"/>
      <c r="AF56" s="442"/>
      <c r="AG56" s="442"/>
      <c r="AH56" s="410"/>
      <c r="AI56" s="410"/>
      <c r="AJ56" s="442"/>
      <c r="AK56" s="410"/>
      <c r="AL56" s="410"/>
      <c r="AM56" s="410"/>
      <c r="AN56" s="410"/>
      <c r="AO56" s="410"/>
      <c r="AP56" s="410"/>
      <c r="AQ56" s="455"/>
      <c r="AR56" s="410"/>
      <c r="AS56" s="410"/>
      <c r="AT56" s="410"/>
      <c r="AU56" s="410"/>
      <c r="AV56" s="408"/>
    </row>
    <row r="57" spans="1:48" ht="36.75" customHeight="1" x14ac:dyDescent="0.2">
      <c r="A57" s="543" t="s">
        <v>45</v>
      </c>
      <c r="B57" s="468"/>
      <c r="C57" s="544">
        <v>6914</v>
      </c>
      <c r="D57" s="544">
        <v>7000</v>
      </c>
      <c r="E57" s="544">
        <v>7000</v>
      </c>
      <c r="F57" s="536">
        <v>7865</v>
      </c>
      <c r="G57" s="536">
        <v>11403</v>
      </c>
      <c r="H57" s="536">
        <v>11507</v>
      </c>
      <c r="I57" s="536">
        <v>13399</v>
      </c>
      <c r="J57" s="536">
        <v>13407</v>
      </c>
      <c r="K57" s="520"/>
      <c r="L57" s="643">
        <v>0</v>
      </c>
      <c r="M57" s="643">
        <v>0</v>
      </c>
      <c r="N57" s="643">
        <v>0</v>
      </c>
      <c r="O57" s="643">
        <v>0</v>
      </c>
      <c r="P57" s="643">
        <v>0</v>
      </c>
      <c r="Q57" s="520">
        <v>1067.4000000000001</v>
      </c>
      <c r="R57" s="520">
        <v>1125.7</v>
      </c>
      <c r="S57" s="644">
        <v>1614</v>
      </c>
      <c r="T57" s="462">
        <v>1017.55</v>
      </c>
      <c r="U57" s="462">
        <v>1274.0999999999999</v>
      </c>
      <c r="V57" s="462">
        <v>2172.6</v>
      </c>
      <c r="W57" s="591">
        <v>2293.6999999999998</v>
      </c>
      <c r="X57" s="576">
        <v>2338.06</v>
      </c>
      <c r="Y57" s="546">
        <f>W57</f>
        <v>2293.6999999999998</v>
      </c>
      <c r="Z57" s="547">
        <f t="shared" ref="Z57:AP57" si="10">Y57</f>
        <v>2293.6999999999998</v>
      </c>
      <c r="AA57" s="547">
        <f t="shared" si="10"/>
        <v>2293.6999999999998</v>
      </c>
      <c r="AB57" s="547">
        <f t="shared" si="10"/>
        <v>2293.6999999999998</v>
      </c>
      <c r="AC57" s="547">
        <f t="shared" si="10"/>
        <v>2293.6999999999998</v>
      </c>
      <c r="AD57" s="547">
        <f t="shared" si="10"/>
        <v>2293.6999999999998</v>
      </c>
      <c r="AE57" s="547">
        <f t="shared" si="10"/>
        <v>2293.6999999999998</v>
      </c>
      <c r="AF57" s="547">
        <f t="shared" si="10"/>
        <v>2293.6999999999998</v>
      </c>
      <c r="AG57" s="547">
        <f t="shared" si="10"/>
        <v>2293.6999999999998</v>
      </c>
      <c r="AH57" s="547">
        <f t="shared" si="10"/>
        <v>2293.6999999999998</v>
      </c>
      <c r="AI57" s="547">
        <f t="shared" si="10"/>
        <v>2293.6999999999998</v>
      </c>
      <c r="AJ57" s="547">
        <f t="shared" si="10"/>
        <v>2293.6999999999998</v>
      </c>
      <c r="AK57" s="547">
        <f t="shared" si="10"/>
        <v>2293.6999999999998</v>
      </c>
      <c r="AL57" s="547">
        <f t="shared" si="10"/>
        <v>2293.6999999999998</v>
      </c>
      <c r="AM57" s="547">
        <f t="shared" si="10"/>
        <v>2293.6999999999998</v>
      </c>
      <c r="AN57" s="547">
        <f t="shared" si="10"/>
        <v>2293.6999999999998</v>
      </c>
      <c r="AO57" s="548">
        <f t="shared" si="10"/>
        <v>2293.6999999999998</v>
      </c>
      <c r="AP57" s="549">
        <f t="shared" si="10"/>
        <v>2293.6999999999998</v>
      </c>
      <c r="AQ57" s="570">
        <v>0</v>
      </c>
      <c r="AR57" s="576">
        <v>0</v>
      </c>
      <c r="AS57" s="576">
        <v>0</v>
      </c>
      <c r="AT57" s="576">
        <v>0</v>
      </c>
      <c r="AU57" s="576">
        <v>0</v>
      </c>
      <c r="AV57" s="483"/>
    </row>
    <row r="58" spans="1:48" ht="18.75" customHeight="1" x14ac:dyDescent="0.2">
      <c r="A58" s="816" t="s">
        <v>171</v>
      </c>
      <c r="B58" s="817"/>
      <c r="C58" s="817"/>
      <c r="D58" s="817"/>
      <c r="E58" s="817"/>
      <c r="F58" s="817"/>
      <c r="G58" s="817"/>
      <c r="H58" s="817"/>
      <c r="I58" s="817"/>
      <c r="J58" s="817"/>
      <c r="K58" s="817"/>
      <c r="L58" s="817"/>
      <c r="M58" s="817"/>
      <c r="N58" s="817"/>
      <c r="O58" s="817"/>
      <c r="P58" s="817"/>
      <c r="Q58" s="817"/>
      <c r="R58" s="817"/>
      <c r="S58" s="817"/>
      <c r="T58" s="817"/>
      <c r="U58" s="817"/>
      <c r="V58" s="817"/>
      <c r="W58" s="817"/>
      <c r="X58" s="817"/>
      <c r="Y58" s="817"/>
      <c r="Z58" s="817"/>
      <c r="AA58" s="817"/>
      <c r="AB58" s="817"/>
      <c r="AC58" s="817"/>
      <c r="AD58" s="817"/>
      <c r="AE58" s="817"/>
      <c r="AF58" s="817"/>
      <c r="AG58" s="817"/>
      <c r="AH58" s="817"/>
      <c r="AI58" s="817"/>
      <c r="AJ58" s="817"/>
      <c r="AK58" s="817"/>
      <c r="AL58" s="817"/>
      <c r="AM58" s="817"/>
      <c r="AN58" s="817"/>
      <c r="AO58" s="817"/>
      <c r="AP58" s="817"/>
      <c r="AQ58" s="817"/>
      <c r="AR58" s="817"/>
      <c r="AS58" s="817"/>
      <c r="AT58" s="817"/>
      <c r="AU58" s="817"/>
      <c r="AV58" s="408"/>
    </row>
    <row r="59" spans="1:48" ht="15" customHeight="1" x14ac:dyDescent="0.2">
      <c r="A59" s="818" t="s">
        <v>429</v>
      </c>
      <c r="B59" s="819"/>
      <c r="C59" s="819"/>
      <c r="D59" s="819"/>
      <c r="E59" s="819"/>
      <c r="F59" s="819"/>
      <c r="G59" s="819"/>
      <c r="H59" s="819"/>
      <c r="I59" s="819"/>
      <c r="J59" s="819"/>
      <c r="K59" s="819"/>
      <c r="L59" s="819"/>
      <c r="M59" s="819"/>
      <c r="N59" s="819"/>
      <c r="O59" s="819"/>
      <c r="P59" s="819"/>
      <c r="Q59" s="819"/>
      <c r="R59" s="819"/>
      <c r="S59" s="819"/>
      <c r="T59" s="819"/>
      <c r="U59" s="819"/>
      <c r="V59" s="819"/>
      <c r="W59" s="819"/>
      <c r="X59" s="819"/>
      <c r="Y59" s="819"/>
      <c r="Z59" s="819"/>
      <c r="AA59" s="819"/>
      <c r="AB59" s="819"/>
      <c r="AC59" s="819"/>
      <c r="AD59" s="819"/>
      <c r="AE59" s="819"/>
      <c r="AF59" s="819"/>
      <c r="AG59" s="819"/>
      <c r="AH59" s="819"/>
      <c r="AI59" s="819"/>
      <c r="AJ59" s="819"/>
      <c r="AK59" s="819"/>
      <c r="AL59" s="819"/>
      <c r="AM59" s="819"/>
      <c r="AN59" s="819"/>
      <c r="AO59" s="819"/>
      <c r="AP59" s="819"/>
      <c r="AQ59" s="819"/>
      <c r="AR59" s="819"/>
      <c r="AS59" s="819"/>
      <c r="AT59" s="819"/>
      <c r="AU59" s="819"/>
      <c r="AV59" s="408"/>
    </row>
    <row r="60" spans="1:48" ht="22.5" x14ac:dyDescent="0.2">
      <c r="A60" s="455" t="s">
        <v>44</v>
      </c>
      <c r="B60" s="455"/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550"/>
      <c r="Z60" s="551"/>
      <c r="AA60" s="551"/>
      <c r="AB60" s="551"/>
      <c r="AC60" s="551"/>
      <c r="AD60" s="442"/>
      <c r="AE60" s="442"/>
      <c r="AF60" s="442"/>
      <c r="AG60" s="442"/>
      <c r="AH60" s="410"/>
      <c r="AI60" s="410"/>
      <c r="AJ60" s="442"/>
      <c r="AK60" s="410"/>
      <c r="AL60" s="410"/>
      <c r="AM60" s="410"/>
      <c r="AN60" s="410"/>
      <c r="AO60" s="410"/>
      <c r="AP60" s="410"/>
      <c r="AQ60" s="455"/>
      <c r="AR60" s="410"/>
      <c r="AS60" s="410"/>
      <c r="AT60" s="410"/>
      <c r="AU60" s="410"/>
      <c r="AV60" s="408"/>
    </row>
    <row r="61" spans="1:48" ht="39.75" customHeight="1" x14ac:dyDescent="0.2">
      <c r="A61" s="615" t="s">
        <v>45</v>
      </c>
      <c r="B61" s="467"/>
      <c r="C61" s="631">
        <v>14644</v>
      </c>
      <c r="D61" s="631">
        <v>14858</v>
      </c>
      <c r="E61" s="631">
        <v>15066</v>
      </c>
      <c r="F61" s="616">
        <v>15569</v>
      </c>
      <c r="G61" s="617">
        <v>15892</v>
      </c>
      <c r="H61" s="618">
        <v>16373</v>
      </c>
      <c r="I61" s="618">
        <v>16730</v>
      </c>
      <c r="J61" s="618">
        <v>16880</v>
      </c>
      <c r="K61" s="656"/>
      <c r="L61" s="655">
        <v>17720</v>
      </c>
      <c r="M61" s="655">
        <v>18078</v>
      </c>
      <c r="N61" s="655">
        <v>18436</v>
      </c>
      <c r="O61" s="655">
        <v>18786</v>
      </c>
      <c r="P61" s="655">
        <v>18786</v>
      </c>
      <c r="Q61" s="645">
        <v>350.7</v>
      </c>
      <c r="R61" s="646">
        <v>387.3</v>
      </c>
      <c r="S61" s="647">
        <v>659.8</v>
      </c>
      <c r="T61" s="633">
        <v>1735.13</v>
      </c>
      <c r="U61" s="467">
        <v>2607</v>
      </c>
      <c r="V61" s="621">
        <v>3394.4</v>
      </c>
      <c r="W61" s="625">
        <v>3248.5</v>
      </c>
      <c r="X61" s="623">
        <v>3717.4</v>
      </c>
      <c r="Y61" s="626">
        <f>W61</f>
        <v>3248.5</v>
      </c>
      <c r="Z61" s="627">
        <f t="shared" ref="Z61:AP61" si="11">Y61</f>
        <v>3248.5</v>
      </c>
      <c r="AA61" s="627">
        <f t="shared" si="11"/>
        <v>3248.5</v>
      </c>
      <c r="AB61" s="627">
        <f t="shared" si="11"/>
        <v>3248.5</v>
      </c>
      <c r="AC61" s="627">
        <f t="shared" si="11"/>
        <v>3248.5</v>
      </c>
      <c r="AD61" s="627">
        <f t="shared" si="11"/>
        <v>3248.5</v>
      </c>
      <c r="AE61" s="627">
        <f t="shared" si="11"/>
        <v>3248.5</v>
      </c>
      <c r="AF61" s="627">
        <f t="shared" si="11"/>
        <v>3248.5</v>
      </c>
      <c r="AG61" s="627">
        <f t="shared" si="11"/>
        <v>3248.5</v>
      </c>
      <c r="AH61" s="627">
        <f t="shared" si="11"/>
        <v>3248.5</v>
      </c>
      <c r="AI61" s="627">
        <f t="shared" si="11"/>
        <v>3248.5</v>
      </c>
      <c r="AJ61" s="627">
        <f t="shared" si="11"/>
        <v>3248.5</v>
      </c>
      <c r="AK61" s="627">
        <f t="shared" si="11"/>
        <v>3248.5</v>
      </c>
      <c r="AL61" s="627">
        <f t="shared" si="11"/>
        <v>3248.5</v>
      </c>
      <c r="AM61" s="627">
        <f t="shared" si="11"/>
        <v>3248.5</v>
      </c>
      <c r="AN61" s="627">
        <f t="shared" si="11"/>
        <v>3248.5</v>
      </c>
      <c r="AO61" s="628">
        <f t="shared" si="11"/>
        <v>3248.5</v>
      </c>
      <c r="AP61" s="629">
        <f t="shared" si="11"/>
        <v>3248.5</v>
      </c>
      <c r="AQ61" s="630">
        <v>4965.3999999999996</v>
      </c>
      <c r="AR61" s="623">
        <v>6802.3</v>
      </c>
      <c r="AS61" s="623">
        <v>7230.5</v>
      </c>
      <c r="AT61" s="623">
        <v>6344.5</v>
      </c>
      <c r="AU61" s="623">
        <v>6456.9</v>
      </c>
      <c r="AV61" s="483"/>
    </row>
    <row r="62" spans="1:48" ht="17.25" customHeight="1" x14ac:dyDescent="0.2">
      <c r="A62" s="797" t="s">
        <v>172</v>
      </c>
      <c r="B62" s="797"/>
      <c r="C62" s="797"/>
      <c r="D62" s="797"/>
      <c r="E62" s="797"/>
      <c r="F62" s="797"/>
      <c r="G62" s="797"/>
      <c r="H62" s="797"/>
      <c r="I62" s="797"/>
      <c r="J62" s="797"/>
      <c r="K62" s="797"/>
      <c r="L62" s="797"/>
      <c r="M62" s="797"/>
      <c r="N62" s="797"/>
      <c r="O62" s="797"/>
      <c r="P62" s="797"/>
      <c r="Q62" s="797"/>
      <c r="R62" s="797"/>
      <c r="S62" s="797"/>
      <c r="T62" s="797"/>
      <c r="U62" s="797"/>
      <c r="V62" s="797"/>
      <c r="W62" s="797"/>
      <c r="X62" s="797"/>
      <c r="Y62" s="797"/>
      <c r="Z62" s="797"/>
      <c r="AA62" s="797"/>
      <c r="AB62" s="797"/>
      <c r="AC62" s="797"/>
      <c r="AD62" s="797"/>
      <c r="AE62" s="797"/>
      <c r="AF62" s="797"/>
      <c r="AG62" s="797"/>
      <c r="AH62" s="797"/>
      <c r="AI62" s="797"/>
      <c r="AJ62" s="797"/>
      <c r="AK62" s="797"/>
      <c r="AL62" s="797"/>
      <c r="AM62" s="797"/>
      <c r="AN62" s="797"/>
      <c r="AO62" s="797"/>
      <c r="AP62" s="797"/>
      <c r="AQ62" s="797"/>
      <c r="AR62" s="797"/>
      <c r="AS62" s="797"/>
      <c r="AT62" s="797"/>
      <c r="AU62" s="797"/>
      <c r="AV62" s="408"/>
    </row>
    <row r="63" spans="1:48" ht="18" customHeight="1" x14ac:dyDescent="0.2">
      <c r="A63" s="801" t="s">
        <v>430</v>
      </c>
      <c r="B63" s="801"/>
      <c r="C63" s="801"/>
      <c r="D63" s="801"/>
      <c r="E63" s="801"/>
      <c r="F63" s="801"/>
      <c r="G63" s="801"/>
      <c r="H63" s="801"/>
      <c r="I63" s="801"/>
      <c r="J63" s="801"/>
      <c r="K63" s="801"/>
      <c r="L63" s="801"/>
      <c r="M63" s="801"/>
      <c r="N63" s="801"/>
      <c r="O63" s="801"/>
      <c r="P63" s="801"/>
      <c r="Q63" s="801"/>
      <c r="R63" s="801"/>
      <c r="S63" s="801"/>
      <c r="T63" s="801"/>
      <c r="U63" s="801"/>
      <c r="V63" s="801"/>
      <c r="W63" s="801"/>
      <c r="X63" s="801"/>
      <c r="Y63" s="801"/>
      <c r="Z63" s="801"/>
      <c r="AA63" s="801"/>
      <c r="AB63" s="801"/>
      <c r="AC63" s="801"/>
      <c r="AD63" s="801"/>
      <c r="AE63" s="801"/>
      <c r="AF63" s="801"/>
      <c r="AG63" s="801"/>
      <c r="AH63" s="801"/>
      <c r="AI63" s="801"/>
      <c r="AJ63" s="801"/>
      <c r="AK63" s="801"/>
      <c r="AL63" s="801"/>
      <c r="AM63" s="801"/>
      <c r="AN63" s="801"/>
      <c r="AO63" s="801"/>
      <c r="AP63" s="801"/>
      <c r="AQ63" s="801"/>
      <c r="AR63" s="801"/>
      <c r="AS63" s="801"/>
      <c r="AT63" s="801"/>
      <c r="AU63" s="801"/>
      <c r="AV63" s="408"/>
    </row>
    <row r="64" spans="1:48" ht="22.5" x14ac:dyDescent="0.2">
      <c r="A64" s="455" t="s">
        <v>44</v>
      </c>
      <c r="B64" s="455"/>
      <c r="C64" s="455"/>
      <c r="D64" s="455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55"/>
      <c r="W64" s="455"/>
      <c r="X64" s="455"/>
      <c r="Y64" s="550" t="s">
        <v>332</v>
      </c>
      <c r="Z64" s="551" t="s">
        <v>333</v>
      </c>
      <c r="AA64" s="551"/>
      <c r="AB64" s="551"/>
      <c r="AC64" s="551"/>
      <c r="AD64" s="442"/>
      <c r="AE64" s="442"/>
      <c r="AF64" s="442"/>
      <c r="AG64" s="442"/>
      <c r="AH64" s="410"/>
      <c r="AI64" s="410"/>
      <c r="AJ64" s="442"/>
      <c r="AK64" s="410"/>
      <c r="AL64" s="410"/>
      <c r="AM64" s="410"/>
      <c r="AN64" s="410"/>
      <c r="AO64" s="410"/>
      <c r="AP64" s="410"/>
      <c r="AQ64" s="455"/>
      <c r="AR64" s="410"/>
      <c r="AS64" s="410"/>
      <c r="AT64" s="410"/>
      <c r="AU64" s="410"/>
      <c r="AV64" s="408"/>
    </row>
    <row r="65" spans="1:48" ht="35.25" customHeight="1" x14ac:dyDescent="0.2">
      <c r="A65" s="465" t="s">
        <v>45</v>
      </c>
      <c r="B65" s="455"/>
      <c r="C65" s="455">
        <v>68</v>
      </c>
      <c r="D65" s="455">
        <v>68</v>
      </c>
      <c r="E65" s="455">
        <v>68</v>
      </c>
      <c r="F65" s="456">
        <v>10727</v>
      </c>
      <c r="G65" s="456">
        <v>10927</v>
      </c>
      <c r="H65" s="456">
        <v>0</v>
      </c>
      <c r="I65" s="456">
        <v>0</v>
      </c>
      <c r="J65" s="456">
        <v>0</v>
      </c>
      <c r="K65" s="457"/>
      <c r="L65" s="457">
        <v>0</v>
      </c>
      <c r="M65" s="457">
        <v>0</v>
      </c>
      <c r="N65" s="457">
        <v>0</v>
      </c>
      <c r="O65" s="457">
        <v>0</v>
      </c>
      <c r="P65" s="457">
        <v>0</v>
      </c>
      <c r="Q65" s="457">
        <v>27.7</v>
      </c>
      <c r="R65" s="457">
        <v>190.7</v>
      </c>
      <c r="S65" s="470">
        <v>46.7</v>
      </c>
      <c r="T65" s="455">
        <v>54.98</v>
      </c>
      <c r="U65" s="455">
        <v>1250.7</v>
      </c>
      <c r="V65" s="457">
        <v>0</v>
      </c>
      <c r="W65" s="457">
        <f>V65</f>
        <v>0</v>
      </c>
      <c r="X65" s="457">
        <f>W65</f>
        <v>0</v>
      </c>
      <c r="Y65" s="614">
        <f>W65</f>
        <v>0</v>
      </c>
      <c r="Z65" s="614">
        <f t="shared" ref="Z65:AP65" si="12">Y65</f>
        <v>0</v>
      </c>
      <c r="AA65" s="614">
        <f t="shared" si="12"/>
        <v>0</v>
      </c>
      <c r="AB65" s="614">
        <f t="shared" si="12"/>
        <v>0</v>
      </c>
      <c r="AC65" s="614">
        <f t="shared" si="12"/>
        <v>0</v>
      </c>
      <c r="AD65" s="614">
        <f t="shared" si="12"/>
        <v>0</v>
      </c>
      <c r="AE65" s="614">
        <f t="shared" si="12"/>
        <v>0</v>
      </c>
      <c r="AF65" s="614">
        <f t="shared" si="12"/>
        <v>0</v>
      </c>
      <c r="AG65" s="614">
        <f t="shared" si="12"/>
        <v>0</v>
      </c>
      <c r="AH65" s="614">
        <f t="shared" si="12"/>
        <v>0</v>
      </c>
      <c r="AI65" s="614">
        <f t="shared" si="12"/>
        <v>0</v>
      </c>
      <c r="AJ65" s="614">
        <f t="shared" si="12"/>
        <v>0</v>
      </c>
      <c r="AK65" s="614">
        <f t="shared" si="12"/>
        <v>0</v>
      </c>
      <c r="AL65" s="614">
        <f t="shared" si="12"/>
        <v>0</v>
      </c>
      <c r="AM65" s="614">
        <f t="shared" si="12"/>
        <v>0</v>
      </c>
      <c r="AN65" s="614">
        <f t="shared" si="12"/>
        <v>0</v>
      </c>
      <c r="AO65" s="614">
        <f t="shared" si="12"/>
        <v>0</v>
      </c>
      <c r="AP65" s="614">
        <f t="shared" si="12"/>
        <v>0</v>
      </c>
      <c r="AQ65" s="457">
        <v>0</v>
      </c>
      <c r="AR65" s="457">
        <f>AP65</f>
        <v>0</v>
      </c>
      <c r="AS65" s="457">
        <f>AP65</f>
        <v>0</v>
      </c>
      <c r="AT65" s="457">
        <f>AP65</f>
        <v>0</v>
      </c>
      <c r="AU65" s="457">
        <f>AQ65</f>
        <v>0</v>
      </c>
      <c r="AV65" s="483"/>
    </row>
    <row r="66" spans="1:48" ht="38.25" customHeight="1" collapsed="1" x14ac:dyDescent="0.2">
      <c r="A66" s="648" t="s">
        <v>47</v>
      </c>
      <c r="B66" s="468"/>
      <c r="C66" s="468"/>
      <c r="D66" s="468"/>
      <c r="E66" s="468"/>
      <c r="F66" s="468"/>
      <c r="G66" s="468"/>
      <c r="H66" s="467"/>
      <c r="I66" s="467"/>
      <c r="J66" s="467"/>
      <c r="K66" s="468"/>
      <c r="L66" s="468"/>
      <c r="M66" s="468"/>
      <c r="N66" s="468"/>
      <c r="O66" s="468"/>
      <c r="P66" s="468"/>
      <c r="Q66" s="468"/>
      <c r="R66" s="468"/>
      <c r="S66" s="467"/>
      <c r="T66" s="473"/>
      <c r="U66" s="474"/>
      <c r="V66" s="474"/>
      <c r="W66" s="572"/>
      <c r="X66" s="474"/>
      <c r="Y66" s="400" t="s">
        <v>334</v>
      </c>
      <c r="Z66" s="401" t="s">
        <v>335</v>
      </c>
      <c r="AP66" s="534"/>
      <c r="AQ66" s="537"/>
      <c r="AR66" s="474"/>
      <c r="AS66" s="474"/>
      <c r="AT66" s="474"/>
      <c r="AU66" s="474"/>
      <c r="AV66" s="408"/>
    </row>
    <row r="67" spans="1:48" ht="32.25" customHeight="1" x14ac:dyDescent="0.2">
      <c r="A67" s="475" t="s">
        <v>45</v>
      </c>
      <c r="B67" s="459"/>
      <c r="C67" s="459">
        <v>38</v>
      </c>
      <c r="D67" s="459">
        <v>38</v>
      </c>
      <c r="E67" s="459">
        <v>38</v>
      </c>
      <c r="F67" s="459">
        <v>0</v>
      </c>
      <c r="G67" s="459">
        <v>0</v>
      </c>
      <c r="H67" s="459">
        <v>0</v>
      </c>
      <c r="I67" s="459">
        <v>0</v>
      </c>
      <c r="J67" s="459">
        <v>0</v>
      </c>
      <c r="K67" s="649"/>
      <c r="L67" s="649">
        <v>0</v>
      </c>
      <c r="M67" s="649">
        <v>0</v>
      </c>
      <c r="N67" s="649">
        <v>0</v>
      </c>
      <c r="O67" s="649">
        <v>0</v>
      </c>
      <c r="P67" s="649">
        <v>0</v>
      </c>
      <c r="Q67" s="539">
        <v>71.099999999999994</v>
      </c>
      <c r="R67" s="573">
        <v>44.2</v>
      </c>
      <c r="S67" s="634">
        <v>189.9</v>
      </c>
      <c r="T67" s="650">
        <v>0</v>
      </c>
      <c r="U67" s="478">
        <v>0</v>
      </c>
      <c r="V67" s="478">
        <v>0</v>
      </c>
      <c r="W67" s="651">
        <v>0</v>
      </c>
      <c r="X67" s="478">
        <v>0</v>
      </c>
      <c r="Y67" s="652">
        <v>0</v>
      </c>
      <c r="Z67" s="653">
        <v>0</v>
      </c>
      <c r="AA67" s="653">
        <v>0</v>
      </c>
      <c r="AB67" s="653">
        <v>0</v>
      </c>
      <c r="AC67" s="653">
        <v>0</v>
      </c>
      <c r="AD67" s="653">
        <v>0</v>
      </c>
      <c r="AE67" s="653">
        <v>0</v>
      </c>
      <c r="AF67" s="653">
        <v>0</v>
      </c>
      <c r="AG67" s="653">
        <v>0</v>
      </c>
      <c r="AH67" s="653">
        <v>0</v>
      </c>
      <c r="AI67" s="653">
        <v>0</v>
      </c>
      <c r="AJ67" s="653">
        <v>0</v>
      </c>
      <c r="AK67" s="653">
        <v>0</v>
      </c>
      <c r="AL67" s="653">
        <v>0</v>
      </c>
      <c r="AM67" s="653">
        <v>0</v>
      </c>
      <c r="AN67" s="653">
        <v>0</v>
      </c>
      <c r="AO67" s="653">
        <v>0</v>
      </c>
      <c r="AP67" s="654">
        <v>0</v>
      </c>
      <c r="AQ67" s="479">
        <v>0</v>
      </c>
      <c r="AR67" s="478">
        <v>0</v>
      </c>
      <c r="AS67" s="478">
        <v>0</v>
      </c>
      <c r="AT67" s="478">
        <v>0</v>
      </c>
      <c r="AU67" s="478">
        <v>0</v>
      </c>
      <c r="AV67" s="412"/>
    </row>
    <row r="68" spans="1:48" ht="22.5" customHeight="1" x14ac:dyDescent="0.2">
      <c r="A68" s="797" t="s">
        <v>206</v>
      </c>
      <c r="B68" s="797"/>
      <c r="C68" s="797"/>
      <c r="D68" s="797"/>
      <c r="E68" s="797"/>
      <c r="F68" s="797"/>
      <c r="G68" s="797"/>
      <c r="H68" s="797"/>
      <c r="I68" s="797"/>
      <c r="J68" s="797"/>
      <c r="K68" s="797"/>
      <c r="L68" s="797"/>
      <c r="M68" s="797"/>
      <c r="N68" s="797"/>
      <c r="O68" s="797"/>
      <c r="P68" s="797"/>
      <c r="Q68" s="797"/>
      <c r="R68" s="797"/>
      <c r="S68" s="797"/>
      <c r="T68" s="797"/>
      <c r="U68" s="797"/>
      <c r="V68" s="797"/>
      <c r="W68" s="797"/>
      <c r="X68" s="797"/>
      <c r="Y68" s="797"/>
      <c r="Z68" s="797"/>
      <c r="AA68" s="797"/>
      <c r="AB68" s="797"/>
      <c r="AC68" s="797"/>
      <c r="AD68" s="797"/>
      <c r="AE68" s="797"/>
      <c r="AF68" s="797"/>
      <c r="AG68" s="797"/>
      <c r="AH68" s="797"/>
      <c r="AI68" s="797"/>
      <c r="AJ68" s="797"/>
      <c r="AK68" s="797"/>
      <c r="AL68" s="797"/>
      <c r="AM68" s="797"/>
      <c r="AN68" s="797"/>
      <c r="AO68" s="797"/>
      <c r="AP68" s="797"/>
      <c r="AQ68" s="797"/>
      <c r="AR68" s="797"/>
      <c r="AS68" s="797"/>
      <c r="AT68" s="797"/>
      <c r="AU68" s="797"/>
      <c r="AV68" s="408"/>
    </row>
    <row r="69" spans="1:48" ht="24" customHeight="1" x14ac:dyDescent="0.2">
      <c r="A69" s="801" t="s">
        <v>493</v>
      </c>
      <c r="B69" s="801"/>
      <c r="C69" s="801"/>
      <c r="D69" s="801"/>
      <c r="E69" s="801"/>
      <c r="F69" s="801"/>
      <c r="G69" s="801"/>
      <c r="H69" s="801"/>
      <c r="I69" s="801"/>
      <c r="J69" s="801"/>
      <c r="K69" s="801"/>
      <c r="L69" s="801"/>
      <c r="M69" s="801"/>
      <c r="N69" s="801"/>
      <c r="O69" s="801"/>
      <c r="P69" s="801"/>
      <c r="Q69" s="801"/>
      <c r="R69" s="801"/>
      <c r="S69" s="801"/>
      <c r="T69" s="801"/>
      <c r="U69" s="801"/>
      <c r="V69" s="801"/>
      <c r="W69" s="801"/>
      <c r="X69" s="801"/>
      <c r="Y69" s="801"/>
      <c r="Z69" s="801"/>
      <c r="AA69" s="801"/>
      <c r="AB69" s="801"/>
      <c r="AC69" s="801"/>
      <c r="AD69" s="801"/>
      <c r="AE69" s="801"/>
      <c r="AF69" s="801"/>
      <c r="AG69" s="801"/>
      <c r="AH69" s="801"/>
      <c r="AI69" s="801"/>
      <c r="AJ69" s="801"/>
      <c r="AK69" s="801"/>
      <c r="AL69" s="801"/>
      <c r="AM69" s="801"/>
      <c r="AN69" s="801"/>
      <c r="AO69" s="801"/>
      <c r="AP69" s="801"/>
      <c r="AQ69" s="801"/>
      <c r="AR69" s="801"/>
      <c r="AS69" s="801"/>
      <c r="AT69" s="801"/>
      <c r="AU69" s="801"/>
      <c r="AV69" s="408"/>
    </row>
    <row r="70" spans="1:48" ht="22.5" x14ac:dyDescent="0.2">
      <c r="A70" s="455" t="s">
        <v>44</v>
      </c>
      <c r="B70" s="455"/>
      <c r="C70" s="455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550" t="s">
        <v>332</v>
      </c>
      <c r="Z70" s="551" t="s">
        <v>333</v>
      </c>
      <c r="AA70" s="551"/>
      <c r="AB70" s="551"/>
      <c r="AC70" s="551"/>
      <c r="AD70" s="442"/>
      <c r="AE70" s="442"/>
      <c r="AF70" s="442"/>
      <c r="AG70" s="442"/>
      <c r="AH70" s="410"/>
      <c r="AI70" s="410"/>
      <c r="AJ70" s="442"/>
      <c r="AK70" s="410"/>
      <c r="AL70" s="410"/>
      <c r="AM70" s="410"/>
      <c r="AN70" s="410"/>
      <c r="AO70" s="410"/>
      <c r="AP70" s="410"/>
      <c r="AQ70" s="455"/>
      <c r="AR70" s="410"/>
      <c r="AS70" s="410"/>
      <c r="AT70" s="410"/>
      <c r="AU70" s="410"/>
      <c r="AV70" s="408"/>
    </row>
    <row r="71" spans="1:48" ht="33.75" x14ac:dyDescent="0.2">
      <c r="A71" s="465" t="s">
        <v>45</v>
      </c>
      <c r="B71" s="455"/>
      <c r="C71" s="455">
        <v>558</v>
      </c>
      <c r="D71" s="455">
        <v>559</v>
      </c>
      <c r="E71" s="455">
        <v>559</v>
      </c>
      <c r="F71" s="456">
        <v>561</v>
      </c>
      <c r="G71" s="456">
        <v>562</v>
      </c>
      <c r="H71" s="456">
        <v>178</v>
      </c>
      <c r="I71" s="456">
        <v>564</v>
      </c>
      <c r="J71" s="456">
        <v>564</v>
      </c>
      <c r="K71" s="457"/>
      <c r="L71" s="466">
        <v>0</v>
      </c>
      <c r="M71" s="466">
        <v>0</v>
      </c>
      <c r="N71" s="466">
        <v>0</v>
      </c>
      <c r="O71" s="466">
        <v>0</v>
      </c>
      <c r="P71" s="466">
        <v>0</v>
      </c>
      <c r="Q71" s="457">
        <v>175.3</v>
      </c>
      <c r="R71" s="457">
        <v>35.1</v>
      </c>
      <c r="S71" s="470">
        <v>239.9</v>
      </c>
      <c r="T71" s="455">
        <v>1210.52</v>
      </c>
      <c r="U71" s="455">
        <v>1494.5</v>
      </c>
      <c r="V71" s="457">
        <v>542.6</v>
      </c>
      <c r="W71" s="457">
        <v>1885.3</v>
      </c>
      <c r="X71" s="457">
        <v>594.03</v>
      </c>
      <c r="Y71" s="550"/>
      <c r="Z71" s="551"/>
      <c r="AA71" s="551"/>
      <c r="AB71" s="551"/>
      <c r="AC71" s="551"/>
      <c r="AD71" s="442"/>
      <c r="AE71" s="442"/>
      <c r="AF71" s="442"/>
      <c r="AG71" s="442"/>
      <c r="AH71" s="410"/>
      <c r="AI71" s="410"/>
      <c r="AJ71" s="442"/>
      <c r="AK71" s="410"/>
      <c r="AL71" s="410"/>
      <c r="AM71" s="410"/>
      <c r="AN71" s="410"/>
      <c r="AO71" s="410"/>
      <c r="AP71" s="410"/>
      <c r="AQ71" s="455">
        <v>0</v>
      </c>
      <c r="AR71" s="457">
        <v>0</v>
      </c>
      <c r="AS71" s="457">
        <v>0</v>
      </c>
      <c r="AT71" s="457">
        <v>0</v>
      </c>
      <c r="AU71" s="457">
        <v>0</v>
      </c>
      <c r="AV71" s="408"/>
    </row>
    <row r="72" spans="1:48" ht="16.5" customHeight="1" x14ac:dyDescent="0.2">
      <c r="A72" s="797" t="s">
        <v>207</v>
      </c>
      <c r="B72" s="797"/>
      <c r="C72" s="797"/>
      <c r="D72" s="797"/>
      <c r="E72" s="797"/>
      <c r="F72" s="797"/>
      <c r="G72" s="797"/>
      <c r="H72" s="797"/>
      <c r="I72" s="797"/>
      <c r="J72" s="797"/>
      <c r="K72" s="797"/>
      <c r="L72" s="797"/>
      <c r="M72" s="797"/>
      <c r="N72" s="797"/>
      <c r="O72" s="797"/>
      <c r="P72" s="797"/>
      <c r="Q72" s="797"/>
      <c r="R72" s="797"/>
      <c r="S72" s="797"/>
      <c r="T72" s="797"/>
      <c r="U72" s="797"/>
      <c r="V72" s="797"/>
      <c r="W72" s="797"/>
      <c r="X72" s="797"/>
      <c r="Y72" s="797"/>
      <c r="Z72" s="797"/>
      <c r="AA72" s="797"/>
      <c r="AB72" s="797"/>
      <c r="AC72" s="797"/>
      <c r="AD72" s="797"/>
      <c r="AE72" s="797"/>
      <c r="AF72" s="797"/>
      <c r="AG72" s="797"/>
      <c r="AH72" s="797"/>
      <c r="AI72" s="797"/>
      <c r="AJ72" s="797"/>
      <c r="AK72" s="797"/>
      <c r="AL72" s="797"/>
      <c r="AM72" s="797"/>
      <c r="AN72" s="797"/>
      <c r="AO72" s="797"/>
      <c r="AP72" s="797"/>
      <c r="AQ72" s="797"/>
      <c r="AR72" s="797"/>
      <c r="AS72" s="797"/>
      <c r="AT72" s="797"/>
      <c r="AU72" s="797"/>
      <c r="AV72" s="408"/>
    </row>
    <row r="73" spans="1:48" ht="18.75" customHeight="1" x14ac:dyDescent="0.2">
      <c r="A73" s="798" t="s">
        <v>431</v>
      </c>
      <c r="B73" s="798"/>
      <c r="C73" s="798"/>
      <c r="D73" s="798"/>
      <c r="E73" s="798"/>
      <c r="F73" s="798"/>
      <c r="G73" s="798"/>
      <c r="H73" s="798"/>
      <c r="I73" s="798"/>
      <c r="J73" s="798"/>
      <c r="K73" s="798"/>
      <c r="L73" s="798"/>
      <c r="M73" s="798"/>
      <c r="N73" s="798"/>
      <c r="O73" s="798"/>
      <c r="P73" s="798"/>
      <c r="Q73" s="798"/>
      <c r="R73" s="798"/>
      <c r="S73" s="798"/>
      <c r="T73" s="798"/>
      <c r="U73" s="798"/>
      <c r="V73" s="798"/>
      <c r="W73" s="798"/>
      <c r="X73" s="798"/>
      <c r="Y73" s="798"/>
      <c r="Z73" s="798"/>
      <c r="AA73" s="798"/>
      <c r="AB73" s="798"/>
      <c r="AC73" s="798"/>
      <c r="AD73" s="798"/>
      <c r="AE73" s="798"/>
      <c r="AF73" s="798"/>
      <c r="AG73" s="798"/>
      <c r="AH73" s="798"/>
      <c r="AI73" s="798"/>
      <c r="AJ73" s="798"/>
      <c r="AK73" s="798"/>
      <c r="AL73" s="798"/>
      <c r="AM73" s="798"/>
      <c r="AN73" s="798"/>
      <c r="AO73" s="798"/>
      <c r="AP73" s="798"/>
      <c r="AQ73" s="798"/>
      <c r="AR73" s="798"/>
      <c r="AS73" s="798"/>
      <c r="AT73" s="798"/>
      <c r="AU73" s="798"/>
      <c r="AV73" s="408"/>
    </row>
    <row r="74" spans="1:48" ht="56.25" hidden="1" outlineLevel="1" x14ac:dyDescent="0.2">
      <c r="A74" s="481" t="s">
        <v>48</v>
      </c>
      <c r="B74" s="468">
        <v>503</v>
      </c>
      <c r="C74" s="468"/>
      <c r="D74" s="468">
        <v>500</v>
      </c>
      <c r="E74" s="468">
        <v>500</v>
      </c>
      <c r="F74" s="468"/>
      <c r="G74" s="468"/>
      <c r="H74" s="468"/>
      <c r="I74" s="468"/>
      <c r="J74" s="468"/>
      <c r="K74" s="462">
        <f>1659.9-76.9</f>
        <v>1583</v>
      </c>
      <c r="L74" s="462"/>
      <c r="M74" s="462"/>
      <c r="N74" s="462"/>
      <c r="O74" s="462"/>
      <c r="P74" s="462"/>
      <c r="Q74" s="462"/>
      <c r="R74" s="462">
        <f>1664.9-83.2</f>
        <v>1581.7</v>
      </c>
      <c r="S74" s="468">
        <f>R74</f>
        <v>1581.7</v>
      </c>
      <c r="T74" s="453"/>
      <c r="U74" s="453"/>
      <c r="V74" s="453"/>
      <c r="W74" s="537"/>
      <c r="X74" s="474"/>
      <c r="AP74" s="534"/>
      <c r="AQ74" s="537"/>
      <c r="AR74" s="535"/>
      <c r="AS74" s="535"/>
      <c r="AT74" s="535"/>
      <c r="AU74" s="535"/>
      <c r="AV74" s="408"/>
    </row>
    <row r="75" spans="1:48" ht="67.5" hidden="1" outlineLevel="1" x14ac:dyDescent="0.2">
      <c r="A75" s="482" t="s">
        <v>49</v>
      </c>
      <c r="B75" s="458">
        <v>209</v>
      </c>
      <c r="C75" s="458"/>
      <c r="D75" s="458">
        <v>209</v>
      </c>
      <c r="E75" s="458">
        <v>209</v>
      </c>
      <c r="F75" s="458"/>
      <c r="G75" s="458"/>
      <c r="H75" s="458"/>
      <c r="I75" s="458"/>
      <c r="J75" s="458"/>
      <c r="K75" s="461">
        <f>2891.6-15.4</f>
        <v>2876.2</v>
      </c>
      <c r="L75" s="461"/>
      <c r="M75" s="461"/>
      <c r="N75" s="461"/>
      <c r="O75" s="461"/>
      <c r="P75" s="461"/>
      <c r="Q75" s="461"/>
      <c r="R75" s="461">
        <f>2893.6-15.4</f>
        <v>2878.2</v>
      </c>
      <c r="S75" s="461">
        <f>2893.6-15.4</f>
        <v>2878.2</v>
      </c>
      <c r="T75" s="453"/>
      <c r="U75" s="453"/>
      <c r="V75" s="453"/>
      <c r="W75" s="568"/>
      <c r="X75" s="455"/>
      <c r="AP75" s="531"/>
      <c r="AQ75" s="568"/>
      <c r="AR75" s="410"/>
      <c r="AS75" s="410"/>
      <c r="AT75" s="410"/>
      <c r="AU75" s="410"/>
      <c r="AV75" s="408"/>
    </row>
    <row r="76" spans="1:48" ht="45" hidden="1" outlineLevel="1" x14ac:dyDescent="0.2">
      <c r="A76" s="482" t="s">
        <v>50</v>
      </c>
      <c r="B76" s="458">
        <v>383</v>
      </c>
      <c r="C76" s="458"/>
      <c r="D76" s="458">
        <v>383</v>
      </c>
      <c r="E76" s="458">
        <v>383</v>
      </c>
      <c r="F76" s="458"/>
      <c r="G76" s="458"/>
      <c r="H76" s="458"/>
      <c r="I76" s="458"/>
      <c r="J76" s="458"/>
      <c r="K76" s="461">
        <v>783</v>
      </c>
      <c r="L76" s="461"/>
      <c r="M76" s="461"/>
      <c r="N76" s="461"/>
      <c r="O76" s="461"/>
      <c r="P76" s="461"/>
      <c r="Q76" s="461"/>
      <c r="R76" s="461">
        <v>800.4</v>
      </c>
      <c r="S76" s="458">
        <f t="shared" ref="S76:S82" si="13">R76</f>
        <v>800.4</v>
      </c>
      <c r="T76" s="453"/>
      <c r="U76" s="453"/>
      <c r="V76" s="453"/>
      <c r="W76" s="568"/>
      <c r="X76" s="455"/>
      <c r="AP76" s="531"/>
      <c r="AQ76" s="568"/>
      <c r="AR76" s="410"/>
      <c r="AS76" s="410"/>
      <c r="AT76" s="410"/>
      <c r="AU76" s="410"/>
      <c r="AV76" s="408"/>
    </row>
    <row r="77" spans="1:48" ht="45" hidden="1" outlineLevel="1" x14ac:dyDescent="0.2">
      <c r="A77" s="482" t="s">
        <v>51</v>
      </c>
      <c r="B77" s="458">
        <v>572</v>
      </c>
      <c r="C77" s="458"/>
      <c r="D77" s="458">
        <v>572</v>
      </c>
      <c r="E77" s="458">
        <v>572</v>
      </c>
      <c r="F77" s="458"/>
      <c r="G77" s="458"/>
      <c r="H77" s="458"/>
      <c r="I77" s="458"/>
      <c r="J77" s="458"/>
      <c r="K77" s="461">
        <v>1101.7</v>
      </c>
      <c r="L77" s="461"/>
      <c r="M77" s="461"/>
      <c r="N77" s="461"/>
      <c r="O77" s="461"/>
      <c r="P77" s="461"/>
      <c r="Q77" s="461"/>
      <c r="R77" s="461">
        <v>922.5</v>
      </c>
      <c r="S77" s="458">
        <f t="shared" si="13"/>
        <v>922.5</v>
      </c>
      <c r="T77" s="453"/>
      <c r="U77" s="453"/>
      <c r="V77" s="453"/>
      <c r="W77" s="568"/>
      <c r="X77" s="455"/>
      <c r="AP77" s="531"/>
      <c r="AQ77" s="568"/>
      <c r="AR77" s="410"/>
      <c r="AS77" s="410"/>
      <c r="AT77" s="410"/>
      <c r="AU77" s="410"/>
      <c r="AV77" s="408"/>
    </row>
    <row r="78" spans="1:48" ht="45" hidden="1" outlineLevel="1" x14ac:dyDescent="0.2">
      <c r="A78" s="482" t="s">
        <v>52</v>
      </c>
      <c r="B78" s="458">
        <v>589</v>
      </c>
      <c r="C78" s="458"/>
      <c r="D78" s="458">
        <v>590</v>
      </c>
      <c r="E78" s="458">
        <v>590</v>
      </c>
      <c r="F78" s="458"/>
      <c r="G78" s="458"/>
      <c r="H78" s="458"/>
      <c r="I78" s="458"/>
      <c r="J78" s="458"/>
      <c r="K78" s="461">
        <v>6877.9</v>
      </c>
      <c r="L78" s="461"/>
      <c r="M78" s="461"/>
      <c r="N78" s="461"/>
      <c r="O78" s="461"/>
      <c r="P78" s="461"/>
      <c r="Q78" s="461"/>
      <c r="R78" s="461">
        <v>6902.2</v>
      </c>
      <c r="S78" s="458">
        <f t="shared" si="13"/>
        <v>6902.2</v>
      </c>
      <c r="T78" s="453"/>
      <c r="U78" s="453"/>
      <c r="V78" s="453"/>
      <c r="W78" s="568"/>
      <c r="X78" s="455"/>
      <c r="AP78" s="531"/>
      <c r="AQ78" s="568"/>
      <c r="AR78" s="410"/>
      <c r="AS78" s="410"/>
      <c r="AT78" s="410"/>
      <c r="AU78" s="410"/>
      <c r="AV78" s="408"/>
    </row>
    <row r="79" spans="1:48" ht="45" hidden="1" outlineLevel="1" x14ac:dyDescent="0.2">
      <c r="A79" s="482" t="s">
        <v>53</v>
      </c>
      <c r="B79" s="458">
        <v>167</v>
      </c>
      <c r="C79" s="458"/>
      <c r="D79" s="458">
        <v>169</v>
      </c>
      <c r="E79" s="458">
        <v>169</v>
      </c>
      <c r="F79" s="458"/>
      <c r="G79" s="458"/>
      <c r="H79" s="458"/>
      <c r="I79" s="458"/>
      <c r="J79" s="458"/>
      <c r="K79" s="461">
        <v>2745.7</v>
      </c>
      <c r="L79" s="461"/>
      <c r="M79" s="461"/>
      <c r="N79" s="461"/>
      <c r="O79" s="461"/>
      <c r="P79" s="461"/>
      <c r="Q79" s="461"/>
      <c r="R79" s="461">
        <v>2664.8</v>
      </c>
      <c r="S79" s="458">
        <f t="shared" si="13"/>
        <v>2664.8</v>
      </c>
      <c r="T79" s="453"/>
      <c r="U79" s="453"/>
      <c r="V79" s="453"/>
      <c r="W79" s="568"/>
      <c r="X79" s="455"/>
      <c r="AP79" s="531"/>
      <c r="AQ79" s="568"/>
      <c r="AR79" s="410"/>
      <c r="AS79" s="410"/>
      <c r="AT79" s="410"/>
      <c r="AU79" s="410"/>
      <c r="AV79" s="408"/>
    </row>
    <row r="80" spans="1:48" ht="45" hidden="1" outlineLevel="1" x14ac:dyDescent="0.2">
      <c r="A80" s="482" t="s">
        <v>54</v>
      </c>
      <c r="B80" s="458">
        <v>290</v>
      </c>
      <c r="C80" s="458"/>
      <c r="D80" s="458">
        <v>290</v>
      </c>
      <c r="E80" s="458">
        <v>290</v>
      </c>
      <c r="F80" s="458"/>
      <c r="G80" s="458"/>
      <c r="H80" s="458"/>
      <c r="I80" s="458"/>
      <c r="J80" s="458"/>
      <c r="K80" s="461">
        <v>3065.9</v>
      </c>
      <c r="L80" s="461"/>
      <c r="M80" s="461"/>
      <c r="N80" s="461"/>
      <c r="O80" s="461"/>
      <c r="P80" s="461"/>
      <c r="Q80" s="461"/>
      <c r="R80" s="461">
        <v>3834.3</v>
      </c>
      <c r="S80" s="458">
        <f t="shared" si="13"/>
        <v>3834.3</v>
      </c>
      <c r="T80" s="453"/>
      <c r="U80" s="453"/>
      <c r="V80" s="453"/>
      <c r="W80" s="568"/>
      <c r="X80" s="455"/>
      <c r="AP80" s="531"/>
      <c r="AQ80" s="568"/>
      <c r="AR80" s="410"/>
      <c r="AS80" s="410"/>
      <c r="AT80" s="410"/>
      <c r="AU80" s="410"/>
      <c r="AV80" s="408"/>
    </row>
    <row r="81" spans="1:48" ht="45" hidden="1" outlineLevel="1" x14ac:dyDescent="0.2">
      <c r="A81" s="482" t="s">
        <v>55</v>
      </c>
      <c r="B81" s="458">
        <v>220</v>
      </c>
      <c r="C81" s="458"/>
      <c r="D81" s="458">
        <v>220</v>
      </c>
      <c r="E81" s="458">
        <v>220</v>
      </c>
      <c r="F81" s="458"/>
      <c r="G81" s="458"/>
      <c r="H81" s="458"/>
      <c r="I81" s="458"/>
      <c r="J81" s="458"/>
      <c r="K81" s="461">
        <v>600</v>
      </c>
      <c r="L81" s="461"/>
      <c r="M81" s="461"/>
      <c r="N81" s="461"/>
      <c r="O81" s="461"/>
      <c r="P81" s="461"/>
      <c r="Q81" s="461"/>
      <c r="R81" s="461">
        <v>700</v>
      </c>
      <c r="S81" s="458">
        <f t="shared" si="13"/>
        <v>700</v>
      </c>
      <c r="T81" s="453"/>
      <c r="U81" s="453"/>
      <c r="V81" s="453"/>
      <c r="W81" s="568"/>
      <c r="X81" s="455"/>
      <c r="AP81" s="531"/>
      <c r="AQ81" s="568"/>
      <c r="AR81" s="410"/>
      <c r="AS81" s="410"/>
      <c r="AT81" s="410"/>
      <c r="AU81" s="410"/>
      <c r="AV81" s="408"/>
    </row>
    <row r="82" spans="1:48" ht="45" hidden="1" outlineLevel="1" x14ac:dyDescent="0.2">
      <c r="A82" s="482" t="s">
        <v>56</v>
      </c>
      <c r="B82" s="458">
        <v>102</v>
      </c>
      <c r="C82" s="458"/>
      <c r="D82" s="458">
        <v>102</v>
      </c>
      <c r="E82" s="458">
        <v>102</v>
      </c>
      <c r="F82" s="458"/>
      <c r="G82" s="458"/>
      <c r="H82" s="458"/>
      <c r="I82" s="458"/>
      <c r="J82" s="458"/>
      <c r="K82" s="461">
        <v>1799.2</v>
      </c>
      <c r="L82" s="461"/>
      <c r="M82" s="461"/>
      <c r="N82" s="461"/>
      <c r="O82" s="461"/>
      <c r="P82" s="461"/>
      <c r="Q82" s="461"/>
      <c r="R82" s="461">
        <v>1911</v>
      </c>
      <c r="S82" s="458">
        <f t="shared" si="13"/>
        <v>1911</v>
      </c>
      <c r="T82" s="453"/>
      <c r="U82" s="453"/>
      <c r="V82" s="453"/>
      <c r="W82" s="568"/>
      <c r="X82" s="455"/>
      <c r="AP82" s="531"/>
      <c r="AQ82" s="568"/>
      <c r="AR82" s="410"/>
      <c r="AS82" s="410"/>
      <c r="AT82" s="410"/>
      <c r="AU82" s="410"/>
      <c r="AV82" s="408"/>
    </row>
    <row r="83" spans="1:48" ht="38.25" customHeight="1" collapsed="1" x14ac:dyDescent="0.2">
      <c r="A83" s="471" t="s">
        <v>47</v>
      </c>
      <c r="B83" s="458"/>
      <c r="C83" s="458"/>
      <c r="D83" s="458"/>
      <c r="E83" s="458"/>
      <c r="F83" s="458"/>
      <c r="G83" s="458"/>
      <c r="H83" s="458"/>
      <c r="I83" s="458"/>
      <c r="J83" s="458"/>
      <c r="K83" s="458"/>
      <c r="L83" s="458"/>
      <c r="M83" s="458"/>
      <c r="N83" s="458"/>
      <c r="O83" s="458"/>
      <c r="P83" s="458"/>
      <c r="Q83" s="458"/>
      <c r="R83" s="458"/>
      <c r="S83" s="458"/>
      <c r="T83" s="455"/>
      <c r="U83" s="469"/>
      <c r="V83" s="469"/>
      <c r="W83" s="568"/>
      <c r="X83" s="455"/>
      <c r="Y83" s="400" t="s">
        <v>334</v>
      </c>
      <c r="Z83" s="401" t="s">
        <v>335</v>
      </c>
      <c r="AP83" s="531"/>
      <c r="AQ83" s="568"/>
      <c r="AR83" s="410"/>
      <c r="AS83" s="410"/>
      <c r="AT83" s="410"/>
      <c r="AU83" s="410"/>
      <c r="AV83" s="408"/>
    </row>
    <row r="84" spans="1:48" ht="33.75" customHeight="1" x14ac:dyDescent="0.2">
      <c r="A84" s="460" t="s">
        <v>45</v>
      </c>
      <c r="B84" s="458"/>
      <c r="C84" s="458">
        <v>188</v>
      </c>
      <c r="D84" s="458">
        <v>188</v>
      </c>
      <c r="E84" s="458">
        <v>188</v>
      </c>
      <c r="F84" s="458">
        <v>0</v>
      </c>
      <c r="G84" s="458">
        <v>0</v>
      </c>
      <c r="H84" s="458">
        <v>0</v>
      </c>
      <c r="I84" s="458">
        <v>0</v>
      </c>
      <c r="J84" s="458">
        <v>0</v>
      </c>
      <c r="K84" s="461"/>
      <c r="L84" s="461">
        <v>0</v>
      </c>
      <c r="M84" s="461">
        <v>0</v>
      </c>
      <c r="N84" s="461">
        <v>0</v>
      </c>
      <c r="O84" s="461">
        <v>0</v>
      </c>
      <c r="P84" s="461">
        <v>0</v>
      </c>
      <c r="Q84" s="461">
        <v>640.1</v>
      </c>
      <c r="R84" s="461">
        <v>714.7</v>
      </c>
      <c r="S84" s="472">
        <v>1821.2</v>
      </c>
      <c r="T84" s="468">
        <v>0</v>
      </c>
      <c r="U84" s="458">
        <v>0</v>
      </c>
      <c r="V84" s="461">
        <f>U84</f>
        <v>0</v>
      </c>
      <c r="W84" s="463">
        <f>V84</f>
        <v>0</v>
      </c>
      <c r="X84" s="457">
        <f>W84</f>
        <v>0</v>
      </c>
      <c r="Y84" s="411">
        <f>W84</f>
        <v>0</v>
      </c>
      <c r="Z84" s="333">
        <f t="shared" ref="Z84:AP84" si="14">Y84</f>
        <v>0</v>
      </c>
      <c r="AA84" s="333">
        <f t="shared" si="14"/>
        <v>0</v>
      </c>
      <c r="AB84" s="333">
        <f t="shared" si="14"/>
        <v>0</v>
      </c>
      <c r="AC84" s="333">
        <f t="shared" si="14"/>
        <v>0</v>
      </c>
      <c r="AD84" s="333">
        <f t="shared" si="14"/>
        <v>0</v>
      </c>
      <c r="AE84" s="333">
        <f t="shared" si="14"/>
        <v>0</v>
      </c>
      <c r="AF84" s="333">
        <f t="shared" si="14"/>
        <v>0</v>
      </c>
      <c r="AG84" s="333">
        <f t="shared" si="14"/>
        <v>0</v>
      </c>
      <c r="AH84" s="333">
        <f t="shared" si="14"/>
        <v>0</v>
      </c>
      <c r="AI84" s="333">
        <f t="shared" si="14"/>
        <v>0</v>
      </c>
      <c r="AJ84" s="333">
        <f t="shared" si="14"/>
        <v>0</v>
      </c>
      <c r="AK84" s="333">
        <f t="shared" si="14"/>
        <v>0</v>
      </c>
      <c r="AL84" s="333">
        <f t="shared" si="14"/>
        <v>0</v>
      </c>
      <c r="AM84" s="333">
        <f t="shared" si="14"/>
        <v>0</v>
      </c>
      <c r="AN84" s="333">
        <f t="shared" si="14"/>
        <v>0</v>
      </c>
      <c r="AO84" s="413">
        <f t="shared" si="14"/>
        <v>0</v>
      </c>
      <c r="AP84" s="532">
        <f t="shared" si="14"/>
        <v>0</v>
      </c>
      <c r="AQ84" s="569">
        <v>0</v>
      </c>
      <c r="AR84" s="457">
        <f>AP84</f>
        <v>0</v>
      </c>
      <c r="AS84" s="457">
        <f>AP84</f>
        <v>0</v>
      </c>
      <c r="AT84" s="457">
        <f>AP84</f>
        <v>0</v>
      </c>
      <c r="AU84" s="457">
        <f>AQ84</f>
        <v>0</v>
      </c>
      <c r="AV84" s="443"/>
    </row>
    <row r="85" spans="1:48" ht="39" customHeight="1" collapsed="1" x14ac:dyDescent="0.2">
      <c r="A85" s="471" t="s">
        <v>135</v>
      </c>
      <c r="B85" s="458"/>
      <c r="C85" s="458"/>
      <c r="D85" s="458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3"/>
      <c r="V85" s="455"/>
      <c r="W85" s="568"/>
      <c r="X85" s="455"/>
      <c r="Y85" s="400" t="s">
        <v>336</v>
      </c>
      <c r="Z85" s="401" t="s">
        <v>337</v>
      </c>
      <c r="AP85" s="531"/>
      <c r="AQ85" s="568"/>
      <c r="AR85" s="455"/>
      <c r="AS85" s="455"/>
      <c r="AT85" s="455"/>
      <c r="AU85" s="455"/>
      <c r="AV85" s="408"/>
    </row>
    <row r="86" spans="1:48" ht="38.25" customHeight="1" x14ac:dyDescent="0.2">
      <c r="A86" s="475" t="s">
        <v>45</v>
      </c>
      <c r="B86" s="459"/>
      <c r="C86" s="459">
        <v>38</v>
      </c>
      <c r="D86" s="459">
        <v>38</v>
      </c>
      <c r="E86" s="459">
        <v>38</v>
      </c>
      <c r="F86" s="538">
        <v>38</v>
      </c>
      <c r="G86" s="538">
        <v>0</v>
      </c>
      <c r="H86" s="538">
        <v>0</v>
      </c>
      <c r="I86" s="538">
        <v>0</v>
      </c>
      <c r="J86" s="538">
        <v>0</v>
      </c>
      <c r="K86" s="539"/>
      <c r="L86" s="539">
        <v>0</v>
      </c>
      <c r="M86" s="539">
        <v>0</v>
      </c>
      <c r="N86" s="539">
        <v>0</v>
      </c>
      <c r="O86" s="539">
        <v>0</v>
      </c>
      <c r="P86" s="539">
        <v>0</v>
      </c>
      <c r="Q86" s="539">
        <v>167.9</v>
      </c>
      <c r="R86" s="539">
        <f>170.8-50</f>
        <v>120.80000000000001</v>
      </c>
      <c r="S86" s="459">
        <v>546.20000000000005</v>
      </c>
      <c r="T86" s="459">
        <v>252.36</v>
      </c>
      <c r="U86" s="459">
        <v>0</v>
      </c>
      <c r="V86" s="539">
        <f>U86</f>
        <v>0</v>
      </c>
      <c r="W86" s="573">
        <f>V86</f>
        <v>0</v>
      </c>
      <c r="X86" s="574">
        <f t="shared" ref="X86:AP86" si="15">W86</f>
        <v>0</v>
      </c>
      <c r="Y86" s="540">
        <f t="shared" si="15"/>
        <v>0</v>
      </c>
      <c r="Z86" s="541">
        <f t="shared" si="15"/>
        <v>0</v>
      </c>
      <c r="AA86" s="541">
        <f t="shared" si="15"/>
        <v>0</v>
      </c>
      <c r="AB86" s="541">
        <f t="shared" si="15"/>
        <v>0</v>
      </c>
      <c r="AC86" s="541">
        <f t="shared" si="15"/>
        <v>0</v>
      </c>
      <c r="AD86" s="541">
        <f t="shared" si="15"/>
        <v>0</v>
      </c>
      <c r="AE86" s="541">
        <f t="shared" si="15"/>
        <v>0</v>
      </c>
      <c r="AF86" s="541">
        <f t="shared" si="15"/>
        <v>0</v>
      </c>
      <c r="AG86" s="541">
        <f t="shared" si="15"/>
        <v>0</v>
      </c>
      <c r="AH86" s="541">
        <f t="shared" si="15"/>
        <v>0</v>
      </c>
      <c r="AI86" s="541">
        <f t="shared" si="15"/>
        <v>0</v>
      </c>
      <c r="AJ86" s="541">
        <f t="shared" si="15"/>
        <v>0</v>
      </c>
      <c r="AK86" s="541">
        <f t="shared" si="15"/>
        <v>0</v>
      </c>
      <c r="AL86" s="541">
        <f t="shared" si="15"/>
        <v>0</v>
      </c>
      <c r="AM86" s="541">
        <f t="shared" si="15"/>
        <v>0</v>
      </c>
      <c r="AN86" s="541">
        <f t="shared" si="15"/>
        <v>0</v>
      </c>
      <c r="AO86" s="541">
        <f t="shared" si="15"/>
        <v>0</v>
      </c>
      <c r="AP86" s="542">
        <f t="shared" si="15"/>
        <v>0</v>
      </c>
      <c r="AQ86" s="571">
        <v>0</v>
      </c>
      <c r="AR86" s="574">
        <f>AP86</f>
        <v>0</v>
      </c>
      <c r="AS86" s="574">
        <f>AP86</f>
        <v>0</v>
      </c>
      <c r="AT86" s="574">
        <f>AP86</f>
        <v>0</v>
      </c>
      <c r="AU86" s="574">
        <f>AQ86</f>
        <v>0</v>
      </c>
      <c r="AV86" s="443"/>
    </row>
    <row r="87" spans="1:48" ht="18" customHeight="1" x14ac:dyDescent="0.2">
      <c r="A87" s="797" t="s">
        <v>175</v>
      </c>
      <c r="B87" s="797"/>
      <c r="C87" s="797"/>
      <c r="D87" s="797"/>
      <c r="E87" s="797"/>
      <c r="F87" s="797"/>
      <c r="G87" s="797"/>
      <c r="H87" s="797"/>
      <c r="I87" s="797"/>
      <c r="J87" s="797"/>
      <c r="K87" s="797"/>
      <c r="L87" s="797"/>
      <c r="M87" s="797"/>
      <c r="N87" s="797"/>
      <c r="O87" s="797"/>
      <c r="P87" s="797"/>
      <c r="Q87" s="797"/>
      <c r="R87" s="797"/>
      <c r="S87" s="797"/>
      <c r="T87" s="797"/>
      <c r="U87" s="797"/>
      <c r="V87" s="797"/>
      <c r="W87" s="797"/>
      <c r="X87" s="797"/>
      <c r="Y87" s="797"/>
      <c r="Z87" s="797"/>
      <c r="AA87" s="797"/>
      <c r="AB87" s="797"/>
      <c r="AC87" s="797"/>
      <c r="AD87" s="797"/>
      <c r="AE87" s="797"/>
      <c r="AF87" s="797"/>
      <c r="AG87" s="797"/>
      <c r="AH87" s="797"/>
      <c r="AI87" s="797"/>
      <c r="AJ87" s="797"/>
      <c r="AK87" s="797"/>
      <c r="AL87" s="797"/>
      <c r="AM87" s="797"/>
      <c r="AN87" s="797"/>
      <c r="AO87" s="797"/>
      <c r="AP87" s="797"/>
      <c r="AQ87" s="797"/>
      <c r="AR87" s="797"/>
      <c r="AS87" s="797"/>
      <c r="AT87" s="797"/>
      <c r="AU87" s="797"/>
      <c r="AV87" s="408"/>
    </row>
    <row r="88" spans="1:48" ht="18.75" customHeight="1" x14ac:dyDescent="0.2">
      <c r="A88" s="798" t="s">
        <v>684</v>
      </c>
      <c r="B88" s="798"/>
      <c r="C88" s="798"/>
      <c r="D88" s="798"/>
      <c r="E88" s="798"/>
      <c r="F88" s="798"/>
      <c r="G88" s="798"/>
      <c r="H88" s="798"/>
      <c r="I88" s="798"/>
      <c r="J88" s="798"/>
      <c r="K88" s="798"/>
      <c r="L88" s="798"/>
      <c r="M88" s="798"/>
      <c r="N88" s="798"/>
      <c r="O88" s="798"/>
      <c r="P88" s="798"/>
      <c r="Q88" s="798"/>
      <c r="R88" s="798"/>
      <c r="S88" s="798"/>
      <c r="T88" s="798"/>
      <c r="U88" s="798"/>
      <c r="V88" s="798"/>
      <c r="W88" s="798"/>
      <c r="X88" s="798"/>
      <c r="Y88" s="798"/>
      <c r="Z88" s="798"/>
      <c r="AA88" s="798"/>
      <c r="AB88" s="798"/>
      <c r="AC88" s="798"/>
      <c r="AD88" s="798"/>
      <c r="AE88" s="798"/>
      <c r="AF88" s="798"/>
      <c r="AG88" s="798"/>
      <c r="AH88" s="798"/>
      <c r="AI88" s="798"/>
      <c r="AJ88" s="798"/>
      <c r="AK88" s="798"/>
      <c r="AL88" s="798"/>
      <c r="AM88" s="798"/>
      <c r="AN88" s="798"/>
      <c r="AO88" s="798"/>
      <c r="AP88" s="798"/>
      <c r="AQ88" s="798"/>
      <c r="AR88" s="798"/>
      <c r="AS88" s="798"/>
      <c r="AT88" s="798"/>
      <c r="AU88" s="798"/>
      <c r="AV88" s="408"/>
    </row>
    <row r="89" spans="1:48" ht="31.5" customHeight="1" x14ac:dyDescent="0.2">
      <c r="A89" s="455" t="s">
        <v>393</v>
      </c>
      <c r="B89" s="455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550" t="s">
        <v>334</v>
      </c>
      <c r="Z89" s="551" t="s">
        <v>335</v>
      </c>
      <c r="AA89" s="551"/>
      <c r="AB89" s="551"/>
      <c r="AC89" s="551"/>
      <c r="AD89" s="442"/>
      <c r="AE89" s="442"/>
      <c r="AF89" s="442"/>
      <c r="AG89" s="442"/>
      <c r="AH89" s="410"/>
      <c r="AI89" s="410"/>
      <c r="AJ89" s="442"/>
      <c r="AK89" s="410"/>
      <c r="AL89" s="410"/>
      <c r="AM89" s="410"/>
      <c r="AN89" s="410"/>
      <c r="AO89" s="410"/>
      <c r="AP89" s="410"/>
      <c r="AQ89" s="455"/>
      <c r="AR89" s="410"/>
      <c r="AS89" s="410"/>
      <c r="AT89" s="410"/>
      <c r="AU89" s="410"/>
      <c r="AV89" s="408"/>
    </row>
    <row r="90" spans="1:48" ht="37.5" customHeight="1" x14ac:dyDescent="0.2">
      <c r="A90" s="555" t="s">
        <v>45</v>
      </c>
      <c r="B90" s="556"/>
      <c r="C90" s="556">
        <v>89</v>
      </c>
      <c r="D90" s="556">
        <v>89</v>
      </c>
      <c r="E90" s="556">
        <v>89</v>
      </c>
      <c r="F90" s="557">
        <v>1951</v>
      </c>
      <c r="G90" s="557">
        <v>63224</v>
      </c>
      <c r="H90" s="557">
        <v>63235</v>
      </c>
      <c r="I90" s="557">
        <v>63250</v>
      </c>
      <c r="J90" s="557">
        <v>60250</v>
      </c>
      <c r="K90" s="657"/>
      <c r="L90" s="658">
        <v>64497</v>
      </c>
      <c r="M90" s="658">
        <v>1047</v>
      </c>
      <c r="N90" s="658">
        <v>1047</v>
      </c>
      <c r="O90" s="658">
        <v>1047</v>
      </c>
      <c r="P90" s="658">
        <v>1047</v>
      </c>
      <c r="Q90" s="556">
        <v>426.8</v>
      </c>
      <c r="R90" s="558">
        <v>481.9</v>
      </c>
      <c r="S90" s="545">
        <v>1346.5</v>
      </c>
      <c r="T90" s="556">
        <v>4926.3</v>
      </c>
      <c r="U90" s="556">
        <v>11559.5</v>
      </c>
      <c r="V90" s="562">
        <v>12856.5</v>
      </c>
      <c r="W90" s="575">
        <v>13801.3</v>
      </c>
      <c r="X90" s="576">
        <v>15032.05</v>
      </c>
      <c r="Y90" s="559">
        <f>W90</f>
        <v>13801.3</v>
      </c>
      <c r="Z90" s="560">
        <f t="shared" ref="Z90:AP90" si="16">Y90</f>
        <v>13801.3</v>
      </c>
      <c r="AA90" s="560">
        <f t="shared" si="16"/>
        <v>13801.3</v>
      </c>
      <c r="AB90" s="560">
        <f t="shared" si="16"/>
        <v>13801.3</v>
      </c>
      <c r="AC90" s="560">
        <f t="shared" si="16"/>
        <v>13801.3</v>
      </c>
      <c r="AD90" s="560">
        <f t="shared" si="16"/>
        <v>13801.3</v>
      </c>
      <c r="AE90" s="560">
        <f t="shared" si="16"/>
        <v>13801.3</v>
      </c>
      <c r="AF90" s="560">
        <f t="shared" si="16"/>
        <v>13801.3</v>
      </c>
      <c r="AG90" s="560">
        <f t="shared" si="16"/>
        <v>13801.3</v>
      </c>
      <c r="AH90" s="560">
        <f t="shared" si="16"/>
        <v>13801.3</v>
      </c>
      <c r="AI90" s="560">
        <f t="shared" si="16"/>
        <v>13801.3</v>
      </c>
      <c r="AJ90" s="560">
        <f t="shared" si="16"/>
        <v>13801.3</v>
      </c>
      <c r="AK90" s="560">
        <f t="shared" si="16"/>
        <v>13801.3</v>
      </c>
      <c r="AL90" s="560">
        <f t="shared" si="16"/>
        <v>13801.3</v>
      </c>
      <c r="AM90" s="560">
        <f t="shared" si="16"/>
        <v>13801.3</v>
      </c>
      <c r="AN90" s="560">
        <f t="shared" si="16"/>
        <v>13801.3</v>
      </c>
      <c r="AO90" s="561">
        <f t="shared" si="16"/>
        <v>13801.3</v>
      </c>
      <c r="AP90" s="549">
        <f t="shared" si="16"/>
        <v>13801.3</v>
      </c>
      <c r="AQ90" s="570">
        <v>19659.7</v>
      </c>
      <c r="AR90" s="576">
        <v>26641.599999999999</v>
      </c>
      <c r="AS90" s="576">
        <v>28344.799999999999</v>
      </c>
      <c r="AT90" s="576">
        <v>28282.400000000001</v>
      </c>
      <c r="AU90" s="576">
        <v>28272.6</v>
      </c>
      <c r="AV90" s="443"/>
    </row>
    <row r="91" spans="1:48" s="415" customFormat="1" ht="19.5" hidden="1" customHeight="1" x14ac:dyDescent="0.2">
      <c r="A91" s="799" t="s">
        <v>550</v>
      </c>
      <c r="B91" s="799"/>
      <c r="C91" s="799"/>
      <c r="D91" s="799"/>
      <c r="E91" s="799"/>
      <c r="F91" s="799"/>
      <c r="G91" s="799"/>
      <c r="H91" s="799"/>
      <c r="I91" s="799"/>
      <c r="J91" s="799"/>
      <c r="K91" s="799"/>
      <c r="L91" s="799"/>
      <c r="M91" s="799"/>
      <c r="N91" s="799"/>
      <c r="O91" s="799"/>
      <c r="P91" s="799"/>
      <c r="Q91" s="799"/>
      <c r="R91" s="799"/>
      <c r="S91" s="799"/>
      <c r="T91" s="799"/>
      <c r="U91" s="799"/>
      <c r="V91" s="799"/>
      <c r="W91" s="799"/>
      <c r="X91" s="799"/>
      <c r="Y91" s="799"/>
      <c r="Z91" s="799"/>
      <c r="AA91" s="799"/>
      <c r="AB91" s="799"/>
      <c r="AC91" s="799"/>
      <c r="AD91" s="799"/>
      <c r="AE91" s="799"/>
      <c r="AF91" s="799"/>
      <c r="AG91" s="799"/>
      <c r="AH91" s="799"/>
      <c r="AI91" s="799"/>
      <c r="AJ91" s="799"/>
      <c r="AK91" s="799"/>
      <c r="AL91" s="799"/>
      <c r="AM91" s="799"/>
      <c r="AN91" s="799"/>
      <c r="AO91" s="799"/>
      <c r="AP91" s="799"/>
      <c r="AQ91" s="799"/>
      <c r="AR91" s="799"/>
      <c r="AS91" s="610"/>
      <c r="AT91" s="610"/>
      <c r="AU91" s="610"/>
    </row>
    <row r="92" spans="1:48" s="415" customFormat="1" ht="19.5" hidden="1" customHeight="1" x14ac:dyDescent="0.2">
      <c r="A92" s="800" t="s">
        <v>473</v>
      </c>
      <c r="B92" s="800"/>
      <c r="C92" s="800"/>
      <c r="D92" s="800"/>
      <c r="E92" s="800"/>
      <c r="F92" s="800"/>
      <c r="G92" s="800"/>
      <c r="H92" s="800"/>
      <c r="I92" s="800"/>
      <c r="J92" s="800"/>
      <c r="K92" s="800"/>
      <c r="L92" s="800"/>
      <c r="M92" s="800"/>
      <c r="N92" s="800"/>
      <c r="O92" s="800"/>
      <c r="P92" s="800"/>
      <c r="Q92" s="800"/>
      <c r="R92" s="800"/>
      <c r="S92" s="800"/>
      <c r="T92" s="800"/>
      <c r="U92" s="800"/>
      <c r="V92" s="800"/>
      <c r="W92" s="800"/>
      <c r="X92" s="800"/>
      <c r="Y92" s="800"/>
      <c r="Z92" s="800"/>
      <c r="AA92" s="800"/>
      <c r="AB92" s="800"/>
      <c r="AC92" s="800"/>
      <c r="AD92" s="800"/>
      <c r="AE92" s="800"/>
      <c r="AF92" s="800"/>
      <c r="AG92" s="800"/>
      <c r="AH92" s="800"/>
      <c r="AI92" s="800"/>
      <c r="AJ92" s="800"/>
      <c r="AK92" s="800"/>
      <c r="AL92" s="800"/>
      <c r="AM92" s="800"/>
      <c r="AN92" s="800"/>
      <c r="AO92" s="800"/>
      <c r="AP92" s="800"/>
      <c r="AQ92" s="800"/>
      <c r="AR92" s="800"/>
      <c r="AS92" s="611"/>
      <c r="AT92" s="611"/>
      <c r="AU92" s="611"/>
    </row>
    <row r="93" spans="1:48" s="415" customFormat="1" ht="33.75" hidden="1" customHeight="1" x14ac:dyDescent="0.2">
      <c r="A93" s="577" t="s">
        <v>135</v>
      </c>
      <c r="B93" s="578"/>
      <c r="C93" s="578"/>
      <c r="D93" s="578"/>
      <c r="E93" s="578"/>
      <c r="F93" s="578"/>
      <c r="G93" s="578"/>
      <c r="H93" s="578"/>
      <c r="I93" s="578"/>
      <c r="J93" s="578"/>
      <c r="K93" s="578"/>
      <c r="L93" s="578"/>
      <c r="M93" s="578"/>
      <c r="N93" s="578"/>
      <c r="O93" s="578"/>
      <c r="P93" s="578"/>
      <c r="Q93" s="578"/>
      <c r="R93" s="578"/>
      <c r="S93" s="578"/>
      <c r="T93" s="579"/>
      <c r="U93" s="579"/>
      <c r="V93" s="579"/>
      <c r="W93" s="579"/>
      <c r="X93" s="579"/>
      <c r="Y93" s="580"/>
      <c r="Z93" s="581"/>
      <c r="AA93" s="581"/>
      <c r="AB93" s="581"/>
      <c r="AC93" s="581"/>
      <c r="AD93" s="582"/>
      <c r="AE93" s="582"/>
      <c r="AF93" s="582"/>
      <c r="AG93" s="582"/>
      <c r="AH93" s="583"/>
      <c r="AI93" s="583"/>
      <c r="AJ93" s="582"/>
      <c r="AK93" s="583"/>
      <c r="AL93" s="583"/>
      <c r="AM93" s="583"/>
      <c r="AN93" s="583"/>
      <c r="AO93" s="583"/>
      <c r="AP93" s="583"/>
      <c r="AQ93" s="579"/>
      <c r="AR93" s="583"/>
      <c r="AS93" s="583"/>
      <c r="AT93" s="583"/>
      <c r="AU93" s="583"/>
    </row>
    <row r="94" spans="1:48" s="415" customFormat="1" ht="36" hidden="1" customHeight="1" x14ac:dyDescent="0.2">
      <c r="A94" s="577" t="s">
        <v>45</v>
      </c>
      <c r="B94" s="578"/>
      <c r="C94" s="578">
        <v>0</v>
      </c>
      <c r="D94" s="578">
        <v>0</v>
      </c>
      <c r="E94" s="578">
        <v>0</v>
      </c>
      <c r="F94" s="578">
        <v>0</v>
      </c>
      <c r="G94" s="578">
        <v>0</v>
      </c>
      <c r="H94" s="584">
        <v>0</v>
      </c>
      <c r="I94" s="578">
        <v>0</v>
      </c>
      <c r="J94" s="578">
        <v>0</v>
      </c>
      <c r="K94" s="578"/>
      <c r="L94" s="578">
        <v>0</v>
      </c>
      <c r="M94" s="578"/>
      <c r="N94" s="578"/>
      <c r="O94" s="578"/>
      <c r="P94" s="578"/>
      <c r="Q94" s="578">
        <v>0</v>
      </c>
      <c r="R94" s="578">
        <v>0</v>
      </c>
      <c r="S94" s="578">
        <v>0</v>
      </c>
      <c r="T94" s="579">
        <v>0</v>
      </c>
      <c r="U94" s="579">
        <v>0</v>
      </c>
      <c r="V94" s="585">
        <v>0</v>
      </c>
      <c r="W94" s="579">
        <v>0</v>
      </c>
      <c r="X94" s="579">
        <v>0</v>
      </c>
      <c r="Y94" s="580"/>
      <c r="Z94" s="581"/>
      <c r="AA94" s="581"/>
      <c r="AB94" s="581"/>
      <c r="AC94" s="581"/>
      <c r="AD94" s="582"/>
      <c r="AE94" s="582"/>
      <c r="AF94" s="582"/>
      <c r="AG94" s="582"/>
      <c r="AH94" s="583"/>
      <c r="AI94" s="583"/>
      <c r="AJ94" s="582"/>
      <c r="AK94" s="583"/>
      <c r="AL94" s="583"/>
      <c r="AM94" s="583"/>
      <c r="AN94" s="583"/>
      <c r="AO94" s="583"/>
      <c r="AP94" s="583"/>
      <c r="AQ94" s="579"/>
      <c r="AR94" s="583">
        <v>0</v>
      </c>
      <c r="AS94" s="583">
        <v>0</v>
      </c>
      <c r="AT94" s="583">
        <v>0</v>
      </c>
      <c r="AU94" s="583">
        <v>0</v>
      </c>
    </row>
    <row r="95" spans="1:48" s="415" customFormat="1" ht="19.5" customHeight="1" x14ac:dyDescent="0.2">
      <c r="A95" s="586"/>
      <c r="B95" s="586"/>
      <c r="C95" s="586"/>
      <c r="D95" s="586"/>
      <c r="E95" s="586"/>
      <c r="F95" s="586"/>
      <c r="G95" s="586"/>
      <c r="H95" s="586"/>
      <c r="I95" s="586"/>
      <c r="J95" s="586"/>
      <c r="K95" s="586"/>
      <c r="L95" s="586"/>
      <c r="M95" s="586"/>
      <c r="N95" s="586"/>
      <c r="O95" s="586"/>
      <c r="P95" s="586"/>
      <c r="Q95" s="586"/>
      <c r="R95" s="586"/>
      <c r="S95" s="586"/>
      <c r="T95" s="587"/>
      <c r="U95" s="587"/>
      <c r="V95" s="587"/>
      <c r="W95" s="587"/>
      <c r="X95" s="587"/>
      <c r="Y95" s="588"/>
      <c r="Z95" s="589"/>
      <c r="AA95" s="589"/>
      <c r="AB95" s="589"/>
      <c r="AC95" s="589"/>
      <c r="AD95" s="590"/>
      <c r="AE95" s="590"/>
      <c r="AF95" s="590"/>
      <c r="AG95" s="590"/>
      <c r="AJ95" s="590"/>
      <c r="AQ95" s="587"/>
    </row>
    <row r="96" spans="1:48" ht="19.5" customHeight="1" x14ac:dyDescent="0.2">
      <c r="A96" s="464" t="s">
        <v>735</v>
      </c>
      <c r="B96" s="823"/>
      <c r="C96" s="823"/>
      <c r="D96" s="823"/>
      <c r="E96" s="824"/>
      <c r="F96" s="824"/>
      <c r="G96" s="824"/>
      <c r="H96" s="824"/>
      <c r="I96" s="824"/>
      <c r="J96" s="824"/>
      <c r="K96" s="825"/>
      <c r="L96" s="825"/>
      <c r="M96" s="825"/>
      <c r="N96" s="825"/>
      <c r="O96" s="825"/>
      <c r="P96" s="825"/>
      <c r="Q96" s="825"/>
      <c r="R96" s="825"/>
      <c r="S96" s="825"/>
      <c r="T96" s="826" t="s">
        <v>734</v>
      </c>
      <c r="U96" s="826"/>
      <c r="V96" s="826"/>
      <c r="W96" s="826"/>
      <c r="X96" s="526"/>
    </row>
    <row r="97" spans="1:21" ht="37.5" customHeight="1" x14ac:dyDescent="0.2">
      <c r="A97" s="821"/>
      <c r="B97" s="821"/>
      <c r="C97" s="416"/>
      <c r="D97" s="822"/>
      <c r="E97" s="822"/>
      <c r="F97" s="822"/>
      <c r="G97" s="822"/>
      <c r="H97" s="822"/>
      <c r="I97" s="822"/>
      <c r="J97" s="822"/>
      <c r="K97" s="822"/>
      <c r="L97" s="417"/>
      <c r="M97" s="417"/>
      <c r="N97" s="417"/>
      <c r="O97" s="417"/>
      <c r="P97" s="417"/>
      <c r="Q97" s="417"/>
      <c r="R97" s="414"/>
      <c r="S97" s="414"/>
      <c r="U97" s="148"/>
    </row>
    <row r="98" spans="1:21" ht="37.5" customHeight="1" x14ac:dyDescent="0.2">
      <c r="G98" s="148"/>
      <c r="U98" s="148"/>
    </row>
    <row r="99" spans="1:21" ht="37.5" customHeight="1" x14ac:dyDescent="0.2">
      <c r="G99" s="148"/>
      <c r="U99" s="148"/>
    </row>
    <row r="100" spans="1:21" ht="37.5" customHeight="1" x14ac:dyDescent="0.2"/>
    <row r="101" spans="1:21" ht="37.5" customHeight="1" x14ac:dyDescent="0.2"/>
    <row r="102" spans="1:21" ht="37.5" customHeight="1" x14ac:dyDescent="0.2"/>
    <row r="103" spans="1:21" ht="37.5" customHeight="1" x14ac:dyDescent="0.2"/>
  </sheetData>
  <sheetProtection selectLockedCells="1" selectUnlockedCells="1"/>
  <mergeCells count="52">
    <mergeCell ref="A47:AU47"/>
    <mergeCell ref="A50:AU50"/>
    <mergeCell ref="A51:AU51"/>
    <mergeCell ref="A54:AU54"/>
    <mergeCell ref="A18:AU18"/>
    <mergeCell ref="A21:AU21"/>
    <mergeCell ref="A22:AU22"/>
    <mergeCell ref="A25:AU25"/>
    <mergeCell ref="A43:AU43"/>
    <mergeCell ref="A44:AU44"/>
    <mergeCell ref="A97:B97"/>
    <mergeCell ref="D97:K97"/>
    <mergeCell ref="B96:D96"/>
    <mergeCell ref="E96:J96"/>
    <mergeCell ref="K96:S96"/>
    <mergeCell ref="T96:W96"/>
    <mergeCell ref="A73:AU73"/>
    <mergeCell ref="A87:AU87"/>
    <mergeCell ref="AV18:AV19"/>
    <mergeCell ref="A33:AU33"/>
    <mergeCell ref="A37:AU37"/>
    <mergeCell ref="A55:AU55"/>
    <mergeCell ref="A58:AU58"/>
    <mergeCell ref="A59:AU59"/>
    <mergeCell ref="A26:AU26"/>
    <mergeCell ref="A29:AU29"/>
    <mergeCell ref="A62:AU62"/>
    <mergeCell ref="A63:AU63"/>
    <mergeCell ref="A2:W2"/>
    <mergeCell ref="AD2:AG2"/>
    <mergeCell ref="AH2:AK2"/>
    <mergeCell ref="AL2:AO2"/>
    <mergeCell ref="A9:AU9"/>
    <mergeCell ref="A10:AU10"/>
    <mergeCell ref="A14:AU14"/>
    <mergeCell ref="A17:AU17"/>
    <mergeCell ref="E1:W1"/>
    <mergeCell ref="A3:A4"/>
    <mergeCell ref="Q3:AU3"/>
    <mergeCell ref="A5:AU5"/>
    <mergeCell ref="A6:AU6"/>
    <mergeCell ref="B3:P3"/>
    <mergeCell ref="A13:AU13"/>
    <mergeCell ref="A40:AU40"/>
    <mergeCell ref="A91:AR91"/>
    <mergeCell ref="A92:AR92"/>
    <mergeCell ref="A68:AU68"/>
    <mergeCell ref="A69:AU69"/>
    <mergeCell ref="A72:AU72"/>
    <mergeCell ref="A88:AU88"/>
    <mergeCell ref="A30:AU30"/>
    <mergeCell ref="A36:AU36"/>
  </mergeCells>
  <pageMargins left="0.18" right="0.16" top="0.74803149606299213" bottom="0.3" header="0.51181102362204722" footer="0.28000000000000003"/>
  <pageSetup paperSize="9" scale="52" firstPageNumber="0" fitToHeight="8" orientation="landscape" horizontalDpi="300" verticalDpi="300" r:id="rId1"/>
  <headerFooter alignWithMargins="0"/>
  <rowBreaks count="3" manualBreakCount="3">
    <brk id="14" max="42" man="1"/>
    <brk id="38" max="42" man="1"/>
    <brk id="61" max="4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IV107"/>
  <sheetViews>
    <sheetView view="pageBreakPreview" topLeftCell="A103" zoomScale="80" zoomScaleNormal="75" zoomScaleSheetLayoutView="80" zoomScalePageLayoutView="72" workbookViewId="0">
      <selection activeCell="P10" sqref="P10"/>
    </sheetView>
  </sheetViews>
  <sheetFormatPr defaultRowHeight="15.75" x14ac:dyDescent="0.2"/>
  <cols>
    <col min="1" max="1" width="8.140625" style="334" customWidth="1"/>
    <col min="2" max="2" width="53.7109375" style="335" customWidth="1"/>
    <col min="3" max="3" width="17.28515625" style="336" customWidth="1"/>
    <col min="4" max="5" width="9.140625" style="335"/>
    <col min="6" max="6" width="4.5703125" style="335" customWidth="1"/>
    <col min="7" max="7" width="2.42578125" style="335" customWidth="1"/>
    <col min="8" max="8" width="6.85546875" style="335" customWidth="1"/>
    <col min="9" max="9" width="7" style="335" customWidth="1"/>
    <col min="10" max="10" width="11.7109375" style="335" customWidth="1"/>
    <col min="11" max="11" width="12.28515625" style="335" customWidth="1"/>
    <col min="12" max="12" width="11.5703125" style="335" customWidth="1"/>
    <col min="13" max="13" width="11.140625" style="335" customWidth="1"/>
    <col min="14" max="14" width="12.5703125" style="335" customWidth="1"/>
    <col min="15" max="21" width="12.28515625" style="485" customWidth="1"/>
    <col min="22" max="22" width="12.28515625" style="667" customWidth="1"/>
    <col min="23" max="23" width="12.28515625" style="485" customWidth="1"/>
    <col min="24" max="24" width="12.85546875" style="335" customWidth="1"/>
    <col min="25" max="25" width="22.42578125" style="335" customWidth="1"/>
    <col min="26" max="26" width="15.42578125" style="335" hidden="1" customWidth="1"/>
    <col min="27" max="44" width="0" style="335" hidden="1" customWidth="1"/>
    <col min="45" max="45" width="10.28515625" style="335" bestFit="1" customWidth="1"/>
    <col min="46" max="16384" width="9.140625" style="335"/>
  </cols>
  <sheetData>
    <row r="1" spans="1:45" ht="38.25" customHeight="1" x14ac:dyDescent="0.2">
      <c r="E1" s="840"/>
      <c r="F1" s="840"/>
      <c r="G1" s="840"/>
      <c r="L1" s="840" t="s">
        <v>737</v>
      </c>
      <c r="M1" s="840"/>
      <c r="N1" s="840"/>
      <c r="O1" s="840"/>
      <c r="P1" s="840"/>
      <c r="Q1" s="840"/>
      <c r="R1" s="840"/>
      <c r="S1" s="840"/>
      <c r="T1" s="840"/>
      <c r="U1" s="840"/>
      <c r="V1" s="840"/>
      <c r="W1" s="840"/>
      <c r="X1" s="840"/>
      <c r="Y1" s="840"/>
      <c r="Z1" s="337"/>
    </row>
    <row r="2" spans="1:45" ht="28.5" customHeight="1" x14ac:dyDescent="0.2">
      <c r="A2" s="841" t="s">
        <v>490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  <c r="W2" s="841"/>
      <c r="X2" s="841"/>
      <c r="Y2" s="841"/>
    </row>
    <row r="3" spans="1:45" ht="1.5" hidden="1" customHeight="1" x14ac:dyDescent="0.2">
      <c r="F3" s="334" t="s">
        <v>57</v>
      </c>
      <c r="G3" s="335">
        <v>1</v>
      </c>
    </row>
    <row r="4" spans="1:45" s="340" customFormat="1" ht="18" customHeight="1" x14ac:dyDescent="0.2">
      <c r="A4" s="830" t="s">
        <v>58</v>
      </c>
      <c r="B4" s="832" t="s">
        <v>1</v>
      </c>
      <c r="C4" s="832" t="s">
        <v>139</v>
      </c>
      <c r="D4" s="832" t="s">
        <v>59</v>
      </c>
      <c r="E4" s="832"/>
      <c r="F4" s="832"/>
      <c r="G4" s="832"/>
      <c r="H4" s="832"/>
      <c r="I4" s="832"/>
      <c r="J4" s="832" t="s">
        <v>3</v>
      </c>
      <c r="K4" s="832"/>
      <c r="L4" s="832"/>
      <c r="M4" s="832"/>
      <c r="N4" s="832"/>
      <c r="O4" s="832"/>
      <c r="P4" s="832"/>
      <c r="Q4" s="832"/>
      <c r="R4" s="832"/>
      <c r="S4" s="832"/>
      <c r="T4" s="832"/>
      <c r="U4" s="832"/>
      <c r="V4" s="832"/>
      <c r="W4" s="832"/>
      <c r="X4" s="832"/>
      <c r="Y4" s="832" t="s">
        <v>60</v>
      </c>
    </row>
    <row r="5" spans="1:45" s="340" customFormat="1" ht="84.75" customHeight="1" x14ac:dyDescent="0.2">
      <c r="A5" s="830"/>
      <c r="B5" s="832"/>
      <c r="C5" s="832"/>
      <c r="D5" s="339" t="s">
        <v>138</v>
      </c>
      <c r="E5" s="339" t="s">
        <v>4</v>
      </c>
      <c r="F5" s="832" t="s">
        <v>5</v>
      </c>
      <c r="G5" s="832"/>
      <c r="H5" s="832"/>
      <c r="I5" s="339" t="s">
        <v>6</v>
      </c>
      <c r="J5" s="339" t="s">
        <v>7</v>
      </c>
      <c r="K5" s="339" t="s">
        <v>8</v>
      </c>
      <c r="L5" s="339" t="s">
        <v>9</v>
      </c>
      <c r="M5" s="339" t="s">
        <v>122</v>
      </c>
      <c r="N5" s="339" t="s">
        <v>160</v>
      </c>
      <c r="O5" s="486" t="s">
        <v>163</v>
      </c>
      <c r="P5" s="486" t="s">
        <v>164</v>
      </c>
      <c r="Q5" s="486" t="s">
        <v>391</v>
      </c>
      <c r="R5" s="486" t="s">
        <v>392</v>
      </c>
      <c r="S5" s="486" t="s">
        <v>439</v>
      </c>
      <c r="T5" s="486" t="s">
        <v>440</v>
      </c>
      <c r="U5" s="486" t="s">
        <v>441</v>
      </c>
      <c r="V5" s="339" t="s">
        <v>442</v>
      </c>
      <c r="W5" s="486" t="s">
        <v>443</v>
      </c>
      <c r="X5" s="339" t="s">
        <v>702</v>
      </c>
      <c r="Y5" s="832"/>
    </row>
    <row r="6" spans="1:45" s="340" customFormat="1" ht="24" customHeight="1" x14ac:dyDescent="0.2">
      <c r="A6" s="338"/>
      <c r="B6" s="831" t="s">
        <v>644</v>
      </c>
      <c r="C6" s="831"/>
      <c r="D6" s="831"/>
      <c r="E6" s="831"/>
      <c r="F6" s="831"/>
      <c r="G6" s="831"/>
      <c r="H6" s="831"/>
      <c r="I6" s="831"/>
      <c r="J6" s="831"/>
      <c r="K6" s="831"/>
      <c r="L6" s="831"/>
      <c r="M6" s="831"/>
      <c r="N6" s="831"/>
      <c r="O6" s="831"/>
      <c r="P6" s="831"/>
      <c r="Q6" s="831"/>
      <c r="R6" s="831"/>
      <c r="S6" s="831"/>
      <c r="T6" s="831"/>
      <c r="U6" s="831"/>
      <c r="V6" s="831"/>
      <c r="W6" s="831"/>
      <c r="X6" s="831"/>
      <c r="Y6" s="339"/>
    </row>
    <row r="7" spans="1:45" s="340" customFormat="1" ht="24" customHeight="1" x14ac:dyDescent="0.2">
      <c r="A7" s="338" t="s">
        <v>62</v>
      </c>
      <c r="B7" s="842" t="s">
        <v>63</v>
      </c>
      <c r="C7" s="842"/>
      <c r="D7" s="842"/>
      <c r="E7" s="842"/>
      <c r="F7" s="842"/>
      <c r="G7" s="842"/>
      <c r="H7" s="842"/>
      <c r="I7" s="842"/>
      <c r="J7" s="842"/>
      <c r="K7" s="842"/>
      <c r="L7" s="842"/>
      <c r="M7" s="842"/>
      <c r="N7" s="842"/>
      <c r="O7" s="842"/>
      <c r="P7" s="842"/>
      <c r="Q7" s="842"/>
      <c r="R7" s="842"/>
      <c r="S7" s="842"/>
      <c r="T7" s="842"/>
      <c r="U7" s="842"/>
      <c r="V7" s="842"/>
      <c r="W7" s="842"/>
      <c r="X7" s="842"/>
      <c r="Y7" s="342"/>
      <c r="Z7" s="343">
        <f>M8+M22+M25+M28+M31+M33+M57</f>
        <v>32602.400000000001</v>
      </c>
      <c r="AA7" s="343">
        <v>-1865.8000000000029</v>
      </c>
    </row>
    <row r="8" spans="1:45" s="340" customFormat="1" ht="49.5" customHeight="1" x14ac:dyDescent="0.2">
      <c r="A8" s="830" t="s">
        <v>64</v>
      </c>
      <c r="B8" s="831" t="s">
        <v>65</v>
      </c>
      <c r="C8" s="832" t="s">
        <v>66</v>
      </c>
      <c r="D8" s="338" t="s">
        <v>14</v>
      </c>
      <c r="E8" s="338" t="s">
        <v>18</v>
      </c>
      <c r="F8" s="830" t="s">
        <v>191</v>
      </c>
      <c r="G8" s="830"/>
      <c r="H8" s="830"/>
      <c r="I8" s="338" t="s">
        <v>67</v>
      </c>
      <c r="J8" s="344">
        <v>0</v>
      </c>
      <c r="K8" s="332">
        <v>0</v>
      </c>
      <c r="L8" s="332">
        <f>19977.7+136.6</f>
        <v>20114.3</v>
      </c>
      <c r="M8" s="332">
        <v>17346.5</v>
      </c>
      <c r="N8" s="332">
        <v>15876.9</v>
      </c>
      <c r="O8" s="332">
        <v>17032.8</v>
      </c>
      <c r="P8" s="332">
        <v>24537.7</v>
      </c>
      <c r="Q8" s="332">
        <f>1320.2+200+61.4</f>
        <v>1581.6000000000001</v>
      </c>
      <c r="R8" s="332">
        <f>1929.4-130</f>
        <v>1799.4</v>
      </c>
      <c r="S8" s="332">
        <v>1651</v>
      </c>
      <c r="T8" s="332">
        <f>1594.2+31.1</f>
        <v>1625.3</v>
      </c>
      <c r="U8" s="332">
        <v>1918.7</v>
      </c>
      <c r="V8" s="332">
        <v>2688.7</v>
      </c>
      <c r="W8" s="332">
        <v>2688.7</v>
      </c>
      <c r="X8" s="332">
        <f>SUM(J8:W8)</f>
        <v>108861.59999999999</v>
      </c>
      <c r="Y8" s="833" t="s">
        <v>744</v>
      </c>
      <c r="Z8" s="343"/>
    </row>
    <row r="9" spans="1:45" s="340" customFormat="1" ht="49.5" customHeight="1" x14ac:dyDescent="0.2">
      <c r="A9" s="830"/>
      <c r="B9" s="831"/>
      <c r="C9" s="832"/>
      <c r="D9" s="338" t="s">
        <v>14</v>
      </c>
      <c r="E9" s="338" t="s">
        <v>18</v>
      </c>
      <c r="F9" s="830" t="s">
        <v>555</v>
      </c>
      <c r="G9" s="830"/>
      <c r="H9" s="830"/>
      <c r="I9" s="338" t="s">
        <v>67</v>
      </c>
      <c r="J9" s="344">
        <v>0</v>
      </c>
      <c r="K9" s="332">
        <v>0</v>
      </c>
      <c r="L9" s="332">
        <v>0</v>
      </c>
      <c r="M9" s="332">
        <v>0</v>
      </c>
      <c r="N9" s="332">
        <v>0</v>
      </c>
      <c r="O9" s="332">
        <v>0</v>
      </c>
      <c r="P9" s="332">
        <v>0</v>
      </c>
      <c r="Q9" s="332">
        <f>2783.5-300</f>
        <v>2483.5</v>
      </c>
      <c r="R9" s="332">
        <v>2330.1</v>
      </c>
      <c r="S9" s="332">
        <v>2578.3000000000002</v>
      </c>
      <c r="T9" s="332">
        <f>2467.5+112.2</f>
        <v>2579.6999999999998</v>
      </c>
      <c r="U9" s="332">
        <v>3032.7</v>
      </c>
      <c r="V9" s="332">
        <v>3032.7</v>
      </c>
      <c r="W9" s="332">
        <v>3032.7</v>
      </c>
      <c r="X9" s="332">
        <f t="shared" ref="X9:X55" si="0">SUM(J9:W9)</f>
        <v>19069.7</v>
      </c>
      <c r="Y9" s="833"/>
      <c r="Z9" s="343"/>
    </row>
    <row r="10" spans="1:45" s="340" customFormat="1" ht="49.5" customHeight="1" x14ac:dyDescent="0.2">
      <c r="A10" s="830"/>
      <c r="B10" s="831"/>
      <c r="C10" s="832"/>
      <c r="D10" s="338" t="s">
        <v>14</v>
      </c>
      <c r="E10" s="338" t="s">
        <v>18</v>
      </c>
      <c r="F10" s="830" t="s">
        <v>556</v>
      </c>
      <c r="G10" s="830"/>
      <c r="H10" s="830"/>
      <c r="I10" s="338" t="s">
        <v>67</v>
      </c>
      <c r="J10" s="344">
        <v>0</v>
      </c>
      <c r="K10" s="332">
        <v>0</v>
      </c>
      <c r="L10" s="332">
        <v>0</v>
      </c>
      <c r="M10" s="332">
        <v>0</v>
      </c>
      <c r="N10" s="332">
        <v>0</v>
      </c>
      <c r="O10" s="332">
        <v>0</v>
      </c>
      <c r="P10" s="332">
        <v>0</v>
      </c>
      <c r="Q10" s="332">
        <f>24102.2-226.4+409.9-61.4-390</f>
        <v>23834.3</v>
      </c>
      <c r="R10" s="332">
        <v>27325</v>
      </c>
      <c r="S10" s="332">
        <f>28699.3+1940.2</f>
        <v>30639.5</v>
      </c>
      <c r="T10" s="332">
        <f>28977+4880.6+369.4+4484.2</f>
        <v>38711.199999999997</v>
      </c>
      <c r="U10" s="332">
        <f>39109+7381.9</f>
        <v>46490.9</v>
      </c>
      <c r="V10" s="332">
        <v>39109</v>
      </c>
      <c r="W10" s="332">
        <v>39109</v>
      </c>
      <c r="X10" s="332">
        <f t="shared" si="0"/>
        <v>245218.9</v>
      </c>
      <c r="Y10" s="833"/>
      <c r="Z10" s="343"/>
    </row>
    <row r="11" spans="1:45" s="340" customFormat="1" ht="21" customHeight="1" x14ac:dyDescent="0.2">
      <c r="A11" s="830"/>
      <c r="B11" s="831"/>
      <c r="C11" s="832"/>
      <c r="D11" s="338" t="s">
        <v>14</v>
      </c>
      <c r="E11" s="338" t="s">
        <v>18</v>
      </c>
      <c r="F11" s="830" t="s">
        <v>233</v>
      </c>
      <c r="G11" s="830"/>
      <c r="H11" s="830"/>
      <c r="I11" s="338" t="s">
        <v>67</v>
      </c>
      <c r="J11" s="332">
        <v>18962.7</v>
      </c>
      <c r="K11" s="332">
        <v>20021.099999999999</v>
      </c>
      <c r="L11" s="332">
        <v>0</v>
      </c>
      <c r="M11" s="332">
        <v>0</v>
      </c>
      <c r="N11" s="332">
        <v>0</v>
      </c>
      <c r="O11" s="332">
        <v>0</v>
      </c>
      <c r="P11" s="332">
        <v>0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0</v>
      </c>
      <c r="W11" s="332">
        <v>0</v>
      </c>
      <c r="X11" s="332">
        <f t="shared" si="0"/>
        <v>38983.800000000003</v>
      </c>
      <c r="Y11" s="833"/>
      <c r="Z11" s="343"/>
    </row>
    <row r="12" spans="1:45" s="340" customFormat="1" ht="50.25" customHeight="1" x14ac:dyDescent="0.2">
      <c r="A12" s="830" t="s">
        <v>69</v>
      </c>
      <c r="B12" s="831" t="s">
        <v>106</v>
      </c>
      <c r="C12" s="832" t="s">
        <v>66</v>
      </c>
      <c r="D12" s="338" t="s">
        <v>14</v>
      </c>
      <c r="E12" s="338" t="s">
        <v>18</v>
      </c>
      <c r="F12" s="830" t="s">
        <v>191</v>
      </c>
      <c r="G12" s="830"/>
      <c r="H12" s="830"/>
      <c r="I12" s="338" t="s">
        <v>68</v>
      </c>
      <c r="J12" s="332">
        <v>0</v>
      </c>
      <c r="K12" s="332">
        <v>0</v>
      </c>
      <c r="L12" s="332">
        <v>900.6</v>
      </c>
      <c r="M12" s="332">
        <v>30.9</v>
      </c>
      <c r="N12" s="332">
        <v>120</v>
      </c>
      <c r="O12" s="332">
        <v>379</v>
      </c>
      <c r="P12" s="332">
        <v>217.6</v>
      </c>
      <c r="Q12" s="332">
        <f>52+226.4+300</f>
        <v>578.4</v>
      </c>
      <c r="R12" s="332">
        <f>800</f>
        <v>800</v>
      </c>
      <c r="S12" s="332">
        <v>176.1</v>
      </c>
      <c r="T12" s="332">
        <v>825.7</v>
      </c>
      <c r="U12" s="332">
        <v>95.6</v>
      </c>
      <c r="V12" s="332" t="s">
        <v>111</v>
      </c>
      <c r="W12" s="332" t="s">
        <v>111</v>
      </c>
      <c r="X12" s="332">
        <f t="shared" si="0"/>
        <v>4123.9000000000005</v>
      </c>
      <c r="Y12" s="833"/>
      <c r="Z12" s="343"/>
    </row>
    <row r="13" spans="1:45" s="340" customFormat="1" ht="21" customHeight="1" x14ac:dyDescent="0.2">
      <c r="A13" s="830"/>
      <c r="B13" s="831"/>
      <c r="C13" s="832"/>
      <c r="D13" s="338" t="s">
        <v>14</v>
      </c>
      <c r="E13" s="338" t="s">
        <v>18</v>
      </c>
      <c r="F13" s="830" t="s">
        <v>233</v>
      </c>
      <c r="G13" s="830"/>
      <c r="H13" s="830"/>
      <c r="I13" s="338" t="s">
        <v>68</v>
      </c>
      <c r="J13" s="332">
        <v>344.4</v>
      </c>
      <c r="K13" s="332">
        <v>669.9</v>
      </c>
      <c r="L13" s="332">
        <v>0</v>
      </c>
      <c r="M13" s="332">
        <v>0</v>
      </c>
      <c r="N13" s="332">
        <v>0</v>
      </c>
      <c r="O13" s="332">
        <v>0</v>
      </c>
      <c r="P13" s="332">
        <v>0</v>
      </c>
      <c r="Q13" s="332">
        <v>0</v>
      </c>
      <c r="R13" s="332">
        <v>0</v>
      </c>
      <c r="S13" s="332">
        <v>0</v>
      </c>
      <c r="T13" s="332">
        <v>0</v>
      </c>
      <c r="U13" s="332">
        <v>0</v>
      </c>
      <c r="V13" s="332">
        <v>0</v>
      </c>
      <c r="W13" s="332">
        <v>0</v>
      </c>
      <c r="X13" s="332">
        <f t="shared" si="0"/>
        <v>1014.3</v>
      </c>
      <c r="Y13" s="833"/>
      <c r="Z13" s="343"/>
      <c r="AS13" s="343"/>
    </row>
    <row r="14" spans="1:45" s="340" customFormat="1" ht="75.75" customHeight="1" x14ac:dyDescent="0.2">
      <c r="A14" s="830" t="s">
        <v>70</v>
      </c>
      <c r="B14" s="831" t="s">
        <v>211</v>
      </c>
      <c r="C14" s="832" t="s">
        <v>66</v>
      </c>
      <c r="D14" s="338" t="s">
        <v>14</v>
      </c>
      <c r="E14" s="338" t="s">
        <v>18</v>
      </c>
      <c r="F14" s="830" t="s">
        <v>227</v>
      </c>
      <c r="G14" s="830"/>
      <c r="H14" s="830"/>
      <c r="I14" s="338" t="s">
        <v>68</v>
      </c>
      <c r="J14" s="332">
        <v>0</v>
      </c>
      <c r="K14" s="332">
        <v>0</v>
      </c>
      <c r="L14" s="332">
        <v>1868.4</v>
      </c>
      <c r="M14" s="332">
        <v>0</v>
      </c>
      <c r="N14" s="332">
        <v>0</v>
      </c>
      <c r="O14" s="332">
        <v>0</v>
      </c>
      <c r="P14" s="332">
        <v>0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f t="shared" si="0"/>
        <v>1868.4</v>
      </c>
      <c r="Y14" s="833"/>
    </row>
    <row r="15" spans="1:45" s="340" customFormat="1" ht="49.5" hidden="1" customHeight="1" x14ac:dyDescent="0.2">
      <c r="A15" s="830"/>
      <c r="B15" s="831"/>
      <c r="C15" s="832"/>
      <c r="D15" s="338" t="s">
        <v>14</v>
      </c>
      <c r="E15" s="338" t="s">
        <v>18</v>
      </c>
      <c r="F15" s="830" t="s">
        <v>112</v>
      </c>
      <c r="G15" s="830"/>
      <c r="H15" s="830"/>
      <c r="I15" s="338" t="s">
        <v>68</v>
      </c>
      <c r="J15" s="332">
        <v>0</v>
      </c>
      <c r="K15" s="332" t="s">
        <v>111</v>
      </c>
      <c r="L15" s="332" t="s">
        <v>111</v>
      </c>
      <c r="M15" s="332" t="s">
        <v>111</v>
      </c>
      <c r="N15" s="332" t="s">
        <v>111</v>
      </c>
      <c r="O15" s="332" t="s">
        <v>111</v>
      </c>
      <c r="P15" s="332"/>
      <c r="Q15" s="332"/>
      <c r="R15" s="332"/>
      <c r="S15" s="332"/>
      <c r="T15" s="332"/>
      <c r="U15" s="332"/>
      <c r="V15" s="332"/>
      <c r="W15" s="332"/>
      <c r="X15" s="332">
        <f t="shared" si="0"/>
        <v>0</v>
      </c>
      <c r="Y15" s="833"/>
    </row>
    <row r="16" spans="1:45" s="340" customFormat="1" ht="49.5" hidden="1" customHeight="1" x14ac:dyDescent="0.2">
      <c r="A16" s="830"/>
      <c r="B16" s="831"/>
      <c r="C16" s="832"/>
      <c r="D16" s="338" t="s">
        <v>14</v>
      </c>
      <c r="E16" s="338" t="s">
        <v>18</v>
      </c>
      <c r="F16" s="830" t="s">
        <v>116</v>
      </c>
      <c r="G16" s="830"/>
      <c r="H16" s="830"/>
      <c r="I16" s="338" t="s">
        <v>68</v>
      </c>
      <c r="J16" s="332">
        <v>0</v>
      </c>
      <c r="K16" s="332" t="s">
        <v>111</v>
      </c>
      <c r="L16" s="332" t="s">
        <v>111</v>
      </c>
      <c r="M16" s="332" t="s">
        <v>111</v>
      </c>
      <c r="N16" s="332" t="s">
        <v>111</v>
      </c>
      <c r="O16" s="332" t="s">
        <v>111</v>
      </c>
      <c r="P16" s="332"/>
      <c r="Q16" s="332"/>
      <c r="R16" s="332"/>
      <c r="S16" s="332"/>
      <c r="T16" s="332"/>
      <c r="U16" s="332"/>
      <c r="V16" s="332"/>
      <c r="W16" s="332"/>
      <c r="X16" s="332">
        <f t="shared" si="0"/>
        <v>0</v>
      </c>
      <c r="Y16" s="833"/>
    </row>
    <row r="17" spans="1:256" s="340" customFormat="1" ht="73.5" customHeight="1" x14ac:dyDescent="0.2">
      <c r="A17" s="830"/>
      <c r="B17" s="831"/>
      <c r="C17" s="832"/>
      <c r="D17" s="338" t="s">
        <v>14</v>
      </c>
      <c r="E17" s="338" t="s">
        <v>18</v>
      </c>
      <c r="F17" s="830" t="s">
        <v>234</v>
      </c>
      <c r="G17" s="830"/>
      <c r="H17" s="830"/>
      <c r="I17" s="338" t="s">
        <v>68</v>
      </c>
      <c r="J17" s="332">
        <v>5551.3</v>
      </c>
      <c r="K17" s="332">
        <v>6225</v>
      </c>
      <c r="L17" s="332">
        <v>0</v>
      </c>
      <c r="M17" s="332">
        <v>0</v>
      </c>
      <c r="N17" s="332">
        <v>0</v>
      </c>
      <c r="O17" s="332">
        <v>0</v>
      </c>
      <c r="P17" s="332">
        <v>0</v>
      </c>
      <c r="Q17" s="332">
        <v>0</v>
      </c>
      <c r="R17" s="332">
        <v>0</v>
      </c>
      <c r="S17" s="332">
        <v>0</v>
      </c>
      <c r="T17" s="332">
        <v>0</v>
      </c>
      <c r="U17" s="332">
        <v>0</v>
      </c>
      <c r="V17" s="332">
        <v>0</v>
      </c>
      <c r="W17" s="332">
        <v>0</v>
      </c>
      <c r="X17" s="332">
        <f t="shared" si="0"/>
        <v>11776.3</v>
      </c>
      <c r="Y17" s="833"/>
      <c r="Z17" s="343"/>
    </row>
    <row r="18" spans="1:256" s="340" customFormat="1" ht="45" customHeight="1" x14ac:dyDescent="0.2">
      <c r="A18" s="830" t="s">
        <v>107</v>
      </c>
      <c r="B18" s="831" t="s">
        <v>113</v>
      </c>
      <c r="C18" s="832" t="s">
        <v>66</v>
      </c>
      <c r="D18" s="338" t="s">
        <v>14</v>
      </c>
      <c r="E18" s="338" t="s">
        <v>18</v>
      </c>
      <c r="F18" s="830" t="s">
        <v>210</v>
      </c>
      <c r="G18" s="830"/>
      <c r="H18" s="830"/>
      <c r="I18" s="338" t="s">
        <v>68</v>
      </c>
      <c r="J18" s="332">
        <v>0</v>
      </c>
      <c r="K18" s="332">
        <v>0</v>
      </c>
      <c r="L18" s="332">
        <v>130</v>
      </c>
      <c r="M18" s="332">
        <v>0</v>
      </c>
      <c r="N18" s="332">
        <v>0</v>
      </c>
      <c r="O18" s="332">
        <v>0</v>
      </c>
      <c r="P18" s="332">
        <v>0</v>
      </c>
      <c r="Q18" s="332">
        <v>0</v>
      </c>
      <c r="R18" s="332">
        <v>0</v>
      </c>
      <c r="S18" s="332">
        <v>0</v>
      </c>
      <c r="T18" s="332">
        <v>0</v>
      </c>
      <c r="U18" s="332">
        <v>0</v>
      </c>
      <c r="V18" s="332">
        <v>0</v>
      </c>
      <c r="W18" s="332">
        <v>0</v>
      </c>
      <c r="X18" s="332">
        <f t="shared" si="0"/>
        <v>130</v>
      </c>
      <c r="Y18" s="833"/>
    </row>
    <row r="19" spans="1:256" s="340" customFormat="1" ht="30.75" customHeight="1" x14ac:dyDescent="0.2">
      <c r="A19" s="830"/>
      <c r="B19" s="831"/>
      <c r="C19" s="832"/>
      <c r="D19" s="338" t="s">
        <v>14</v>
      </c>
      <c r="E19" s="338" t="s">
        <v>18</v>
      </c>
      <c r="F19" s="830" t="s">
        <v>235</v>
      </c>
      <c r="G19" s="830"/>
      <c r="H19" s="830"/>
      <c r="I19" s="338" t="s">
        <v>68</v>
      </c>
      <c r="J19" s="332">
        <v>55.5</v>
      </c>
      <c r="K19" s="332">
        <v>63</v>
      </c>
      <c r="L19" s="332">
        <v>0</v>
      </c>
      <c r="M19" s="332">
        <v>0</v>
      </c>
      <c r="N19" s="332">
        <v>0</v>
      </c>
      <c r="O19" s="332">
        <v>0</v>
      </c>
      <c r="P19" s="332">
        <v>0</v>
      </c>
      <c r="Q19" s="332">
        <v>0</v>
      </c>
      <c r="R19" s="332">
        <v>0</v>
      </c>
      <c r="S19" s="332">
        <v>0</v>
      </c>
      <c r="T19" s="332">
        <v>0</v>
      </c>
      <c r="U19" s="332">
        <v>0</v>
      </c>
      <c r="V19" s="332">
        <v>0</v>
      </c>
      <c r="W19" s="332">
        <v>0</v>
      </c>
      <c r="X19" s="332">
        <f t="shared" si="0"/>
        <v>118.5</v>
      </c>
      <c r="Y19" s="833"/>
      <c r="Z19" s="343"/>
    </row>
    <row r="20" spans="1:256" s="340" customFormat="1" ht="39" customHeight="1" x14ac:dyDescent="0.2">
      <c r="A20" s="830" t="s">
        <v>114</v>
      </c>
      <c r="B20" s="831" t="s">
        <v>145</v>
      </c>
      <c r="C20" s="832" t="s">
        <v>66</v>
      </c>
      <c r="D20" s="338" t="s">
        <v>14</v>
      </c>
      <c r="E20" s="338" t="s">
        <v>18</v>
      </c>
      <c r="F20" s="830" t="s">
        <v>192</v>
      </c>
      <c r="G20" s="830"/>
      <c r="H20" s="830"/>
      <c r="I20" s="338" t="s">
        <v>68</v>
      </c>
      <c r="J20" s="332">
        <v>0</v>
      </c>
      <c r="K20" s="332">
        <v>0</v>
      </c>
      <c r="L20" s="332">
        <v>0.6</v>
      </c>
      <c r="M20" s="332">
        <v>0</v>
      </c>
      <c r="N20" s="332">
        <v>0</v>
      </c>
      <c r="O20" s="332">
        <v>0</v>
      </c>
      <c r="P20" s="332">
        <v>0</v>
      </c>
      <c r="Q20" s="332">
        <v>0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f t="shared" si="0"/>
        <v>0.6</v>
      </c>
      <c r="Y20" s="833"/>
      <c r="Z20" s="343"/>
    </row>
    <row r="21" spans="1:256" s="340" customFormat="1" ht="39" customHeight="1" x14ac:dyDescent="0.2">
      <c r="A21" s="830"/>
      <c r="B21" s="831"/>
      <c r="C21" s="832"/>
      <c r="D21" s="338" t="s">
        <v>14</v>
      </c>
      <c r="E21" s="338" t="s">
        <v>18</v>
      </c>
      <c r="F21" s="830" t="s">
        <v>236</v>
      </c>
      <c r="G21" s="830"/>
      <c r="H21" s="830"/>
      <c r="I21" s="338" t="s">
        <v>68</v>
      </c>
      <c r="J21" s="332">
        <v>0</v>
      </c>
      <c r="K21" s="332">
        <v>0.1</v>
      </c>
      <c r="L21" s="332">
        <v>0</v>
      </c>
      <c r="M21" s="332">
        <v>0</v>
      </c>
      <c r="N21" s="332">
        <v>0</v>
      </c>
      <c r="O21" s="332">
        <v>0</v>
      </c>
      <c r="P21" s="332">
        <v>0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f t="shared" si="0"/>
        <v>0.1</v>
      </c>
      <c r="Y21" s="833"/>
      <c r="Z21" s="343"/>
    </row>
    <row r="22" spans="1:256" s="340" customFormat="1" ht="25.5" customHeight="1" x14ac:dyDescent="0.2">
      <c r="A22" s="830" t="s">
        <v>115</v>
      </c>
      <c r="B22" s="843" t="s">
        <v>238</v>
      </c>
      <c r="C22" s="832" t="s">
        <v>66</v>
      </c>
      <c r="D22" s="338" t="s">
        <v>14</v>
      </c>
      <c r="E22" s="338" t="s">
        <v>18</v>
      </c>
      <c r="F22" s="830" t="s">
        <v>193</v>
      </c>
      <c r="G22" s="830"/>
      <c r="H22" s="830"/>
      <c r="I22" s="338" t="s">
        <v>67</v>
      </c>
      <c r="J22" s="332">
        <v>0</v>
      </c>
      <c r="K22" s="332">
        <v>0</v>
      </c>
      <c r="L22" s="332">
        <v>4290.5</v>
      </c>
      <c r="M22" s="332">
        <f>4314.4-718.2-353.3-51</f>
        <v>3191.8999999999996</v>
      </c>
      <c r="N22" s="332">
        <f>133+21.5</f>
        <v>154.5</v>
      </c>
      <c r="O22" s="332">
        <v>249.8</v>
      </c>
      <c r="P22" s="332">
        <v>0</v>
      </c>
      <c r="Q22" s="332">
        <f t="shared" ref="Q22:W22" si="1">P22</f>
        <v>0</v>
      </c>
      <c r="R22" s="332">
        <f t="shared" si="1"/>
        <v>0</v>
      </c>
      <c r="S22" s="332">
        <f t="shared" si="1"/>
        <v>0</v>
      </c>
      <c r="T22" s="332">
        <f t="shared" si="1"/>
        <v>0</v>
      </c>
      <c r="U22" s="332">
        <f t="shared" si="1"/>
        <v>0</v>
      </c>
      <c r="V22" s="332">
        <f t="shared" si="1"/>
        <v>0</v>
      </c>
      <c r="W22" s="332">
        <f t="shared" si="1"/>
        <v>0</v>
      </c>
      <c r="X22" s="332">
        <f t="shared" si="0"/>
        <v>7886.7</v>
      </c>
      <c r="Y22" s="833"/>
    </row>
    <row r="23" spans="1:256" s="340" customFormat="1" ht="25.5" customHeight="1" x14ac:dyDescent="0.2">
      <c r="A23" s="830"/>
      <c r="B23" s="843"/>
      <c r="C23" s="832"/>
      <c r="D23" s="338" t="s">
        <v>14</v>
      </c>
      <c r="E23" s="338" t="s">
        <v>18</v>
      </c>
      <c r="F23" s="830" t="s">
        <v>239</v>
      </c>
      <c r="G23" s="830"/>
      <c r="H23" s="830"/>
      <c r="I23" s="338" t="s">
        <v>67</v>
      </c>
      <c r="J23" s="332">
        <v>438.7</v>
      </c>
      <c r="K23" s="332">
        <v>889.3</v>
      </c>
      <c r="L23" s="332">
        <v>0</v>
      </c>
      <c r="M23" s="332">
        <v>0</v>
      </c>
      <c r="N23" s="332">
        <v>0</v>
      </c>
      <c r="O23" s="332">
        <v>0</v>
      </c>
      <c r="P23" s="332">
        <v>0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f t="shared" si="0"/>
        <v>1328</v>
      </c>
      <c r="Y23" s="833"/>
      <c r="Z23" s="343"/>
    </row>
    <row r="24" spans="1:256" s="340" customFormat="1" ht="25.5" customHeight="1" x14ac:dyDescent="0.2">
      <c r="A24" s="830"/>
      <c r="B24" s="843"/>
      <c r="C24" s="832"/>
      <c r="D24" s="338" t="s">
        <v>14</v>
      </c>
      <c r="E24" s="338" t="s">
        <v>18</v>
      </c>
      <c r="F24" s="830" t="s">
        <v>237</v>
      </c>
      <c r="G24" s="830"/>
      <c r="H24" s="830"/>
      <c r="I24" s="338" t="s">
        <v>67</v>
      </c>
      <c r="J24" s="332">
        <v>1290.2</v>
      </c>
      <c r="K24" s="332">
        <v>1885.5</v>
      </c>
      <c r="L24" s="332">
        <v>0</v>
      </c>
      <c r="M24" s="332">
        <v>0</v>
      </c>
      <c r="N24" s="332">
        <v>0</v>
      </c>
      <c r="O24" s="332">
        <v>0</v>
      </c>
      <c r="P24" s="332">
        <v>0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f t="shared" si="0"/>
        <v>3175.7</v>
      </c>
      <c r="Y24" s="833"/>
      <c r="Z24" s="343"/>
    </row>
    <row r="25" spans="1:256" s="340" customFormat="1" ht="22.5" customHeight="1" x14ac:dyDescent="0.2">
      <c r="A25" s="830" t="s">
        <v>142</v>
      </c>
      <c r="B25" s="843" t="s">
        <v>240</v>
      </c>
      <c r="C25" s="832" t="s">
        <v>66</v>
      </c>
      <c r="D25" s="338" t="s">
        <v>14</v>
      </c>
      <c r="E25" s="338" t="s">
        <v>18</v>
      </c>
      <c r="F25" s="830" t="s">
        <v>194</v>
      </c>
      <c r="G25" s="830"/>
      <c r="H25" s="830"/>
      <c r="I25" s="338" t="s">
        <v>67</v>
      </c>
      <c r="J25" s="332">
        <v>0</v>
      </c>
      <c r="K25" s="332">
        <v>0</v>
      </c>
      <c r="L25" s="332">
        <v>370.5</v>
      </c>
      <c r="M25" s="332">
        <f>342.3+33+33.9+61.1</f>
        <v>470.3</v>
      </c>
      <c r="N25" s="332">
        <v>891.3</v>
      </c>
      <c r="O25" s="332">
        <v>954.5</v>
      </c>
      <c r="P25" s="332">
        <v>0</v>
      </c>
      <c r="Q25" s="332">
        <f t="shared" ref="Q25:W25" si="2">P25</f>
        <v>0</v>
      </c>
      <c r="R25" s="332">
        <f t="shared" si="2"/>
        <v>0</v>
      </c>
      <c r="S25" s="332">
        <f t="shared" si="2"/>
        <v>0</v>
      </c>
      <c r="T25" s="332">
        <f t="shared" si="2"/>
        <v>0</v>
      </c>
      <c r="U25" s="332">
        <f t="shared" si="2"/>
        <v>0</v>
      </c>
      <c r="V25" s="332">
        <f t="shared" si="2"/>
        <v>0</v>
      </c>
      <c r="W25" s="332">
        <f t="shared" si="2"/>
        <v>0</v>
      </c>
      <c r="X25" s="332">
        <f t="shared" si="0"/>
        <v>2686.6</v>
      </c>
      <c r="Y25" s="833"/>
    </row>
    <row r="26" spans="1:256" s="340" customFormat="1" ht="22.5" customHeight="1" x14ac:dyDescent="0.2">
      <c r="A26" s="830"/>
      <c r="B26" s="843"/>
      <c r="C26" s="832"/>
      <c r="D26" s="338" t="s">
        <v>14</v>
      </c>
      <c r="E26" s="338" t="s">
        <v>18</v>
      </c>
      <c r="F26" s="830" t="s">
        <v>241</v>
      </c>
      <c r="G26" s="830"/>
      <c r="H26" s="830"/>
      <c r="I26" s="338" t="s">
        <v>67</v>
      </c>
      <c r="J26" s="332">
        <v>99.5</v>
      </c>
      <c r="K26" s="332">
        <v>99.7</v>
      </c>
      <c r="L26" s="332">
        <v>0</v>
      </c>
      <c r="M26" s="332">
        <v>0</v>
      </c>
      <c r="N26" s="332">
        <v>0</v>
      </c>
      <c r="O26" s="332">
        <v>0</v>
      </c>
      <c r="P26" s="332">
        <v>0</v>
      </c>
      <c r="Q26" s="332">
        <v>0</v>
      </c>
      <c r="R26" s="332">
        <v>0</v>
      </c>
      <c r="S26" s="332"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f t="shared" si="0"/>
        <v>199.2</v>
      </c>
      <c r="Y26" s="834"/>
      <c r="Z26" s="343"/>
    </row>
    <row r="27" spans="1:256" s="340" customFormat="1" ht="22.5" customHeight="1" x14ac:dyDescent="0.2">
      <c r="A27" s="830"/>
      <c r="B27" s="843"/>
      <c r="C27" s="832"/>
      <c r="D27" s="338" t="s">
        <v>14</v>
      </c>
      <c r="E27" s="338" t="s">
        <v>18</v>
      </c>
      <c r="F27" s="830" t="s">
        <v>242</v>
      </c>
      <c r="G27" s="830"/>
      <c r="H27" s="830"/>
      <c r="I27" s="338" t="s">
        <v>67</v>
      </c>
      <c r="J27" s="332">
        <v>302.3</v>
      </c>
      <c r="K27" s="332">
        <v>331.8</v>
      </c>
      <c r="L27" s="332">
        <v>0</v>
      </c>
      <c r="M27" s="332">
        <v>0</v>
      </c>
      <c r="N27" s="332">
        <v>0</v>
      </c>
      <c r="O27" s="332">
        <v>0</v>
      </c>
      <c r="P27" s="332">
        <v>0</v>
      </c>
      <c r="Q27" s="332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f t="shared" si="0"/>
        <v>634.1</v>
      </c>
      <c r="Y27" s="834"/>
      <c r="Z27" s="343"/>
    </row>
    <row r="28" spans="1:256" s="340" customFormat="1" ht="120" customHeight="1" x14ac:dyDescent="0.2">
      <c r="A28" s="338" t="s">
        <v>212</v>
      </c>
      <c r="B28" s="681" t="s">
        <v>195</v>
      </c>
      <c r="C28" s="339" t="s">
        <v>66</v>
      </c>
      <c r="D28" s="338" t="s">
        <v>14</v>
      </c>
      <c r="E28" s="338" t="s">
        <v>18</v>
      </c>
      <c r="F28" s="830" t="s">
        <v>413</v>
      </c>
      <c r="G28" s="830"/>
      <c r="H28" s="830"/>
      <c r="I28" s="338" t="s">
        <v>67</v>
      </c>
      <c r="J28" s="332">
        <v>0</v>
      </c>
      <c r="K28" s="332">
        <v>0</v>
      </c>
      <c r="L28" s="332">
        <v>33.299999999999997</v>
      </c>
      <c r="M28" s="332">
        <f>37+9</f>
        <v>46</v>
      </c>
      <c r="N28" s="332">
        <v>52.2</v>
      </c>
      <c r="O28" s="332">
        <v>48.8</v>
      </c>
      <c r="P28" s="332">
        <v>0</v>
      </c>
      <c r="Q28" s="332">
        <f t="shared" ref="Q28:W28" si="3">P28</f>
        <v>0</v>
      </c>
      <c r="R28" s="332">
        <f t="shared" si="3"/>
        <v>0</v>
      </c>
      <c r="S28" s="332">
        <f t="shared" si="3"/>
        <v>0</v>
      </c>
      <c r="T28" s="332">
        <f t="shared" si="3"/>
        <v>0</v>
      </c>
      <c r="U28" s="332">
        <f t="shared" si="3"/>
        <v>0</v>
      </c>
      <c r="V28" s="332">
        <f t="shared" si="3"/>
        <v>0</v>
      </c>
      <c r="W28" s="332">
        <f t="shared" si="3"/>
        <v>0</v>
      </c>
      <c r="X28" s="332">
        <f t="shared" si="0"/>
        <v>180.3</v>
      </c>
      <c r="Y28" s="834"/>
    </row>
    <row r="29" spans="1:256" s="340" customFormat="1" ht="141.75" customHeight="1" x14ac:dyDescent="0.2">
      <c r="A29" s="338" t="s">
        <v>246</v>
      </c>
      <c r="B29" s="681" t="s">
        <v>143</v>
      </c>
      <c r="C29" s="339" t="s">
        <v>66</v>
      </c>
      <c r="D29" s="338" t="s">
        <v>14</v>
      </c>
      <c r="E29" s="338" t="s">
        <v>18</v>
      </c>
      <c r="F29" s="830" t="s">
        <v>144</v>
      </c>
      <c r="G29" s="830"/>
      <c r="H29" s="830"/>
      <c r="I29" s="338" t="s">
        <v>67</v>
      </c>
      <c r="J29" s="332">
        <f>34.7</f>
        <v>34.700000000000003</v>
      </c>
      <c r="K29" s="332">
        <v>0</v>
      </c>
      <c r="L29" s="332">
        <v>0</v>
      </c>
      <c r="M29" s="332">
        <v>0</v>
      </c>
      <c r="N29" s="332">
        <v>0</v>
      </c>
      <c r="O29" s="332">
        <v>0</v>
      </c>
      <c r="P29" s="332">
        <v>0</v>
      </c>
      <c r="Q29" s="332">
        <v>0</v>
      </c>
      <c r="R29" s="332">
        <v>0</v>
      </c>
      <c r="S29" s="332">
        <v>0</v>
      </c>
      <c r="T29" s="332">
        <v>0</v>
      </c>
      <c r="U29" s="332">
        <v>0</v>
      </c>
      <c r="V29" s="332">
        <v>0</v>
      </c>
      <c r="W29" s="332">
        <v>0</v>
      </c>
      <c r="X29" s="332">
        <f t="shared" si="0"/>
        <v>34.700000000000003</v>
      </c>
      <c r="Y29" s="834"/>
    </row>
    <row r="30" spans="1:256" s="340" customFormat="1" ht="111" customHeight="1" x14ac:dyDescent="0.2">
      <c r="A30" s="338" t="s">
        <v>270</v>
      </c>
      <c r="B30" s="342" t="s">
        <v>271</v>
      </c>
      <c r="C30" s="339" t="s">
        <v>66</v>
      </c>
      <c r="D30" s="338" t="s">
        <v>14</v>
      </c>
      <c r="E30" s="338" t="s">
        <v>18</v>
      </c>
      <c r="F30" s="830" t="s">
        <v>272</v>
      </c>
      <c r="G30" s="830"/>
      <c r="H30" s="830"/>
      <c r="I30" s="338" t="s">
        <v>68</v>
      </c>
      <c r="J30" s="332">
        <v>0</v>
      </c>
      <c r="K30" s="332">
        <v>0</v>
      </c>
      <c r="L30" s="332">
        <v>0</v>
      </c>
      <c r="M30" s="332">
        <v>32.799999999999997</v>
      </c>
      <c r="N30" s="332">
        <v>28.3</v>
      </c>
      <c r="O30" s="332">
        <v>0</v>
      </c>
      <c r="P30" s="332">
        <v>0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0</v>
      </c>
      <c r="W30" s="332">
        <v>0</v>
      </c>
      <c r="X30" s="332">
        <f t="shared" si="0"/>
        <v>61.099999999999994</v>
      </c>
      <c r="Y30" s="834"/>
      <c r="Z30" s="343"/>
    </row>
    <row r="31" spans="1:256" s="326" customFormat="1" ht="77.25" customHeight="1" x14ac:dyDescent="0.2">
      <c r="A31" s="338" t="s">
        <v>276</v>
      </c>
      <c r="B31" s="682" t="s">
        <v>660</v>
      </c>
      <c r="C31" s="339" t="s">
        <v>66</v>
      </c>
      <c r="D31" s="338" t="s">
        <v>14</v>
      </c>
      <c r="E31" s="338" t="s">
        <v>18</v>
      </c>
      <c r="F31" s="830" t="s">
        <v>659</v>
      </c>
      <c r="G31" s="830"/>
      <c r="H31" s="830"/>
      <c r="I31" s="338" t="s">
        <v>67</v>
      </c>
      <c r="J31" s="332">
        <v>0</v>
      </c>
      <c r="K31" s="332">
        <v>0</v>
      </c>
      <c r="L31" s="332">
        <v>0</v>
      </c>
      <c r="M31" s="332">
        <v>0</v>
      </c>
      <c r="N31" s="332">
        <v>0</v>
      </c>
      <c r="O31" s="332">
        <v>0</v>
      </c>
      <c r="P31" s="332">
        <v>0</v>
      </c>
      <c r="Q31" s="332">
        <v>0</v>
      </c>
      <c r="R31" s="332">
        <v>0</v>
      </c>
      <c r="S31" s="332">
        <v>1098.2</v>
      </c>
      <c r="T31" s="332">
        <v>0</v>
      </c>
      <c r="U31" s="332">
        <v>0</v>
      </c>
      <c r="V31" s="332">
        <v>0</v>
      </c>
      <c r="W31" s="332">
        <v>0</v>
      </c>
      <c r="X31" s="332">
        <f t="shared" si="0"/>
        <v>1098.2</v>
      </c>
      <c r="Y31" s="834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348"/>
      <c r="CA31" s="348"/>
      <c r="CB31" s="348"/>
      <c r="CC31" s="348"/>
      <c r="CD31" s="348"/>
      <c r="CE31" s="348"/>
      <c r="CF31" s="348"/>
      <c r="CG31" s="348"/>
      <c r="CH31" s="348"/>
      <c r="CI31" s="348"/>
      <c r="CJ31" s="348"/>
      <c r="CK31" s="348"/>
      <c r="CL31" s="348"/>
      <c r="CM31" s="348"/>
      <c r="CN31" s="348"/>
      <c r="CO31" s="348"/>
      <c r="CP31" s="348"/>
      <c r="CQ31" s="348"/>
      <c r="CR31" s="348"/>
      <c r="CS31" s="348"/>
      <c r="CT31" s="348"/>
      <c r="CU31" s="348"/>
      <c r="CV31" s="348"/>
      <c r="CW31" s="348"/>
      <c r="CX31" s="348"/>
      <c r="CY31" s="348"/>
      <c r="CZ31" s="348"/>
      <c r="DA31" s="348"/>
      <c r="DB31" s="348"/>
      <c r="DC31" s="348"/>
      <c r="DD31" s="348"/>
      <c r="DE31" s="348"/>
      <c r="DF31" s="348"/>
      <c r="DG31" s="348"/>
      <c r="DH31" s="348"/>
      <c r="DI31" s="348"/>
      <c r="DJ31" s="348"/>
      <c r="DK31" s="348"/>
      <c r="DL31" s="348"/>
      <c r="DM31" s="348"/>
      <c r="DN31" s="348"/>
      <c r="DO31" s="348"/>
      <c r="DP31" s="348"/>
      <c r="DQ31" s="348"/>
      <c r="DR31" s="348"/>
      <c r="DS31" s="348"/>
      <c r="DT31" s="348"/>
      <c r="DU31" s="348"/>
      <c r="DV31" s="348"/>
      <c r="DW31" s="348"/>
      <c r="DX31" s="348"/>
      <c r="DY31" s="348"/>
      <c r="DZ31" s="348"/>
      <c r="EA31" s="348"/>
      <c r="EB31" s="348"/>
      <c r="EC31" s="348"/>
      <c r="ED31" s="348"/>
      <c r="EE31" s="348"/>
      <c r="EF31" s="348"/>
      <c r="EG31" s="348"/>
      <c r="EH31" s="348"/>
      <c r="EI31" s="348"/>
      <c r="EJ31" s="348"/>
      <c r="EK31" s="348"/>
      <c r="EL31" s="348"/>
      <c r="EM31" s="348"/>
      <c r="EN31" s="348"/>
      <c r="EO31" s="348"/>
      <c r="EP31" s="348"/>
      <c r="EQ31" s="348"/>
      <c r="ER31" s="348"/>
      <c r="ES31" s="348"/>
      <c r="ET31" s="348"/>
      <c r="EU31" s="348"/>
      <c r="EV31" s="348"/>
      <c r="EW31" s="348"/>
      <c r="EX31" s="348"/>
      <c r="EY31" s="348"/>
      <c r="EZ31" s="348"/>
      <c r="FA31" s="348"/>
      <c r="FB31" s="348"/>
      <c r="FC31" s="348"/>
      <c r="FD31" s="348"/>
      <c r="FE31" s="348"/>
      <c r="FF31" s="348"/>
      <c r="FG31" s="348"/>
      <c r="FH31" s="348"/>
      <c r="FI31" s="348"/>
      <c r="FJ31" s="348"/>
      <c r="FK31" s="348"/>
      <c r="FL31" s="348"/>
      <c r="FM31" s="348"/>
      <c r="FN31" s="348"/>
      <c r="FO31" s="348"/>
      <c r="FP31" s="348"/>
      <c r="FQ31" s="348"/>
      <c r="FR31" s="348"/>
      <c r="FS31" s="348"/>
      <c r="FT31" s="348"/>
      <c r="FU31" s="348"/>
      <c r="FV31" s="348"/>
      <c r="FW31" s="348"/>
      <c r="FX31" s="348"/>
      <c r="FY31" s="348"/>
      <c r="FZ31" s="348"/>
      <c r="GA31" s="348"/>
      <c r="GB31" s="348"/>
      <c r="GC31" s="348"/>
      <c r="GD31" s="348"/>
      <c r="GE31" s="348"/>
      <c r="GF31" s="348"/>
      <c r="GG31" s="348"/>
      <c r="GH31" s="348"/>
      <c r="GI31" s="348"/>
      <c r="GJ31" s="348"/>
      <c r="GK31" s="348"/>
      <c r="GL31" s="348"/>
      <c r="GM31" s="348"/>
      <c r="GN31" s="348"/>
      <c r="GO31" s="348"/>
      <c r="GP31" s="348"/>
      <c r="GQ31" s="348"/>
      <c r="GR31" s="348"/>
      <c r="GS31" s="348"/>
      <c r="GT31" s="348"/>
      <c r="GU31" s="348"/>
      <c r="GV31" s="348"/>
      <c r="GW31" s="348"/>
      <c r="GX31" s="348"/>
      <c r="GY31" s="348"/>
      <c r="GZ31" s="348"/>
      <c r="HA31" s="348"/>
      <c r="HB31" s="348"/>
      <c r="HC31" s="348"/>
      <c r="HD31" s="348"/>
      <c r="HE31" s="348"/>
      <c r="HF31" s="348"/>
      <c r="HG31" s="348"/>
      <c r="HH31" s="348"/>
      <c r="HI31" s="348"/>
      <c r="HJ31" s="348"/>
      <c r="HK31" s="348"/>
      <c r="HL31" s="348"/>
      <c r="HM31" s="348"/>
      <c r="HN31" s="348"/>
      <c r="HO31" s="348"/>
      <c r="HP31" s="348"/>
      <c r="HQ31" s="348"/>
      <c r="HR31" s="348"/>
      <c r="HS31" s="348"/>
      <c r="HT31" s="348"/>
      <c r="HU31" s="348"/>
      <c r="HV31" s="348"/>
      <c r="HW31" s="348"/>
      <c r="HX31" s="348"/>
      <c r="HY31" s="348"/>
      <c r="HZ31" s="348"/>
      <c r="IA31" s="348"/>
      <c r="IB31" s="348"/>
      <c r="IC31" s="348"/>
      <c r="ID31" s="348"/>
      <c r="IE31" s="348"/>
      <c r="IF31" s="348"/>
      <c r="IG31" s="348"/>
      <c r="IH31" s="348"/>
      <c r="II31" s="348"/>
      <c r="IJ31" s="348"/>
      <c r="IK31" s="348"/>
      <c r="IL31" s="348"/>
      <c r="IM31" s="348"/>
      <c r="IN31" s="348"/>
      <c r="IO31" s="348"/>
      <c r="IP31" s="348"/>
      <c r="IQ31" s="348"/>
      <c r="IR31" s="348"/>
      <c r="IS31" s="348"/>
      <c r="IT31" s="348"/>
      <c r="IU31" s="348"/>
      <c r="IV31" s="348"/>
    </row>
    <row r="32" spans="1:256" s="326" customFormat="1" ht="77.25" customHeight="1" x14ac:dyDescent="0.2">
      <c r="A32" s="338" t="s">
        <v>302</v>
      </c>
      <c r="B32" s="682" t="s">
        <v>277</v>
      </c>
      <c r="C32" s="339" t="s">
        <v>66</v>
      </c>
      <c r="D32" s="338" t="s">
        <v>14</v>
      </c>
      <c r="E32" s="338" t="s">
        <v>18</v>
      </c>
      <c r="F32" s="830" t="s">
        <v>278</v>
      </c>
      <c r="G32" s="830"/>
      <c r="H32" s="830"/>
      <c r="I32" s="338" t="s">
        <v>67</v>
      </c>
      <c r="J32" s="332">
        <v>0</v>
      </c>
      <c r="K32" s="332">
        <v>0</v>
      </c>
      <c r="L32" s="332">
        <v>0</v>
      </c>
      <c r="M32" s="332">
        <v>1181</v>
      </c>
      <c r="N32" s="332">
        <v>0</v>
      </c>
      <c r="O32" s="332">
        <v>0</v>
      </c>
      <c r="P32" s="332">
        <v>0</v>
      </c>
      <c r="Q32" s="332">
        <v>0</v>
      </c>
      <c r="R32" s="332">
        <v>0</v>
      </c>
      <c r="S32" s="332">
        <v>0</v>
      </c>
      <c r="T32" s="332">
        <v>0</v>
      </c>
      <c r="U32" s="332">
        <v>0</v>
      </c>
      <c r="V32" s="332">
        <v>0</v>
      </c>
      <c r="W32" s="332">
        <v>0</v>
      </c>
      <c r="X32" s="332">
        <f t="shared" si="0"/>
        <v>1181</v>
      </c>
      <c r="Y32" s="834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8"/>
      <c r="BF32" s="348"/>
      <c r="BG32" s="348"/>
      <c r="BH32" s="348"/>
      <c r="BI32" s="348"/>
      <c r="BJ32" s="348"/>
      <c r="BK32" s="348"/>
      <c r="BL32" s="348"/>
      <c r="BM32" s="348"/>
      <c r="BN32" s="348"/>
      <c r="BO32" s="348"/>
      <c r="BP32" s="348"/>
      <c r="BQ32" s="348"/>
      <c r="BR32" s="348"/>
      <c r="BS32" s="348"/>
      <c r="BT32" s="348"/>
      <c r="BU32" s="348"/>
      <c r="BV32" s="348"/>
      <c r="BW32" s="348"/>
      <c r="BX32" s="348"/>
      <c r="BY32" s="348"/>
      <c r="BZ32" s="348"/>
      <c r="CA32" s="348"/>
      <c r="CB32" s="348"/>
      <c r="CC32" s="348"/>
      <c r="CD32" s="348"/>
      <c r="CE32" s="348"/>
      <c r="CF32" s="348"/>
      <c r="CG32" s="348"/>
      <c r="CH32" s="348"/>
      <c r="CI32" s="348"/>
      <c r="CJ32" s="348"/>
      <c r="CK32" s="348"/>
      <c r="CL32" s="348"/>
      <c r="CM32" s="348"/>
      <c r="CN32" s="348"/>
      <c r="CO32" s="348"/>
      <c r="CP32" s="348"/>
      <c r="CQ32" s="348"/>
      <c r="CR32" s="348"/>
      <c r="CS32" s="348"/>
      <c r="CT32" s="348"/>
      <c r="CU32" s="348"/>
      <c r="CV32" s="348"/>
      <c r="CW32" s="348"/>
      <c r="CX32" s="348"/>
      <c r="CY32" s="348"/>
      <c r="CZ32" s="348"/>
      <c r="DA32" s="348"/>
      <c r="DB32" s="348"/>
      <c r="DC32" s="348"/>
      <c r="DD32" s="348"/>
      <c r="DE32" s="348"/>
      <c r="DF32" s="348"/>
      <c r="DG32" s="348"/>
      <c r="DH32" s="348"/>
      <c r="DI32" s="348"/>
      <c r="DJ32" s="348"/>
      <c r="DK32" s="348"/>
      <c r="DL32" s="348"/>
      <c r="DM32" s="348"/>
      <c r="DN32" s="348"/>
      <c r="DO32" s="348"/>
      <c r="DP32" s="348"/>
      <c r="DQ32" s="348"/>
      <c r="DR32" s="348"/>
      <c r="DS32" s="348"/>
      <c r="DT32" s="348"/>
      <c r="DU32" s="348"/>
      <c r="DV32" s="348"/>
      <c r="DW32" s="348"/>
      <c r="DX32" s="348"/>
      <c r="DY32" s="348"/>
      <c r="DZ32" s="348"/>
      <c r="EA32" s="348"/>
      <c r="EB32" s="348"/>
      <c r="EC32" s="348"/>
      <c r="ED32" s="348"/>
      <c r="EE32" s="348"/>
      <c r="EF32" s="348"/>
      <c r="EG32" s="348"/>
      <c r="EH32" s="348"/>
      <c r="EI32" s="348"/>
      <c r="EJ32" s="348"/>
      <c r="EK32" s="348"/>
      <c r="EL32" s="348"/>
      <c r="EM32" s="348"/>
      <c r="EN32" s="348"/>
      <c r="EO32" s="348"/>
      <c r="EP32" s="348"/>
      <c r="EQ32" s="348"/>
      <c r="ER32" s="348"/>
      <c r="ES32" s="348"/>
      <c r="ET32" s="348"/>
      <c r="EU32" s="348"/>
      <c r="EV32" s="348"/>
      <c r="EW32" s="348"/>
      <c r="EX32" s="348"/>
      <c r="EY32" s="348"/>
      <c r="EZ32" s="348"/>
      <c r="FA32" s="348"/>
      <c r="FB32" s="348"/>
      <c r="FC32" s="348"/>
      <c r="FD32" s="348"/>
      <c r="FE32" s="348"/>
      <c r="FF32" s="348"/>
      <c r="FG32" s="348"/>
      <c r="FH32" s="348"/>
      <c r="FI32" s="348"/>
      <c r="FJ32" s="348"/>
      <c r="FK32" s="348"/>
      <c r="FL32" s="348"/>
      <c r="FM32" s="348"/>
      <c r="FN32" s="348"/>
      <c r="FO32" s="348"/>
      <c r="FP32" s="348"/>
      <c r="FQ32" s="348"/>
      <c r="FR32" s="348"/>
      <c r="FS32" s="348"/>
      <c r="FT32" s="348"/>
      <c r="FU32" s="348"/>
      <c r="FV32" s="348"/>
      <c r="FW32" s="348"/>
      <c r="FX32" s="348"/>
      <c r="FY32" s="348"/>
      <c r="FZ32" s="348"/>
      <c r="GA32" s="348"/>
      <c r="GB32" s="348"/>
      <c r="GC32" s="348"/>
      <c r="GD32" s="348"/>
      <c r="GE32" s="348"/>
      <c r="GF32" s="348"/>
      <c r="GG32" s="348"/>
      <c r="GH32" s="348"/>
      <c r="GI32" s="348"/>
      <c r="GJ32" s="348"/>
      <c r="GK32" s="348"/>
      <c r="GL32" s="348"/>
      <c r="GM32" s="348"/>
      <c r="GN32" s="348"/>
      <c r="GO32" s="348"/>
      <c r="GP32" s="348"/>
      <c r="GQ32" s="348"/>
      <c r="GR32" s="348"/>
      <c r="GS32" s="348"/>
      <c r="GT32" s="348"/>
      <c r="GU32" s="348"/>
      <c r="GV32" s="348"/>
      <c r="GW32" s="348"/>
      <c r="GX32" s="348"/>
      <c r="GY32" s="348"/>
      <c r="GZ32" s="348"/>
      <c r="HA32" s="348"/>
      <c r="HB32" s="348"/>
      <c r="HC32" s="348"/>
      <c r="HD32" s="348"/>
      <c r="HE32" s="348"/>
      <c r="HF32" s="348"/>
      <c r="HG32" s="348"/>
      <c r="HH32" s="348"/>
      <c r="HI32" s="348"/>
      <c r="HJ32" s="348"/>
      <c r="HK32" s="348"/>
      <c r="HL32" s="348"/>
      <c r="HM32" s="348"/>
      <c r="HN32" s="348"/>
      <c r="HO32" s="348"/>
      <c r="HP32" s="348"/>
      <c r="HQ32" s="348"/>
      <c r="HR32" s="348"/>
      <c r="HS32" s="348"/>
      <c r="HT32" s="348"/>
      <c r="HU32" s="348"/>
      <c r="HV32" s="348"/>
      <c r="HW32" s="348"/>
      <c r="HX32" s="348"/>
      <c r="HY32" s="348"/>
      <c r="HZ32" s="348"/>
      <c r="IA32" s="348"/>
      <c r="IB32" s="348"/>
      <c r="IC32" s="348"/>
      <c r="ID32" s="348"/>
      <c r="IE32" s="348"/>
      <c r="IF32" s="348"/>
      <c r="IG32" s="348"/>
      <c r="IH32" s="348"/>
      <c r="II32" s="348"/>
      <c r="IJ32" s="348"/>
      <c r="IK32" s="348"/>
      <c r="IL32" s="348"/>
      <c r="IM32" s="348"/>
      <c r="IN32" s="348"/>
      <c r="IO32" s="348"/>
      <c r="IP32" s="348"/>
      <c r="IQ32" s="348"/>
      <c r="IR32" s="348"/>
      <c r="IS32" s="348"/>
      <c r="IT32" s="348"/>
      <c r="IU32" s="348"/>
      <c r="IV32" s="348"/>
    </row>
    <row r="33" spans="1:26" s="349" customFormat="1" ht="90" x14ac:dyDescent="0.2">
      <c r="A33" s="338" t="s">
        <v>344</v>
      </c>
      <c r="B33" s="342" t="s">
        <v>310</v>
      </c>
      <c r="C33" s="339" t="s">
        <v>66</v>
      </c>
      <c r="D33" s="338" t="s">
        <v>14</v>
      </c>
      <c r="E33" s="338" t="s">
        <v>18</v>
      </c>
      <c r="F33" s="830" t="s">
        <v>303</v>
      </c>
      <c r="G33" s="830"/>
      <c r="H33" s="830"/>
      <c r="I33" s="338" t="s">
        <v>67</v>
      </c>
      <c r="J33" s="332"/>
      <c r="K33" s="332"/>
      <c r="L33" s="332"/>
      <c r="M33" s="332">
        <f>1719.9+154.1+12.6+2433.5-0.1</f>
        <v>4320</v>
      </c>
      <c r="N33" s="332">
        <v>0</v>
      </c>
      <c r="O33" s="332">
        <v>0</v>
      </c>
      <c r="P33" s="332">
        <v>0</v>
      </c>
      <c r="Q33" s="332">
        <v>0</v>
      </c>
      <c r="R33" s="332">
        <v>0</v>
      </c>
      <c r="S33" s="332">
        <v>0</v>
      </c>
      <c r="T33" s="332">
        <v>0</v>
      </c>
      <c r="U33" s="332">
        <v>0</v>
      </c>
      <c r="V33" s="332">
        <v>0</v>
      </c>
      <c r="W33" s="332">
        <v>0</v>
      </c>
      <c r="X33" s="332">
        <f t="shared" si="0"/>
        <v>4320</v>
      </c>
      <c r="Y33" s="834"/>
      <c r="Z33" s="348">
        <v>-0.1</v>
      </c>
    </row>
    <row r="34" spans="1:26" s="349" customFormat="1" ht="48" customHeight="1" x14ac:dyDescent="0.2">
      <c r="A34" s="338" t="s">
        <v>283</v>
      </c>
      <c r="B34" s="342" t="s">
        <v>348</v>
      </c>
      <c r="C34" s="339" t="s">
        <v>66</v>
      </c>
      <c r="D34" s="338" t="s">
        <v>14</v>
      </c>
      <c r="E34" s="338" t="s">
        <v>18</v>
      </c>
      <c r="F34" s="830" t="s">
        <v>345</v>
      </c>
      <c r="G34" s="830"/>
      <c r="H34" s="830"/>
      <c r="I34" s="338" t="s">
        <v>67</v>
      </c>
      <c r="J34" s="332"/>
      <c r="K34" s="332"/>
      <c r="L34" s="332"/>
      <c r="M34" s="332"/>
      <c r="N34" s="332">
        <v>769.8</v>
      </c>
      <c r="O34" s="332">
        <v>0</v>
      </c>
      <c r="P34" s="332">
        <v>0</v>
      </c>
      <c r="Q34" s="332">
        <v>0</v>
      </c>
      <c r="R34" s="332">
        <v>0</v>
      </c>
      <c r="S34" s="332">
        <v>0</v>
      </c>
      <c r="T34" s="332">
        <v>0</v>
      </c>
      <c r="U34" s="332">
        <v>0</v>
      </c>
      <c r="V34" s="332">
        <v>0</v>
      </c>
      <c r="W34" s="332">
        <v>0</v>
      </c>
      <c r="X34" s="332">
        <f t="shared" si="0"/>
        <v>769.8</v>
      </c>
      <c r="Y34" s="834"/>
      <c r="Z34" s="348"/>
    </row>
    <row r="35" spans="1:26" s="349" customFormat="1" ht="36.75" customHeight="1" x14ac:dyDescent="0.2">
      <c r="A35" s="338" t="s">
        <v>285</v>
      </c>
      <c r="B35" s="342" t="s">
        <v>347</v>
      </c>
      <c r="C35" s="339" t="s">
        <v>66</v>
      </c>
      <c r="D35" s="338" t="s">
        <v>14</v>
      </c>
      <c r="E35" s="338" t="s">
        <v>18</v>
      </c>
      <c r="F35" s="830" t="s">
        <v>346</v>
      </c>
      <c r="G35" s="830"/>
      <c r="H35" s="830"/>
      <c r="I35" s="338" t="s">
        <v>67</v>
      </c>
      <c r="J35" s="332"/>
      <c r="K35" s="332"/>
      <c r="L35" s="332"/>
      <c r="M35" s="332"/>
      <c r="N35" s="332">
        <v>7265.8</v>
      </c>
      <c r="O35" s="332">
        <v>10020.799999999999</v>
      </c>
      <c r="P35" s="332">
        <v>0</v>
      </c>
      <c r="Q35" s="332">
        <v>0</v>
      </c>
      <c r="R35" s="332">
        <v>0</v>
      </c>
      <c r="S35" s="332">
        <v>0</v>
      </c>
      <c r="T35" s="332">
        <v>0</v>
      </c>
      <c r="U35" s="332">
        <v>0</v>
      </c>
      <c r="V35" s="332">
        <v>0</v>
      </c>
      <c r="W35" s="332">
        <v>0</v>
      </c>
      <c r="X35" s="332">
        <f t="shared" si="0"/>
        <v>17286.599999999999</v>
      </c>
      <c r="Y35" s="834"/>
      <c r="Z35" s="348"/>
    </row>
    <row r="36" spans="1:26" s="340" customFormat="1" ht="93.75" customHeight="1" x14ac:dyDescent="0.2">
      <c r="A36" s="338" t="s">
        <v>287</v>
      </c>
      <c r="B36" s="342" t="s">
        <v>274</v>
      </c>
      <c r="C36" s="339" t="s">
        <v>66</v>
      </c>
      <c r="D36" s="338" t="s">
        <v>14</v>
      </c>
      <c r="E36" s="338" t="s">
        <v>18</v>
      </c>
      <c r="F36" s="830" t="s">
        <v>275</v>
      </c>
      <c r="G36" s="830"/>
      <c r="H36" s="830"/>
      <c r="I36" s="339">
        <v>612</v>
      </c>
      <c r="J36" s="332"/>
      <c r="K36" s="332">
        <v>0</v>
      </c>
      <c r="L36" s="332">
        <v>0</v>
      </c>
      <c r="M36" s="332">
        <v>101.3</v>
      </c>
      <c r="N36" s="332">
        <f>87.4+0.1</f>
        <v>87.5</v>
      </c>
      <c r="O36" s="332">
        <v>0</v>
      </c>
      <c r="P36" s="332">
        <v>0</v>
      </c>
      <c r="Q36" s="332">
        <v>0</v>
      </c>
      <c r="R36" s="332">
        <v>0</v>
      </c>
      <c r="S36" s="332">
        <v>0</v>
      </c>
      <c r="T36" s="332">
        <v>0</v>
      </c>
      <c r="U36" s="332">
        <v>0</v>
      </c>
      <c r="V36" s="332">
        <v>0</v>
      </c>
      <c r="W36" s="332">
        <v>0</v>
      </c>
      <c r="X36" s="332">
        <f t="shared" si="0"/>
        <v>188.8</v>
      </c>
      <c r="Y36" s="834"/>
      <c r="Z36" s="350"/>
    </row>
    <row r="37" spans="1:26" s="349" customFormat="1" ht="63.75" customHeight="1" x14ac:dyDescent="0.2">
      <c r="A37" s="338" t="s">
        <v>290</v>
      </c>
      <c r="B37" s="342" t="s">
        <v>478</v>
      </c>
      <c r="C37" s="339" t="s">
        <v>66</v>
      </c>
      <c r="D37" s="338" t="s">
        <v>14</v>
      </c>
      <c r="E37" s="338" t="s">
        <v>18</v>
      </c>
      <c r="F37" s="830" t="s">
        <v>272</v>
      </c>
      <c r="G37" s="830"/>
      <c r="H37" s="830"/>
      <c r="I37" s="339">
        <v>612</v>
      </c>
      <c r="J37" s="332"/>
      <c r="K37" s="332"/>
      <c r="L37" s="332"/>
      <c r="M37" s="332"/>
      <c r="N37" s="332"/>
      <c r="O37" s="332">
        <v>28</v>
      </c>
      <c r="P37" s="332">
        <v>0</v>
      </c>
      <c r="Q37" s="332">
        <v>0</v>
      </c>
      <c r="R37" s="332">
        <v>0</v>
      </c>
      <c r="S37" s="332">
        <f>S38+S39+S40</f>
        <v>75.2</v>
      </c>
      <c r="T37" s="332">
        <f>T38+T39+T40</f>
        <v>68.3</v>
      </c>
      <c r="U37" s="332">
        <f>U38+U39+U40</f>
        <v>69.5</v>
      </c>
      <c r="V37" s="332">
        <f>V38+V39+V40</f>
        <v>70.599999999999994</v>
      </c>
      <c r="W37" s="332">
        <f>W38+W39+W40</f>
        <v>65</v>
      </c>
      <c r="X37" s="332">
        <f t="shared" si="0"/>
        <v>376.6</v>
      </c>
      <c r="Y37" s="834"/>
      <c r="Z37" s="348"/>
    </row>
    <row r="38" spans="1:26" s="349" customFormat="1" ht="78.75" customHeight="1" x14ac:dyDescent="0.2">
      <c r="A38" s="338" t="s">
        <v>297</v>
      </c>
      <c r="B38" s="342" t="s">
        <v>479</v>
      </c>
      <c r="C38" s="339" t="s">
        <v>66</v>
      </c>
      <c r="D38" s="338" t="s">
        <v>14</v>
      </c>
      <c r="E38" s="338" t="s">
        <v>18</v>
      </c>
      <c r="F38" s="830" t="s">
        <v>272</v>
      </c>
      <c r="G38" s="830"/>
      <c r="H38" s="830"/>
      <c r="I38" s="339">
        <v>612</v>
      </c>
      <c r="J38" s="332"/>
      <c r="K38" s="332"/>
      <c r="L38" s="332"/>
      <c r="M38" s="332"/>
      <c r="N38" s="332"/>
      <c r="O38" s="332">
        <v>4.4000000000000004</v>
      </c>
      <c r="P38" s="332">
        <v>0</v>
      </c>
      <c r="Q38" s="332">
        <v>0</v>
      </c>
      <c r="R38" s="332">
        <f>Q38</f>
        <v>0</v>
      </c>
      <c r="S38" s="332">
        <v>52.1</v>
      </c>
      <c r="T38" s="332">
        <v>47.2</v>
      </c>
      <c r="U38" s="332">
        <v>47.4</v>
      </c>
      <c r="V38" s="332">
        <v>46.1</v>
      </c>
      <c r="W38" s="332">
        <v>40.5</v>
      </c>
      <c r="X38" s="332">
        <f t="shared" si="0"/>
        <v>237.7</v>
      </c>
      <c r="Y38" s="339" t="s">
        <v>640</v>
      </c>
      <c r="Z38" s="348"/>
    </row>
    <row r="39" spans="1:26" s="349" customFormat="1" ht="78.75" customHeight="1" x14ac:dyDescent="0.2">
      <c r="A39" s="338" t="s">
        <v>298</v>
      </c>
      <c r="B39" s="342" t="s">
        <v>480</v>
      </c>
      <c r="C39" s="339" t="s">
        <v>66</v>
      </c>
      <c r="D39" s="338" t="s">
        <v>14</v>
      </c>
      <c r="E39" s="338" t="s">
        <v>18</v>
      </c>
      <c r="F39" s="830" t="s">
        <v>272</v>
      </c>
      <c r="G39" s="830"/>
      <c r="H39" s="830"/>
      <c r="I39" s="339">
        <v>612</v>
      </c>
      <c r="J39" s="332"/>
      <c r="K39" s="332"/>
      <c r="L39" s="332"/>
      <c r="M39" s="332"/>
      <c r="N39" s="332"/>
      <c r="O39" s="332">
        <v>11.6</v>
      </c>
      <c r="P39" s="332">
        <v>0</v>
      </c>
      <c r="Q39" s="332">
        <v>0</v>
      </c>
      <c r="R39" s="332">
        <v>0</v>
      </c>
      <c r="S39" s="332">
        <v>21.3</v>
      </c>
      <c r="T39" s="332">
        <v>19.3</v>
      </c>
      <c r="U39" s="332">
        <v>20.3</v>
      </c>
      <c r="V39" s="332">
        <v>22.7</v>
      </c>
      <c r="W39" s="332">
        <v>22.7</v>
      </c>
      <c r="X39" s="332">
        <f t="shared" si="0"/>
        <v>117.9</v>
      </c>
      <c r="Y39" s="339"/>
      <c r="Z39" s="348"/>
    </row>
    <row r="40" spans="1:26" s="349" customFormat="1" ht="90" customHeight="1" x14ac:dyDescent="0.2">
      <c r="A40" s="338" t="s">
        <v>350</v>
      </c>
      <c r="B40" s="342" t="s">
        <v>481</v>
      </c>
      <c r="C40" s="339" t="s">
        <v>66</v>
      </c>
      <c r="D40" s="338" t="s">
        <v>14</v>
      </c>
      <c r="E40" s="338" t="s">
        <v>18</v>
      </c>
      <c r="F40" s="830" t="s">
        <v>272</v>
      </c>
      <c r="G40" s="830"/>
      <c r="H40" s="830"/>
      <c r="I40" s="339">
        <v>612</v>
      </c>
      <c r="J40" s="332"/>
      <c r="K40" s="332"/>
      <c r="L40" s="332"/>
      <c r="M40" s="332"/>
      <c r="N40" s="332"/>
      <c r="O40" s="332">
        <v>4.5</v>
      </c>
      <c r="P40" s="332">
        <v>0</v>
      </c>
      <c r="Q40" s="332">
        <v>0</v>
      </c>
      <c r="R40" s="332">
        <v>0</v>
      </c>
      <c r="S40" s="332">
        <v>1.8</v>
      </c>
      <c r="T40" s="332">
        <v>1.8</v>
      </c>
      <c r="U40" s="332">
        <v>1.8</v>
      </c>
      <c r="V40" s="332">
        <v>1.8</v>
      </c>
      <c r="W40" s="332">
        <v>1.8</v>
      </c>
      <c r="X40" s="332">
        <f t="shared" si="0"/>
        <v>13.500000000000002</v>
      </c>
      <c r="Y40" s="339"/>
      <c r="Z40" s="348"/>
    </row>
    <row r="41" spans="1:26" s="349" customFormat="1" ht="95.25" customHeight="1" x14ac:dyDescent="0.2">
      <c r="A41" s="338" t="s">
        <v>351</v>
      </c>
      <c r="B41" s="342" t="s">
        <v>588</v>
      </c>
      <c r="C41" s="339" t="s">
        <v>66</v>
      </c>
      <c r="D41" s="338" t="s">
        <v>14</v>
      </c>
      <c r="E41" s="338" t="s">
        <v>18</v>
      </c>
      <c r="F41" s="830" t="s">
        <v>608</v>
      </c>
      <c r="G41" s="830"/>
      <c r="H41" s="830"/>
      <c r="I41" s="339">
        <v>612</v>
      </c>
      <c r="J41" s="332"/>
      <c r="K41" s="332"/>
      <c r="L41" s="332"/>
      <c r="M41" s="332"/>
      <c r="N41" s="332"/>
      <c r="O41" s="332">
        <v>0</v>
      </c>
      <c r="P41" s="332">
        <v>0</v>
      </c>
      <c r="Q41" s="332">
        <f>Q42+Q43+Q44</f>
        <v>35.5</v>
      </c>
      <c r="R41" s="332">
        <f>R42+R43+R44</f>
        <v>83.100000000000009</v>
      </c>
      <c r="S41" s="332"/>
      <c r="T41" s="332">
        <f>T42+T43+T44</f>
        <v>0</v>
      </c>
      <c r="U41" s="332">
        <f>U42+U43+U44</f>
        <v>0</v>
      </c>
      <c r="V41" s="332">
        <f>V42+V43+V44</f>
        <v>0</v>
      </c>
      <c r="W41" s="332">
        <f>W42+W43+W44</f>
        <v>0</v>
      </c>
      <c r="X41" s="332">
        <f t="shared" si="0"/>
        <v>118.60000000000001</v>
      </c>
      <c r="Y41" s="339" t="s">
        <v>640</v>
      </c>
      <c r="Z41" s="348"/>
    </row>
    <row r="42" spans="1:26" s="349" customFormat="1" ht="96" customHeight="1" x14ac:dyDescent="0.2">
      <c r="A42" s="338" t="s">
        <v>376</v>
      </c>
      <c r="B42" s="342" t="s">
        <v>589</v>
      </c>
      <c r="C42" s="339" t="s">
        <v>66</v>
      </c>
      <c r="D42" s="338" t="s">
        <v>14</v>
      </c>
      <c r="E42" s="338" t="s">
        <v>18</v>
      </c>
      <c r="F42" s="830" t="s">
        <v>608</v>
      </c>
      <c r="G42" s="830"/>
      <c r="H42" s="830"/>
      <c r="I42" s="339">
        <v>612</v>
      </c>
      <c r="J42" s="332"/>
      <c r="K42" s="332"/>
      <c r="L42" s="332"/>
      <c r="M42" s="332"/>
      <c r="N42" s="332"/>
      <c r="O42" s="332">
        <v>0</v>
      </c>
      <c r="P42" s="332">
        <v>0</v>
      </c>
      <c r="Q42" s="332">
        <v>26.1</v>
      </c>
      <c r="R42" s="332">
        <v>57.8</v>
      </c>
      <c r="S42" s="332"/>
      <c r="T42" s="332"/>
      <c r="U42" s="332"/>
      <c r="V42" s="332"/>
      <c r="W42" s="332"/>
      <c r="X42" s="332">
        <f t="shared" si="0"/>
        <v>83.9</v>
      </c>
      <c r="Y42" s="339"/>
      <c r="Z42" s="348"/>
    </row>
    <row r="43" spans="1:26" s="349" customFormat="1" ht="94.5" customHeight="1" x14ac:dyDescent="0.2">
      <c r="A43" s="338" t="s">
        <v>377</v>
      </c>
      <c r="B43" s="342" t="s">
        <v>590</v>
      </c>
      <c r="C43" s="339" t="s">
        <v>66</v>
      </c>
      <c r="D43" s="338" t="s">
        <v>14</v>
      </c>
      <c r="E43" s="338" t="s">
        <v>18</v>
      </c>
      <c r="F43" s="830" t="s">
        <v>608</v>
      </c>
      <c r="G43" s="830"/>
      <c r="H43" s="830"/>
      <c r="I43" s="339">
        <v>612</v>
      </c>
      <c r="J43" s="332"/>
      <c r="K43" s="332"/>
      <c r="L43" s="332"/>
      <c r="M43" s="332"/>
      <c r="N43" s="332"/>
      <c r="O43" s="332">
        <v>0</v>
      </c>
      <c r="P43" s="332">
        <v>0</v>
      </c>
      <c r="Q43" s="332">
        <v>8.6999999999999993</v>
      </c>
      <c r="R43" s="332">
        <v>23.6</v>
      </c>
      <c r="S43" s="332"/>
      <c r="T43" s="332"/>
      <c r="U43" s="332"/>
      <c r="V43" s="332"/>
      <c r="W43" s="332"/>
      <c r="X43" s="332">
        <f t="shared" si="0"/>
        <v>32.299999999999997</v>
      </c>
      <c r="Y43" s="339"/>
      <c r="Z43" s="348"/>
    </row>
    <row r="44" spans="1:26" s="349" customFormat="1" ht="90" customHeight="1" x14ac:dyDescent="0.2">
      <c r="A44" s="338" t="s">
        <v>397</v>
      </c>
      <c r="B44" s="342" t="s">
        <v>591</v>
      </c>
      <c r="C44" s="339" t="s">
        <v>66</v>
      </c>
      <c r="D44" s="338" t="s">
        <v>14</v>
      </c>
      <c r="E44" s="338" t="s">
        <v>18</v>
      </c>
      <c r="F44" s="830" t="s">
        <v>608</v>
      </c>
      <c r="G44" s="830"/>
      <c r="H44" s="830"/>
      <c r="I44" s="339">
        <v>612</v>
      </c>
      <c r="J44" s="332"/>
      <c r="K44" s="332"/>
      <c r="L44" s="332"/>
      <c r="M44" s="332"/>
      <c r="N44" s="332"/>
      <c r="O44" s="332">
        <v>0</v>
      </c>
      <c r="P44" s="332">
        <v>0</v>
      </c>
      <c r="Q44" s="332">
        <v>0.7</v>
      </c>
      <c r="R44" s="332">
        <v>1.7</v>
      </c>
      <c r="S44" s="332"/>
      <c r="T44" s="332"/>
      <c r="U44" s="332"/>
      <c r="V44" s="332"/>
      <c r="W44" s="332"/>
      <c r="X44" s="332">
        <f t="shared" si="0"/>
        <v>2.4</v>
      </c>
      <c r="Y44" s="339"/>
      <c r="Z44" s="348"/>
    </row>
    <row r="45" spans="1:26" s="349" customFormat="1" ht="152.25" customHeight="1" x14ac:dyDescent="0.2">
      <c r="A45" s="338" t="s">
        <v>417</v>
      </c>
      <c r="B45" s="342" t="s">
        <v>482</v>
      </c>
      <c r="C45" s="339" t="s">
        <v>66</v>
      </c>
      <c r="D45" s="338" t="s">
        <v>14</v>
      </c>
      <c r="E45" s="338" t="s">
        <v>18</v>
      </c>
      <c r="F45" s="830" t="s">
        <v>501</v>
      </c>
      <c r="G45" s="830"/>
      <c r="H45" s="830"/>
      <c r="I45" s="339">
        <v>612</v>
      </c>
      <c r="J45" s="332"/>
      <c r="K45" s="332"/>
      <c r="L45" s="332"/>
      <c r="M45" s="332"/>
      <c r="N45" s="332"/>
      <c r="O45" s="332">
        <v>7.5</v>
      </c>
      <c r="P45" s="332">
        <f>P46+P47+P48</f>
        <v>180</v>
      </c>
      <c r="Q45" s="332">
        <v>0</v>
      </c>
      <c r="R45" s="332">
        <f t="shared" ref="R45:W45" si="4">Q45</f>
        <v>0</v>
      </c>
      <c r="S45" s="332">
        <f t="shared" si="4"/>
        <v>0</v>
      </c>
      <c r="T45" s="332">
        <f t="shared" si="4"/>
        <v>0</v>
      </c>
      <c r="U45" s="332">
        <f t="shared" si="4"/>
        <v>0</v>
      </c>
      <c r="V45" s="332">
        <f t="shared" si="4"/>
        <v>0</v>
      </c>
      <c r="W45" s="332">
        <f t="shared" si="4"/>
        <v>0</v>
      </c>
      <c r="X45" s="332">
        <f t="shared" si="0"/>
        <v>187.5</v>
      </c>
      <c r="Y45" s="339" t="s">
        <v>580</v>
      </c>
      <c r="Z45" s="348"/>
    </row>
    <row r="46" spans="1:26" s="349" customFormat="1" ht="158.25" customHeight="1" x14ac:dyDescent="0.2">
      <c r="A46" s="338" t="s">
        <v>418</v>
      </c>
      <c r="B46" s="342" t="s">
        <v>482</v>
      </c>
      <c r="C46" s="339" t="s">
        <v>66</v>
      </c>
      <c r="D46" s="338" t="s">
        <v>14</v>
      </c>
      <c r="E46" s="338" t="s">
        <v>18</v>
      </c>
      <c r="F46" s="830" t="s">
        <v>501</v>
      </c>
      <c r="G46" s="830"/>
      <c r="H46" s="830"/>
      <c r="I46" s="339">
        <v>612</v>
      </c>
      <c r="J46" s="332"/>
      <c r="K46" s="332"/>
      <c r="L46" s="332"/>
      <c r="M46" s="332"/>
      <c r="N46" s="332"/>
      <c r="O46" s="332">
        <v>6.8</v>
      </c>
      <c r="P46" s="332">
        <v>52.2</v>
      </c>
      <c r="Q46" s="332">
        <v>0</v>
      </c>
      <c r="R46" s="332">
        <v>0</v>
      </c>
      <c r="S46" s="332">
        <v>0</v>
      </c>
      <c r="T46" s="332">
        <v>0</v>
      </c>
      <c r="U46" s="332">
        <v>0</v>
      </c>
      <c r="V46" s="332">
        <v>0</v>
      </c>
      <c r="W46" s="332">
        <v>0</v>
      </c>
      <c r="X46" s="332">
        <f t="shared" si="0"/>
        <v>59</v>
      </c>
      <c r="Y46" s="339"/>
      <c r="Z46" s="348"/>
    </row>
    <row r="47" spans="1:26" s="349" customFormat="1" ht="160.5" customHeight="1" x14ac:dyDescent="0.2">
      <c r="A47" s="338" t="s">
        <v>420</v>
      </c>
      <c r="B47" s="342" t="s">
        <v>483</v>
      </c>
      <c r="C47" s="339" t="s">
        <v>66</v>
      </c>
      <c r="D47" s="338" t="s">
        <v>14</v>
      </c>
      <c r="E47" s="338" t="s">
        <v>18</v>
      </c>
      <c r="F47" s="830" t="s">
        <v>501</v>
      </c>
      <c r="G47" s="830"/>
      <c r="H47" s="830"/>
      <c r="I47" s="339">
        <v>612</v>
      </c>
      <c r="J47" s="332"/>
      <c r="K47" s="332"/>
      <c r="L47" s="332"/>
      <c r="M47" s="332"/>
      <c r="N47" s="332"/>
      <c r="O47" s="332">
        <v>0.5</v>
      </c>
      <c r="P47" s="332">
        <v>124.2</v>
      </c>
      <c r="Q47" s="332">
        <v>0</v>
      </c>
      <c r="R47" s="332">
        <v>0</v>
      </c>
      <c r="S47" s="332">
        <v>0</v>
      </c>
      <c r="T47" s="332">
        <v>0</v>
      </c>
      <c r="U47" s="332">
        <v>0</v>
      </c>
      <c r="V47" s="332">
        <v>0</v>
      </c>
      <c r="W47" s="332">
        <v>0</v>
      </c>
      <c r="X47" s="332">
        <f t="shared" si="0"/>
        <v>124.7</v>
      </c>
      <c r="Y47" s="339"/>
      <c r="Z47" s="348"/>
    </row>
    <row r="48" spans="1:26" s="349" customFormat="1" ht="160.5" customHeight="1" x14ac:dyDescent="0.2">
      <c r="A48" s="338" t="s">
        <v>421</v>
      </c>
      <c r="B48" s="342" t="s">
        <v>484</v>
      </c>
      <c r="C48" s="339" t="s">
        <v>66</v>
      </c>
      <c r="D48" s="338" t="s">
        <v>14</v>
      </c>
      <c r="E48" s="338" t="s">
        <v>18</v>
      </c>
      <c r="F48" s="830" t="s">
        <v>501</v>
      </c>
      <c r="G48" s="830"/>
      <c r="H48" s="830"/>
      <c r="I48" s="339">
        <v>612</v>
      </c>
      <c r="J48" s="332"/>
      <c r="K48" s="332"/>
      <c r="L48" s="332"/>
      <c r="M48" s="332"/>
      <c r="N48" s="332"/>
      <c r="O48" s="332">
        <v>0.2</v>
      </c>
      <c r="P48" s="332">
        <v>3.6</v>
      </c>
      <c r="Q48" s="332">
        <v>0</v>
      </c>
      <c r="R48" s="332">
        <v>0</v>
      </c>
      <c r="S48" s="332">
        <v>0</v>
      </c>
      <c r="T48" s="332">
        <v>0</v>
      </c>
      <c r="U48" s="332">
        <v>0</v>
      </c>
      <c r="V48" s="332">
        <v>0</v>
      </c>
      <c r="W48" s="332">
        <v>0</v>
      </c>
      <c r="X48" s="332">
        <f t="shared" si="0"/>
        <v>3.8000000000000003</v>
      </c>
      <c r="Y48" s="339"/>
      <c r="Z48" s="348"/>
    </row>
    <row r="49" spans="1:26" s="349" customFormat="1" ht="108" customHeight="1" x14ac:dyDescent="0.2">
      <c r="A49" s="338" t="s">
        <v>422</v>
      </c>
      <c r="B49" s="553" t="s">
        <v>500</v>
      </c>
      <c r="C49" s="339" t="s">
        <v>66</v>
      </c>
      <c r="D49" s="338" t="s">
        <v>14</v>
      </c>
      <c r="E49" s="338" t="s">
        <v>18</v>
      </c>
      <c r="F49" s="830" t="s">
        <v>498</v>
      </c>
      <c r="G49" s="830"/>
      <c r="H49" s="830"/>
      <c r="I49" s="339">
        <v>611</v>
      </c>
      <c r="J49" s="332"/>
      <c r="K49" s="332"/>
      <c r="L49" s="332"/>
      <c r="M49" s="332"/>
      <c r="N49" s="332"/>
      <c r="O49" s="332"/>
      <c r="P49" s="332">
        <v>1679.2</v>
      </c>
      <c r="Q49" s="332">
        <v>0</v>
      </c>
      <c r="R49" s="332">
        <v>0</v>
      </c>
      <c r="S49" s="332">
        <v>0</v>
      </c>
      <c r="T49" s="332">
        <v>0</v>
      </c>
      <c r="U49" s="332">
        <v>0</v>
      </c>
      <c r="V49" s="332">
        <v>0</v>
      </c>
      <c r="W49" s="332">
        <v>0</v>
      </c>
      <c r="X49" s="332">
        <f t="shared" si="0"/>
        <v>1679.2</v>
      </c>
      <c r="Y49" s="339"/>
      <c r="Z49" s="348"/>
    </row>
    <row r="50" spans="1:26" s="349" customFormat="1" ht="108" customHeight="1" x14ac:dyDescent="0.2">
      <c r="A50" s="338" t="s">
        <v>425</v>
      </c>
      <c r="B50" s="553" t="s">
        <v>566</v>
      </c>
      <c r="C50" s="339" t="s">
        <v>66</v>
      </c>
      <c r="D50" s="338" t="s">
        <v>14</v>
      </c>
      <c r="E50" s="338" t="s">
        <v>18</v>
      </c>
      <c r="F50" s="830" t="s">
        <v>567</v>
      </c>
      <c r="G50" s="830"/>
      <c r="H50" s="830"/>
      <c r="I50" s="339">
        <v>612</v>
      </c>
      <c r="J50" s="332">
        <v>0</v>
      </c>
      <c r="K50" s="332">
        <v>0</v>
      </c>
      <c r="L50" s="332">
        <v>0</v>
      </c>
      <c r="M50" s="332">
        <v>0</v>
      </c>
      <c r="N50" s="332">
        <v>0</v>
      </c>
      <c r="O50" s="332">
        <v>0</v>
      </c>
      <c r="P50" s="332">
        <v>0</v>
      </c>
      <c r="Q50" s="332">
        <f>1752.7-115.5</f>
        <v>1637.2</v>
      </c>
      <c r="R50" s="332">
        <v>0</v>
      </c>
      <c r="S50" s="332">
        <v>0</v>
      </c>
      <c r="T50" s="332">
        <v>0</v>
      </c>
      <c r="U50" s="332">
        <v>0</v>
      </c>
      <c r="V50" s="332">
        <v>0</v>
      </c>
      <c r="W50" s="332">
        <v>0</v>
      </c>
      <c r="X50" s="332">
        <f t="shared" si="0"/>
        <v>1637.2</v>
      </c>
      <c r="Y50" s="339" t="s">
        <v>592</v>
      </c>
      <c r="Z50" s="348"/>
    </row>
    <row r="51" spans="1:26" s="349" customFormat="1" ht="93" customHeight="1" x14ac:dyDescent="0.2">
      <c r="A51" s="338" t="s">
        <v>517</v>
      </c>
      <c r="B51" s="553" t="s">
        <v>569</v>
      </c>
      <c r="C51" s="339" t="s">
        <v>66</v>
      </c>
      <c r="D51" s="338" t="s">
        <v>14</v>
      </c>
      <c r="E51" s="338" t="s">
        <v>18</v>
      </c>
      <c r="F51" s="830" t="s">
        <v>568</v>
      </c>
      <c r="G51" s="830"/>
      <c r="H51" s="830"/>
      <c r="I51" s="339">
        <v>612</v>
      </c>
      <c r="J51" s="332" t="s">
        <v>111</v>
      </c>
      <c r="K51" s="332" t="s">
        <v>111</v>
      </c>
      <c r="L51" s="332" t="s">
        <v>111</v>
      </c>
      <c r="M51" s="332" t="s">
        <v>111</v>
      </c>
      <c r="N51" s="332" t="s">
        <v>111</v>
      </c>
      <c r="O51" s="332" t="s">
        <v>111</v>
      </c>
      <c r="P51" s="332" t="s">
        <v>111</v>
      </c>
      <c r="Q51" s="332" t="s">
        <v>111</v>
      </c>
      <c r="R51" s="332">
        <v>1000</v>
      </c>
      <c r="S51" s="332" t="s">
        <v>111</v>
      </c>
      <c r="T51" s="332" t="s">
        <v>111</v>
      </c>
      <c r="U51" s="332" t="s">
        <v>111</v>
      </c>
      <c r="V51" s="332" t="s">
        <v>111</v>
      </c>
      <c r="W51" s="332" t="s">
        <v>111</v>
      </c>
      <c r="X51" s="332">
        <f t="shared" si="0"/>
        <v>1000</v>
      </c>
      <c r="Y51" s="339" t="s">
        <v>641</v>
      </c>
      <c r="Z51" s="348"/>
    </row>
    <row r="52" spans="1:26" s="349" customFormat="1" ht="93" customHeight="1" x14ac:dyDescent="0.2">
      <c r="A52" s="338" t="s">
        <v>518</v>
      </c>
      <c r="B52" s="553" t="s">
        <v>508</v>
      </c>
      <c r="C52" s="339" t="s">
        <v>66</v>
      </c>
      <c r="D52" s="338" t="s">
        <v>14</v>
      </c>
      <c r="E52" s="338" t="s">
        <v>18</v>
      </c>
      <c r="F52" s="830" t="s">
        <v>510</v>
      </c>
      <c r="G52" s="830"/>
      <c r="H52" s="830"/>
      <c r="I52" s="339">
        <v>612</v>
      </c>
      <c r="J52" s="332" t="s">
        <v>111</v>
      </c>
      <c r="K52" s="332" t="s">
        <v>111</v>
      </c>
      <c r="L52" s="332" t="s">
        <v>111</v>
      </c>
      <c r="M52" s="332" t="s">
        <v>111</v>
      </c>
      <c r="N52" s="332" t="s">
        <v>111</v>
      </c>
      <c r="O52" s="332" t="s">
        <v>111</v>
      </c>
      <c r="P52" s="332" t="s">
        <v>111</v>
      </c>
      <c r="Q52" s="332" t="s">
        <v>111</v>
      </c>
      <c r="R52" s="332">
        <v>0</v>
      </c>
      <c r="S52" s="332" t="s">
        <v>111</v>
      </c>
      <c r="T52" s="332">
        <f>1134.3-41.8</f>
        <v>1092.5</v>
      </c>
      <c r="U52" s="332">
        <v>0</v>
      </c>
      <c r="V52" s="332">
        <v>0</v>
      </c>
      <c r="W52" s="332">
        <v>0</v>
      </c>
      <c r="X52" s="332">
        <f t="shared" si="0"/>
        <v>1092.5</v>
      </c>
      <c r="Y52" s="339" t="s">
        <v>714</v>
      </c>
      <c r="Z52" s="348"/>
    </row>
    <row r="53" spans="1:26" s="349" customFormat="1" ht="93" customHeight="1" x14ac:dyDescent="0.2">
      <c r="A53" s="338" t="s">
        <v>541</v>
      </c>
      <c r="B53" s="553" t="s">
        <v>674</v>
      </c>
      <c r="C53" s="339" t="s">
        <v>66</v>
      </c>
      <c r="D53" s="338" t="s">
        <v>14</v>
      </c>
      <c r="E53" s="338" t="s">
        <v>18</v>
      </c>
      <c r="F53" s="830" t="s">
        <v>511</v>
      </c>
      <c r="G53" s="830"/>
      <c r="H53" s="830"/>
      <c r="I53" s="339">
        <v>612</v>
      </c>
      <c r="J53" s="332" t="s">
        <v>111</v>
      </c>
      <c r="K53" s="332" t="s">
        <v>111</v>
      </c>
      <c r="L53" s="332" t="s">
        <v>111</v>
      </c>
      <c r="M53" s="332" t="s">
        <v>111</v>
      </c>
      <c r="N53" s="332" t="s">
        <v>111</v>
      </c>
      <c r="O53" s="332" t="s">
        <v>111</v>
      </c>
      <c r="P53" s="332" t="s">
        <v>111</v>
      </c>
      <c r="Q53" s="332" t="s">
        <v>111</v>
      </c>
      <c r="R53" s="332">
        <v>0</v>
      </c>
      <c r="S53" s="332" t="s">
        <v>111</v>
      </c>
      <c r="T53" s="332">
        <v>11.5</v>
      </c>
      <c r="U53" s="332">
        <v>0</v>
      </c>
      <c r="V53" s="332">
        <v>0</v>
      </c>
      <c r="W53" s="332">
        <v>0</v>
      </c>
      <c r="X53" s="332">
        <f t="shared" si="0"/>
        <v>11.5</v>
      </c>
      <c r="Y53" s="339" t="s">
        <v>685</v>
      </c>
      <c r="Z53" s="348"/>
    </row>
    <row r="54" spans="1:26" s="349" customFormat="1" ht="83.25" customHeight="1" x14ac:dyDescent="0.2">
      <c r="A54" s="338" t="s">
        <v>560</v>
      </c>
      <c r="B54" s="683" t="s">
        <v>539</v>
      </c>
      <c r="C54" s="339" t="s">
        <v>66</v>
      </c>
      <c r="D54" s="338" t="s">
        <v>14</v>
      </c>
      <c r="E54" s="338" t="s">
        <v>18</v>
      </c>
      <c r="F54" s="830" t="s">
        <v>540</v>
      </c>
      <c r="G54" s="830"/>
      <c r="H54" s="830"/>
      <c r="I54" s="339"/>
      <c r="J54" s="332">
        <v>160.89999999999998</v>
      </c>
      <c r="K54" s="332">
        <v>240.5</v>
      </c>
      <c r="L54" s="332">
        <v>170.79999999999995</v>
      </c>
      <c r="M54" s="332">
        <v>169.8</v>
      </c>
      <c r="N54" s="332">
        <v>185.2</v>
      </c>
      <c r="O54" s="332">
        <v>151.5</v>
      </c>
      <c r="P54" s="332">
        <v>33.700000000000003</v>
      </c>
      <c r="Q54" s="332">
        <v>85.5</v>
      </c>
      <c r="R54" s="332">
        <v>343.4</v>
      </c>
      <c r="S54" s="332">
        <v>540.20000000000005</v>
      </c>
      <c r="T54" s="332">
        <f>753.5+12+69.8+100+40+99.7+5.5</f>
        <v>1080.5</v>
      </c>
      <c r="U54" s="332">
        <f>375.5+14.4</f>
        <v>389.9</v>
      </c>
      <c r="V54" s="332">
        <v>375.5</v>
      </c>
      <c r="W54" s="332">
        <v>375.5</v>
      </c>
      <c r="X54" s="332">
        <f t="shared" si="0"/>
        <v>4302.8999999999996</v>
      </c>
      <c r="Y54" s="339"/>
      <c r="Z54" s="348"/>
    </row>
    <row r="55" spans="1:26" s="340" customFormat="1" ht="24" customHeight="1" x14ac:dyDescent="0.2">
      <c r="A55" s="338"/>
      <c r="B55" s="342" t="s">
        <v>71</v>
      </c>
      <c r="C55" s="339"/>
      <c r="D55" s="342"/>
      <c r="E55" s="342"/>
      <c r="F55" s="830"/>
      <c r="G55" s="830"/>
      <c r="H55" s="830"/>
      <c r="I55" s="342"/>
      <c r="J55" s="684">
        <f>J8+J11+J13+J14+J17+J18+J19+J20+J21+J22+J23+J24+J25+J26+J27+J28+J29+J30+J31++J33+J34+J35+J36+J37+J38+J39+J40+J45+J46+J47+J48+J49+J54</f>
        <v>27240.200000000004</v>
      </c>
      <c r="K55" s="684">
        <f>SUM(K8:K54)</f>
        <v>30425.899999999998</v>
      </c>
      <c r="L55" s="684">
        <f>SUM(L8:L54)</f>
        <v>27878.999999999996</v>
      </c>
      <c r="M55" s="684">
        <f>SUM(M8:M54)</f>
        <v>26890.5</v>
      </c>
      <c r="N55" s="684">
        <f>SUM(N8:N54)</f>
        <v>25431.5</v>
      </c>
      <c r="O55" s="684">
        <f>O8+O12+O22+O25+O28+O35+O37+O54</f>
        <v>28865.199999999997</v>
      </c>
      <c r="P55" s="684">
        <f>P8+P45+P49+P54+P12</f>
        <v>26648.2</v>
      </c>
      <c r="Q55" s="684">
        <f>Q54+Q50+Q41+Q12+Q10+Q9+Q8</f>
        <v>30235.999999999996</v>
      </c>
      <c r="R55" s="684">
        <f>SUM(R8:R54)-R42-R43-R44</f>
        <v>33681</v>
      </c>
      <c r="S55" s="684">
        <f>S54+S44+S10+S9+S8+S43+S42+S37+S12+S31</f>
        <v>36758.499999999993</v>
      </c>
      <c r="T55" s="684">
        <f>T54+T44+T10+T9+T8+T43+T42+T37+T53+T52+T12</f>
        <v>45994.7</v>
      </c>
      <c r="U55" s="714">
        <f>U54+U44+U10+U9+U8+U43+U42+U37+U53+U12</f>
        <v>51997.299999999996</v>
      </c>
      <c r="V55" s="685">
        <f>V54+V44+V10+V9+V8+V43+V42+V37+V53</f>
        <v>45276.499999999993</v>
      </c>
      <c r="W55" s="685">
        <f>W54+W44+W10+W9+W8+W43+W42+W37+W53</f>
        <v>45270.899999999994</v>
      </c>
      <c r="X55" s="332">
        <f t="shared" si="0"/>
        <v>482595.4</v>
      </c>
      <c r="Y55" s="341"/>
      <c r="Z55" s="350"/>
    </row>
    <row r="56" spans="1:26" s="340" customFormat="1" ht="31.5" customHeight="1" x14ac:dyDescent="0.2">
      <c r="A56" s="338" t="s">
        <v>72</v>
      </c>
      <c r="B56" s="831" t="s">
        <v>73</v>
      </c>
      <c r="C56" s="831"/>
      <c r="D56" s="831"/>
      <c r="E56" s="831"/>
      <c r="F56" s="831"/>
      <c r="G56" s="831"/>
      <c r="H56" s="831"/>
      <c r="I56" s="831"/>
      <c r="J56" s="831"/>
      <c r="K56" s="831"/>
      <c r="L56" s="831"/>
      <c r="M56" s="831"/>
      <c r="N56" s="831"/>
      <c r="O56" s="831"/>
      <c r="P56" s="831"/>
      <c r="Q56" s="831"/>
      <c r="R56" s="831"/>
      <c r="S56" s="831"/>
      <c r="T56" s="831"/>
      <c r="U56" s="831"/>
      <c r="V56" s="831"/>
      <c r="W56" s="831"/>
      <c r="X56" s="831"/>
      <c r="Y56" s="341"/>
    </row>
    <row r="57" spans="1:26" s="340" customFormat="1" ht="44.25" customHeight="1" x14ac:dyDescent="0.2">
      <c r="A57" s="830" t="s">
        <v>74</v>
      </c>
      <c r="B57" s="831" t="s">
        <v>75</v>
      </c>
      <c r="C57" s="832" t="s">
        <v>66</v>
      </c>
      <c r="D57" s="338" t="s">
        <v>14</v>
      </c>
      <c r="E57" s="338" t="s">
        <v>18</v>
      </c>
      <c r="F57" s="830" t="s">
        <v>197</v>
      </c>
      <c r="G57" s="830"/>
      <c r="H57" s="830"/>
      <c r="I57" s="338" t="s">
        <v>67</v>
      </c>
      <c r="J57" s="332">
        <v>0</v>
      </c>
      <c r="K57" s="332">
        <v>0</v>
      </c>
      <c r="L57" s="332">
        <v>8152</v>
      </c>
      <c r="M57" s="332">
        <f>7787.3-605.7+45.9+0.2</f>
        <v>7227.7</v>
      </c>
      <c r="N57" s="332">
        <f>6382.7-11.6</f>
        <v>6371.0999999999995</v>
      </c>
      <c r="O57" s="332">
        <v>7136.9</v>
      </c>
      <c r="P57" s="332">
        <v>10818.7</v>
      </c>
      <c r="Q57" s="332">
        <f>624.3+48+67.5</f>
        <v>739.8</v>
      </c>
      <c r="R57" s="332">
        <f>1267.5+41.6</f>
        <v>1309.0999999999999</v>
      </c>
      <c r="S57" s="332">
        <v>1072.0999999999999</v>
      </c>
      <c r="T57" s="332">
        <f>831.8+300+54</f>
        <v>1185.8</v>
      </c>
      <c r="U57" s="332">
        <f>886+14</f>
        <v>900</v>
      </c>
      <c r="V57" s="332">
        <v>1366</v>
      </c>
      <c r="W57" s="332">
        <v>1366</v>
      </c>
      <c r="X57" s="332">
        <f>SUM(J57:W57)</f>
        <v>47645.2</v>
      </c>
      <c r="Y57" s="833" t="s">
        <v>642</v>
      </c>
      <c r="Z57" s="343"/>
    </row>
    <row r="58" spans="1:26" s="340" customFormat="1" ht="44.25" customHeight="1" x14ac:dyDescent="0.2">
      <c r="A58" s="830"/>
      <c r="B58" s="831"/>
      <c r="C58" s="832"/>
      <c r="D58" s="338" t="s">
        <v>14</v>
      </c>
      <c r="E58" s="338" t="s">
        <v>18</v>
      </c>
      <c r="F58" s="830" t="s">
        <v>557</v>
      </c>
      <c r="G58" s="830"/>
      <c r="H58" s="830"/>
      <c r="I58" s="338" t="s">
        <v>67</v>
      </c>
      <c r="J58" s="332">
        <v>0</v>
      </c>
      <c r="K58" s="332">
        <v>0</v>
      </c>
      <c r="L58" s="332">
        <v>0</v>
      </c>
      <c r="M58" s="332">
        <v>0</v>
      </c>
      <c r="N58" s="332">
        <v>0</v>
      </c>
      <c r="O58" s="332">
        <v>0</v>
      </c>
      <c r="P58" s="332">
        <v>0</v>
      </c>
      <c r="Q58" s="332">
        <f>551.3+7.8</f>
        <v>559.09999999999991</v>
      </c>
      <c r="R58" s="332">
        <v>607.29999999999995</v>
      </c>
      <c r="S58" s="332">
        <v>569</v>
      </c>
      <c r="T58" s="332">
        <f>568.5+41.7</f>
        <v>610.20000000000005</v>
      </c>
      <c r="U58" s="332">
        <v>774.4</v>
      </c>
      <c r="V58" s="332">
        <v>774.4</v>
      </c>
      <c r="W58" s="332">
        <v>774.4</v>
      </c>
      <c r="X58" s="332">
        <f t="shared" ref="X58:X80" si="5">SUM(J58:W58)</f>
        <v>4668.8</v>
      </c>
      <c r="Y58" s="833"/>
      <c r="Z58" s="343"/>
    </row>
    <row r="59" spans="1:26" s="340" customFormat="1" ht="44.25" customHeight="1" x14ac:dyDescent="0.2">
      <c r="A59" s="830"/>
      <c r="B59" s="831"/>
      <c r="C59" s="832"/>
      <c r="D59" s="338" t="s">
        <v>14</v>
      </c>
      <c r="E59" s="338" t="s">
        <v>18</v>
      </c>
      <c r="F59" s="830" t="s">
        <v>558</v>
      </c>
      <c r="G59" s="830"/>
      <c r="H59" s="830"/>
      <c r="I59" s="338" t="s">
        <v>67</v>
      </c>
      <c r="J59" s="332">
        <v>0</v>
      </c>
      <c r="K59" s="332">
        <v>0</v>
      </c>
      <c r="L59" s="332">
        <v>0</v>
      </c>
      <c r="M59" s="332">
        <v>0</v>
      </c>
      <c r="N59" s="332">
        <v>0</v>
      </c>
      <c r="O59" s="332">
        <v>0</v>
      </c>
      <c r="P59" s="332">
        <v>0</v>
      </c>
      <c r="Q59" s="332">
        <f>11301.9+60-240.6+330</f>
        <v>11451.3</v>
      </c>
      <c r="R59" s="332">
        <v>13730.9</v>
      </c>
      <c r="S59" s="332">
        <f>14616.1+1267</f>
        <v>15883.1</v>
      </c>
      <c r="T59" s="332">
        <f>14814+2469+130.9+2200.1</f>
        <v>19614</v>
      </c>
      <c r="U59" s="332">
        <f>19975.3+3772.2</f>
        <v>23747.5</v>
      </c>
      <c r="V59" s="332">
        <v>19975.3</v>
      </c>
      <c r="W59" s="332">
        <v>19975.3</v>
      </c>
      <c r="X59" s="332">
        <f t="shared" si="5"/>
        <v>124377.4</v>
      </c>
      <c r="Y59" s="833"/>
      <c r="Z59" s="343"/>
    </row>
    <row r="60" spans="1:26" s="340" customFormat="1" ht="21" customHeight="1" x14ac:dyDescent="0.2">
      <c r="A60" s="830"/>
      <c r="B60" s="831"/>
      <c r="C60" s="832"/>
      <c r="D60" s="338" t="s">
        <v>14</v>
      </c>
      <c r="E60" s="338" t="s">
        <v>18</v>
      </c>
      <c r="F60" s="830" t="s">
        <v>243</v>
      </c>
      <c r="G60" s="830"/>
      <c r="H60" s="830"/>
      <c r="I60" s="338" t="s">
        <v>67</v>
      </c>
      <c r="J60" s="332">
        <v>7867.55</v>
      </c>
      <c r="K60" s="332">
        <v>8239.9</v>
      </c>
      <c r="L60" s="332">
        <v>0</v>
      </c>
      <c r="M60" s="332">
        <v>0</v>
      </c>
      <c r="N60" s="332">
        <v>0</v>
      </c>
      <c r="O60" s="332">
        <v>0</v>
      </c>
      <c r="P60" s="332">
        <v>0</v>
      </c>
      <c r="Q60" s="332">
        <v>0</v>
      </c>
      <c r="R60" s="332">
        <v>0</v>
      </c>
      <c r="S60" s="332">
        <v>0</v>
      </c>
      <c r="T60" s="332">
        <v>0</v>
      </c>
      <c r="U60" s="332">
        <v>0</v>
      </c>
      <c r="V60" s="332">
        <v>0</v>
      </c>
      <c r="W60" s="332">
        <v>0</v>
      </c>
      <c r="X60" s="332">
        <f t="shared" si="5"/>
        <v>16107.45</v>
      </c>
      <c r="Y60" s="833"/>
      <c r="Z60" s="343"/>
    </row>
    <row r="61" spans="1:26" s="340" customFormat="1" ht="29.25" customHeight="1" x14ac:dyDescent="0.2">
      <c r="A61" s="830" t="s">
        <v>76</v>
      </c>
      <c r="B61" s="831" t="s">
        <v>106</v>
      </c>
      <c r="C61" s="832" t="s">
        <v>66</v>
      </c>
      <c r="D61" s="338" t="s">
        <v>14</v>
      </c>
      <c r="E61" s="338" t="s">
        <v>18</v>
      </c>
      <c r="F61" s="830" t="s">
        <v>197</v>
      </c>
      <c r="G61" s="830"/>
      <c r="H61" s="830"/>
      <c r="I61" s="338" t="s">
        <v>68</v>
      </c>
      <c r="J61" s="332">
        <v>0</v>
      </c>
      <c r="K61" s="332">
        <v>0</v>
      </c>
      <c r="L61" s="351">
        <v>115.4</v>
      </c>
      <c r="M61" s="351">
        <v>232.6</v>
      </c>
      <c r="N61" s="351">
        <v>0</v>
      </c>
      <c r="O61" s="351">
        <v>100</v>
      </c>
      <c r="P61" s="332">
        <v>0</v>
      </c>
      <c r="Q61" s="332">
        <v>0</v>
      </c>
      <c r="R61" s="332">
        <v>0</v>
      </c>
      <c r="S61" s="332">
        <v>0</v>
      </c>
      <c r="T61" s="332">
        <f>372.4+39</f>
        <v>411.4</v>
      </c>
      <c r="U61" s="332">
        <v>437.6</v>
      </c>
      <c r="V61" s="332">
        <v>0</v>
      </c>
      <c r="W61" s="332">
        <v>0</v>
      </c>
      <c r="X61" s="332">
        <f t="shared" si="5"/>
        <v>1297</v>
      </c>
      <c r="Y61" s="833"/>
    </row>
    <row r="62" spans="1:26" s="340" customFormat="1" ht="23.25" customHeight="1" x14ac:dyDescent="0.2">
      <c r="A62" s="830"/>
      <c r="B62" s="831"/>
      <c r="C62" s="832"/>
      <c r="D62" s="338" t="s">
        <v>14</v>
      </c>
      <c r="E62" s="338" t="s">
        <v>18</v>
      </c>
      <c r="F62" s="830" t="s">
        <v>243</v>
      </c>
      <c r="G62" s="830"/>
      <c r="H62" s="830"/>
      <c r="I62" s="338" t="s">
        <v>68</v>
      </c>
      <c r="J62" s="332">
        <v>24.15</v>
      </c>
      <c r="K62" s="332">
        <v>1230.0999999999999</v>
      </c>
      <c r="L62" s="351">
        <v>0</v>
      </c>
      <c r="M62" s="351">
        <v>0</v>
      </c>
      <c r="N62" s="351">
        <v>0</v>
      </c>
      <c r="O62" s="351">
        <v>0</v>
      </c>
      <c r="P62" s="332">
        <v>0</v>
      </c>
      <c r="Q62" s="332">
        <v>0</v>
      </c>
      <c r="R62" s="332">
        <v>0</v>
      </c>
      <c r="S62" s="332">
        <v>0</v>
      </c>
      <c r="T62" s="332">
        <v>0</v>
      </c>
      <c r="U62" s="332">
        <v>0</v>
      </c>
      <c r="V62" s="332">
        <v>0</v>
      </c>
      <c r="W62" s="332">
        <v>0</v>
      </c>
      <c r="X62" s="332">
        <f t="shared" si="5"/>
        <v>1254.25</v>
      </c>
      <c r="Y62" s="833"/>
    </row>
    <row r="63" spans="1:26" s="340" customFormat="1" ht="27" customHeight="1" x14ac:dyDescent="0.2">
      <c r="A63" s="830"/>
      <c r="B63" s="831"/>
      <c r="C63" s="832"/>
      <c r="D63" s="338" t="s">
        <v>14</v>
      </c>
      <c r="E63" s="338" t="s">
        <v>18</v>
      </c>
      <c r="F63" s="830" t="s">
        <v>244</v>
      </c>
      <c r="G63" s="830"/>
      <c r="H63" s="830"/>
      <c r="I63" s="338" t="s">
        <v>68</v>
      </c>
      <c r="J63" s="332">
        <v>580</v>
      </c>
      <c r="K63" s="332">
        <v>130.19999999999999</v>
      </c>
      <c r="L63" s="332">
        <v>0</v>
      </c>
      <c r="M63" s="332">
        <v>0</v>
      </c>
      <c r="N63" s="332">
        <v>0</v>
      </c>
      <c r="O63" s="332">
        <v>0</v>
      </c>
      <c r="P63" s="332">
        <v>0</v>
      </c>
      <c r="Q63" s="332">
        <v>0</v>
      </c>
      <c r="R63" s="332">
        <v>0</v>
      </c>
      <c r="S63" s="332">
        <v>0</v>
      </c>
      <c r="T63" s="332">
        <v>0</v>
      </c>
      <c r="U63" s="332">
        <v>0</v>
      </c>
      <c r="V63" s="332">
        <v>0</v>
      </c>
      <c r="W63" s="332">
        <v>0</v>
      </c>
      <c r="X63" s="332">
        <f t="shared" si="5"/>
        <v>710.2</v>
      </c>
      <c r="Y63" s="833"/>
      <c r="Z63" s="343"/>
    </row>
    <row r="64" spans="1:26" s="340" customFormat="1" ht="147.75" customHeight="1" x14ac:dyDescent="0.2">
      <c r="A64" s="338" t="s">
        <v>245</v>
      </c>
      <c r="B64" s="681" t="s">
        <v>143</v>
      </c>
      <c r="C64" s="339" t="s">
        <v>66</v>
      </c>
      <c r="D64" s="338" t="s">
        <v>14</v>
      </c>
      <c r="E64" s="338" t="s">
        <v>18</v>
      </c>
      <c r="F64" s="830" t="s">
        <v>144</v>
      </c>
      <c r="G64" s="830"/>
      <c r="H64" s="830"/>
      <c r="I64" s="338" t="s">
        <v>67</v>
      </c>
      <c r="J64" s="332">
        <v>11.4</v>
      </c>
      <c r="K64" s="332">
        <v>0</v>
      </c>
      <c r="L64" s="332">
        <v>0</v>
      </c>
      <c r="M64" s="332">
        <v>0</v>
      </c>
      <c r="N64" s="332">
        <v>0</v>
      </c>
      <c r="O64" s="332">
        <v>0</v>
      </c>
      <c r="P64" s="332">
        <v>0</v>
      </c>
      <c r="Q64" s="332">
        <v>0</v>
      </c>
      <c r="R64" s="332">
        <v>0</v>
      </c>
      <c r="S64" s="332">
        <v>0</v>
      </c>
      <c r="T64" s="332">
        <v>0</v>
      </c>
      <c r="U64" s="332">
        <v>0</v>
      </c>
      <c r="V64" s="332">
        <v>0</v>
      </c>
      <c r="W64" s="332">
        <v>0</v>
      </c>
      <c r="X64" s="332">
        <f t="shared" si="5"/>
        <v>11.4</v>
      </c>
      <c r="Y64" s="834"/>
    </row>
    <row r="65" spans="1:256" s="340" customFormat="1" ht="107.25" customHeight="1" x14ac:dyDescent="0.2">
      <c r="A65" s="338" t="s">
        <v>304</v>
      </c>
      <c r="B65" s="342" t="s">
        <v>300</v>
      </c>
      <c r="C65" s="339" t="s">
        <v>66</v>
      </c>
      <c r="D65" s="338" t="s">
        <v>14</v>
      </c>
      <c r="E65" s="338" t="s">
        <v>18</v>
      </c>
      <c r="F65" s="830" t="s">
        <v>279</v>
      </c>
      <c r="G65" s="830"/>
      <c r="H65" s="830"/>
      <c r="I65" s="338" t="s">
        <v>68</v>
      </c>
      <c r="J65" s="332">
        <v>0</v>
      </c>
      <c r="K65" s="332">
        <v>0</v>
      </c>
      <c r="L65" s="332">
        <v>0</v>
      </c>
      <c r="M65" s="332">
        <v>280</v>
      </c>
      <c r="N65" s="332">
        <v>0</v>
      </c>
      <c r="O65" s="332">
        <v>0</v>
      </c>
      <c r="P65" s="332">
        <v>0</v>
      </c>
      <c r="Q65" s="332">
        <v>0</v>
      </c>
      <c r="R65" s="332">
        <v>0</v>
      </c>
      <c r="S65" s="332">
        <v>0</v>
      </c>
      <c r="T65" s="332">
        <v>0</v>
      </c>
      <c r="U65" s="332">
        <v>0</v>
      </c>
      <c r="V65" s="332">
        <v>0</v>
      </c>
      <c r="W65" s="332">
        <v>0</v>
      </c>
      <c r="X65" s="332">
        <f t="shared" si="5"/>
        <v>280</v>
      </c>
      <c r="Y65" s="834"/>
    </row>
    <row r="66" spans="1:256" s="340" customFormat="1" ht="78.75" customHeight="1" x14ac:dyDescent="0.2">
      <c r="A66" s="338" t="s">
        <v>394</v>
      </c>
      <c r="B66" s="683" t="s">
        <v>395</v>
      </c>
      <c r="C66" s="339" t="s">
        <v>66</v>
      </c>
      <c r="D66" s="338" t="s">
        <v>14</v>
      </c>
      <c r="E66" s="338" t="s">
        <v>18</v>
      </c>
      <c r="F66" s="830" t="s">
        <v>197</v>
      </c>
      <c r="G66" s="830"/>
      <c r="H66" s="830"/>
      <c r="I66" s="338" t="s">
        <v>67</v>
      </c>
      <c r="J66" s="332">
        <v>0</v>
      </c>
      <c r="K66" s="332">
        <v>0</v>
      </c>
      <c r="L66" s="332">
        <v>0</v>
      </c>
      <c r="M66" s="332">
        <v>0</v>
      </c>
      <c r="N66" s="332">
        <v>11.6</v>
      </c>
      <c r="O66" s="332">
        <v>0</v>
      </c>
      <c r="P66" s="332">
        <v>0</v>
      </c>
      <c r="Q66" s="332">
        <v>0</v>
      </c>
      <c r="R66" s="332">
        <v>0</v>
      </c>
      <c r="S66" s="332">
        <v>0</v>
      </c>
      <c r="T66" s="332">
        <v>0</v>
      </c>
      <c r="U66" s="332">
        <v>0</v>
      </c>
      <c r="V66" s="332">
        <v>0</v>
      </c>
      <c r="W66" s="332">
        <v>0</v>
      </c>
      <c r="X66" s="332">
        <f t="shared" si="5"/>
        <v>11.6</v>
      </c>
      <c r="Y66" s="834"/>
    </row>
    <row r="67" spans="1:256" s="340" customFormat="1" ht="64.5" customHeight="1" x14ac:dyDescent="0.2">
      <c r="A67" s="338" t="s">
        <v>400</v>
      </c>
      <c r="B67" s="686" t="s">
        <v>401</v>
      </c>
      <c r="C67" s="339" t="s">
        <v>66</v>
      </c>
      <c r="D67" s="338" t="s">
        <v>14</v>
      </c>
      <c r="E67" s="338" t="s">
        <v>18</v>
      </c>
      <c r="F67" s="830" t="s">
        <v>402</v>
      </c>
      <c r="G67" s="830"/>
      <c r="H67" s="830"/>
      <c r="I67" s="338" t="s">
        <v>68</v>
      </c>
      <c r="J67" s="332">
        <v>0</v>
      </c>
      <c r="K67" s="332">
        <v>0</v>
      </c>
      <c r="L67" s="332">
        <v>0</v>
      </c>
      <c r="M67" s="332">
        <v>0</v>
      </c>
      <c r="N67" s="332">
        <v>230</v>
      </c>
      <c r="O67" s="332">
        <v>0</v>
      </c>
      <c r="P67" s="332">
        <v>0</v>
      </c>
      <c r="Q67" s="332">
        <v>0</v>
      </c>
      <c r="R67" s="332">
        <v>0</v>
      </c>
      <c r="S67" s="332">
        <v>0</v>
      </c>
      <c r="T67" s="332">
        <v>0</v>
      </c>
      <c r="U67" s="332">
        <v>0</v>
      </c>
      <c r="V67" s="332">
        <v>0</v>
      </c>
      <c r="W67" s="332">
        <v>0</v>
      </c>
      <c r="X67" s="332">
        <f t="shared" si="5"/>
        <v>230</v>
      </c>
      <c r="Y67" s="834"/>
    </row>
    <row r="68" spans="1:256" s="326" customFormat="1" ht="77.25" customHeight="1" x14ac:dyDescent="0.2">
      <c r="A68" s="338" t="s">
        <v>538</v>
      </c>
      <c r="B68" s="682" t="s">
        <v>660</v>
      </c>
      <c r="C68" s="339" t="s">
        <v>66</v>
      </c>
      <c r="D68" s="338" t="s">
        <v>14</v>
      </c>
      <c r="E68" s="338" t="s">
        <v>18</v>
      </c>
      <c r="F68" s="830" t="s">
        <v>659</v>
      </c>
      <c r="G68" s="830"/>
      <c r="H68" s="830"/>
      <c r="I68" s="338" t="s">
        <v>67</v>
      </c>
      <c r="J68" s="332">
        <v>0</v>
      </c>
      <c r="K68" s="332">
        <v>0</v>
      </c>
      <c r="L68" s="332">
        <v>0</v>
      </c>
      <c r="M68" s="332">
        <v>0</v>
      </c>
      <c r="N68" s="332">
        <v>0</v>
      </c>
      <c r="O68" s="332">
        <v>0</v>
      </c>
      <c r="P68" s="332">
        <v>0</v>
      </c>
      <c r="Q68" s="332">
        <v>0</v>
      </c>
      <c r="R68" s="332">
        <v>0</v>
      </c>
      <c r="S68" s="332">
        <v>563.79999999999995</v>
      </c>
      <c r="T68" s="332">
        <v>0</v>
      </c>
      <c r="U68" s="332">
        <v>0</v>
      </c>
      <c r="V68" s="332">
        <v>0</v>
      </c>
      <c r="W68" s="332">
        <v>0</v>
      </c>
      <c r="X68" s="332">
        <f t="shared" si="5"/>
        <v>563.79999999999995</v>
      </c>
      <c r="Y68" s="680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48"/>
      <c r="AR68" s="348"/>
      <c r="AS68" s="348"/>
      <c r="AT68" s="348"/>
      <c r="AU68" s="348"/>
      <c r="AV68" s="348"/>
      <c r="AW68" s="348"/>
      <c r="AX68" s="348"/>
      <c r="AY68" s="348"/>
      <c r="AZ68" s="348"/>
      <c r="BA68" s="348"/>
      <c r="BB68" s="348"/>
      <c r="BC68" s="348"/>
      <c r="BD68" s="348"/>
      <c r="BE68" s="348"/>
      <c r="BF68" s="348"/>
      <c r="BG68" s="348"/>
      <c r="BH68" s="348"/>
      <c r="BI68" s="348"/>
      <c r="BJ68" s="348"/>
      <c r="BK68" s="348"/>
      <c r="BL68" s="348"/>
      <c r="BM68" s="348"/>
      <c r="BN68" s="348"/>
      <c r="BO68" s="348"/>
      <c r="BP68" s="348"/>
      <c r="BQ68" s="348"/>
      <c r="BR68" s="348"/>
      <c r="BS68" s="348"/>
      <c r="BT68" s="348"/>
      <c r="BU68" s="348"/>
      <c r="BV68" s="348"/>
      <c r="BW68" s="348"/>
      <c r="BX68" s="348"/>
      <c r="BY68" s="348"/>
      <c r="BZ68" s="348"/>
      <c r="CA68" s="348"/>
      <c r="CB68" s="348"/>
      <c r="CC68" s="348"/>
      <c r="CD68" s="348"/>
      <c r="CE68" s="348"/>
      <c r="CF68" s="348"/>
      <c r="CG68" s="348"/>
      <c r="CH68" s="348"/>
      <c r="CI68" s="348"/>
      <c r="CJ68" s="348"/>
      <c r="CK68" s="348"/>
      <c r="CL68" s="348"/>
      <c r="CM68" s="348"/>
      <c r="CN68" s="348"/>
      <c r="CO68" s="348"/>
      <c r="CP68" s="348"/>
      <c r="CQ68" s="348"/>
      <c r="CR68" s="348"/>
      <c r="CS68" s="348"/>
      <c r="CT68" s="348"/>
      <c r="CU68" s="348"/>
      <c r="CV68" s="348"/>
      <c r="CW68" s="348"/>
      <c r="CX68" s="348"/>
      <c r="CY68" s="348"/>
      <c r="CZ68" s="348"/>
      <c r="DA68" s="348"/>
      <c r="DB68" s="348"/>
      <c r="DC68" s="348"/>
      <c r="DD68" s="348"/>
      <c r="DE68" s="348"/>
      <c r="DF68" s="348"/>
      <c r="DG68" s="348"/>
      <c r="DH68" s="348"/>
      <c r="DI68" s="348"/>
      <c r="DJ68" s="348"/>
      <c r="DK68" s="348"/>
      <c r="DL68" s="348"/>
      <c r="DM68" s="348"/>
      <c r="DN68" s="348"/>
      <c r="DO68" s="348"/>
      <c r="DP68" s="348"/>
      <c r="DQ68" s="348"/>
      <c r="DR68" s="348"/>
      <c r="DS68" s="348"/>
      <c r="DT68" s="348"/>
      <c r="DU68" s="348"/>
      <c r="DV68" s="348"/>
      <c r="DW68" s="348"/>
      <c r="DX68" s="348"/>
      <c r="DY68" s="348"/>
      <c r="DZ68" s="348"/>
      <c r="EA68" s="348"/>
      <c r="EB68" s="348"/>
      <c r="EC68" s="348"/>
      <c r="ED68" s="348"/>
      <c r="EE68" s="348"/>
      <c r="EF68" s="348"/>
      <c r="EG68" s="348"/>
      <c r="EH68" s="348"/>
      <c r="EI68" s="348"/>
      <c r="EJ68" s="348"/>
      <c r="EK68" s="348"/>
      <c r="EL68" s="348"/>
      <c r="EM68" s="348"/>
      <c r="EN68" s="348"/>
      <c r="EO68" s="348"/>
      <c r="EP68" s="348"/>
      <c r="EQ68" s="348"/>
      <c r="ER68" s="348"/>
      <c r="ES68" s="348"/>
      <c r="ET68" s="348"/>
      <c r="EU68" s="348"/>
      <c r="EV68" s="348"/>
      <c r="EW68" s="348"/>
      <c r="EX68" s="348"/>
      <c r="EY68" s="348"/>
      <c r="EZ68" s="348"/>
      <c r="FA68" s="348"/>
      <c r="FB68" s="348"/>
      <c r="FC68" s="348"/>
      <c r="FD68" s="348"/>
      <c r="FE68" s="348"/>
      <c r="FF68" s="348"/>
      <c r="FG68" s="348"/>
      <c r="FH68" s="348"/>
      <c r="FI68" s="348"/>
      <c r="FJ68" s="348"/>
      <c r="FK68" s="348"/>
      <c r="FL68" s="348"/>
      <c r="FM68" s="348"/>
      <c r="FN68" s="348"/>
      <c r="FO68" s="348"/>
      <c r="FP68" s="348"/>
      <c r="FQ68" s="348"/>
      <c r="FR68" s="348"/>
      <c r="FS68" s="348"/>
      <c r="FT68" s="348"/>
      <c r="FU68" s="348"/>
      <c r="FV68" s="348"/>
      <c r="FW68" s="348"/>
      <c r="FX68" s="348"/>
      <c r="FY68" s="348"/>
      <c r="FZ68" s="348"/>
      <c r="GA68" s="348"/>
      <c r="GB68" s="348"/>
      <c r="GC68" s="348"/>
      <c r="GD68" s="348"/>
      <c r="GE68" s="348"/>
      <c r="GF68" s="348"/>
      <c r="GG68" s="348"/>
      <c r="GH68" s="348"/>
      <c r="GI68" s="348"/>
      <c r="GJ68" s="348"/>
      <c r="GK68" s="348"/>
      <c r="GL68" s="348"/>
      <c r="GM68" s="348"/>
      <c r="GN68" s="348"/>
      <c r="GO68" s="348"/>
      <c r="GP68" s="348"/>
      <c r="GQ68" s="348"/>
      <c r="GR68" s="348"/>
      <c r="GS68" s="348"/>
      <c r="GT68" s="348"/>
      <c r="GU68" s="348"/>
      <c r="GV68" s="348"/>
      <c r="GW68" s="348"/>
      <c r="GX68" s="348"/>
      <c r="GY68" s="348"/>
      <c r="GZ68" s="348"/>
      <c r="HA68" s="348"/>
      <c r="HB68" s="348"/>
      <c r="HC68" s="348"/>
      <c r="HD68" s="348"/>
      <c r="HE68" s="348"/>
      <c r="HF68" s="348"/>
      <c r="HG68" s="348"/>
      <c r="HH68" s="348"/>
      <c r="HI68" s="348"/>
      <c r="HJ68" s="348"/>
      <c r="HK68" s="348"/>
      <c r="HL68" s="348"/>
      <c r="HM68" s="348"/>
      <c r="HN68" s="348"/>
      <c r="HO68" s="348"/>
      <c r="HP68" s="348"/>
      <c r="HQ68" s="348"/>
      <c r="HR68" s="348"/>
      <c r="HS68" s="348"/>
      <c r="HT68" s="348"/>
      <c r="HU68" s="348"/>
      <c r="HV68" s="348"/>
      <c r="HW68" s="348"/>
      <c r="HX68" s="348"/>
      <c r="HY68" s="348"/>
      <c r="HZ68" s="348"/>
      <c r="IA68" s="348"/>
      <c r="IB68" s="348"/>
      <c r="IC68" s="348"/>
      <c r="ID68" s="348"/>
      <c r="IE68" s="348"/>
      <c r="IF68" s="348"/>
      <c r="IG68" s="348"/>
      <c r="IH68" s="348"/>
      <c r="II68" s="348"/>
      <c r="IJ68" s="348"/>
      <c r="IK68" s="348"/>
      <c r="IL68" s="348"/>
      <c r="IM68" s="348"/>
      <c r="IN68" s="348"/>
      <c r="IO68" s="348"/>
      <c r="IP68" s="348"/>
      <c r="IQ68" s="348"/>
      <c r="IR68" s="348"/>
      <c r="IS68" s="348"/>
      <c r="IT68" s="348"/>
      <c r="IU68" s="348"/>
      <c r="IV68" s="348"/>
    </row>
    <row r="69" spans="1:256" s="340" customFormat="1" ht="75.75" customHeight="1" x14ac:dyDescent="0.2">
      <c r="A69" s="338" t="s">
        <v>542</v>
      </c>
      <c r="B69" s="686" t="s">
        <v>573</v>
      </c>
      <c r="C69" s="339" t="s">
        <v>66</v>
      </c>
      <c r="D69" s="338" t="s">
        <v>14</v>
      </c>
      <c r="E69" s="338" t="s">
        <v>18</v>
      </c>
      <c r="F69" s="830" t="s">
        <v>572</v>
      </c>
      <c r="G69" s="830"/>
      <c r="H69" s="830"/>
      <c r="I69" s="338" t="s">
        <v>68</v>
      </c>
      <c r="J69" s="332">
        <v>0</v>
      </c>
      <c r="K69" s="332">
        <v>0</v>
      </c>
      <c r="L69" s="332">
        <v>0</v>
      </c>
      <c r="M69" s="332">
        <v>0</v>
      </c>
      <c r="N69" s="332">
        <v>0</v>
      </c>
      <c r="O69" s="332">
        <v>0</v>
      </c>
      <c r="P69" s="332">
        <v>0</v>
      </c>
      <c r="Q69" s="332">
        <v>200</v>
      </c>
      <c r="R69" s="332">
        <v>0</v>
      </c>
      <c r="S69" s="332">
        <v>0</v>
      </c>
      <c r="T69" s="332">
        <v>0</v>
      </c>
      <c r="U69" s="332">
        <v>0</v>
      </c>
      <c r="V69" s="332">
        <v>0</v>
      </c>
      <c r="W69" s="332">
        <v>0</v>
      </c>
      <c r="X69" s="332">
        <f t="shared" si="5"/>
        <v>200</v>
      </c>
      <c r="Y69" s="687" t="s">
        <v>593</v>
      </c>
    </row>
    <row r="70" spans="1:256" s="340" customFormat="1" ht="64.5" customHeight="1" x14ac:dyDescent="0.2">
      <c r="A70" s="338" t="s">
        <v>571</v>
      </c>
      <c r="B70" s="686" t="s">
        <v>573</v>
      </c>
      <c r="C70" s="339" t="s">
        <v>66</v>
      </c>
      <c r="D70" s="338" t="s">
        <v>14</v>
      </c>
      <c r="E70" s="338" t="s">
        <v>18</v>
      </c>
      <c r="F70" s="830" t="s">
        <v>575</v>
      </c>
      <c r="G70" s="830"/>
      <c r="H70" s="830"/>
      <c r="I70" s="338" t="s">
        <v>68</v>
      </c>
      <c r="J70" s="332">
        <v>0</v>
      </c>
      <c r="K70" s="332">
        <v>0</v>
      </c>
      <c r="L70" s="332">
        <v>0</v>
      </c>
      <c r="M70" s="332">
        <v>0</v>
      </c>
      <c r="N70" s="332">
        <v>0</v>
      </c>
      <c r="O70" s="332">
        <v>0</v>
      </c>
      <c r="P70" s="332">
        <v>0</v>
      </c>
      <c r="Q70" s="332">
        <v>4</v>
      </c>
      <c r="R70" s="332">
        <v>0</v>
      </c>
      <c r="S70" s="332">
        <v>0</v>
      </c>
      <c r="T70" s="332">
        <v>0</v>
      </c>
      <c r="U70" s="332">
        <v>0</v>
      </c>
      <c r="V70" s="332">
        <v>0</v>
      </c>
      <c r="W70" s="332">
        <v>0</v>
      </c>
      <c r="X70" s="332">
        <f t="shared" si="5"/>
        <v>4</v>
      </c>
      <c r="Y70" s="688"/>
    </row>
    <row r="71" spans="1:256" s="340" customFormat="1" ht="68.25" customHeight="1" x14ac:dyDescent="0.2">
      <c r="A71" s="338" t="s">
        <v>574</v>
      </c>
      <c r="B71" s="686" t="s">
        <v>543</v>
      </c>
      <c r="C71" s="339" t="s">
        <v>66</v>
      </c>
      <c r="D71" s="338" t="s">
        <v>14</v>
      </c>
      <c r="E71" s="338" t="s">
        <v>18</v>
      </c>
      <c r="F71" s="830" t="s">
        <v>197</v>
      </c>
      <c r="G71" s="830"/>
      <c r="H71" s="830"/>
      <c r="I71" s="338" t="s">
        <v>68</v>
      </c>
      <c r="J71" s="332">
        <v>0</v>
      </c>
      <c r="K71" s="332">
        <v>0</v>
      </c>
      <c r="L71" s="332">
        <v>0</v>
      </c>
      <c r="M71" s="332">
        <v>0</v>
      </c>
      <c r="N71" s="332">
        <v>0</v>
      </c>
      <c r="O71" s="332">
        <v>0</v>
      </c>
      <c r="P71" s="332">
        <v>321.60000000000002</v>
      </c>
      <c r="Q71" s="332">
        <f>152.2+130.6-15.3</f>
        <v>267.49999999999994</v>
      </c>
      <c r="R71" s="332">
        <v>0</v>
      </c>
      <c r="S71" s="332">
        <v>0</v>
      </c>
      <c r="T71" s="332">
        <v>0</v>
      </c>
      <c r="U71" s="332">
        <v>0</v>
      </c>
      <c r="V71" s="332">
        <v>0</v>
      </c>
      <c r="W71" s="332">
        <v>0</v>
      </c>
      <c r="X71" s="332">
        <f t="shared" si="5"/>
        <v>589.09999999999991</v>
      </c>
      <c r="Y71" s="688"/>
    </row>
    <row r="72" spans="1:256" s="340" customFormat="1" ht="119.25" customHeight="1" x14ac:dyDescent="0.2">
      <c r="A72" s="338" t="s">
        <v>609</v>
      </c>
      <c r="B72" s="686" t="s">
        <v>610</v>
      </c>
      <c r="C72" s="339" t="s">
        <v>66</v>
      </c>
      <c r="D72" s="338" t="s">
        <v>14</v>
      </c>
      <c r="E72" s="338" t="s">
        <v>18</v>
      </c>
      <c r="F72" s="830" t="s">
        <v>611</v>
      </c>
      <c r="G72" s="830"/>
      <c r="H72" s="830"/>
      <c r="I72" s="338" t="s">
        <v>68</v>
      </c>
      <c r="J72" s="332">
        <v>0</v>
      </c>
      <c r="K72" s="332">
        <v>0</v>
      </c>
      <c r="L72" s="332">
        <v>0</v>
      </c>
      <c r="M72" s="332">
        <v>0</v>
      </c>
      <c r="N72" s="332">
        <v>0</v>
      </c>
      <c r="O72" s="332">
        <v>0</v>
      </c>
      <c r="P72" s="332">
        <v>0</v>
      </c>
      <c r="Q72" s="332">
        <v>0</v>
      </c>
      <c r="R72" s="332">
        <v>300</v>
      </c>
      <c r="S72" s="332">
        <v>150</v>
      </c>
      <c r="T72" s="332">
        <v>0</v>
      </c>
      <c r="U72" s="332">
        <v>0</v>
      </c>
      <c r="V72" s="332">
        <v>0</v>
      </c>
      <c r="W72" s="332">
        <v>0</v>
      </c>
      <c r="X72" s="332">
        <f t="shared" si="5"/>
        <v>450</v>
      </c>
      <c r="Y72" s="688" t="s">
        <v>643</v>
      </c>
    </row>
    <row r="73" spans="1:256" s="340" customFormat="1" ht="122.25" customHeight="1" x14ac:dyDescent="0.2">
      <c r="A73" s="338" t="s">
        <v>612</v>
      </c>
      <c r="B73" s="686" t="s">
        <v>613</v>
      </c>
      <c r="C73" s="339" t="s">
        <v>66</v>
      </c>
      <c r="D73" s="338" t="s">
        <v>14</v>
      </c>
      <c r="E73" s="338" t="s">
        <v>18</v>
      </c>
      <c r="F73" s="830" t="s">
        <v>614</v>
      </c>
      <c r="G73" s="830"/>
      <c r="H73" s="830"/>
      <c r="I73" s="338" t="s">
        <v>68</v>
      </c>
      <c r="J73" s="332">
        <v>0</v>
      </c>
      <c r="K73" s="332">
        <v>0</v>
      </c>
      <c r="L73" s="332">
        <v>0</v>
      </c>
      <c r="M73" s="332">
        <v>0</v>
      </c>
      <c r="N73" s="332">
        <v>0</v>
      </c>
      <c r="O73" s="332">
        <v>0</v>
      </c>
      <c r="P73" s="332">
        <v>0</v>
      </c>
      <c r="Q73" s="332">
        <v>0</v>
      </c>
      <c r="R73" s="332">
        <v>6</v>
      </c>
      <c r="S73" s="332">
        <v>3</v>
      </c>
      <c r="T73" s="332">
        <v>0</v>
      </c>
      <c r="U73" s="332">
        <v>0</v>
      </c>
      <c r="V73" s="332">
        <v>0</v>
      </c>
      <c r="W73" s="332">
        <v>0</v>
      </c>
      <c r="X73" s="332">
        <f t="shared" si="5"/>
        <v>9</v>
      </c>
      <c r="Y73" s="688"/>
    </row>
    <row r="74" spans="1:256" s="349" customFormat="1" ht="74.25" customHeight="1" x14ac:dyDescent="0.2">
      <c r="A74" s="338" t="s">
        <v>630</v>
      </c>
      <c r="B74" s="342" t="s">
        <v>625</v>
      </c>
      <c r="C74" s="339" t="s">
        <v>66</v>
      </c>
      <c r="D74" s="338" t="s">
        <v>14</v>
      </c>
      <c r="E74" s="338" t="s">
        <v>18</v>
      </c>
      <c r="F74" s="830" t="s">
        <v>629</v>
      </c>
      <c r="G74" s="830"/>
      <c r="H74" s="830"/>
      <c r="I74" s="339">
        <v>612</v>
      </c>
      <c r="J74" s="332"/>
      <c r="K74" s="332"/>
      <c r="L74" s="332"/>
      <c r="M74" s="332"/>
      <c r="N74" s="332"/>
      <c r="O74" s="332">
        <v>0</v>
      </c>
      <c r="P74" s="332">
        <v>0</v>
      </c>
      <c r="Q74" s="332"/>
      <c r="R74" s="332"/>
      <c r="S74" s="332">
        <f>S75+S76+S77</f>
        <v>4014.1000000000004</v>
      </c>
      <c r="T74" s="332"/>
      <c r="U74" s="332"/>
      <c r="V74" s="332"/>
      <c r="W74" s="332"/>
      <c r="X74" s="332">
        <f t="shared" si="5"/>
        <v>4014.1000000000004</v>
      </c>
      <c r="Y74" s="339" t="s">
        <v>654</v>
      </c>
      <c r="Z74" s="348"/>
    </row>
    <row r="75" spans="1:256" s="349" customFormat="1" ht="74.25" customHeight="1" x14ac:dyDescent="0.2">
      <c r="A75" s="338" t="s">
        <v>631</v>
      </c>
      <c r="B75" s="342" t="s">
        <v>626</v>
      </c>
      <c r="C75" s="339" t="s">
        <v>66</v>
      </c>
      <c r="D75" s="338" t="s">
        <v>14</v>
      </c>
      <c r="E75" s="338" t="s">
        <v>18</v>
      </c>
      <c r="F75" s="830" t="s">
        <v>629</v>
      </c>
      <c r="G75" s="830"/>
      <c r="H75" s="830"/>
      <c r="I75" s="339">
        <v>612</v>
      </c>
      <c r="J75" s="332"/>
      <c r="K75" s="332"/>
      <c r="L75" s="332"/>
      <c r="M75" s="332"/>
      <c r="N75" s="332"/>
      <c r="O75" s="332">
        <v>0</v>
      </c>
      <c r="P75" s="332">
        <v>0</v>
      </c>
      <c r="Q75" s="332"/>
      <c r="R75" s="332"/>
      <c r="S75" s="332">
        <v>3008.5</v>
      </c>
      <c r="T75" s="332"/>
      <c r="U75" s="332"/>
      <c r="V75" s="332"/>
      <c r="W75" s="332"/>
      <c r="X75" s="332">
        <f t="shared" si="5"/>
        <v>3008.5</v>
      </c>
      <c r="Y75" s="339"/>
      <c r="Z75" s="348"/>
    </row>
    <row r="76" spans="1:256" s="349" customFormat="1" ht="74.25" customHeight="1" x14ac:dyDescent="0.2">
      <c r="A76" s="338" t="s">
        <v>661</v>
      </c>
      <c r="B76" s="342" t="s">
        <v>627</v>
      </c>
      <c r="C76" s="339" t="s">
        <v>66</v>
      </c>
      <c r="D76" s="338" t="s">
        <v>14</v>
      </c>
      <c r="E76" s="338" t="s">
        <v>18</v>
      </c>
      <c r="F76" s="830" t="s">
        <v>629</v>
      </c>
      <c r="G76" s="830"/>
      <c r="H76" s="830"/>
      <c r="I76" s="339">
        <v>612</v>
      </c>
      <c r="J76" s="332"/>
      <c r="K76" s="332"/>
      <c r="L76" s="332"/>
      <c r="M76" s="332"/>
      <c r="N76" s="332"/>
      <c r="O76" s="332">
        <v>0</v>
      </c>
      <c r="P76" s="332">
        <v>0</v>
      </c>
      <c r="Q76" s="332"/>
      <c r="R76" s="332"/>
      <c r="S76" s="332">
        <v>158.4</v>
      </c>
      <c r="T76" s="332"/>
      <c r="U76" s="332"/>
      <c r="V76" s="332"/>
      <c r="W76" s="332"/>
      <c r="X76" s="332">
        <f t="shared" si="5"/>
        <v>158.4</v>
      </c>
      <c r="Y76" s="339"/>
      <c r="Z76" s="348"/>
    </row>
    <row r="77" spans="1:256" s="349" customFormat="1" ht="74.25" customHeight="1" x14ac:dyDescent="0.2">
      <c r="A77" s="338" t="s">
        <v>662</v>
      </c>
      <c r="B77" s="342" t="s">
        <v>628</v>
      </c>
      <c r="C77" s="339" t="s">
        <v>66</v>
      </c>
      <c r="D77" s="338" t="s">
        <v>14</v>
      </c>
      <c r="E77" s="338" t="s">
        <v>18</v>
      </c>
      <c r="F77" s="830" t="s">
        <v>629</v>
      </c>
      <c r="G77" s="830"/>
      <c r="H77" s="830"/>
      <c r="I77" s="339">
        <v>612</v>
      </c>
      <c r="J77" s="332"/>
      <c r="K77" s="332"/>
      <c r="L77" s="332"/>
      <c r="M77" s="332"/>
      <c r="N77" s="332"/>
      <c r="O77" s="332">
        <v>0</v>
      </c>
      <c r="P77" s="332">
        <v>0</v>
      </c>
      <c r="Q77" s="332"/>
      <c r="R77" s="332"/>
      <c r="S77" s="332">
        <v>847.2</v>
      </c>
      <c r="T77" s="332"/>
      <c r="U77" s="332"/>
      <c r="V77" s="332"/>
      <c r="W77" s="332"/>
      <c r="X77" s="332">
        <f t="shared" si="5"/>
        <v>847.2</v>
      </c>
      <c r="Y77" s="339"/>
      <c r="Z77" s="348"/>
    </row>
    <row r="78" spans="1:256" s="349" customFormat="1" ht="74.25" hidden="1" customHeight="1" x14ac:dyDescent="0.2">
      <c r="A78" s="338" t="s">
        <v>663</v>
      </c>
      <c r="B78" s="342" t="s">
        <v>632</v>
      </c>
      <c r="C78" s="339" t="s">
        <v>66</v>
      </c>
      <c r="D78" s="338" t="s">
        <v>14</v>
      </c>
      <c r="E78" s="338" t="s">
        <v>18</v>
      </c>
      <c r="F78" s="830" t="s">
        <v>633</v>
      </c>
      <c r="G78" s="830"/>
      <c r="H78" s="830"/>
      <c r="I78" s="339">
        <v>612</v>
      </c>
      <c r="J78" s="332"/>
      <c r="K78" s="332"/>
      <c r="L78" s="332"/>
      <c r="M78" s="332"/>
      <c r="N78" s="332"/>
      <c r="O78" s="332">
        <v>0</v>
      </c>
      <c r="P78" s="332">
        <v>0</v>
      </c>
      <c r="Q78" s="332"/>
      <c r="R78" s="332"/>
      <c r="S78" s="332">
        <v>0</v>
      </c>
      <c r="T78" s="332"/>
      <c r="U78" s="332"/>
      <c r="V78" s="332"/>
      <c r="W78" s="332"/>
      <c r="X78" s="332">
        <f t="shared" si="5"/>
        <v>0</v>
      </c>
      <c r="Y78" s="339"/>
      <c r="Z78" s="348"/>
    </row>
    <row r="79" spans="1:256" s="340" customFormat="1" ht="70.5" customHeight="1" x14ac:dyDescent="0.2">
      <c r="A79" s="338" t="s">
        <v>664</v>
      </c>
      <c r="B79" s="683" t="s">
        <v>539</v>
      </c>
      <c r="C79" s="339" t="s">
        <v>66</v>
      </c>
      <c r="D79" s="338" t="s">
        <v>14</v>
      </c>
      <c r="E79" s="338" t="s">
        <v>18</v>
      </c>
      <c r="F79" s="830" t="s">
        <v>540</v>
      </c>
      <c r="G79" s="830"/>
      <c r="H79" s="830"/>
      <c r="I79" s="339"/>
      <c r="J79" s="332">
        <v>254</v>
      </c>
      <c r="K79" s="332">
        <v>342</v>
      </c>
      <c r="L79" s="332">
        <v>347</v>
      </c>
      <c r="M79" s="332">
        <v>361.2</v>
      </c>
      <c r="N79" s="332">
        <v>417.3</v>
      </c>
      <c r="O79" s="332">
        <v>363.7</v>
      </c>
      <c r="P79" s="332">
        <v>116.4</v>
      </c>
      <c r="Q79" s="332">
        <v>322</v>
      </c>
      <c r="R79" s="332">
        <v>604</v>
      </c>
      <c r="S79" s="332">
        <f>440.8+283</f>
        <v>723.8</v>
      </c>
      <c r="T79" s="332">
        <f>440.8+100+278.2+487.85+32.8</f>
        <v>1339.6499999999999</v>
      </c>
      <c r="U79" s="332">
        <v>440.8</v>
      </c>
      <c r="V79" s="332">
        <v>440.8</v>
      </c>
      <c r="W79" s="332">
        <v>440.8</v>
      </c>
      <c r="X79" s="332">
        <f t="shared" si="5"/>
        <v>6513.45</v>
      </c>
      <c r="Y79" s="689"/>
    </row>
    <row r="80" spans="1:256" s="340" customFormat="1" ht="19.5" customHeight="1" x14ac:dyDescent="0.2">
      <c r="A80" s="338"/>
      <c r="B80" s="342" t="s">
        <v>77</v>
      </c>
      <c r="C80" s="339"/>
      <c r="D80" s="342"/>
      <c r="E80" s="342"/>
      <c r="F80" s="830"/>
      <c r="G80" s="830"/>
      <c r="H80" s="830"/>
      <c r="I80" s="342"/>
      <c r="J80" s="332">
        <f>J57+J60+J61+J62+J63+J64+J65+J66+J67+J79</f>
        <v>8737.1</v>
      </c>
      <c r="K80" s="332">
        <f t="shared" ref="K80:R80" si="6">SUM(K57:K79)</f>
        <v>9942.2000000000007</v>
      </c>
      <c r="L80" s="332">
        <f t="shared" si="6"/>
        <v>8614.4</v>
      </c>
      <c r="M80" s="332">
        <f t="shared" si="6"/>
        <v>8101.5</v>
      </c>
      <c r="N80" s="332">
        <f t="shared" si="6"/>
        <v>7030</v>
      </c>
      <c r="O80" s="332">
        <f t="shared" si="6"/>
        <v>7600.5999999999995</v>
      </c>
      <c r="P80" s="332">
        <f t="shared" si="6"/>
        <v>11256.7</v>
      </c>
      <c r="Q80" s="332">
        <f>SUM(Q57:Q79)</f>
        <v>13543.699999999999</v>
      </c>
      <c r="R80" s="332">
        <f t="shared" si="6"/>
        <v>16557.3</v>
      </c>
      <c r="S80" s="332">
        <f>S79+S74+S72+S73+S68+S59+S58+S57</f>
        <v>22978.9</v>
      </c>
      <c r="T80" s="332">
        <f>SUM(T57:T74)+T79</f>
        <v>23161.050000000003</v>
      </c>
      <c r="U80" s="332">
        <f>SUM(U57:U74)+U79</f>
        <v>26300.3</v>
      </c>
      <c r="V80" s="332">
        <f>SUM(V57:V74)+V79</f>
        <v>22556.5</v>
      </c>
      <c r="W80" s="332">
        <f>SUM(W57:W74)+W79</f>
        <v>22556.5</v>
      </c>
      <c r="X80" s="332">
        <f t="shared" si="5"/>
        <v>208936.75</v>
      </c>
      <c r="Y80" s="352"/>
      <c r="Z80" s="350"/>
    </row>
    <row r="81" spans="1:26" s="340" customFormat="1" ht="21" customHeight="1" x14ac:dyDescent="0.2">
      <c r="A81" s="338" t="s">
        <v>78</v>
      </c>
      <c r="B81" s="843" t="s">
        <v>79</v>
      </c>
      <c r="C81" s="843"/>
      <c r="D81" s="843"/>
      <c r="E81" s="843"/>
      <c r="F81" s="843"/>
      <c r="G81" s="843"/>
      <c r="H81" s="843"/>
      <c r="I81" s="843"/>
      <c r="J81" s="843"/>
      <c r="K81" s="843"/>
      <c r="L81" s="843"/>
      <c r="M81" s="843"/>
      <c r="N81" s="843"/>
      <c r="O81" s="843"/>
      <c r="P81" s="843"/>
      <c r="Q81" s="843"/>
      <c r="R81" s="843"/>
      <c r="S81" s="843"/>
      <c r="T81" s="843"/>
      <c r="U81" s="843"/>
      <c r="V81" s="843"/>
      <c r="W81" s="843"/>
      <c r="X81" s="843"/>
      <c r="Y81" s="341"/>
      <c r="Z81" s="350"/>
    </row>
    <row r="82" spans="1:26" s="340" customFormat="1" ht="69" customHeight="1" x14ac:dyDescent="0.2">
      <c r="A82" s="338" t="s">
        <v>80</v>
      </c>
      <c r="B82" s="342" t="s">
        <v>81</v>
      </c>
      <c r="C82" s="339" t="s">
        <v>66</v>
      </c>
      <c r="D82" s="338" t="s">
        <v>14</v>
      </c>
      <c r="E82" s="338" t="s">
        <v>18</v>
      </c>
      <c r="F82" s="830" t="s">
        <v>82</v>
      </c>
      <c r="G82" s="830"/>
      <c r="H82" s="830"/>
      <c r="I82" s="342">
        <v>612</v>
      </c>
      <c r="J82" s="332">
        <v>235.5</v>
      </c>
      <c r="K82" s="332">
        <v>0</v>
      </c>
      <c r="L82" s="332">
        <v>0</v>
      </c>
      <c r="M82" s="332" t="s">
        <v>111</v>
      </c>
      <c r="N82" s="332"/>
      <c r="O82" s="332" t="s">
        <v>111</v>
      </c>
      <c r="P82" s="332" t="str">
        <f t="shared" ref="P82:W82" si="7">O82</f>
        <v>-</v>
      </c>
      <c r="Q82" s="332" t="str">
        <f t="shared" si="7"/>
        <v>-</v>
      </c>
      <c r="R82" s="332" t="str">
        <f t="shared" si="7"/>
        <v>-</v>
      </c>
      <c r="S82" s="332" t="str">
        <f t="shared" si="7"/>
        <v>-</v>
      </c>
      <c r="T82" s="332" t="str">
        <f t="shared" si="7"/>
        <v>-</v>
      </c>
      <c r="U82" s="332" t="str">
        <f t="shared" si="7"/>
        <v>-</v>
      </c>
      <c r="V82" s="332" t="str">
        <f t="shared" si="7"/>
        <v>-</v>
      </c>
      <c r="W82" s="332" t="str">
        <f t="shared" si="7"/>
        <v>-</v>
      </c>
      <c r="X82" s="332">
        <f>SUM(J82:W82)</f>
        <v>235.5</v>
      </c>
      <c r="Y82" s="342"/>
      <c r="Z82" s="350"/>
    </row>
    <row r="83" spans="1:26" s="340" customFormat="1" ht="69.75" customHeight="1" x14ac:dyDescent="0.2">
      <c r="A83" s="338" t="s">
        <v>83</v>
      </c>
      <c r="B83" s="342" t="s">
        <v>84</v>
      </c>
      <c r="C83" s="339" t="s">
        <v>66</v>
      </c>
      <c r="D83" s="338" t="s">
        <v>14</v>
      </c>
      <c r="E83" s="338" t="s">
        <v>18</v>
      </c>
      <c r="F83" s="830" t="s">
        <v>85</v>
      </c>
      <c r="G83" s="830"/>
      <c r="H83" s="830"/>
      <c r="I83" s="342">
        <v>612</v>
      </c>
      <c r="J83" s="332">
        <v>58.9</v>
      </c>
      <c r="K83" s="332">
        <v>0</v>
      </c>
      <c r="L83" s="332">
        <v>0</v>
      </c>
      <c r="M83" s="332" t="s">
        <v>111</v>
      </c>
      <c r="N83" s="332"/>
      <c r="O83" s="332" t="s">
        <v>111</v>
      </c>
      <c r="P83" s="332" t="str">
        <f t="shared" ref="P83:Q86" si="8">O83</f>
        <v>-</v>
      </c>
      <c r="Q83" s="332" t="str">
        <f t="shared" si="8"/>
        <v>-</v>
      </c>
      <c r="R83" s="332" t="str">
        <f t="shared" ref="R83:W88" si="9">Q83</f>
        <v>-</v>
      </c>
      <c r="S83" s="332" t="str">
        <f t="shared" si="9"/>
        <v>-</v>
      </c>
      <c r="T83" s="332" t="str">
        <f t="shared" si="9"/>
        <v>-</v>
      </c>
      <c r="U83" s="332" t="str">
        <f t="shared" si="9"/>
        <v>-</v>
      </c>
      <c r="V83" s="332" t="str">
        <f t="shared" si="9"/>
        <v>-</v>
      </c>
      <c r="W83" s="332" t="str">
        <f t="shared" si="9"/>
        <v>-</v>
      </c>
      <c r="X83" s="332">
        <f t="shared" ref="X83:X102" si="10">SUM(J83:W83)</f>
        <v>58.9</v>
      </c>
      <c r="Y83" s="342"/>
      <c r="Z83" s="350"/>
    </row>
    <row r="84" spans="1:26" s="340" customFormat="1" ht="36.75" customHeight="1" x14ac:dyDescent="0.2">
      <c r="A84" s="830" t="s">
        <v>86</v>
      </c>
      <c r="B84" s="831" t="s">
        <v>121</v>
      </c>
      <c r="C84" s="832" t="s">
        <v>66</v>
      </c>
      <c r="D84" s="338" t="s">
        <v>14</v>
      </c>
      <c r="E84" s="338" t="s">
        <v>18</v>
      </c>
      <c r="F84" s="830" t="s">
        <v>268</v>
      </c>
      <c r="G84" s="830"/>
      <c r="H84" s="830"/>
      <c r="I84" s="342">
        <v>612</v>
      </c>
      <c r="J84" s="332">
        <v>0</v>
      </c>
      <c r="K84" s="332">
        <v>0</v>
      </c>
      <c r="L84" s="332">
        <v>5.2</v>
      </c>
      <c r="M84" s="332">
        <v>0</v>
      </c>
      <c r="N84" s="332">
        <v>0</v>
      </c>
      <c r="O84" s="332">
        <v>0</v>
      </c>
      <c r="P84" s="332">
        <f t="shared" si="8"/>
        <v>0</v>
      </c>
      <c r="Q84" s="332">
        <f t="shared" si="8"/>
        <v>0</v>
      </c>
      <c r="R84" s="332">
        <f t="shared" si="9"/>
        <v>0</v>
      </c>
      <c r="S84" s="332">
        <f t="shared" si="9"/>
        <v>0</v>
      </c>
      <c r="T84" s="332">
        <f t="shared" si="9"/>
        <v>0</v>
      </c>
      <c r="U84" s="332">
        <f t="shared" si="9"/>
        <v>0</v>
      </c>
      <c r="V84" s="332">
        <f t="shared" si="9"/>
        <v>0</v>
      </c>
      <c r="W84" s="332">
        <f t="shared" si="9"/>
        <v>0</v>
      </c>
      <c r="X84" s="332">
        <f t="shared" si="10"/>
        <v>5.2</v>
      </c>
      <c r="Y84" s="339"/>
      <c r="Z84" s="350"/>
    </row>
    <row r="85" spans="1:26" s="340" customFormat="1" ht="27" customHeight="1" x14ac:dyDescent="0.2">
      <c r="A85" s="830"/>
      <c r="B85" s="831"/>
      <c r="C85" s="832"/>
      <c r="D85" s="338" t="s">
        <v>14</v>
      </c>
      <c r="E85" s="338" t="s">
        <v>18</v>
      </c>
      <c r="F85" s="830" t="s">
        <v>247</v>
      </c>
      <c r="G85" s="830"/>
      <c r="H85" s="830"/>
      <c r="I85" s="354" t="s">
        <v>68</v>
      </c>
      <c r="J85" s="332">
        <v>0</v>
      </c>
      <c r="K85" s="332">
        <v>5.3</v>
      </c>
      <c r="L85" s="332">
        <v>0</v>
      </c>
      <c r="M85" s="332">
        <v>0</v>
      </c>
      <c r="N85" s="332">
        <v>0</v>
      </c>
      <c r="O85" s="332">
        <v>0</v>
      </c>
      <c r="P85" s="332">
        <f t="shared" si="8"/>
        <v>0</v>
      </c>
      <c r="Q85" s="332">
        <f t="shared" si="8"/>
        <v>0</v>
      </c>
      <c r="R85" s="332">
        <f t="shared" si="9"/>
        <v>0</v>
      </c>
      <c r="S85" s="332">
        <f t="shared" si="9"/>
        <v>0</v>
      </c>
      <c r="T85" s="332">
        <f t="shared" si="9"/>
        <v>0</v>
      </c>
      <c r="U85" s="332">
        <f t="shared" si="9"/>
        <v>0</v>
      </c>
      <c r="V85" s="332">
        <f t="shared" si="9"/>
        <v>0</v>
      </c>
      <c r="W85" s="332">
        <f t="shared" si="9"/>
        <v>0</v>
      </c>
      <c r="X85" s="332">
        <f t="shared" si="10"/>
        <v>5.3</v>
      </c>
      <c r="Y85" s="339"/>
      <c r="Z85" s="343"/>
    </row>
    <row r="86" spans="1:26" s="340" customFormat="1" ht="37.5" customHeight="1" x14ac:dyDescent="0.2">
      <c r="A86" s="830" t="s">
        <v>88</v>
      </c>
      <c r="B86" s="831" t="s">
        <v>426</v>
      </c>
      <c r="C86" s="832" t="s">
        <v>66</v>
      </c>
      <c r="D86" s="338" t="s">
        <v>14</v>
      </c>
      <c r="E86" s="338" t="s">
        <v>18</v>
      </c>
      <c r="F86" s="830" t="s">
        <v>226</v>
      </c>
      <c r="G86" s="830"/>
      <c r="H86" s="830"/>
      <c r="I86" s="342">
        <v>612</v>
      </c>
      <c r="J86" s="332">
        <v>0</v>
      </c>
      <c r="K86" s="332">
        <v>0</v>
      </c>
      <c r="L86" s="332">
        <v>95.9</v>
      </c>
      <c r="M86" s="332">
        <v>0</v>
      </c>
      <c r="N86" s="332">
        <v>0</v>
      </c>
      <c r="O86" s="332">
        <v>71.3</v>
      </c>
      <c r="P86" s="332">
        <v>84.3</v>
      </c>
      <c r="Q86" s="332">
        <f t="shared" si="8"/>
        <v>84.3</v>
      </c>
      <c r="R86" s="332">
        <f t="shared" si="9"/>
        <v>84.3</v>
      </c>
      <c r="S86" s="332">
        <v>84.4</v>
      </c>
      <c r="T86" s="332">
        <v>84.9</v>
      </c>
      <c r="U86" s="332">
        <v>0</v>
      </c>
      <c r="V86" s="332">
        <v>0</v>
      </c>
      <c r="W86" s="332">
        <v>0</v>
      </c>
      <c r="X86" s="332">
        <f t="shared" si="10"/>
        <v>589.4</v>
      </c>
      <c r="Y86" s="339"/>
      <c r="Z86" s="350"/>
    </row>
    <row r="87" spans="1:26" s="340" customFormat="1" ht="27" customHeight="1" x14ac:dyDescent="0.2">
      <c r="A87" s="830"/>
      <c r="B87" s="831"/>
      <c r="C87" s="832"/>
      <c r="D87" s="338" t="s">
        <v>14</v>
      </c>
      <c r="E87" s="338" t="s">
        <v>18</v>
      </c>
      <c r="F87" s="830" t="s">
        <v>248</v>
      </c>
      <c r="G87" s="830"/>
      <c r="H87" s="830"/>
      <c r="I87" s="354" t="s">
        <v>68</v>
      </c>
      <c r="J87" s="332">
        <v>36.6</v>
      </c>
      <c r="K87" s="332">
        <v>87.8</v>
      </c>
      <c r="L87" s="332">
        <v>0</v>
      </c>
      <c r="M87" s="332">
        <v>0</v>
      </c>
      <c r="N87" s="332">
        <v>0</v>
      </c>
      <c r="O87" s="332">
        <v>0</v>
      </c>
      <c r="P87" s="332">
        <v>0</v>
      </c>
      <c r="Q87" s="332">
        <v>0</v>
      </c>
      <c r="R87" s="332">
        <f t="shared" ref="R87:W87" si="11">Q87</f>
        <v>0</v>
      </c>
      <c r="S87" s="332">
        <f t="shared" si="11"/>
        <v>0</v>
      </c>
      <c r="T87" s="332">
        <f t="shared" si="11"/>
        <v>0</v>
      </c>
      <c r="U87" s="332">
        <f t="shared" si="11"/>
        <v>0</v>
      </c>
      <c r="V87" s="332">
        <f t="shared" si="11"/>
        <v>0</v>
      </c>
      <c r="W87" s="332">
        <f t="shared" si="11"/>
        <v>0</v>
      </c>
      <c r="X87" s="332">
        <f>SUM(J87:W87)</f>
        <v>124.4</v>
      </c>
      <c r="Y87" s="339"/>
      <c r="Z87" s="343"/>
    </row>
    <row r="88" spans="1:26" s="340" customFormat="1" ht="27" customHeight="1" x14ac:dyDescent="0.2">
      <c r="A88" s="830"/>
      <c r="B88" s="831"/>
      <c r="C88" s="832"/>
      <c r="D88" s="338" t="s">
        <v>14</v>
      </c>
      <c r="E88" s="338" t="s">
        <v>18</v>
      </c>
      <c r="F88" s="830" t="s">
        <v>225</v>
      </c>
      <c r="G88" s="830"/>
      <c r="H88" s="830"/>
      <c r="I88" s="354" t="s">
        <v>68</v>
      </c>
      <c r="J88" s="332">
        <v>0</v>
      </c>
      <c r="K88" s="332">
        <v>0</v>
      </c>
      <c r="L88" s="332">
        <v>0</v>
      </c>
      <c r="M88" s="332">
        <v>0</v>
      </c>
      <c r="N88" s="332">
        <v>0</v>
      </c>
      <c r="O88" s="332">
        <v>0</v>
      </c>
      <c r="P88" s="332">
        <v>0</v>
      </c>
      <c r="Q88" s="332">
        <v>0</v>
      </c>
      <c r="R88" s="332">
        <f t="shared" si="9"/>
        <v>0</v>
      </c>
      <c r="S88" s="332">
        <f t="shared" si="9"/>
        <v>0</v>
      </c>
      <c r="T88" s="332">
        <f t="shared" si="9"/>
        <v>0</v>
      </c>
      <c r="U88" s="332">
        <v>84.8</v>
      </c>
      <c r="V88" s="332">
        <v>84.8</v>
      </c>
      <c r="W88" s="332">
        <v>84.8</v>
      </c>
      <c r="X88" s="332">
        <f t="shared" si="10"/>
        <v>254.39999999999998</v>
      </c>
      <c r="Y88" s="339"/>
      <c r="Z88" s="343"/>
    </row>
    <row r="89" spans="1:26" s="340" customFormat="1" ht="24.75" customHeight="1" x14ac:dyDescent="0.2">
      <c r="A89" s="830" t="s">
        <v>104</v>
      </c>
      <c r="B89" s="831" t="s">
        <v>436</v>
      </c>
      <c r="C89" s="832" t="s">
        <v>66</v>
      </c>
      <c r="D89" s="338" t="s">
        <v>14</v>
      </c>
      <c r="E89" s="338" t="s">
        <v>18</v>
      </c>
      <c r="F89" s="830" t="s">
        <v>225</v>
      </c>
      <c r="G89" s="830"/>
      <c r="H89" s="830"/>
      <c r="I89" s="342">
        <v>612</v>
      </c>
      <c r="J89" s="332">
        <v>0</v>
      </c>
      <c r="K89" s="332">
        <v>0</v>
      </c>
      <c r="L89" s="332">
        <v>32</v>
      </c>
      <c r="M89" s="332">
        <v>0</v>
      </c>
      <c r="N89" s="332">
        <v>0</v>
      </c>
      <c r="O89" s="332">
        <v>23.8</v>
      </c>
      <c r="P89" s="332">
        <v>30</v>
      </c>
      <c r="Q89" s="332">
        <v>30</v>
      </c>
      <c r="R89" s="332">
        <v>30</v>
      </c>
      <c r="S89" s="332">
        <v>30</v>
      </c>
      <c r="T89" s="332">
        <v>31</v>
      </c>
      <c r="U89" s="332">
        <v>31</v>
      </c>
      <c r="V89" s="332">
        <v>31</v>
      </c>
      <c r="W89" s="332">
        <v>31</v>
      </c>
      <c r="X89" s="332">
        <f t="shared" si="10"/>
        <v>299.8</v>
      </c>
      <c r="Y89" s="339"/>
      <c r="Z89" s="350"/>
    </row>
    <row r="90" spans="1:26" s="340" customFormat="1" ht="51" customHeight="1" x14ac:dyDescent="0.2">
      <c r="A90" s="830"/>
      <c r="B90" s="831"/>
      <c r="C90" s="832"/>
      <c r="D90" s="338" t="s">
        <v>14</v>
      </c>
      <c r="E90" s="338" t="s">
        <v>18</v>
      </c>
      <c r="F90" s="830" t="s">
        <v>249</v>
      </c>
      <c r="G90" s="830"/>
      <c r="H90" s="830"/>
      <c r="I90" s="354" t="s">
        <v>68</v>
      </c>
      <c r="J90" s="332">
        <v>12.2</v>
      </c>
      <c r="K90" s="332">
        <v>25.3</v>
      </c>
      <c r="L90" s="332">
        <v>0</v>
      </c>
      <c r="M90" s="332">
        <v>0</v>
      </c>
      <c r="N90" s="332">
        <v>0</v>
      </c>
      <c r="O90" s="332">
        <v>0</v>
      </c>
      <c r="P90" s="332">
        <v>0</v>
      </c>
      <c r="Q90" s="332">
        <v>0</v>
      </c>
      <c r="R90" s="332">
        <v>0</v>
      </c>
      <c r="S90" s="332">
        <v>0</v>
      </c>
      <c r="T90" s="332">
        <v>0</v>
      </c>
      <c r="U90" s="332">
        <v>0</v>
      </c>
      <c r="V90" s="332">
        <v>0</v>
      </c>
      <c r="W90" s="332">
        <v>0</v>
      </c>
      <c r="X90" s="332">
        <f t="shared" si="10"/>
        <v>37.5</v>
      </c>
      <c r="Y90" s="339"/>
      <c r="Z90" s="343"/>
    </row>
    <row r="91" spans="1:26" s="340" customFormat="1" ht="24.75" customHeight="1" x14ac:dyDescent="0.2">
      <c r="A91" s="830" t="s">
        <v>120</v>
      </c>
      <c r="B91" s="831" t="s">
        <v>105</v>
      </c>
      <c r="C91" s="832" t="s">
        <v>66</v>
      </c>
      <c r="D91" s="338" t="s">
        <v>14</v>
      </c>
      <c r="E91" s="338" t="s">
        <v>18</v>
      </c>
      <c r="F91" s="830" t="s">
        <v>250</v>
      </c>
      <c r="G91" s="830"/>
      <c r="H91" s="830"/>
      <c r="I91" s="342">
        <v>612</v>
      </c>
      <c r="J91" s="332">
        <v>17.3</v>
      </c>
      <c r="K91" s="332">
        <v>1.6</v>
      </c>
      <c r="L91" s="332">
        <v>0</v>
      </c>
      <c r="M91" s="332">
        <v>0</v>
      </c>
      <c r="N91" s="332">
        <v>0</v>
      </c>
      <c r="O91" s="332">
        <v>0</v>
      </c>
      <c r="P91" s="332">
        <v>0</v>
      </c>
      <c r="Q91" s="332">
        <v>0</v>
      </c>
      <c r="R91" s="332">
        <v>0</v>
      </c>
      <c r="S91" s="332">
        <v>0</v>
      </c>
      <c r="T91" s="332">
        <v>0</v>
      </c>
      <c r="U91" s="332">
        <v>0</v>
      </c>
      <c r="V91" s="332">
        <v>0</v>
      </c>
      <c r="W91" s="332">
        <v>0</v>
      </c>
      <c r="X91" s="332">
        <f t="shared" si="10"/>
        <v>18.900000000000002</v>
      </c>
      <c r="Y91" s="339"/>
      <c r="Z91" s="350"/>
    </row>
    <row r="92" spans="1:26" s="340" customFormat="1" ht="37.5" customHeight="1" x14ac:dyDescent="0.2">
      <c r="A92" s="830"/>
      <c r="B92" s="831"/>
      <c r="C92" s="832"/>
      <c r="D92" s="338" t="s">
        <v>14</v>
      </c>
      <c r="E92" s="338" t="s">
        <v>18</v>
      </c>
      <c r="F92" s="830" t="s">
        <v>280</v>
      </c>
      <c r="G92" s="830"/>
      <c r="H92" s="830"/>
      <c r="I92" s="342">
        <v>612</v>
      </c>
      <c r="J92" s="332">
        <v>0</v>
      </c>
      <c r="K92" s="332">
        <v>0</v>
      </c>
      <c r="L92" s="332">
        <v>0</v>
      </c>
      <c r="M92" s="332">
        <v>7</v>
      </c>
      <c r="N92" s="332">
        <v>0</v>
      </c>
      <c r="O92" s="332">
        <v>0</v>
      </c>
      <c r="P92" s="332">
        <v>0</v>
      </c>
      <c r="Q92" s="332">
        <v>0</v>
      </c>
      <c r="R92" s="332">
        <v>0</v>
      </c>
      <c r="S92" s="332">
        <v>0</v>
      </c>
      <c r="T92" s="332">
        <v>0</v>
      </c>
      <c r="U92" s="332">
        <v>0</v>
      </c>
      <c r="V92" s="332">
        <v>0</v>
      </c>
      <c r="W92" s="332">
        <v>0</v>
      </c>
      <c r="X92" s="332">
        <f t="shared" si="10"/>
        <v>7</v>
      </c>
      <c r="Y92" s="339"/>
      <c r="Z92" s="350"/>
    </row>
    <row r="93" spans="1:26" s="340" customFormat="1" ht="130.5" customHeight="1" x14ac:dyDescent="0.2">
      <c r="A93" s="338" t="s">
        <v>213</v>
      </c>
      <c r="B93" s="553" t="s">
        <v>232</v>
      </c>
      <c r="C93" s="339" t="s">
        <v>66</v>
      </c>
      <c r="D93" s="338" t="s">
        <v>14</v>
      </c>
      <c r="E93" s="338" t="s">
        <v>18</v>
      </c>
      <c r="F93" s="830" t="s">
        <v>279</v>
      </c>
      <c r="G93" s="830"/>
      <c r="H93" s="830"/>
      <c r="I93" s="342">
        <v>612</v>
      </c>
      <c r="J93" s="332">
        <v>0</v>
      </c>
      <c r="K93" s="332">
        <v>0</v>
      </c>
      <c r="L93" s="332">
        <v>280</v>
      </c>
      <c r="M93" s="332">
        <v>0</v>
      </c>
      <c r="N93" s="332">
        <v>0</v>
      </c>
      <c r="O93" s="332">
        <v>0</v>
      </c>
      <c r="P93" s="332">
        <v>0</v>
      </c>
      <c r="Q93" s="332">
        <v>0</v>
      </c>
      <c r="R93" s="332">
        <v>0</v>
      </c>
      <c r="S93" s="332">
        <v>0</v>
      </c>
      <c r="T93" s="332">
        <v>0</v>
      </c>
      <c r="U93" s="332">
        <v>0</v>
      </c>
      <c r="V93" s="332">
        <v>0</v>
      </c>
      <c r="W93" s="332">
        <v>0</v>
      </c>
      <c r="X93" s="332">
        <f t="shared" si="10"/>
        <v>280</v>
      </c>
      <c r="Y93" s="339" t="s">
        <v>435</v>
      </c>
      <c r="Z93" s="350"/>
    </row>
    <row r="94" spans="1:26" s="340" customFormat="1" ht="75.75" customHeight="1" x14ac:dyDescent="0.2">
      <c r="A94" s="338" t="s">
        <v>231</v>
      </c>
      <c r="B94" s="553" t="s">
        <v>309</v>
      </c>
      <c r="C94" s="339" t="s">
        <v>66</v>
      </c>
      <c r="D94" s="338" t="s">
        <v>14</v>
      </c>
      <c r="E94" s="338" t="s">
        <v>18</v>
      </c>
      <c r="F94" s="830" t="s">
        <v>280</v>
      </c>
      <c r="G94" s="830"/>
      <c r="H94" s="830"/>
      <c r="I94" s="342">
        <v>612</v>
      </c>
      <c r="J94" s="332">
        <v>0</v>
      </c>
      <c r="K94" s="332">
        <v>0</v>
      </c>
      <c r="L94" s="332">
        <v>10.8</v>
      </c>
      <c r="M94" s="332">
        <v>0</v>
      </c>
      <c r="N94" s="332">
        <v>0</v>
      </c>
      <c r="O94" s="332">
        <v>0</v>
      </c>
      <c r="P94" s="332">
        <v>0</v>
      </c>
      <c r="Q94" s="332">
        <v>0</v>
      </c>
      <c r="R94" s="332">
        <v>0</v>
      </c>
      <c r="S94" s="332">
        <v>0</v>
      </c>
      <c r="T94" s="332">
        <v>0</v>
      </c>
      <c r="U94" s="332">
        <v>0</v>
      </c>
      <c r="V94" s="332">
        <v>0</v>
      </c>
      <c r="W94" s="332">
        <v>0</v>
      </c>
      <c r="X94" s="332">
        <f t="shared" si="10"/>
        <v>10.8</v>
      </c>
      <c r="Y94" s="339"/>
      <c r="Z94" s="350"/>
    </row>
    <row r="95" spans="1:26" s="340" customFormat="1" ht="144" customHeight="1" x14ac:dyDescent="0.2">
      <c r="A95" s="338" t="s">
        <v>399</v>
      </c>
      <c r="B95" s="553" t="s">
        <v>508</v>
      </c>
      <c r="C95" s="339" t="s">
        <v>66</v>
      </c>
      <c r="D95" s="338" t="s">
        <v>14</v>
      </c>
      <c r="E95" s="338" t="s">
        <v>18</v>
      </c>
      <c r="F95" s="830" t="s">
        <v>510</v>
      </c>
      <c r="G95" s="830"/>
      <c r="H95" s="830"/>
      <c r="I95" s="342">
        <v>612</v>
      </c>
      <c r="J95" s="332">
        <v>0</v>
      </c>
      <c r="K95" s="332">
        <v>0</v>
      </c>
      <c r="L95" s="332">
        <v>0</v>
      </c>
      <c r="M95" s="332">
        <v>0</v>
      </c>
      <c r="N95" s="332">
        <v>0</v>
      </c>
      <c r="O95" s="332">
        <v>0</v>
      </c>
      <c r="P95" s="332">
        <v>3974.9</v>
      </c>
      <c r="Q95" s="332">
        <v>0</v>
      </c>
      <c r="R95" s="332">
        <v>0</v>
      </c>
      <c r="S95" s="332">
        <v>0</v>
      </c>
      <c r="T95" s="332">
        <v>0</v>
      </c>
      <c r="U95" s="332">
        <v>0</v>
      </c>
      <c r="V95" s="332">
        <v>0</v>
      </c>
      <c r="W95" s="332">
        <v>0</v>
      </c>
      <c r="X95" s="332">
        <f t="shared" si="10"/>
        <v>3974.9</v>
      </c>
      <c r="Y95" s="339" t="s">
        <v>581</v>
      </c>
      <c r="Z95" s="350"/>
    </row>
    <row r="96" spans="1:26" s="349" customFormat="1" ht="74.25" customHeight="1" x14ac:dyDescent="0.2">
      <c r="A96" s="338" t="s">
        <v>655</v>
      </c>
      <c r="B96" s="342" t="s">
        <v>632</v>
      </c>
      <c r="C96" s="339" t="s">
        <v>66</v>
      </c>
      <c r="D96" s="338" t="s">
        <v>14</v>
      </c>
      <c r="E96" s="338" t="s">
        <v>18</v>
      </c>
      <c r="F96" s="830" t="s">
        <v>633</v>
      </c>
      <c r="G96" s="830"/>
      <c r="H96" s="830"/>
      <c r="I96" s="339">
        <v>612</v>
      </c>
      <c r="J96" s="332"/>
      <c r="K96" s="332"/>
      <c r="L96" s="332"/>
      <c r="M96" s="332"/>
      <c r="N96" s="332"/>
      <c r="O96" s="332">
        <v>0</v>
      </c>
      <c r="P96" s="332">
        <v>0</v>
      </c>
      <c r="Q96" s="332"/>
      <c r="R96" s="332"/>
      <c r="S96" s="332">
        <v>1053.5</v>
      </c>
      <c r="T96" s="332"/>
      <c r="U96" s="332"/>
      <c r="V96" s="332"/>
      <c r="W96" s="332"/>
      <c r="X96" s="332">
        <f t="shared" si="10"/>
        <v>1053.5</v>
      </c>
      <c r="Y96" s="339"/>
      <c r="Z96" s="348"/>
    </row>
    <row r="97" spans="1:26" s="340" customFormat="1" ht="108.75" customHeight="1" x14ac:dyDescent="0.2">
      <c r="A97" s="338" t="s">
        <v>507</v>
      </c>
      <c r="B97" s="553" t="s">
        <v>509</v>
      </c>
      <c r="C97" s="339" t="s">
        <v>66</v>
      </c>
      <c r="D97" s="338" t="s">
        <v>14</v>
      </c>
      <c r="E97" s="338" t="s">
        <v>18</v>
      </c>
      <c r="F97" s="830" t="s">
        <v>511</v>
      </c>
      <c r="G97" s="830"/>
      <c r="H97" s="830"/>
      <c r="I97" s="342">
        <v>612</v>
      </c>
      <c r="J97" s="332">
        <v>0</v>
      </c>
      <c r="K97" s="332">
        <v>0</v>
      </c>
      <c r="L97" s="332">
        <v>0</v>
      </c>
      <c r="M97" s="332">
        <v>0</v>
      </c>
      <c r="N97" s="332">
        <v>0</v>
      </c>
      <c r="O97" s="332">
        <v>0</v>
      </c>
      <c r="P97" s="332">
        <v>441.7</v>
      </c>
      <c r="Q97" s="332">
        <v>0</v>
      </c>
      <c r="R97" s="332">
        <v>0</v>
      </c>
      <c r="S97" s="332">
        <v>0</v>
      </c>
      <c r="T97" s="332">
        <v>0</v>
      </c>
      <c r="U97" s="332">
        <v>0</v>
      </c>
      <c r="V97" s="332">
        <v>0</v>
      </c>
      <c r="W97" s="332">
        <v>0</v>
      </c>
      <c r="X97" s="332">
        <f t="shared" si="10"/>
        <v>441.7</v>
      </c>
      <c r="Y97" s="339"/>
      <c r="Z97" s="350"/>
    </row>
    <row r="98" spans="1:26" s="340" customFormat="1" ht="18.75" customHeight="1" x14ac:dyDescent="0.2">
      <c r="A98" s="338"/>
      <c r="B98" s="342" t="s">
        <v>90</v>
      </c>
      <c r="C98" s="339"/>
      <c r="D98" s="342"/>
      <c r="E98" s="342"/>
      <c r="F98" s="830"/>
      <c r="G98" s="830"/>
      <c r="H98" s="830"/>
      <c r="I98" s="342"/>
      <c r="J98" s="332">
        <f>SUM(J82:J97)</f>
        <v>360.5</v>
      </c>
      <c r="K98" s="332">
        <f>SUM(K82:K97)</f>
        <v>119.99999999999999</v>
      </c>
      <c r="L98" s="332">
        <f>SUM(L82:L97)</f>
        <v>423.90000000000003</v>
      </c>
      <c r="M98" s="332">
        <f t="shared" ref="M98:R98" si="12">SUM(M82:M97)</f>
        <v>7</v>
      </c>
      <c r="N98" s="332">
        <f t="shared" si="12"/>
        <v>0</v>
      </c>
      <c r="O98" s="332">
        <f t="shared" si="12"/>
        <v>95.1</v>
      </c>
      <c r="P98" s="332">
        <f t="shared" si="12"/>
        <v>4530.9000000000005</v>
      </c>
      <c r="Q98" s="332">
        <f>SUM(Q82:Q97)</f>
        <v>114.3</v>
      </c>
      <c r="R98" s="332">
        <f t="shared" si="12"/>
        <v>114.3</v>
      </c>
      <c r="S98" s="332">
        <f>SUM(S82:S97)</f>
        <v>1167.9000000000001</v>
      </c>
      <c r="T98" s="332">
        <f>SUM(T82:T97)</f>
        <v>115.9</v>
      </c>
      <c r="U98" s="332">
        <f>SUM(U82:U97)</f>
        <v>115.8</v>
      </c>
      <c r="V98" s="332">
        <f>SUM(V82:V97)</f>
        <v>115.8</v>
      </c>
      <c r="W98" s="332">
        <f>SUM(W82:W97)</f>
        <v>115.8</v>
      </c>
      <c r="X98" s="332">
        <f t="shared" si="10"/>
        <v>7397.2000000000016</v>
      </c>
      <c r="Y98" s="339"/>
      <c r="Z98" s="350"/>
    </row>
    <row r="99" spans="1:26" s="340" customFormat="1" ht="18.75" customHeight="1" x14ac:dyDescent="0.2">
      <c r="A99" s="338"/>
      <c r="B99" s="342" t="s">
        <v>91</v>
      </c>
      <c r="C99" s="339"/>
      <c r="D99" s="342"/>
      <c r="E99" s="342"/>
      <c r="F99" s="830"/>
      <c r="G99" s="830"/>
      <c r="H99" s="830"/>
      <c r="I99" s="342"/>
      <c r="J99" s="332">
        <f t="shared" ref="J99:S99" si="13">J55+J80+J98</f>
        <v>36337.800000000003</v>
      </c>
      <c r="K99" s="332">
        <f t="shared" si="13"/>
        <v>40488.1</v>
      </c>
      <c r="L99" s="332">
        <f t="shared" si="13"/>
        <v>36917.299999999996</v>
      </c>
      <c r="M99" s="332">
        <f t="shared" si="13"/>
        <v>34999</v>
      </c>
      <c r="N99" s="332">
        <f t="shared" si="13"/>
        <v>32461.5</v>
      </c>
      <c r="O99" s="332">
        <f t="shared" si="13"/>
        <v>36560.899999999994</v>
      </c>
      <c r="P99" s="332">
        <f t="shared" si="13"/>
        <v>42435.8</v>
      </c>
      <c r="Q99" s="332">
        <f t="shared" si="13"/>
        <v>43894</v>
      </c>
      <c r="R99" s="332">
        <f>R55+R80+R98</f>
        <v>50352.600000000006</v>
      </c>
      <c r="S99" s="332">
        <f t="shared" si="13"/>
        <v>60905.299999999996</v>
      </c>
      <c r="T99" s="332">
        <f>T55+T80+T98</f>
        <v>69271.649999999994</v>
      </c>
      <c r="U99" s="332">
        <f>U55+U80+U98</f>
        <v>78413.399999999994</v>
      </c>
      <c r="V99" s="332">
        <f>V55+V80+V98</f>
        <v>67948.800000000003</v>
      </c>
      <c r="W99" s="332">
        <f>W55+W80+W98</f>
        <v>67943.199999999997</v>
      </c>
      <c r="X99" s="332">
        <f t="shared" si="10"/>
        <v>698929.35</v>
      </c>
      <c r="Y99" s="332">
        <f>Y55+Y80+Y98</f>
        <v>0</v>
      </c>
      <c r="Z99" s="350"/>
    </row>
    <row r="100" spans="1:26" s="340" customFormat="1" ht="18.75" hidden="1" customHeight="1" x14ac:dyDescent="0.2">
      <c r="A100" s="355"/>
      <c r="B100" s="349"/>
      <c r="C100" s="356"/>
      <c r="D100" s="349"/>
      <c r="E100" s="349"/>
      <c r="F100" s="355"/>
      <c r="G100" s="355"/>
      <c r="H100" s="355"/>
      <c r="I100" s="349"/>
      <c r="J100" s="357"/>
      <c r="K100" s="357"/>
      <c r="L100" s="357"/>
      <c r="M100" s="357">
        <v>34468</v>
      </c>
      <c r="N100" s="358">
        <f>230+31628.9</f>
        <v>31858.9</v>
      </c>
      <c r="O100" s="487">
        <v>28848.2</v>
      </c>
      <c r="P100" s="487">
        <v>23594.2</v>
      </c>
      <c r="Q100" s="487">
        <v>23594.2</v>
      </c>
      <c r="R100" s="487"/>
      <c r="S100" s="487"/>
      <c r="T100" s="487"/>
      <c r="U100" s="487"/>
      <c r="V100" s="668"/>
      <c r="W100" s="487"/>
      <c r="X100" s="679">
        <f t="shared" si="10"/>
        <v>142363.5</v>
      </c>
      <c r="Y100" s="349"/>
      <c r="Z100" s="350"/>
    </row>
    <row r="101" spans="1:26" s="340" customFormat="1" ht="18.75" hidden="1" customHeight="1" x14ac:dyDescent="0.2">
      <c r="A101" s="355"/>
      <c r="B101" s="349"/>
      <c r="C101" s="356"/>
      <c r="D101" s="349"/>
      <c r="E101" s="349"/>
      <c r="F101" s="355"/>
      <c r="G101" s="355"/>
      <c r="H101" s="355"/>
      <c r="I101" s="349"/>
      <c r="J101" s="357"/>
      <c r="K101" s="357"/>
      <c r="L101" s="357"/>
      <c r="M101" s="357">
        <f>M100-M99</f>
        <v>-531</v>
      </c>
      <c r="N101" s="357">
        <f>N100-N99</f>
        <v>-602.59999999999854</v>
      </c>
      <c r="O101" s="488">
        <f>O100-O99</f>
        <v>-7712.6999999999935</v>
      </c>
      <c r="P101" s="488">
        <f>P100-P99</f>
        <v>-18841.600000000002</v>
      </c>
      <c r="Q101" s="488">
        <f>Q100-Q99</f>
        <v>-20299.8</v>
      </c>
      <c r="R101" s="488"/>
      <c r="S101" s="488"/>
      <c r="T101" s="488"/>
      <c r="U101" s="488"/>
      <c r="V101" s="669"/>
      <c r="W101" s="488"/>
      <c r="X101" s="353">
        <f t="shared" si="10"/>
        <v>-47987.7</v>
      </c>
      <c r="Y101" s="349"/>
      <c r="Z101" s="350"/>
    </row>
    <row r="102" spans="1:26" s="340" customFormat="1" ht="15.75" hidden="1" customHeight="1" x14ac:dyDescent="0.2">
      <c r="A102" s="355"/>
      <c r="B102" s="349"/>
      <c r="C102" s="356"/>
      <c r="D102" s="349"/>
      <c r="E102" s="349"/>
      <c r="F102" s="829"/>
      <c r="G102" s="829"/>
      <c r="H102" s="829"/>
      <c r="I102" s="839" t="s">
        <v>364</v>
      </c>
      <c r="J102" s="839"/>
      <c r="K102" s="839"/>
      <c r="L102" s="839"/>
      <c r="M102" s="357">
        <v>684.90000000000146</v>
      </c>
      <c r="N102" s="357">
        <v>3384.2000000000044</v>
      </c>
      <c r="O102" s="488">
        <v>373.50000000000364</v>
      </c>
      <c r="P102" s="488">
        <v>-4880.4999999999964</v>
      </c>
      <c r="Q102" s="488">
        <v>-128608.3</v>
      </c>
      <c r="R102" s="488"/>
      <c r="S102" s="488"/>
      <c r="T102" s="488"/>
      <c r="U102" s="488"/>
      <c r="V102" s="669"/>
      <c r="W102" s="488"/>
      <c r="X102" s="353">
        <f t="shared" si="10"/>
        <v>-129046.19999999998</v>
      </c>
      <c r="Y102" s="349"/>
      <c r="Z102" s="350"/>
    </row>
    <row r="103" spans="1:26" s="340" customFormat="1" ht="77.25" customHeight="1" x14ac:dyDescent="0.2">
      <c r="A103" s="837" t="s">
        <v>735</v>
      </c>
      <c r="B103" s="837"/>
      <c r="C103" s="837"/>
      <c r="D103" s="837"/>
      <c r="E103" s="837"/>
      <c r="F103" s="837"/>
      <c r="G103" s="837"/>
      <c r="H103" s="837"/>
      <c r="I103" s="837"/>
      <c r="J103" s="838"/>
      <c r="K103" s="838"/>
      <c r="L103" s="350"/>
      <c r="M103" s="350"/>
      <c r="N103" s="350"/>
      <c r="O103" s="489"/>
      <c r="P103" s="835" t="s">
        <v>734</v>
      </c>
      <c r="Q103" s="835"/>
      <c r="R103" s="835"/>
      <c r="S103" s="835"/>
      <c r="T103" s="835"/>
      <c r="U103" s="835"/>
      <c r="V103" s="835"/>
      <c r="W103" s="835"/>
      <c r="X103" s="836"/>
      <c r="Y103" s="836"/>
    </row>
    <row r="104" spans="1:26" x14ac:dyDescent="0.2">
      <c r="A104" s="359"/>
      <c r="B104" s="360"/>
      <c r="C104" s="361"/>
      <c r="D104" s="360"/>
      <c r="E104" s="360"/>
      <c r="F104" s="360"/>
      <c r="G104" s="360"/>
      <c r="H104" s="360"/>
      <c r="I104" s="360"/>
      <c r="J104" s="362"/>
      <c r="K104" s="362"/>
      <c r="L104" s="362"/>
      <c r="M104" s="362"/>
      <c r="N104" s="362"/>
      <c r="O104" s="490"/>
      <c r="P104" s="490"/>
      <c r="Q104" s="490"/>
      <c r="R104" s="490"/>
      <c r="S104" s="490"/>
      <c r="T104" s="490"/>
      <c r="U104" s="490"/>
      <c r="V104" s="670"/>
      <c r="W104" s="490"/>
      <c r="X104" s="362"/>
      <c r="Y104" s="360"/>
    </row>
    <row r="105" spans="1:26" x14ac:dyDescent="0.2">
      <c r="L105" s="363"/>
      <c r="M105" s="363"/>
      <c r="N105" s="363"/>
      <c r="O105" s="491"/>
      <c r="P105" s="491"/>
      <c r="Q105" s="491"/>
      <c r="R105" s="491"/>
      <c r="S105" s="491"/>
      <c r="T105" s="491"/>
      <c r="U105" s="491"/>
      <c r="V105" s="671"/>
      <c r="W105" s="491"/>
    </row>
    <row r="106" spans="1:26" x14ac:dyDescent="0.2">
      <c r="J106" s="364"/>
      <c r="K106" s="364"/>
      <c r="L106" s="364"/>
      <c r="M106" s="364"/>
      <c r="N106" s="364"/>
      <c r="O106" s="492"/>
      <c r="P106" s="492"/>
      <c r="Q106" s="492"/>
      <c r="R106" s="492"/>
      <c r="S106" s="492"/>
      <c r="T106" s="492"/>
      <c r="U106" s="492"/>
      <c r="V106" s="672"/>
      <c r="W106" s="492"/>
      <c r="X106" s="364"/>
    </row>
    <row r="107" spans="1:26" x14ac:dyDescent="0.2">
      <c r="J107" s="364"/>
      <c r="K107" s="364"/>
      <c r="L107" s="364"/>
      <c r="M107" s="364"/>
      <c r="N107" s="364"/>
      <c r="O107" s="492"/>
      <c r="P107" s="492"/>
      <c r="Q107" s="492"/>
      <c r="R107" s="492"/>
      <c r="S107" s="492"/>
      <c r="T107" s="492"/>
      <c r="U107" s="492"/>
      <c r="V107" s="672"/>
      <c r="W107" s="492"/>
      <c r="X107" s="364"/>
      <c r="Z107" s="364"/>
    </row>
  </sheetData>
  <sheetProtection selectLockedCells="1" selectUnlockedCells="1"/>
  <mergeCells count="150">
    <mergeCell ref="F87:H87"/>
    <mergeCell ref="C25:C27"/>
    <mergeCell ref="F26:H26"/>
    <mergeCell ref="F29:H29"/>
    <mergeCell ref="F58:H58"/>
    <mergeCell ref="F59:H59"/>
    <mergeCell ref="F36:H36"/>
    <mergeCell ref="F35:H35"/>
    <mergeCell ref="F34:H34"/>
    <mergeCell ref="F28:H28"/>
    <mergeCell ref="Y57:Y67"/>
    <mergeCell ref="F65:H65"/>
    <mergeCell ref="F51:H51"/>
    <mergeCell ref="B56:X56"/>
    <mergeCell ref="F40:H40"/>
    <mergeCell ref="C61:C63"/>
    <mergeCell ref="F64:H64"/>
    <mergeCell ref="F49:H49"/>
    <mergeCell ref="F67:H67"/>
    <mergeCell ref="F66:H66"/>
    <mergeCell ref="F31:H31"/>
    <mergeCell ref="F32:H32"/>
    <mergeCell ref="F47:H47"/>
    <mergeCell ref="F45:H45"/>
    <mergeCell ref="C57:C60"/>
    <mergeCell ref="F44:H44"/>
    <mergeCell ref="F42:H42"/>
    <mergeCell ref="F80:H80"/>
    <mergeCell ref="F38:H38"/>
    <mergeCell ref="F54:H54"/>
    <mergeCell ref="F37:H37"/>
    <mergeCell ref="F43:H43"/>
    <mergeCell ref="F85:H85"/>
    <mergeCell ref="F84:H84"/>
    <mergeCell ref="B81:X81"/>
    <mergeCell ref="F74:H74"/>
    <mergeCell ref="F69:H69"/>
    <mergeCell ref="F70:H70"/>
    <mergeCell ref="F72:H72"/>
    <mergeCell ref="F73:H73"/>
    <mergeCell ref="B61:B63"/>
    <mergeCell ref="F82:H82"/>
    <mergeCell ref="F79:H79"/>
    <mergeCell ref="F78:H78"/>
    <mergeCell ref="F75:H75"/>
    <mergeCell ref="F76:H76"/>
    <mergeCell ref="F77:H77"/>
    <mergeCell ref="F71:H71"/>
    <mergeCell ref="F63:H63"/>
    <mergeCell ref="F61:H61"/>
    <mergeCell ref="F60:H60"/>
    <mergeCell ref="F57:H57"/>
    <mergeCell ref="F50:H50"/>
    <mergeCell ref="F55:H55"/>
    <mergeCell ref="F53:H53"/>
    <mergeCell ref="F52:H52"/>
    <mergeCell ref="F68:H68"/>
    <mergeCell ref="A61:A63"/>
    <mergeCell ref="F48:H48"/>
    <mergeCell ref="F39:H39"/>
    <mergeCell ref="F46:H46"/>
    <mergeCell ref="F24:H24"/>
    <mergeCell ref="F30:H30"/>
    <mergeCell ref="F33:H33"/>
    <mergeCell ref="F62:H62"/>
    <mergeCell ref="F41:H41"/>
    <mergeCell ref="A25:A27"/>
    <mergeCell ref="B20:B21"/>
    <mergeCell ref="A22:A24"/>
    <mergeCell ref="B22:B24"/>
    <mergeCell ref="A57:A60"/>
    <mergeCell ref="B25:B27"/>
    <mergeCell ref="B57:B60"/>
    <mergeCell ref="B6:X6"/>
    <mergeCell ref="C12:C13"/>
    <mergeCell ref="F27:H27"/>
    <mergeCell ref="A14:A17"/>
    <mergeCell ref="F10:H10"/>
    <mergeCell ref="F13:H13"/>
    <mergeCell ref="F17:H17"/>
    <mergeCell ref="A18:A19"/>
    <mergeCell ref="B18:B19"/>
    <mergeCell ref="A20:A21"/>
    <mergeCell ref="A2:Y2"/>
    <mergeCell ref="B8:B11"/>
    <mergeCell ref="C8:C11"/>
    <mergeCell ref="F11:H11"/>
    <mergeCell ref="A4:A5"/>
    <mergeCell ref="B4:B5"/>
    <mergeCell ref="C4:C5"/>
    <mergeCell ref="F9:H9"/>
    <mergeCell ref="B7:X7"/>
    <mergeCell ref="A8:A11"/>
    <mergeCell ref="C18:C19"/>
    <mergeCell ref="C14:C17"/>
    <mergeCell ref="F16:H16"/>
    <mergeCell ref="F20:H20"/>
    <mergeCell ref="L1:Y1"/>
    <mergeCell ref="J4:X4"/>
    <mergeCell ref="F5:H5"/>
    <mergeCell ref="Y4:Y5"/>
    <mergeCell ref="E1:G1"/>
    <mergeCell ref="D4:I4"/>
    <mergeCell ref="P103:Y103"/>
    <mergeCell ref="A103:I103"/>
    <mergeCell ref="J103:K103"/>
    <mergeCell ref="F98:H98"/>
    <mergeCell ref="I102:L102"/>
    <mergeCell ref="F12:H12"/>
    <mergeCell ref="C22:C24"/>
    <mergeCell ref="C20:C21"/>
    <mergeCell ref="B14:B17"/>
    <mergeCell ref="F19:H19"/>
    <mergeCell ref="A12:A13"/>
    <mergeCell ref="B12:B13"/>
    <mergeCell ref="A91:A92"/>
    <mergeCell ref="C91:C92"/>
    <mergeCell ref="F92:H92"/>
    <mergeCell ref="B91:B92"/>
    <mergeCell ref="F89:H89"/>
    <mergeCell ref="C84:C85"/>
    <mergeCell ref="B84:B85"/>
    <mergeCell ref="F15:H15"/>
    <mergeCell ref="F97:H97"/>
    <mergeCell ref="Y8:Y37"/>
    <mergeCell ref="F23:H23"/>
    <mergeCell ref="F18:H18"/>
    <mergeCell ref="F21:H21"/>
    <mergeCell ref="F22:H22"/>
    <mergeCell ref="F83:H83"/>
    <mergeCell ref="F8:H8"/>
    <mergeCell ref="F14:H14"/>
    <mergeCell ref="F25:H25"/>
    <mergeCell ref="A84:A85"/>
    <mergeCell ref="A89:A90"/>
    <mergeCell ref="B89:B90"/>
    <mergeCell ref="C89:C90"/>
    <mergeCell ref="A86:A88"/>
    <mergeCell ref="B86:B88"/>
    <mergeCell ref="C86:C88"/>
    <mergeCell ref="F102:H102"/>
    <mergeCell ref="F99:H99"/>
    <mergeCell ref="F93:H93"/>
    <mergeCell ref="F86:H86"/>
    <mergeCell ref="F90:H90"/>
    <mergeCell ref="F91:H91"/>
    <mergeCell ref="F95:H95"/>
    <mergeCell ref="F88:H88"/>
    <mergeCell ref="F94:H94"/>
    <mergeCell ref="F96:H96"/>
  </mergeCells>
  <pageMargins left="0.19685039370078741" right="0.15748031496062992" top="0.9055118110236221" bottom="0.11811023622047245" header="0.51181102362204722" footer="0.35433070866141736"/>
  <pageSetup paperSize="9" scale="45" firstPageNumber="0" fitToHeight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83"/>
  <sheetViews>
    <sheetView topLeftCell="A69" zoomScale="75" zoomScaleNormal="75" zoomScaleSheetLayoutView="75" workbookViewId="0">
      <selection activeCell="T12" sqref="T12"/>
    </sheetView>
  </sheetViews>
  <sheetFormatPr defaultRowHeight="15.75" x14ac:dyDescent="0.2"/>
  <cols>
    <col min="1" max="1" width="6.5703125" style="12" customWidth="1"/>
    <col min="2" max="2" width="36.42578125" style="13" customWidth="1"/>
    <col min="3" max="3" width="16.140625" style="13" customWidth="1"/>
    <col min="4" max="5" width="9.140625" style="13"/>
    <col min="6" max="6" width="4.5703125" style="13" customWidth="1"/>
    <col min="7" max="7" width="2.42578125" style="13" customWidth="1"/>
    <col min="8" max="8" width="6.85546875" style="13" customWidth="1"/>
    <col min="9" max="9" width="9.140625" style="13"/>
    <col min="10" max="10" width="11.7109375" style="13" customWidth="1"/>
    <col min="11" max="11" width="11.85546875" style="13" customWidth="1"/>
    <col min="12" max="13" width="12" style="13" customWidth="1"/>
    <col min="14" max="14" width="11.85546875" style="13" customWidth="1"/>
    <col min="15" max="15" width="11.85546875" style="497" customWidth="1"/>
    <col min="16" max="16" width="11.5703125" style="552" customWidth="1"/>
    <col min="17" max="19" width="11.5703125" style="563" customWidth="1"/>
    <col min="20" max="20" width="11.5703125" style="567" customWidth="1"/>
    <col min="21" max="21" width="11.5703125" style="608" customWidth="1"/>
    <col min="22" max="22" width="11.5703125" style="13" customWidth="1"/>
    <col min="23" max="23" width="11.5703125" style="659" customWidth="1"/>
    <col min="24" max="24" width="14" style="395" customWidth="1"/>
    <col min="25" max="25" width="24.7109375" style="13" customWidth="1"/>
    <col min="26" max="16384" width="9.140625" style="434"/>
  </cols>
  <sheetData>
    <row r="1" spans="1:25" ht="63" customHeight="1" x14ac:dyDescent="0.2">
      <c r="E1" s="719"/>
      <c r="F1" s="719"/>
      <c r="G1" s="719"/>
      <c r="L1" s="719" t="s">
        <v>738</v>
      </c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</row>
    <row r="2" spans="1:25" ht="26.25" customHeight="1" x14ac:dyDescent="0.2">
      <c r="A2" s="856" t="s">
        <v>582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</row>
    <row r="3" spans="1:25" ht="18" customHeight="1" x14ac:dyDescent="0.2">
      <c r="A3" s="848" t="s">
        <v>58</v>
      </c>
      <c r="B3" s="852" t="s">
        <v>1</v>
      </c>
      <c r="C3" s="852" t="s">
        <v>139</v>
      </c>
      <c r="D3" s="852" t="s">
        <v>59</v>
      </c>
      <c r="E3" s="852"/>
      <c r="F3" s="852"/>
      <c r="G3" s="852"/>
      <c r="H3" s="852"/>
      <c r="I3" s="852"/>
      <c r="J3" s="852" t="s">
        <v>3</v>
      </c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852" t="s">
        <v>60</v>
      </c>
    </row>
    <row r="4" spans="1:25" ht="83.25" customHeight="1" x14ac:dyDescent="0.2">
      <c r="A4" s="848"/>
      <c r="B4" s="852"/>
      <c r="C4" s="852"/>
      <c r="D4" s="393" t="s">
        <v>138</v>
      </c>
      <c r="E4" s="393" t="s">
        <v>4</v>
      </c>
      <c r="F4" s="852" t="s">
        <v>5</v>
      </c>
      <c r="G4" s="852"/>
      <c r="H4" s="852"/>
      <c r="I4" s="393" t="s">
        <v>6</v>
      </c>
      <c r="J4" s="393" t="s">
        <v>7</v>
      </c>
      <c r="K4" s="393" t="s">
        <v>8</v>
      </c>
      <c r="L4" s="393" t="s">
        <v>9</v>
      </c>
      <c r="M4" s="393" t="s">
        <v>122</v>
      </c>
      <c r="N4" s="393" t="s">
        <v>160</v>
      </c>
      <c r="O4" s="493" t="s">
        <v>163</v>
      </c>
      <c r="P4" s="493" t="s">
        <v>164</v>
      </c>
      <c r="Q4" s="493" t="s">
        <v>391</v>
      </c>
      <c r="R4" s="493" t="s">
        <v>392</v>
      </c>
      <c r="S4" s="493" t="s">
        <v>439</v>
      </c>
      <c r="T4" s="493" t="s">
        <v>440</v>
      </c>
      <c r="U4" s="493" t="s">
        <v>441</v>
      </c>
      <c r="V4" s="393" t="s">
        <v>442</v>
      </c>
      <c r="W4" s="493" t="s">
        <v>443</v>
      </c>
      <c r="X4" s="393" t="s">
        <v>703</v>
      </c>
      <c r="Y4" s="852"/>
    </row>
    <row r="5" spans="1:25" ht="26.25" customHeight="1" x14ac:dyDescent="0.2">
      <c r="A5" s="392"/>
      <c r="B5" s="745" t="s">
        <v>645</v>
      </c>
      <c r="C5" s="745"/>
      <c r="D5" s="745"/>
      <c r="E5" s="745"/>
      <c r="F5" s="745"/>
      <c r="G5" s="745"/>
      <c r="H5" s="745"/>
      <c r="I5" s="745"/>
      <c r="J5" s="745"/>
      <c r="K5" s="745"/>
      <c r="L5" s="745"/>
      <c r="M5" s="745"/>
      <c r="N5" s="745"/>
      <c r="O5" s="745"/>
      <c r="P5" s="745"/>
      <c r="Q5" s="745"/>
      <c r="R5" s="745"/>
      <c r="S5" s="745"/>
      <c r="T5" s="745"/>
      <c r="U5" s="745"/>
      <c r="V5" s="745"/>
      <c r="W5" s="745"/>
      <c r="X5" s="745"/>
      <c r="Y5" s="393"/>
    </row>
    <row r="6" spans="1:25" ht="21" customHeight="1" x14ac:dyDescent="0.2">
      <c r="A6" s="392" t="s">
        <v>62</v>
      </c>
      <c r="B6" s="745" t="s">
        <v>94</v>
      </c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1"/>
    </row>
    <row r="7" spans="1:25" ht="57" customHeight="1" x14ac:dyDescent="0.2">
      <c r="A7" s="848" t="s">
        <v>64</v>
      </c>
      <c r="B7" s="745" t="s">
        <v>45</v>
      </c>
      <c r="C7" s="852" t="s">
        <v>66</v>
      </c>
      <c r="D7" s="392" t="s">
        <v>14</v>
      </c>
      <c r="E7" s="392" t="s">
        <v>18</v>
      </c>
      <c r="F7" s="848" t="s">
        <v>186</v>
      </c>
      <c r="G7" s="848"/>
      <c r="H7" s="848"/>
      <c r="I7" s="392" t="s">
        <v>67</v>
      </c>
      <c r="J7" s="118">
        <v>0</v>
      </c>
      <c r="K7" s="118">
        <v>0</v>
      </c>
      <c r="L7" s="118">
        <v>33663.5</v>
      </c>
      <c r="M7" s="118">
        <v>28129.5</v>
      </c>
      <c r="N7" s="118">
        <f>22608-N47-10.3</f>
        <v>22552.7</v>
      </c>
      <c r="O7" s="494">
        <v>23647.3</v>
      </c>
      <c r="P7" s="494">
        <f>31443.4-P47</f>
        <v>31381.9</v>
      </c>
      <c r="Q7" s="494">
        <f>2590.2-Q47-Q48+1138.9-39.2-58+60+230+69</f>
        <v>3919.4</v>
      </c>
      <c r="R7" s="494">
        <f>5191.4-R47-R48</f>
        <v>5119.8999999999996</v>
      </c>
      <c r="S7" s="494">
        <f>5210.9-S47-S48+1589.4+455+696-150</f>
        <v>7729.7999999999993</v>
      </c>
      <c r="T7" s="494">
        <f>5728.1-T47-T48+273.8+455.9+260+208+2455.8+371.6</f>
        <v>9681.7000000000007</v>
      </c>
      <c r="U7" s="494">
        <f>10391.2-U47-U48+258.8+1170</f>
        <v>11748.5</v>
      </c>
      <c r="V7" s="118">
        <f>12165.1-V47-V48-1500</f>
        <v>10593.6</v>
      </c>
      <c r="W7" s="494">
        <f>12165.1-W47-W48-1500</f>
        <v>10593.6</v>
      </c>
      <c r="X7" s="118">
        <f>SUM(J7:W7)</f>
        <v>198761.4</v>
      </c>
      <c r="Y7" s="853" t="s">
        <v>745</v>
      </c>
    </row>
    <row r="8" spans="1:25" ht="57" customHeight="1" x14ac:dyDescent="0.2">
      <c r="A8" s="848"/>
      <c r="B8" s="745"/>
      <c r="C8" s="852"/>
      <c r="D8" s="392" t="s">
        <v>14</v>
      </c>
      <c r="E8" s="392" t="s">
        <v>18</v>
      </c>
      <c r="F8" s="848" t="s">
        <v>562</v>
      </c>
      <c r="G8" s="848"/>
      <c r="H8" s="848"/>
      <c r="I8" s="392" t="s">
        <v>67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  <c r="O8" s="494">
        <v>0</v>
      </c>
      <c r="P8" s="494">
        <v>0</v>
      </c>
      <c r="Q8" s="494">
        <v>4364.7</v>
      </c>
      <c r="R8" s="494">
        <v>4652</v>
      </c>
      <c r="S8" s="494">
        <f>4879.9+150</f>
        <v>5029.8999999999996</v>
      </c>
      <c r="T8" s="494">
        <f>4819.9+251.3</f>
        <v>5071.2</v>
      </c>
      <c r="U8" s="494">
        <v>6154.2</v>
      </c>
      <c r="V8" s="118">
        <v>6154.2</v>
      </c>
      <c r="W8" s="494">
        <v>6154.2</v>
      </c>
      <c r="X8" s="118">
        <f t="shared" ref="X8:X71" si="0">SUM(J8:W8)</f>
        <v>37580.400000000001</v>
      </c>
      <c r="Y8" s="854"/>
    </row>
    <row r="9" spans="1:25" ht="57" customHeight="1" x14ac:dyDescent="0.2">
      <c r="A9" s="848"/>
      <c r="B9" s="745"/>
      <c r="C9" s="852"/>
      <c r="D9" s="392" t="s">
        <v>14</v>
      </c>
      <c r="E9" s="392" t="s">
        <v>18</v>
      </c>
      <c r="F9" s="848" t="s">
        <v>563</v>
      </c>
      <c r="G9" s="848"/>
      <c r="H9" s="848"/>
      <c r="I9" s="392" t="s">
        <v>67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494">
        <v>0</v>
      </c>
      <c r="P9" s="494">
        <v>0</v>
      </c>
      <c r="Q9" s="494">
        <f>28292.3+657.1</f>
        <v>28949.399999999998</v>
      </c>
      <c r="R9" s="494">
        <v>33801.199999999997</v>
      </c>
      <c r="S9" s="494">
        <f>35817.2+2642.2</f>
        <v>38459.399999999994</v>
      </c>
      <c r="T9" s="494">
        <f>36099.4+5799.5+383.4+4917.9</f>
        <v>47200.200000000004</v>
      </c>
      <c r="U9" s="494">
        <f>47890.4+8681.1</f>
        <v>56571.5</v>
      </c>
      <c r="V9" s="118">
        <v>47890.400000000001</v>
      </c>
      <c r="W9" s="494">
        <v>47890.400000000001</v>
      </c>
      <c r="X9" s="118">
        <f t="shared" si="0"/>
        <v>300762.5</v>
      </c>
      <c r="Y9" s="854"/>
    </row>
    <row r="10" spans="1:25" ht="29.25" customHeight="1" x14ac:dyDescent="0.2">
      <c r="A10" s="848"/>
      <c r="B10" s="745"/>
      <c r="C10" s="852"/>
      <c r="D10" s="392" t="s">
        <v>14</v>
      </c>
      <c r="E10" s="392" t="s">
        <v>18</v>
      </c>
      <c r="F10" s="848" t="s">
        <v>251</v>
      </c>
      <c r="G10" s="848"/>
      <c r="H10" s="848"/>
      <c r="I10" s="392" t="s">
        <v>67</v>
      </c>
      <c r="J10" s="118">
        <v>31292.1</v>
      </c>
      <c r="K10" s="118">
        <v>33214.9</v>
      </c>
      <c r="L10" s="118">
        <v>0</v>
      </c>
      <c r="M10" s="118">
        <v>0</v>
      </c>
      <c r="N10" s="118">
        <v>0</v>
      </c>
      <c r="O10" s="494">
        <v>0</v>
      </c>
      <c r="P10" s="494">
        <v>0</v>
      </c>
      <c r="Q10" s="494">
        <v>0</v>
      </c>
      <c r="R10" s="494">
        <v>0</v>
      </c>
      <c r="S10" s="494">
        <v>0</v>
      </c>
      <c r="T10" s="494">
        <v>0</v>
      </c>
      <c r="U10" s="494">
        <v>0</v>
      </c>
      <c r="V10" s="118">
        <v>0</v>
      </c>
      <c r="W10" s="494">
        <v>0</v>
      </c>
      <c r="X10" s="118">
        <f t="shared" si="0"/>
        <v>64507</v>
      </c>
      <c r="Y10" s="854"/>
    </row>
    <row r="11" spans="1:25" ht="42.75" customHeight="1" x14ac:dyDescent="0.2">
      <c r="A11" s="848" t="s">
        <v>69</v>
      </c>
      <c r="B11" s="745" t="s">
        <v>106</v>
      </c>
      <c r="C11" s="852" t="s">
        <v>66</v>
      </c>
      <c r="D11" s="392" t="s">
        <v>14</v>
      </c>
      <c r="E11" s="392" t="s">
        <v>18</v>
      </c>
      <c r="F11" s="848" t="s">
        <v>186</v>
      </c>
      <c r="G11" s="848"/>
      <c r="H11" s="848"/>
      <c r="I11" s="392" t="s">
        <v>68</v>
      </c>
      <c r="J11" s="118">
        <v>0</v>
      </c>
      <c r="K11" s="118">
        <v>0</v>
      </c>
      <c r="L11" s="118">
        <v>1700.1</v>
      </c>
      <c r="M11" s="118">
        <v>145.30000000000001</v>
      </c>
      <c r="N11" s="118">
        <v>329</v>
      </c>
      <c r="O11" s="494">
        <v>481.4</v>
      </c>
      <c r="P11" s="494">
        <v>176.3</v>
      </c>
      <c r="Q11" s="494">
        <f>584+58+4500-993.8</f>
        <v>4148.2</v>
      </c>
      <c r="R11" s="494">
        <v>1214.3</v>
      </c>
      <c r="S11" s="494">
        <v>5000</v>
      </c>
      <c r="T11" s="494">
        <v>96.5</v>
      </c>
      <c r="U11" s="494">
        <v>0</v>
      </c>
      <c r="V11" s="118">
        <v>0</v>
      </c>
      <c r="W11" s="494">
        <v>0</v>
      </c>
      <c r="X11" s="118">
        <f t="shared" si="0"/>
        <v>13291.099999999999</v>
      </c>
      <c r="Y11" s="854"/>
    </row>
    <row r="12" spans="1:25" ht="42.75" customHeight="1" x14ac:dyDescent="0.2">
      <c r="A12" s="848"/>
      <c r="B12" s="745"/>
      <c r="C12" s="852"/>
      <c r="D12" s="392" t="s">
        <v>14</v>
      </c>
      <c r="E12" s="392" t="s">
        <v>18</v>
      </c>
      <c r="F12" s="848" t="s">
        <v>251</v>
      </c>
      <c r="G12" s="848"/>
      <c r="H12" s="848"/>
      <c r="I12" s="392" t="s">
        <v>68</v>
      </c>
      <c r="J12" s="118">
        <v>450.9</v>
      </c>
      <c r="K12" s="118">
        <v>430.3</v>
      </c>
      <c r="L12" s="118"/>
      <c r="M12" s="118"/>
      <c r="N12" s="118"/>
      <c r="O12" s="494"/>
      <c r="P12" s="494">
        <v>0</v>
      </c>
      <c r="Q12" s="494">
        <v>0</v>
      </c>
      <c r="R12" s="494">
        <v>0</v>
      </c>
      <c r="S12" s="494">
        <v>0</v>
      </c>
      <c r="T12" s="494">
        <v>0</v>
      </c>
      <c r="U12" s="494">
        <v>0</v>
      </c>
      <c r="V12" s="118">
        <v>0</v>
      </c>
      <c r="W12" s="494">
        <v>0</v>
      </c>
      <c r="X12" s="118">
        <f t="shared" si="0"/>
        <v>881.2</v>
      </c>
      <c r="Y12" s="854"/>
    </row>
    <row r="13" spans="1:25" ht="53.25" customHeight="1" x14ac:dyDescent="0.2">
      <c r="A13" s="848" t="s">
        <v>70</v>
      </c>
      <c r="B13" s="745" t="s">
        <v>95</v>
      </c>
      <c r="C13" s="852" t="s">
        <v>66</v>
      </c>
      <c r="D13" s="392" t="s">
        <v>14</v>
      </c>
      <c r="E13" s="392" t="s">
        <v>18</v>
      </c>
      <c r="F13" s="848" t="s">
        <v>187</v>
      </c>
      <c r="G13" s="848"/>
      <c r="H13" s="848"/>
      <c r="I13" s="392" t="s">
        <v>67</v>
      </c>
      <c r="J13" s="118">
        <v>0</v>
      </c>
      <c r="K13" s="118">
        <v>0</v>
      </c>
      <c r="L13" s="118">
        <v>3590.2</v>
      </c>
      <c r="M13" s="118">
        <f>3692.2-897.5-29.3-0.1</f>
        <v>2765.2999999999997</v>
      </c>
      <c r="N13" s="118">
        <v>271</v>
      </c>
      <c r="O13" s="494">
        <v>382.7</v>
      </c>
      <c r="P13" s="494">
        <v>0</v>
      </c>
      <c r="Q13" s="494">
        <v>0</v>
      </c>
      <c r="R13" s="494">
        <v>0</v>
      </c>
      <c r="S13" s="494">
        <v>0</v>
      </c>
      <c r="T13" s="494">
        <v>0</v>
      </c>
      <c r="U13" s="494">
        <v>0</v>
      </c>
      <c r="V13" s="118">
        <v>0</v>
      </c>
      <c r="W13" s="494">
        <v>0</v>
      </c>
      <c r="X13" s="118">
        <f t="shared" si="0"/>
        <v>7009.2</v>
      </c>
      <c r="Y13" s="854"/>
    </row>
    <row r="14" spans="1:25" ht="32.25" customHeight="1" x14ac:dyDescent="0.2">
      <c r="A14" s="848"/>
      <c r="B14" s="745"/>
      <c r="C14" s="852"/>
      <c r="D14" s="392" t="s">
        <v>14</v>
      </c>
      <c r="E14" s="392" t="s">
        <v>18</v>
      </c>
      <c r="F14" s="848" t="s">
        <v>252</v>
      </c>
      <c r="G14" s="848"/>
      <c r="H14" s="848"/>
      <c r="I14" s="392" t="s">
        <v>67</v>
      </c>
      <c r="J14" s="118">
        <f>1320.1-0.05</f>
        <v>1320.05</v>
      </c>
      <c r="K14" s="118">
        <v>2218.6999999999998</v>
      </c>
      <c r="L14" s="118">
        <v>0</v>
      </c>
      <c r="M14" s="118">
        <v>0</v>
      </c>
      <c r="N14" s="118">
        <v>0</v>
      </c>
      <c r="O14" s="494">
        <v>0</v>
      </c>
      <c r="P14" s="494">
        <v>0</v>
      </c>
      <c r="Q14" s="494">
        <v>0</v>
      </c>
      <c r="R14" s="494">
        <v>0</v>
      </c>
      <c r="S14" s="494">
        <v>0</v>
      </c>
      <c r="T14" s="494">
        <v>0</v>
      </c>
      <c r="U14" s="494">
        <v>0</v>
      </c>
      <c r="V14" s="118">
        <v>0</v>
      </c>
      <c r="W14" s="494">
        <v>0</v>
      </c>
      <c r="X14" s="118">
        <f t="shared" si="0"/>
        <v>3538.75</v>
      </c>
      <c r="Y14" s="854"/>
    </row>
    <row r="15" spans="1:25" ht="50.25" customHeight="1" x14ac:dyDescent="0.2">
      <c r="A15" s="848" t="s">
        <v>107</v>
      </c>
      <c r="B15" s="745" t="s">
        <v>96</v>
      </c>
      <c r="C15" s="852" t="s">
        <v>66</v>
      </c>
      <c r="D15" s="392" t="s">
        <v>14</v>
      </c>
      <c r="E15" s="392" t="s">
        <v>18</v>
      </c>
      <c r="F15" s="848" t="s">
        <v>188</v>
      </c>
      <c r="G15" s="848"/>
      <c r="H15" s="848"/>
      <c r="I15" s="392" t="s">
        <v>67</v>
      </c>
      <c r="J15" s="118">
        <v>0</v>
      </c>
      <c r="K15" s="118">
        <v>0</v>
      </c>
      <c r="L15" s="118">
        <v>150.30000000000001</v>
      </c>
      <c r="M15" s="118">
        <f>204.4+28.3+43</f>
        <v>275.70000000000005</v>
      </c>
      <c r="N15" s="118">
        <v>278.3</v>
      </c>
      <c r="O15" s="494">
        <v>297.89999999999998</v>
      </c>
      <c r="P15" s="494">
        <v>0</v>
      </c>
      <c r="Q15" s="494">
        <v>0</v>
      </c>
      <c r="R15" s="494">
        <v>0</v>
      </c>
      <c r="S15" s="494">
        <v>0</v>
      </c>
      <c r="T15" s="494">
        <v>0</v>
      </c>
      <c r="U15" s="494">
        <v>0</v>
      </c>
      <c r="V15" s="118">
        <v>0</v>
      </c>
      <c r="W15" s="494">
        <v>0</v>
      </c>
      <c r="X15" s="118">
        <f t="shared" si="0"/>
        <v>1002.2</v>
      </c>
      <c r="Y15" s="854"/>
    </row>
    <row r="16" spans="1:25" ht="32.25" customHeight="1" x14ac:dyDescent="0.2">
      <c r="A16" s="848"/>
      <c r="B16" s="745"/>
      <c r="C16" s="852"/>
      <c r="D16" s="392" t="s">
        <v>14</v>
      </c>
      <c r="E16" s="392" t="s">
        <v>18</v>
      </c>
      <c r="F16" s="848" t="s">
        <v>253</v>
      </c>
      <c r="G16" s="848"/>
      <c r="H16" s="848"/>
      <c r="I16" s="392" t="s">
        <v>67</v>
      </c>
      <c r="J16" s="118">
        <f>177.2-0.05</f>
        <v>177.14999999999998</v>
      </c>
      <c r="K16" s="118">
        <v>129.9</v>
      </c>
      <c r="L16" s="118">
        <v>0</v>
      </c>
      <c r="M16" s="118">
        <v>0</v>
      </c>
      <c r="N16" s="118">
        <v>0</v>
      </c>
      <c r="O16" s="494">
        <v>0</v>
      </c>
      <c r="P16" s="494">
        <v>0</v>
      </c>
      <c r="Q16" s="494">
        <v>0</v>
      </c>
      <c r="R16" s="494">
        <v>0</v>
      </c>
      <c r="S16" s="494">
        <v>0</v>
      </c>
      <c r="T16" s="494">
        <v>0</v>
      </c>
      <c r="U16" s="494">
        <v>0</v>
      </c>
      <c r="V16" s="118">
        <v>0</v>
      </c>
      <c r="W16" s="494">
        <v>0</v>
      </c>
      <c r="X16" s="118">
        <f t="shared" si="0"/>
        <v>307.04999999999995</v>
      </c>
      <c r="Y16" s="855"/>
    </row>
    <row r="17" spans="1:25" ht="212.25" customHeight="1" x14ac:dyDescent="0.2">
      <c r="A17" s="392" t="s">
        <v>114</v>
      </c>
      <c r="B17" s="394" t="s">
        <v>432</v>
      </c>
      <c r="C17" s="330" t="s">
        <v>66</v>
      </c>
      <c r="D17" s="392" t="s">
        <v>14</v>
      </c>
      <c r="E17" s="392" t="s">
        <v>18</v>
      </c>
      <c r="F17" s="848" t="s">
        <v>157</v>
      </c>
      <c r="G17" s="848"/>
      <c r="H17" s="848"/>
      <c r="I17" s="392" t="s">
        <v>68</v>
      </c>
      <c r="J17" s="118">
        <v>0</v>
      </c>
      <c r="K17" s="118">
        <v>130.30000000000001</v>
      </c>
      <c r="L17" s="118">
        <v>0</v>
      </c>
      <c r="M17" s="118">
        <v>0</v>
      </c>
      <c r="N17" s="118">
        <v>0</v>
      </c>
      <c r="O17" s="494">
        <v>0</v>
      </c>
      <c r="P17" s="494">
        <v>0</v>
      </c>
      <c r="Q17" s="494">
        <v>0</v>
      </c>
      <c r="R17" s="494">
        <v>0</v>
      </c>
      <c r="S17" s="494">
        <v>0</v>
      </c>
      <c r="T17" s="494">
        <v>0</v>
      </c>
      <c r="U17" s="494">
        <v>0</v>
      </c>
      <c r="V17" s="118">
        <v>0</v>
      </c>
      <c r="W17" s="494">
        <v>0</v>
      </c>
      <c r="X17" s="118">
        <f t="shared" si="0"/>
        <v>130.30000000000001</v>
      </c>
      <c r="Y17" s="691" t="s">
        <v>165</v>
      </c>
    </row>
    <row r="18" spans="1:25" ht="229.5" customHeight="1" x14ac:dyDescent="0.2">
      <c r="A18" s="392" t="s">
        <v>115</v>
      </c>
      <c r="B18" s="330" t="s">
        <v>438</v>
      </c>
      <c r="C18" s="330" t="s">
        <v>66</v>
      </c>
      <c r="D18" s="392" t="s">
        <v>14</v>
      </c>
      <c r="E18" s="392" t="s">
        <v>18</v>
      </c>
      <c r="F18" s="848" t="s">
        <v>158</v>
      </c>
      <c r="G18" s="848"/>
      <c r="H18" s="848"/>
      <c r="I18" s="392" t="s">
        <v>68</v>
      </c>
      <c r="J18" s="118">
        <v>0</v>
      </c>
      <c r="K18" s="118">
        <v>32.6</v>
      </c>
      <c r="L18" s="118">
        <v>0</v>
      </c>
      <c r="M18" s="118">
        <v>0</v>
      </c>
      <c r="N18" s="118">
        <v>0</v>
      </c>
      <c r="O18" s="494">
        <v>0</v>
      </c>
      <c r="P18" s="494">
        <v>0</v>
      </c>
      <c r="Q18" s="494">
        <v>0</v>
      </c>
      <c r="R18" s="494">
        <v>0</v>
      </c>
      <c r="S18" s="494">
        <v>0</v>
      </c>
      <c r="T18" s="494">
        <v>0</v>
      </c>
      <c r="U18" s="494">
        <v>0</v>
      </c>
      <c r="V18" s="118">
        <v>0</v>
      </c>
      <c r="W18" s="494">
        <v>0</v>
      </c>
      <c r="X18" s="118">
        <f t="shared" si="0"/>
        <v>32.6</v>
      </c>
      <c r="Y18" s="690"/>
    </row>
    <row r="19" spans="1:25" ht="207" customHeight="1" x14ac:dyDescent="0.2">
      <c r="A19" s="392" t="s">
        <v>142</v>
      </c>
      <c r="B19" s="330" t="s">
        <v>229</v>
      </c>
      <c r="C19" s="330" t="s">
        <v>66</v>
      </c>
      <c r="D19" s="392" t="s">
        <v>14</v>
      </c>
      <c r="E19" s="392" t="s">
        <v>18</v>
      </c>
      <c r="F19" s="848" t="s">
        <v>230</v>
      </c>
      <c r="G19" s="848"/>
      <c r="H19" s="848"/>
      <c r="I19" s="392" t="s">
        <v>68</v>
      </c>
      <c r="J19" s="118">
        <v>0</v>
      </c>
      <c r="K19" s="118">
        <v>0</v>
      </c>
      <c r="L19" s="118">
        <v>600</v>
      </c>
      <c r="M19" s="118">
        <v>0</v>
      </c>
      <c r="N19" s="118">
        <v>0</v>
      </c>
      <c r="O19" s="494">
        <v>0</v>
      </c>
      <c r="P19" s="494">
        <v>0</v>
      </c>
      <c r="Q19" s="494">
        <v>0</v>
      </c>
      <c r="R19" s="494">
        <v>0</v>
      </c>
      <c r="S19" s="494">
        <v>0</v>
      </c>
      <c r="T19" s="494">
        <v>0</v>
      </c>
      <c r="U19" s="494">
        <v>0</v>
      </c>
      <c r="V19" s="118">
        <v>0</v>
      </c>
      <c r="W19" s="494">
        <v>0</v>
      </c>
      <c r="X19" s="118">
        <f t="shared" si="0"/>
        <v>600</v>
      </c>
      <c r="Y19" s="690" t="s">
        <v>265</v>
      </c>
    </row>
    <row r="20" spans="1:25" ht="84" customHeight="1" x14ac:dyDescent="0.2">
      <c r="A20" s="392" t="s">
        <v>212</v>
      </c>
      <c r="B20" s="330" t="s">
        <v>214</v>
      </c>
      <c r="C20" s="330" t="s">
        <v>66</v>
      </c>
      <c r="D20" s="392" t="s">
        <v>14</v>
      </c>
      <c r="E20" s="392" t="s">
        <v>18</v>
      </c>
      <c r="F20" s="848" t="s">
        <v>281</v>
      </c>
      <c r="G20" s="848"/>
      <c r="H20" s="848"/>
      <c r="I20" s="392" t="s">
        <v>68</v>
      </c>
      <c r="J20" s="118">
        <v>0</v>
      </c>
      <c r="K20" s="118">
        <v>0</v>
      </c>
      <c r="L20" s="118">
        <v>9.1</v>
      </c>
      <c r="M20" s="118">
        <v>5</v>
      </c>
      <c r="N20" s="118">
        <v>0</v>
      </c>
      <c r="O20" s="494">
        <v>0</v>
      </c>
      <c r="P20" s="494">
        <v>0</v>
      </c>
      <c r="Q20" s="494">
        <v>0</v>
      </c>
      <c r="R20" s="494">
        <v>0</v>
      </c>
      <c r="S20" s="494">
        <v>0</v>
      </c>
      <c r="T20" s="494">
        <v>0</v>
      </c>
      <c r="U20" s="494">
        <v>0</v>
      </c>
      <c r="V20" s="118">
        <v>0</v>
      </c>
      <c r="W20" s="494">
        <v>0</v>
      </c>
      <c r="X20" s="118">
        <f t="shared" si="0"/>
        <v>14.1</v>
      </c>
      <c r="Y20" s="690"/>
    </row>
    <row r="21" spans="1:25" ht="228.75" customHeight="1" x14ac:dyDescent="0.2">
      <c r="A21" s="392" t="s">
        <v>215</v>
      </c>
      <c r="B21" s="330" t="s">
        <v>189</v>
      </c>
      <c r="C21" s="330" t="s">
        <v>66</v>
      </c>
      <c r="D21" s="392" t="s">
        <v>14</v>
      </c>
      <c r="E21" s="392" t="s">
        <v>18</v>
      </c>
      <c r="F21" s="848" t="s">
        <v>412</v>
      </c>
      <c r="G21" s="848"/>
      <c r="H21" s="848"/>
      <c r="I21" s="392" t="s">
        <v>67</v>
      </c>
      <c r="J21" s="118">
        <v>0</v>
      </c>
      <c r="K21" s="118">
        <v>0</v>
      </c>
      <c r="L21" s="118">
        <v>69.8</v>
      </c>
      <c r="M21" s="118">
        <f>65.8+3.9</f>
        <v>69.7</v>
      </c>
      <c r="N21" s="118">
        <v>124</v>
      </c>
      <c r="O21" s="494">
        <v>69.3</v>
      </c>
      <c r="P21" s="494">
        <v>0</v>
      </c>
      <c r="Q21" s="494">
        <v>0</v>
      </c>
      <c r="R21" s="494">
        <v>0</v>
      </c>
      <c r="S21" s="494">
        <v>0</v>
      </c>
      <c r="T21" s="494">
        <v>0</v>
      </c>
      <c r="U21" s="494">
        <v>0</v>
      </c>
      <c r="V21" s="118">
        <v>0</v>
      </c>
      <c r="W21" s="494">
        <v>0</v>
      </c>
      <c r="X21" s="118">
        <f t="shared" si="0"/>
        <v>332.8</v>
      </c>
      <c r="Y21" s="690"/>
    </row>
    <row r="22" spans="1:25" ht="145.5" customHeight="1" x14ac:dyDescent="0.2">
      <c r="A22" s="392" t="s">
        <v>218</v>
      </c>
      <c r="B22" s="330" t="s">
        <v>216</v>
      </c>
      <c r="C22" s="330" t="s">
        <v>66</v>
      </c>
      <c r="D22" s="392" t="s">
        <v>14</v>
      </c>
      <c r="E22" s="392" t="s">
        <v>18</v>
      </c>
      <c r="F22" s="848" t="s">
        <v>217</v>
      </c>
      <c r="G22" s="848"/>
      <c r="H22" s="848"/>
      <c r="I22" s="392" t="s">
        <v>68</v>
      </c>
      <c r="J22" s="118">
        <v>0</v>
      </c>
      <c r="K22" s="118">
        <v>0</v>
      </c>
      <c r="L22" s="118">
        <v>100</v>
      </c>
      <c r="M22" s="118">
        <v>0</v>
      </c>
      <c r="N22" s="118">
        <v>0</v>
      </c>
      <c r="O22" s="494">
        <v>0</v>
      </c>
      <c r="P22" s="494">
        <v>0</v>
      </c>
      <c r="Q22" s="494">
        <v>0</v>
      </c>
      <c r="R22" s="494">
        <v>0</v>
      </c>
      <c r="S22" s="494">
        <v>0</v>
      </c>
      <c r="T22" s="494">
        <v>0</v>
      </c>
      <c r="U22" s="494">
        <v>0</v>
      </c>
      <c r="V22" s="118">
        <v>0</v>
      </c>
      <c r="W22" s="494">
        <v>0</v>
      </c>
      <c r="X22" s="118">
        <f t="shared" si="0"/>
        <v>100</v>
      </c>
      <c r="Y22" s="690"/>
    </row>
    <row r="23" spans="1:25" ht="149.25" hidden="1" customHeight="1" x14ac:dyDescent="0.2">
      <c r="A23" s="392"/>
      <c r="B23" s="330"/>
      <c r="C23" s="330"/>
      <c r="D23" s="392"/>
      <c r="E23" s="392"/>
      <c r="F23" s="848"/>
      <c r="G23" s="848"/>
      <c r="H23" s="848"/>
      <c r="I23" s="392"/>
      <c r="J23" s="118"/>
      <c r="K23" s="118"/>
      <c r="L23" s="118"/>
      <c r="M23" s="118"/>
      <c r="N23" s="118"/>
      <c r="O23" s="494"/>
      <c r="P23" s="494">
        <f t="shared" ref="P23:R24" si="1">O23</f>
        <v>0</v>
      </c>
      <c r="Q23" s="494">
        <f t="shared" si="1"/>
        <v>0</v>
      </c>
      <c r="R23" s="494">
        <f t="shared" si="1"/>
        <v>0</v>
      </c>
      <c r="S23" s="494"/>
      <c r="T23" s="494"/>
      <c r="U23" s="494"/>
      <c r="V23" s="118"/>
      <c r="W23" s="494"/>
      <c r="X23" s="118">
        <f t="shared" si="0"/>
        <v>0</v>
      </c>
      <c r="Y23" s="690"/>
    </row>
    <row r="24" spans="1:25" ht="149.25" hidden="1" customHeight="1" x14ac:dyDescent="0.2">
      <c r="A24" s="392"/>
      <c r="B24" s="330"/>
      <c r="C24" s="330"/>
      <c r="D24" s="392"/>
      <c r="E24" s="392"/>
      <c r="F24" s="848"/>
      <c r="G24" s="848"/>
      <c r="H24" s="848"/>
      <c r="I24" s="392"/>
      <c r="J24" s="118"/>
      <c r="K24" s="118"/>
      <c r="L24" s="118"/>
      <c r="M24" s="118"/>
      <c r="N24" s="118"/>
      <c r="O24" s="494"/>
      <c r="P24" s="494">
        <f t="shared" si="1"/>
        <v>0</v>
      </c>
      <c r="Q24" s="494">
        <f t="shared" si="1"/>
        <v>0</v>
      </c>
      <c r="R24" s="494">
        <f t="shared" si="1"/>
        <v>0</v>
      </c>
      <c r="S24" s="494"/>
      <c r="T24" s="494"/>
      <c r="U24" s="494"/>
      <c r="V24" s="118"/>
      <c r="W24" s="494"/>
      <c r="X24" s="118">
        <f t="shared" si="0"/>
        <v>0</v>
      </c>
      <c r="Y24" s="690"/>
    </row>
    <row r="25" spans="1:25" ht="138.75" customHeight="1" x14ac:dyDescent="0.2">
      <c r="A25" s="392" t="s">
        <v>219</v>
      </c>
      <c r="B25" s="330" t="s">
        <v>383</v>
      </c>
      <c r="C25" s="330" t="s">
        <v>66</v>
      </c>
      <c r="D25" s="392" t="s">
        <v>14</v>
      </c>
      <c r="E25" s="392" t="s">
        <v>222</v>
      </c>
      <c r="F25" s="848" t="s">
        <v>223</v>
      </c>
      <c r="G25" s="848"/>
      <c r="H25" s="848"/>
      <c r="I25" s="392" t="s">
        <v>68</v>
      </c>
      <c r="J25" s="118">
        <v>0</v>
      </c>
      <c r="K25" s="118">
        <v>0</v>
      </c>
      <c r="L25" s="118">
        <v>810</v>
      </c>
      <c r="M25" s="118">
        <v>0</v>
      </c>
      <c r="N25" s="118">
        <v>0</v>
      </c>
      <c r="O25" s="494">
        <v>0</v>
      </c>
      <c r="P25" s="494">
        <v>0</v>
      </c>
      <c r="Q25" s="494">
        <v>0</v>
      </c>
      <c r="R25" s="494">
        <v>0</v>
      </c>
      <c r="S25" s="494">
        <v>0</v>
      </c>
      <c r="T25" s="494">
        <v>0</v>
      </c>
      <c r="U25" s="494">
        <v>0</v>
      </c>
      <c r="V25" s="118">
        <v>0</v>
      </c>
      <c r="W25" s="494">
        <v>0</v>
      </c>
      <c r="X25" s="118">
        <f t="shared" si="0"/>
        <v>810</v>
      </c>
      <c r="Y25" s="690" t="s">
        <v>266</v>
      </c>
    </row>
    <row r="26" spans="1:25" ht="160.5" customHeight="1" x14ac:dyDescent="0.2">
      <c r="A26" s="392" t="s">
        <v>228</v>
      </c>
      <c r="B26" s="330" t="s">
        <v>221</v>
      </c>
      <c r="C26" s="330" t="s">
        <v>66</v>
      </c>
      <c r="D26" s="392" t="s">
        <v>14</v>
      </c>
      <c r="E26" s="392" t="s">
        <v>222</v>
      </c>
      <c r="F26" s="848" t="s">
        <v>224</v>
      </c>
      <c r="G26" s="848"/>
      <c r="H26" s="848"/>
      <c r="I26" s="392" t="s">
        <v>68</v>
      </c>
      <c r="J26" s="118">
        <v>0</v>
      </c>
      <c r="K26" s="118">
        <v>0</v>
      </c>
      <c r="L26" s="118">
        <v>16</v>
      </c>
      <c r="M26" s="118">
        <v>0</v>
      </c>
      <c r="N26" s="118">
        <v>0</v>
      </c>
      <c r="O26" s="494">
        <v>0</v>
      </c>
      <c r="P26" s="494">
        <v>0</v>
      </c>
      <c r="Q26" s="494">
        <v>0</v>
      </c>
      <c r="R26" s="494">
        <v>0</v>
      </c>
      <c r="S26" s="494">
        <v>0</v>
      </c>
      <c r="T26" s="494">
        <v>0</v>
      </c>
      <c r="U26" s="494">
        <v>0</v>
      </c>
      <c r="V26" s="118">
        <v>0</v>
      </c>
      <c r="W26" s="494">
        <v>0</v>
      </c>
      <c r="X26" s="118">
        <f t="shared" si="0"/>
        <v>16</v>
      </c>
      <c r="Y26" s="690"/>
    </row>
    <row r="27" spans="1:25" ht="225" customHeight="1" x14ac:dyDescent="0.2">
      <c r="A27" s="392" t="s">
        <v>254</v>
      </c>
      <c r="B27" s="330" t="s">
        <v>384</v>
      </c>
      <c r="C27" s="330" t="s">
        <v>66</v>
      </c>
      <c r="D27" s="392" t="s">
        <v>14</v>
      </c>
      <c r="E27" s="392" t="s">
        <v>18</v>
      </c>
      <c r="F27" s="848" t="s">
        <v>255</v>
      </c>
      <c r="G27" s="848"/>
      <c r="H27" s="848"/>
      <c r="I27" s="392" t="s">
        <v>67</v>
      </c>
      <c r="J27" s="118">
        <v>40</v>
      </c>
      <c r="K27" s="118">
        <v>0</v>
      </c>
      <c r="L27" s="118">
        <v>0</v>
      </c>
      <c r="M27" s="118">
        <v>0</v>
      </c>
      <c r="N27" s="118">
        <v>0</v>
      </c>
      <c r="O27" s="494">
        <v>0</v>
      </c>
      <c r="P27" s="494">
        <v>0</v>
      </c>
      <c r="Q27" s="494">
        <v>0</v>
      </c>
      <c r="R27" s="494">
        <v>0</v>
      </c>
      <c r="S27" s="494">
        <v>0</v>
      </c>
      <c r="T27" s="494">
        <v>0</v>
      </c>
      <c r="U27" s="494">
        <v>0</v>
      </c>
      <c r="V27" s="118">
        <v>0</v>
      </c>
      <c r="W27" s="494">
        <v>0</v>
      </c>
      <c r="X27" s="118">
        <f t="shared" si="0"/>
        <v>40</v>
      </c>
      <c r="Y27" s="690"/>
    </row>
    <row r="28" spans="1:25" ht="178.5" customHeight="1" x14ac:dyDescent="0.2">
      <c r="A28" s="392" t="s">
        <v>283</v>
      </c>
      <c r="B28" s="71" t="s">
        <v>385</v>
      </c>
      <c r="C28" s="330" t="s">
        <v>66</v>
      </c>
      <c r="D28" s="392" t="s">
        <v>14</v>
      </c>
      <c r="E28" s="392" t="s">
        <v>18</v>
      </c>
      <c r="F28" s="848" t="s">
        <v>396</v>
      </c>
      <c r="G28" s="848"/>
      <c r="H28" s="848"/>
      <c r="I28" s="392" t="s">
        <v>68</v>
      </c>
      <c r="J28" s="118">
        <v>0</v>
      </c>
      <c r="K28" s="118">
        <v>0</v>
      </c>
      <c r="L28" s="118">
        <v>0</v>
      </c>
      <c r="M28" s="118">
        <v>189.9</v>
      </c>
      <c r="N28" s="118"/>
      <c r="O28" s="494"/>
      <c r="P28" s="494">
        <v>0</v>
      </c>
      <c r="Q28" s="494">
        <v>0</v>
      </c>
      <c r="R28" s="494">
        <v>0</v>
      </c>
      <c r="S28" s="494">
        <v>0</v>
      </c>
      <c r="T28" s="494">
        <v>0</v>
      </c>
      <c r="U28" s="494">
        <v>0</v>
      </c>
      <c r="V28" s="118">
        <v>0</v>
      </c>
      <c r="W28" s="494">
        <v>0</v>
      </c>
      <c r="X28" s="118">
        <f t="shared" si="0"/>
        <v>189.9</v>
      </c>
      <c r="Y28" s="690"/>
    </row>
    <row r="29" spans="1:25" ht="193.5" customHeight="1" x14ac:dyDescent="0.25">
      <c r="A29" s="392" t="s">
        <v>285</v>
      </c>
      <c r="B29" s="60" t="s">
        <v>386</v>
      </c>
      <c r="C29" s="330" t="s">
        <v>66</v>
      </c>
      <c r="D29" s="392" t="s">
        <v>14</v>
      </c>
      <c r="E29" s="392" t="s">
        <v>18</v>
      </c>
      <c r="F29" s="848" t="s">
        <v>328</v>
      </c>
      <c r="G29" s="848"/>
      <c r="H29" s="848"/>
      <c r="I29" s="392" t="s">
        <v>68</v>
      </c>
      <c r="J29" s="118">
        <v>0</v>
      </c>
      <c r="K29" s="118">
        <v>0</v>
      </c>
      <c r="L29" s="118">
        <v>0</v>
      </c>
      <c r="M29" s="118">
        <v>3559.1</v>
      </c>
      <c r="N29" s="118">
        <v>0</v>
      </c>
      <c r="O29" s="494">
        <v>0</v>
      </c>
      <c r="P29" s="494">
        <v>0</v>
      </c>
      <c r="Q29" s="494">
        <v>0</v>
      </c>
      <c r="R29" s="494">
        <v>0</v>
      </c>
      <c r="S29" s="494">
        <v>0</v>
      </c>
      <c r="T29" s="494">
        <v>0</v>
      </c>
      <c r="U29" s="494">
        <v>0</v>
      </c>
      <c r="V29" s="118">
        <v>0</v>
      </c>
      <c r="W29" s="494">
        <v>0</v>
      </c>
      <c r="X29" s="118">
        <f t="shared" si="0"/>
        <v>3559.1</v>
      </c>
      <c r="Y29" s="690"/>
    </row>
    <row r="30" spans="1:25" ht="184.5" customHeight="1" x14ac:dyDescent="0.25">
      <c r="A30" s="392" t="s">
        <v>287</v>
      </c>
      <c r="B30" s="60" t="s">
        <v>288</v>
      </c>
      <c r="C30" s="330" t="s">
        <v>66</v>
      </c>
      <c r="D30" s="392" t="s">
        <v>14</v>
      </c>
      <c r="E30" s="392" t="s">
        <v>18</v>
      </c>
      <c r="F30" s="848" t="s">
        <v>289</v>
      </c>
      <c r="G30" s="848"/>
      <c r="H30" s="848"/>
      <c r="I30" s="392" t="s">
        <v>68</v>
      </c>
      <c r="J30" s="118">
        <v>0</v>
      </c>
      <c r="K30" s="118">
        <v>0</v>
      </c>
      <c r="L30" s="118">
        <v>0</v>
      </c>
      <c r="M30" s="118">
        <v>6323.8</v>
      </c>
      <c r="N30" s="118"/>
      <c r="O30" s="494"/>
      <c r="P30" s="494">
        <v>0</v>
      </c>
      <c r="Q30" s="494">
        <v>0</v>
      </c>
      <c r="R30" s="494">
        <v>0</v>
      </c>
      <c r="S30" s="494">
        <v>0</v>
      </c>
      <c r="T30" s="494">
        <v>0</v>
      </c>
      <c r="U30" s="494">
        <v>0</v>
      </c>
      <c r="V30" s="118">
        <v>0</v>
      </c>
      <c r="W30" s="494">
        <v>0</v>
      </c>
      <c r="X30" s="118">
        <f t="shared" si="0"/>
        <v>6323.8</v>
      </c>
      <c r="Y30" s="690"/>
    </row>
    <row r="31" spans="1:25" ht="217.5" customHeight="1" x14ac:dyDescent="0.25">
      <c r="A31" s="392" t="s">
        <v>290</v>
      </c>
      <c r="B31" s="69" t="s">
        <v>387</v>
      </c>
      <c r="C31" s="330" t="s">
        <v>66</v>
      </c>
      <c r="D31" s="392" t="s">
        <v>14</v>
      </c>
      <c r="E31" s="392" t="s">
        <v>18</v>
      </c>
      <c r="F31" s="848" t="s">
        <v>292</v>
      </c>
      <c r="G31" s="848"/>
      <c r="H31" s="848"/>
      <c r="I31" s="392" t="s">
        <v>68</v>
      </c>
      <c r="J31" s="118">
        <v>0</v>
      </c>
      <c r="K31" s="118">
        <v>0</v>
      </c>
      <c r="L31" s="118">
        <v>0</v>
      </c>
      <c r="M31" s="118">
        <v>702.3</v>
      </c>
      <c r="N31" s="118">
        <v>0</v>
      </c>
      <c r="O31" s="494">
        <v>0</v>
      </c>
      <c r="P31" s="494">
        <v>0</v>
      </c>
      <c r="Q31" s="494">
        <v>0</v>
      </c>
      <c r="R31" s="494">
        <v>0</v>
      </c>
      <c r="S31" s="494">
        <v>0</v>
      </c>
      <c r="T31" s="494">
        <v>0</v>
      </c>
      <c r="U31" s="494">
        <v>0</v>
      </c>
      <c r="V31" s="118">
        <v>0</v>
      </c>
      <c r="W31" s="494">
        <v>0</v>
      </c>
      <c r="X31" s="118">
        <f t="shared" si="0"/>
        <v>702.3</v>
      </c>
      <c r="Y31" s="690"/>
    </row>
    <row r="32" spans="1:25" ht="205.5" customHeight="1" x14ac:dyDescent="0.2">
      <c r="A32" s="392" t="s">
        <v>297</v>
      </c>
      <c r="B32" s="71" t="s">
        <v>388</v>
      </c>
      <c r="C32" s="330" t="s">
        <v>66</v>
      </c>
      <c r="D32" s="392" t="s">
        <v>14</v>
      </c>
      <c r="E32" s="392" t="s">
        <v>18</v>
      </c>
      <c r="F32" s="848" t="s">
        <v>299</v>
      </c>
      <c r="G32" s="848"/>
      <c r="H32" s="848"/>
      <c r="I32" s="392" t="s">
        <v>67</v>
      </c>
      <c r="J32" s="118"/>
      <c r="K32" s="118"/>
      <c r="L32" s="118"/>
      <c r="M32" s="118">
        <f>1037.7+282.9+1787.5+0.1</f>
        <v>3108.2</v>
      </c>
      <c r="N32" s="118"/>
      <c r="O32" s="494"/>
      <c r="P32" s="494">
        <f t="shared" ref="P32:R35" si="2">O32</f>
        <v>0</v>
      </c>
      <c r="Q32" s="494">
        <f t="shared" si="2"/>
        <v>0</v>
      </c>
      <c r="R32" s="494">
        <f t="shared" si="2"/>
        <v>0</v>
      </c>
      <c r="S32" s="494">
        <v>0</v>
      </c>
      <c r="T32" s="494">
        <v>0</v>
      </c>
      <c r="U32" s="494">
        <v>0</v>
      </c>
      <c r="V32" s="118">
        <v>0</v>
      </c>
      <c r="W32" s="494">
        <v>0</v>
      </c>
      <c r="X32" s="118">
        <f t="shared" si="0"/>
        <v>3108.2</v>
      </c>
      <c r="Y32" s="690"/>
    </row>
    <row r="33" spans="1:25" ht="157.5" customHeight="1" x14ac:dyDescent="0.2">
      <c r="A33" s="392" t="s">
        <v>298</v>
      </c>
      <c r="B33" s="71" t="s">
        <v>673</v>
      </c>
      <c r="C33" s="330" t="s">
        <v>66</v>
      </c>
      <c r="D33" s="392" t="s">
        <v>14</v>
      </c>
      <c r="E33" s="392" t="s">
        <v>18</v>
      </c>
      <c r="F33" s="848" t="s">
        <v>672</v>
      </c>
      <c r="G33" s="848"/>
      <c r="H33" s="848"/>
      <c r="I33" s="392" t="s">
        <v>67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494">
        <v>0</v>
      </c>
      <c r="P33" s="494">
        <f>O33</f>
        <v>0</v>
      </c>
      <c r="Q33" s="494">
        <f>P33</f>
        <v>0</v>
      </c>
      <c r="R33" s="494">
        <f>Q33</f>
        <v>0</v>
      </c>
      <c r="S33" s="494">
        <v>1334</v>
      </c>
      <c r="T33" s="494">
        <v>0</v>
      </c>
      <c r="U33" s="494">
        <v>0</v>
      </c>
      <c r="V33" s="118">
        <v>0</v>
      </c>
      <c r="W33" s="494">
        <v>0</v>
      </c>
      <c r="X33" s="118">
        <f t="shared" si="0"/>
        <v>1334</v>
      </c>
      <c r="Y33" s="690"/>
    </row>
    <row r="34" spans="1:25" ht="165" customHeight="1" x14ac:dyDescent="0.2">
      <c r="A34" s="392" t="s">
        <v>350</v>
      </c>
      <c r="B34" s="71" t="s">
        <v>389</v>
      </c>
      <c r="C34" s="330" t="s">
        <v>66</v>
      </c>
      <c r="D34" s="392" t="s">
        <v>14</v>
      </c>
      <c r="E34" s="392" t="s">
        <v>18</v>
      </c>
      <c r="F34" s="848" t="s">
        <v>301</v>
      </c>
      <c r="G34" s="848"/>
      <c r="H34" s="848"/>
      <c r="I34" s="392" t="s">
        <v>68</v>
      </c>
      <c r="J34" s="118"/>
      <c r="K34" s="118"/>
      <c r="L34" s="118"/>
      <c r="M34" s="118">
        <v>100</v>
      </c>
      <c r="N34" s="118"/>
      <c r="O34" s="494"/>
      <c r="P34" s="494">
        <f t="shared" si="2"/>
        <v>0</v>
      </c>
      <c r="Q34" s="494">
        <f t="shared" si="2"/>
        <v>0</v>
      </c>
      <c r="R34" s="494">
        <f t="shared" si="2"/>
        <v>0</v>
      </c>
      <c r="S34" s="494">
        <v>0</v>
      </c>
      <c r="T34" s="494">
        <v>0</v>
      </c>
      <c r="U34" s="494">
        <v>0</v>
      </c>
      <c r="V34" s="118">
        <v>0</v>
      </c>
      <c r="W34" s="494">
        <v>0</v>
      </c>
      <c r="X34" s="118">
        <f t="shared" si="0"/>
        <v>100</v>
      </c>
      <c r="Y34" s="690" t="s">
        <v>326</v>
      </c>
    </row>
    <row r="35" spans="1:25" ht="146.25" customHeight="1" x14ac:dyDescent="0.2">
      <c r="A35" s="392" t="s">
        <v>351</v>
      </c>
      <c r="B35" s="71" t="s">
        <v>349</v>
      </c>
      <c r="C35" s="330" t="s">
        <v>66</v>
      </c>
      <c r="D35" s="392" t="s">
        <v>14</v>
      </c>
      <c r="E35" s="392" t="s">
        <v>18</v>
      </c>
      <c r="F35" s="848" t="s">
        <v>353</v>
      </c>
      <c r="G35" s="848" t="s">
        <v>353</v>
      </c>
      <c r="H35" s="848" t="s">
        <v>353</v>
      </c>
      <c r="I35" s="392" t="s">
        <v>67</v>
      </c>
      <c r="J35" s="118"/>
      <c r="K35" s="118"/>
      <c r="L35" s="118"/>
      <c r="M35" s="118"/>
      <c r="N35" s="118">
        <v>653.70000000000005</v>
      </c>
      <c r="O35" s="494"/>
      <c r="P35" s="494">
        <f t="shared" si="2"/>
        <v>0</v>
      </c>
      <c r="Q35" s="494">
        <f t="shared" si="2"/>
        <v>0</v>
      </c>
      <c r="R35" s="494">
        <f t="shared" si="2"/>
        <v>0</v>
      </c>
      <c r="S35" s="494">
        <v>0</v>
      </c>
      <c r="T35" s="494">
        <v>0</v>
      </c>
      <c r="U35" s="494">
        <v>0</v>
      </c>
      <c r="V35" s="118">
        <v>0</v>
      </c>
      <c r="W35" s="494">
        <v>0</v>
      </c>
      <c r="X35" s="118">
        <f t="shared" si="0"/>
        <v>653.70000000000005</v>
      </c>
      <c r="Y35" s="690"/>
    </row>
    <row r="36" spans="1:25" ht="132" customHeight="1" x14ac:dyDescent="0.2">
      <c r="A36" s="392" t="s">
        <v>376</v>
      </c>
      <c r="B36" s="71" t="s">
        <v>352</v>
      </c>
      <c r="C36" s="330" t="s">
        <v>66</v>
      </c>
      <c r="D36" s="392" t="s">
        <v>14</v>
      </c>
      <c r="E36" s="392" t="s">
        <v>18</v>
      </c>
      <c r="F36" s="848" t="s">
        <v>354</v>
      </c>
      <c r="G36" s="848" t="s">
        <v>354</v>
      </c>
      <c r="H36" s="848" t="s">
        <v>354</v>
      </c>
      <c r="I36" s="392" t="s">
        <v>67</v>
      </c>
      <c r="J36" s="118"/>
      <c r="K36" s="118"/>
      <c r="L36" s="118"/>
      <c r="M36" s="118"/>
      <c r="N36" s="118">
        <v>5321.2</v>
      </c>
      <c r="O36" s="494">
        <v>7333.1</v>
      </c>
      <c r="P36" s="494">
        <v>0</v>
      </c>
      <c r="Q36" s="494">
        <f>P36</f>
        <v>0</v>
      </c>
      <c r="R36" s="494">
        <f>Q36</f>
        <v>0</v>
      </c>
      <c r="S36" s="494">
        <v>0</v>
      </c>
      <c r="T36" s="494">
        <v>0</v>
      </c>
      <c r="U36" s="494">
        <v>0</v>
      </c>
      <c r="V36" s="118">
        <v>0</v>
      </c>
      <c r="W36" s="494">
        <v>0</v>
      </c>
      <c r="X36" s="118">
        <f t="shared" si="0"/>
        <v>12654.3</v>
      </c>
      <c r="Y36" s="690"/>
    </row>
    <row r="37" spans="1:25" ht="182.25" customHeight="1" x14ac:dyDescent="0.2">
      <c r="A37" s="392" t="s">
        <v>377</v>
      </c>
      <c r="B37" s="71" t="s">
        <v>378</v>
      </c>
      <c r="C37" s="330" t="s">
        <v>66</v>
      </c>
      <c r="D37" s="392" t="s">
        <v>14</v>
      </c>
      <c r="E37" s="392" t="s">
        <v>18</v>
      </c>
      <c r="F37" s="848" t="s">
        <v>380</v>
      </c>
      <c r="G37" s="848"/>
      <c r="H37" s="848"/>
      <c r="I37" s="392" t="s">
        <v>68</v>
      </c>
      <c r="J37" s="118"/>
      <c r="K37" s="118"/>
      <c r="L37" s="118"/>
      <c r="M37" s="118"/>
      <c r="N37" s="118">
        <v>3191</v>
      </c>
      <c r="O37" s="494" t="s">
        <v>111</v>
      </c>
      <c r="P37" s="494">
        <v>0</v>
      </c>
      <c r="Q37" s="494">
        <v>0</v>
      </c>
      <c r="R37" s="494">
        <v>0</v>
      </c>
      <c r="S37" s="494">
        <v>0</v>
      </c>
      <c r="T37" s="494">
        <v>0</v>
      </c>
      <c r="U37" s="494">
        <v>0</v>
      </c>
      <c r="V37" s="118">
        <v>0</v>
      </c>
      <c r="W37" s="494">
        <v>0</v>
      </c>
      <c r="X37" s="118">
        <f t="shared" si="0"/>
        <v>3191</v>
      </c>
      <c r="Y37" s="690"/>
    </row>
    <row r="38" spans="1:25" ht="175.5" customHeight="1" x14ac:dyDescent="0.2">
      <c r="A38" s="392" t="s">
        <v>397</v>
      </c>
      <c r="B38" s="71" t="s">
        <v>379</v>
      </c>
      <c r="C38" s="330" t="s">
        <v>66</v>
      </c>
      <c r="D38" s="392" t="s">
        <v>14</v>
      </c>
      <c r="E38" s="392" t="s">
        <v>18</v>
      </c>
      <c r="F38" s="848" t="s">
        <v>381</v>
      </c>
      <c r="G38" s="848"/>
      <c r="H38" s="848"/>
      <c r="I38" s="392" t="s">
        <v>68</v>
      </c>
      <c r="J38" s="118"/>
      <c r="K38" s="118"/>
      <c r="L38" s="118"/>
      <c r="M38" s="118"/>
      <c r="N38" s="118">
        <f>171.5+10.3</f>
        <v>181.8</v>
      </c>
      <c r="O38" s="494">
        <v>0</v>
      </c>
      <c r="P38" s="494">
        <v>0</v>
      </c>
      <c r="Q38" s="494">
        <v>0</v>
      </c>
      <c r="R38" s="494">
        <v>0</v>
      </c>
      <c r="S38" s="494">
        <v>0</v>
      </c>
      <c r="T38" s="494">
        <v>0</v>
      </c>
      <c r="U38" s="494">
        <v>0</v>
      </c>
      <c r="V38" s="118">
        <v>0</v>
      </c>
      <c r="W38" s="494">
        <v>0</v>
      </c>
      <c r="X38" s="118">
        <f t="shared" si="0"/>
        <v>181.8</v>
      </c>
      <c r="Y38" s="690"/>
    </row>
    <row r="39" spans="1:25" ht="339" customHeight="1" x14ac:dyDescent="0.2">
      <c r="A39" s="392" t="s">
        <v>417</v>
      </c>
      <c r="B39" s="71" t="s">
        <v>502</v>
      </c>
      <c r="C39" s="330" t="s">
        <v>66</v>
      </c>
      <c r="D39" s="392" t="s">
        <v>14</v>
      </c>
      <c r="E39" s="392" t="s">
        <v>18</v>
      </c>
      <c r="F39" s="848" t="s">
        <v>416</v>
      </c>
      <c r="G39" s="848"/>
      <c r="H39" s="848"/>
      <c r="I39" s="392" t="s">
        <v>68</v>
      </c>
      <c r="J39" s="118"/>
      <c r="K39" s="118"/>
      <c r="L39" s="118"/>
      <c r="M39" s="118"/>
      <c r="N39" s="118"/>
      <c r="O39" s="494">
        <v>192.2</v>
      </c>
      <c r="P39" s="494">
        <f>P40+P41+P42</f>
        <v>2807.8</v>
      </c>
      <c r="Q39" s="494">
        <f>Q40+Q41+Q42</f>
        <v>87.7</v>
      </c>
      <c r="R39" s="118">
        <f>R40+R41+R42</f>
        <v>920.09999999999991</v>
      </c>
      <c r="S39" s="494">
        <f>S40+S41+S42</f>
        <v>0</v>
      </c>
      <c r="T39" s="494">
        <f>T40+T41+T42</f>
        <v>0</v>
      </c>
      <c r="U39" s="494">
        <v>0</v>
      </c>
      <c r="V39" s="118">
        <v>0</v>
      </c>
      <c r="W39" s="494">
        <v>0</v>
      </c>
      <c r="X39" s="118">
        <f t="shared" si="0"/>
        <v>4007.7999999999997</v>
      </c>
      <c r="Y39" s="857" t="s">
        <v>646</v>
      </c>
    </row>
    <row r="40" spans="1:25" ht="228" customHeight="1" x14ac:dyDescent="0.2">
      <c r="A40" s="392" t="s">
        <v>418</v>
      </c>
      <c r="B40" s="71" t="s">
        <v>503</v>
      </c>
      <c r="C40" s="330" t="s">
        <v>66</v>
      </c>
      <c r="D40" s="392" t="s">
        <v>14</v>
      </c>
      <c r="E40" s="392" t="s">
        <v>18</v>
      </c>
      <c r="F40" s="848" t="s">
        <v>416</v>
      </c>
      <c r="G40" s="848"/>
      <c r="H40" s="848"/>
      <c r="I40" s="392" t="s">
        <v>68</v>
      </c>
      <c r="J40" s="118"/>
      <c r="K40" s="118"/>
      <c r="L40" s="118"/>
      <c r="M40" s="118"/>
      <c r="N40" s="118"/>
      <c r="O40" s="494">
        <v>137</v>
      </c>
      <c r="P40" s="494">
        <v>2000.5</v>
      </c>
      <c r="Q40" s="494">
        <v>62.5</v>
      </c>
      <c r="R40" s="118">
        <v>617.79999999999995</v>
      </c>
      <c r="S40" s="494">
        <v>0</v>
      </c>
      <c r="T40" s="494">
        <v>0</v>
      </c>
      <c r="U40" s="494">
        <v>0</v>
      </c>
      <c r="V40" s="118">
        <v>0</v>
      </c>
      <c r="W40" s="494">
        <v>0</v>
      </c>
      <c r="X40" s="118">
        <f t="shared" si="0"/>
        <v>2817.8</v>
      </c>
      <c r="Y40" s="858"/>
    </row>
    <row r="41" spans="1:25" ht="228" customHeight="1" x14ac:dyDescent="0.2">
      <c r="A41" s="392" t="s">
        <v>420</v>
      </c>
      <c r="B41" s="71" t="s">
        <v>504</v>
      </c>
      <c r="C41" s="330" t="s">
        <v>66</v>
      </c>
      <c r="D41" s="392" t="s">
        <v>14</v>
      </c>
      <c r="E41" s="392" t="s">
        <v>18</v>
      </c>
      <c r="F41" s="848" t="s">
        <v>416</v>
      </c>
      <c r="G41" s="848"/>
      <c r="H41" s="848"/>
      <c r="I41" s="392" t="s">
        <v>68</v>
      </c>
      <c r="J41" s="118"/>
      <c r="K41" s="118"/>
      <c r="L41" s="118"/>
      <c r="M41" s="118"/>
      <c r="N41" s="118"/>
      <c r="O41" s="494">
        <v>45.6</v>
      </c>
      <c r="P41" s="494">
        <v>666.9</v>
      </c>
      <c r="Q41" s="494">
        <v>20.8</v>
      </c>
      <c r="R41" s="494">
        <v>252.3</v>
      </c>
      <c r="S41" s="494">
        <v>0</v>
      </c>
      <c r="T41" s="494">
        <v>0</v>
      </c>
      <c r="U41" s="494">
        <v>0</v>
      </c>
      <c r="V41" s="118">
        <v>0</v>
      </c>
      <c r="W41" s="494">
        <v>0</v>
      </c>
      <c r="X41" s="118">
        <f t="shared" si="0"/>
        <v>985.59999999999991</v>
      </c>
      <c r="Y41" s="690"/>
    </row>
    <row r="42" spans="1:25" ht="228" customHeight="1" x14ac:dyDescent="0.2">
      <c r="A42" s="392" t="s">
        <v>421</v>
      </c>
      <c r="B42" s="71" t="s">
        <v>505</v>
      </c>
      <c r="C42" s="330" t="s">
        <v>66</v>
      </c>
      <c r="D42" s="392" t="s">
        <v>14</v>
      </c>
      <c r="E42" s="392" t="s">
        <v>18</v>
      </c>
      <c r="F42" s="848" t="s">
        <v>416</v>
      </c>
      <c r="G42" s="848"/>
      <c r="H42" s="848"/>
      <c r="I42" s="392" t="s">
        <v>68</v>
      </c>
      <c r="J42" s="118"/>
      <c r="K42" s="118"/>
      <c r="L42" s="118"/>
      <c r="M42" s="118"/>
      <c r="N42" s="118"/>
      <c r="O42" s="494">
        <v>9.6</v>
      </c>
      <c r="P42" s="494">
        <v>140.4</v>
      </c>
      <c r="Q42" s="494">
        <v>4.4000000000000004</v>
      </c>
      <c r="R42" s="494">
        <v>50</v>
      </c>
      <c r="S42" s="494">
        <v>0</v>
      </c>
      <c r="T42" s="494">
        <v>0</v>
      </c>
      <c r="U42" s="494">
        <v>0</v>
      </c>
      <c r="V42" s="118">
        <v>0</v>
      </c>
      <c r="W42" s="494">
        <v>0</v>
      </c>
      <c r="X42" s="118">
        <f t="shared" si="0"/>
        <v>204.4</v>
      </c>
      <c r="Y42" s="690"/>
    </row>
    <row r="43" spans="1:25" ht="225.75" customHeight="1" x14ac:dyDescent="0.2">
      <c r="A43" s="392" t="s">
        <v>422</v>
      </c>
      <c r="B43" s="71" t="s">
        <v>437</v>
      </c>
      <c r="C43" s="330" t="s">
        <v>66</v>
      </c>
      <c r="D43" s="392" t="s">
        <v>14</v>
      </c>
      <c r="E43" s="392" t="s">
        <v>18</v>
      </c>
      <c r="F43" s="848" t="s">
        <v>419</v>
      </c>
      <c r="G43" s="848"/>
      <c r="H43" s="848"/>
      <c r="I43" s="392" t="s">
        <v>68</v>
      </c>
      <c r="J43" s="118"/>
      <c r="K43" s="118"/>
      <c r="L43" s="118"/>
      <c r="M43" s="118"/>
      <c r="N43" s="118"/>
      <c r="O43" s="494">
        <v>146.5</v>
      </c>
      <c r="P43" s="494">
        <v>0</v>
      </c>
      <c r="Q43" s="494">
        <v>0</v>
      </c>
      <c r="R43" s="494">
        <v>0</v>
      </c>
      <c r="S43" s="494">
        <v>0</v>
      </c>
      <c r="T43" s="494">
        <v>0</v>
      </c>
      <c r="U43" s="494">
        <v>0</v>
      </c>
      <c r="V43" s="118">
        <v>0</v>
      </c>
      <c r="W43" s="494">
        <v>0</v>
      </c>
      <c r="X43" s="118">
        <f t="shared" si="0"/>
        <v>146.5</v>
      </c>
      <c r="Y43" s="690" t="s">
        <v>457</v>
      </c>
    </row>
    <row r="44" spans="1:25" ht="224.25" customHeight="1" x14ac:dyDescent="0.2">
      <c r="A44" s="392" t="s">
        <v>425</v>
      </c>
      <c r="B44" s="71" t="s">
        <v>433</v>
      </c>
      <c r="C44" s="330" t="s">
        <v>66</v>
      </c>
      <c r="D44" s="392" t="s">
        <v>14</v>
      </c>
      <c r="E44" s="392" t="s">
        <v>18</v>
      </c>
      <c r="F44" s="848" t="s">
        <v>419</v>
      </c>
      <c r="G44" s="848"/>
      <c r="H44" s="848"/>
      <c r="I44" s="392" t="s">
        <v>68</v>
      </c>
      <c r="J44" s="118"/>
      <c r="K44" s="118"/>
      <c r="L44" s="118"/>
      <c r="M44" s="118"/>
      <c r="N44" s="118"/>
      <c r="O44" s="494">
        <v>3</v>
      </c>
      <c r="P44" s="494"/>
      <c r="Q44" s="494"/>
      <c r="R44" s="494">
        <f>Q44</f>
        <v>0</v>
      </c>
      <c r="S44" s="494">
        <v>0</v>
      </c>
      <c r="T44" s="494">
        <v>0</v>
      </c>
      <c r="U44" s="494">
        <v>0</v>
      </c>
      <c r="V44" s="118">
        <v>0</v>
      </c>
      <c r="W44" s="494">
        <v>0</v>
      </c>
      <c r="X44" s="118">
        <f t="shared" si="0"/>
        <v>3</v>
      </c>
      <c r="Y44" s="690"/>
    </row>
    <row r="45" spans="1:25" ht="303" customHeight="1" x14ac:dyDescent="0.2">
      <c r="A45" s="392" t="s">
        <v>517</v>
      </c>
      <c r="B45" s="663" t="s">
        <v>424</v>
      </c>
      <c r="C45" s="330" t="s">
        <v>66</v>
      </c>
      <c r="D45" s="392" t="s">
        <v>14</v>
      </c>
      <c r="E45" s="392" t="s">
        <v>18</v>
      </c>
      <c r="F45" s="848" t="s">
        <v>423</v>
      </c>
      <c r="G45" s="848"/>
      <c r="H45" s="848"/>
      <c r="I45" s="392" t="s">
        <v>68</v>
      </c>
      <c r="J45" s="118"/>
      <c r="K45" s="118"/>
      <c r="L45" s="118"/>
      <c r="M45" s="118"/>
      <c r="N45" s="118"/>
      <c r="O45" s="494">
        <v>116.7</v>
      </c>
      <c r="P45" s="494">
        <v>0</v>
      </c>
      <c r="Q45" s="494">
        <v>0</v>
      </c>
      <c r="R45" s="494">
        <v>0</v>
      </c>
      <c r="S45" s="494">
        <v>0</v>
      </c>
      <c r="T45" s="494">
        <v>0</v>
      </c>
      <c r="U45" s="494">
        <v>0</v>
      </c>
      <c r="V45" s="118">
        <v>0</v>
      </c>
      <c r="W45" s="494">
        <v>0</v>
      </c>
      <c r="X45" s="118">
        <f t="shared" si="0"/>
        <v>116.7</v>
      </c>
      <c r="Y45" s="690" t="s">
        <v>458</v>
      </c>
    </row>
    <row r="46" spans="1:25" ht="309.75" customHeight="1" x14ac:dyDescent="0.2">
      <c r="A46" s="392" t="s">
        <v>518</v>
      </c>
      <c r="B46" s="564" t="s">
        <v>434</v>
      </c>
      <c r="C46" s="330" t="s">
        <v>66</v>
      </c>
      <c r="D46" s="392" t="s">
        <v>14</v>
      </c>
      <c r="E46" s="392" t="s">
        <v>18</v>
      </c>
      <c r="F46" s="848" t="s">
        <v>485</v>
      </c>
      <c r="G46" s="848"/>
      <c r="H46" s="848"/>
      <c r="I46" s="392" t="s">
        <v>68</v>
      </c>
      <c r="J46" s="118"/>
      <c r="K46" s="118"/>
      <c r="L46" s="118"/>
      <c r="M46" s="118"/>
      <c r="N46" s="118"/>
      <c r="O46" s="494">
        <v>3</v>
      </c>
      <c r="P46" s="494">
        <v>0</v>
      </c>
      <c r="Q46" s="494">
        <v>0</v>
      </c>
      <c r="R46" s="494">
        <v>0</v>
      </c>
      <c r="S46" s="494">
        <v>0</v>
      </c>
      <c r="T46" s="494">
        <v>0</v>
      </c>
      <c r="U46" s="494">
        <v>0</v>
      </c>
      <c r="V46" s="118">
        <v>0</v>
      </c>
      <c r="W46" s="494">
        <v>0</v>
      </c>
      <c r="X46" s="118">
        <f t="shared" si="0"/>
        <v>3</v>
      </c>
      <c r="Y46" s="690"/>
    </row>
    <row r="47" spans="1:25" ht="192" customHeight="1" x14ac:dyDescent="0.25">
      <c r="A47" s="392" t="s">
        <v>541</v>
      </c>
      <c r="B47" s="60" t="s">
        <v>409</v>
      </c>
      <c r="C47" s="330" t="s">
        <v>66</v>
      </c>
      <c r="D47" s="392" t="s">
        <v>14</v>
      </c>
      <c r="E47" s="392" t="s">
        <v>18</v>
      </c>
      <c r="F47" s="848" t="s">
        <v>186</v>
      </c>
      <c r="G47" s="848"/>
      <c r="H47" s="848"/>
      <c r="I47" s="392" t="s">
        <v>67</v>
      </c>
      <c r="J47" s="118"/>
      <c r="K47" s="118"/>
      <c r="L47" s="118"/>
      <c r="M47" s="118"/>
      <c r="N47" s="118">
        <v>45</v>
      </c>
      <c r="O47" s="494">
        <v>0</v>
      </c>
      <c r="P47" s="494">
        <v>61.5</v>
      </c>
      <c r="Q47" s="494">
        <f>P47</f>
        <v>61.5</v>
      </c>
      <c r="R47" s="494">
        <f>Q47</f>
        <v>61.5</v>
      </c>
      <c r="S47" s="494">
        <v>61.5</v>
      </c>
      <c r="T47" s="494">
        <v>61.5</v>
      </c>
      <c r="U47" s="494">
        <v>61.5</v>
      </c>
      <c r="V47" s="118">
        <v>61.5</v>
      </c>
      <c r="W47" s="494">
        <v>61.5</v>
      </c>
      <c r="X47" s="118">
        <f t="shared" si="0"/>
        <v>537</v>
      </c>
      <c r="Y47" s="690"/>
    </row>
    <row r="48" spans="1:25" ht="72" customHeight="1" x14ac:dyDescent="0.2">
      <c r="A48" s="392" t="s">
        <v>560</v>
      </c>
      <c r="B48" s="71" t="s">
        <v>559</v>
      </c>
      <c r="C48" s="330" t="s">
        <v>66</v>
      </c>
      <c r="D48" s="392" t="s">
        <v>14</v>
      </c>
      <c r="E48" s="392" t="s">
        <v>18</v>
      </c>
      <c r="F48" s="848" t="s">
        <v>186</v>
      </c>
      <c r="G48" s="848"/>
      <c r="H48" s="848"/>
      <c r="I48" s="392" t="s">
        <v>67</v>
      </c>
      <c r="J48" s="118"/>
      <c r="K48" s="118"/>
      <c r="L48" s="118"/>
      <c r="M48" s="118"/>
      <c r="N48" s="118"/>
      <c r="O48" s="494"/>
      <c r="P48" s="494">
        <v>0</v>
      </c>
      <c r="Q48" s="494">
        <v>10</v>
      </c>
      <c r="R48" s="494">
        <v>10</v>
      </c>
      <c r="S48" s="494">
        <v>10</v>
      </c>
      <c r="T48" s="494">
        <v>10</v>
      </c>
      <c r="U48" s="494">
        <v>10</v>
      </c>
      <c r="V48" s="118">
        <v>10</v>
      </c>
      <c r="W48" s="494">
        <v>10</v>
      </c>
      <c r="X48" s="118">
        <f t="shared" si="0"/>
        <v>70</v>
      </c>
      <c r="Y48" s="690"/>
    </row>
    <row r="49" spans="1:25" s="660" customFormat="1" ht="195.75" customHeight="1" x14ac:dyDescent="0.2">
      <c r="A49" s="392" t="s">
        <v>546</v>
      </c>
      <c r="B49" s="522" t="s">
        <v>500</v>
      </c>
      <c r="C49" s="493" t="s">
        <v>66</v>
      </c>
      <c r="D49" s="392" t="s">
        <v>14</v>
      </c>
      <c r="E49" s="392" t="s">
        <v>18</v>
      </c>
      <c r="F49" s="848" t="s">
        <v>499</v>
      </c>
      <c r="G49" s="848"/>
      <c r="H49" s="848"/>
      <c r="I49" s="392" t="s">
        <v>67</v>
      </c>
      <c r="J49" s="494"/>
      <c r="K49" s="494"/>
      <c r="L49" s="494"/>
      <c r="M49" s="494"/>
      <c r="N49" s="494"/>
      <c r="O49" s="494"/>
      <c r="P49" s="494">
        <v>1288.8</v>
      </c>
      <c r="Q49" s="494">
        <v>0</v>
      </c>
      <c r="R49" s="494">
        <v>0</v>
      </c>
      <c r="S49" s="494">
        <v>0</v>
      </c>
      <c r="T49" s="494">
        <v>0</v>
      </c>
      <c r="U49" s="494">
        <v>0</v>
      </c>
      <c r="V49" s="118">
        <v>0</v>
      </c>
      <c r="W49" s="494">
        <v>0</v>
      </c>
      <c r="X49" s="118">
        <f t="shared" si="0"/>
        <v>1288.8</v>
      </c>
      <c r="Y49" s="692"/>
    </row>
    <row r="50" spans="1:25" s="660" customFormat="1" ht="178.5" customHeight="1" x14ac:dyDescent="0.2">
      <c r="A50" s="392" t="s">
        <v>561</v>
      </c>
      <c r="B50" s="522" t="s">
        <v>519</v>
      </c>
      <c r="C50" s="493" t="s">
        <v>66</v>
      </c>
      <c r="D50" s="392" t="s">
        <v>14</v>
      </c>
      <c r="E50" s="392" t="s">
        <v>18</v>
      </c>
      <c r="F50" s="848" t="s">
        <v>521</v>
      </c>
      <c r="G50" s="848"/>
      <c r="H50" s="848"/>
      <c r="I50" s="392" t="s">
        <v>68</v>
      </c>
      <c r="J50" s="494"/>
      <c r="K50" s="494"/>
      <c r="L50" s="494"/>
      <c r="M50" s="494"/>
      <c r="N50" s="494"/>
      <c r="O50" s="494"/>
      <c r="P50" s="494">
        <v>990.3</v>
      </c>
      <c r="Q50" s="494">
        <f>1612-74.5</f>
        <v>1537.5</v>
      </c>
      <c r="R50" s="494">
        <v>15217.8</v>
      </c>
      <c r="S50" s="494">
        <v>0</v>
      </c>
      <c r="T50" s="494">
        <v>0</v>
      </c>
      <c r="U50" s="494">
        <v>0</v>
      </c>
      <c r="V50" s="118">
        <v>0</v>
      </c>
      <c r="W50" s="494">
        <v>0</v>
      </c>
      <c r="X50" s="118">
        <f t="shared" si="0"/>
        <v>17745.599999999999</v>
      </c>
      <c r="Y50" s="846" t="s">
        <v>715</v>
      </c>
    </row>
    <row r="51" spans="1:25" s="660" customFormat="1" ht="163.5" customHeight="1" x14ac:dyDescent="0.2">
      <c r="A51" s="392" t="s">
        <v>615</v>
      </c>
      <c r="B51" s="522" t="s">
        <v>520</v>
      </c>
      <c r="C51" s="493" t="s">
        <v>66</v>
      </c>
      <c r="D51" s="392" t="s">
        <v>14</v>
      </c>
      <c r="E51" s="392" t="s">
        <v>18</v>
      </c>
      <c r="F51" s="848" t="s">
        <v>521</v>
      </c>
      <c r="G51" s="848"/>
      <c r="H51" s="848"/>
      <c r="I51" s="392" t="s">
        <v>68</v>
      </c>
      <c r="J51" s="494"/>
      <c r="K51" s="494"/>
      <c r="L51" s="494"/>
      <c r="M51" s="494"/>
      <c r="N51" s="494"/>
      <c r="O51" s="494"/>
      <c r="P51" s="494">
        <v>110.1</v>
      </c>
      <c r="Q51" s="494">
        <f>16.3-0.7</f>
        <v>15.600000000000001</v>
      </c>
      <c r="R51" s="494">
        <v>10808.7</v>
      </c>
      <c r="S51" s="494">
        <v>0</v>
      </c>
      <c r="T51" s="494">
        <v>0</v>
      </c>
      <c r="U51" s="494">
        <v>0</v>
      </c>
      <c r="V51" s="118">
        <v>0</v>
      </c>
      <c r="W51" s="494">
        <v>0</v>
      </c>
      <c r="X51" s="118">
        <f t="shared" si="0"/>
        <v>10934.400000000001</v>
      </c>
      <c r="Y51" s="847"/>
    </row>
    <row r="52" spans="1:25" s="660" customFormat="1" ht="147.75" customHeight="1" x14ac:dyDescent="0.2">
      <c r="A52" s="392" t="s">
        <v>665</v>
      </c>
      <c r="B52" s="522" t="s">
        <v>544</v>
      </c>
      <c r="C52" s="493" t="s">
        <v>66</v>
      </c>
      <c r="D52" s="392" t="s">
        <v>14</v>
      </c>
      <c r="E52" s="392" t="s">
        <v>18</v>
      </c>
      <c r="F52" s="848" t="s">
        <v>545</v>
      </c>
      <c r="G52" s="848"/>
      <c r="H52" s="848"/>
      <c r="I52" s="392" t="s">
        <v>68</v>
      </c>
      <c r="J52" s="494"/>
      <c r="K52" s="494"/>
      <c r="L52" s="494"/>
      <c r="M52" s="494"/>
      <c r="N52" s="494"/>
      <c r="O52" s="494"/>
      <c r="P52" s="494">
        <v>175</v>
      </c>
      <c r="Q52" s="494"/>
      <c r="R52" s="494"/>
      <c r="S52" s="494"/>
      <c r="T52" s="494"/>
      <c r="U52" s="494"/>
      <c r="V52" s="118"/>
      <c r="W52" s="494"/>
      <c r="X52" s="118">
        <f t="shared" si="0"/>
        <v>175</v>
      </c>
      <c r="Y52" s="846" t="s">
        <v>583</v>
      </c>
    </row>
    <row r="53" spans="1:25" s="660" customFormat="1" ht="165" customHeight="1" x14ac:dyDescent="0.2">
      <c r="A53" s="392" t="s">
        <v>634</v>
      </c>
      <c r="B53" s="522" t="s">
        <v>547</v>
      </c>
      <c r="C53" s="493" t="s">
        <v>66</v>
      </c>
      <c r="D53" s="392" t="s">
        <v>14</v>
      </c>
      <c r="E53" s="392" t="s">
        <v>18</v>
      </c>
      <c r="F53" s="848" t="s">
        <v>548</v>
      </c>
      <c r="G53" s="848"/>
      <c r="H53" s="848"/>
      <c r="I53" s="392" t="s">
        <v>68</v>
      </c>
      <c r="J53" s="494"/>
      <c r="K53" s="494"/>
      <c r="L53" s="494"/>
      <c r="M53" s="494"/>
      <c r="N53" s="494"/>
      <c r="O53" s="494"/>
      <c r="P53" s="494">
        <v>6</v>
      </c>
      <c r="Q53" s="494"/>
      <c r="R53" s="494"/>
      <c r="S53" s="494"/>
      <c r="T53" s="494"/>
      <c r="U53" s="494"/>
      <c r="V53" s="118"/>
      <c r="W53" s="494"/>
      <c r="X53" s="118">
        <f t="shared" si="0"/>
        <v>6</v>
      </c>
      <c r="Y53" s="847"/>
    </row>
    <row r="54" spans="1:25" s="349" customFormat="1" ht="293.25" customHeight="1" x14ac:dyDescent="0.2">
      <c r="A54" s="392" t="s">
        <v>666</v>
      </c>
      <c r="B54" s="71" t="s">
        <v>616</v>
      </c>
      <c r="C54" s="346" t="s">
        <v>66</v>
      </c>
      <c r="D54" s="345" t="s">
        <v>14</v>
      </c>
      <c r="E54" s="345" t="s">
        <v>18</v>
      </c>
      <c r="F54" s="844" t="s">
        <v>618</v>
      </c>
      <c r="G54" s="844"/>
      <c r="H54" s="844"/>
      <c r="I54" s="345" t="s">
        <v>68</v>
      </c>
      <c r="J54" s="347">
        <v>0</v>
      </c>
      <c r="K54" s="347">
        <v>0</v>
      </c>
      <c r="L54" s="347">
        <v>0</v>
      </c>
      <c r="M54" s="347">
        <v>0</v>
      </c>
      <c r="N54" s="347">
        <v>0</v>
      </c>
      <c r="O54" s="484">
        <v>0</v>
      </c>
      <c r="P54" s="484">
        <v>0</v>
      </c>
      <c r="Q54" s="484">
        <v>0</v>
      </c>
      <c r="R54" s="484">
        <v>105</v>
      </c>
      <c r="S54" s="484">
        <v>0</v>
      </c>
      <c r="T54" s="484">
        <v>150</v>
      </c>
      <c r="U54" s="484">
        <v>0</v>
      </c>
      <c r="V54" s="347">
        <v>0</v>
      </c>
      <c r="W54" s="484">
        <v>0</v>
      </c>
      <c r="X54" s="118">
        <f t="shared" si="0"/>
        <v>255</v>
      </c>
      <c r="Y54" s="694" t="s">
        <v>647</v>
      </c>
    </row>
    <row r="55" spans="1:25" s="349" customFormat="1" ht="286.5" customHeight="1" x14ac:dyDescent="0.2">
      <c r="A55" s="392" t="s">
        <v>667</v>
      </c>
      <c r="B55" s="71" t="s">
        <v>617</v>
      </c>
      <c r="C55" s="346" t="s">
        <v>66</v>
      </c>
      <c r="D55" s="345" t="s">
        <v>14</v>
      </c>
      <c r="E55" s="345" t="s">
        <v>18</v>
      </c>
      <c r="F55" s="844" t="s">
        <v>619</v>
      </c>
      <c r="G55" s="844"/>
      <c r="H55" s="844"/>
      <c r="I55" s="345" t="s">
        <v>68</v>
      </c>
      <c r="J55" s="347">
        <v>0</v>
      </c>
      <c r="K55" s="347">
        <v>0</v>
      </c>
      <c r="L55" s="347">
        <v>0</v>
      </c>
      <c r="M55" s="347">
        <v>0</v>
      </c>
      <c r="N55" s="347">
        <v>0</v>
      </c>
      <c r="O55" s="484">
        <v>0</v>
      </c>
      <c r="P55" s="484">
        <v>0</v>
      </c>
      <c r="Q55" s="484">
        <v>0</v>
      </c>
      <c r="R55" s="484">
        <v>2.1</v>
      </c>
      <c r="S55" s="484">
        <v>0</v>
      </c>
      <c r="T55" s="484">
        <v>3.1</v>
      </c>
      <c r="U55" s="484">
        <v>0</v>
      </c>
      <c r="V55" s="347">
        <v>0</v>
      </c>
      <c r="W55" s="484">
        <v>0</v>
      </c>
      <c r="X55" s="118">
        <f t="shared" si="0"/>
        <v>5.2</v>
      </c>
      <c r="Y55" s="693"/>
    </row>
    <row r="56" spans="1:25" s="349" customFormat="1" ht="240.75" customHeight="1" x14ac:dyDescent="0.2">
      <c r="A56" s="392" t="s">
        <v>668</v>
      </c>
      <c r="B56" s="71" t="s">
        <v>635</v>
      </c>
      <c r="C56" s="346" t="s">
        <v>66</v>
      </c>
      <c r="D56" s="345" t="s">
        <v>14</v>
      </c>
      <c r="E56" s="345" t="s">
        <v>18</v>
      </c>
      <c r="F56" s="844" t="s">
        <v>636</v>
      </c>
      <c r="G56" s="844"/>
      <c r="H56" s="844"/>
      <c r="I56" s="345" t="s">
        <v>68</v>
      </c>
      <c r="J56" s="347">
        <v>0</v>
      </c>
      <c r="K56" s="347">
        <v>0</v>
      </c>
      <c r="L56" s="347">
        <v>0</v>
      </c>
      <c r="M56" s="347">
        <v>0</v>
      </c>
      <c r="N56" s="347">
        <v>0</v>
      </c>
      <c r="O56" s="484">
        <v>0</v>
      </c>
      <c r="P56" s="484">
        <v>0</v>
      </c>
      <c r="Q56" s="484">
        <v>0</v>
      </c>
      <c r="R56" s="484">
        <v>0</v>
      </c>
      <c r="S56" s="484">
        <f>S57+S58</f>
        <v>122</v>
      </c>
      <c r="T56" s="484">
        <v>0</v>
      </c>
      <c r="U56" s="484">
        <v>0</v>
      </c>
      <c r="V56" s="347">
        <v>0</v>
      </c>
      <c r="W56" s="484">
        <v>0</v>
      </c>
      <c r="X56" s="118">
        <f t="shared" si="0"/>
        <v>122</v>
      </c>
      <c r="Y56" s="695" t="s">
        <v>648</v>
      </c>
    </row>
    <row r="57" spans="1:25" s="349" customFormat="1" ht="240.75" customHeight="1" x14ac:dyDescent="0.2">
      <c r="A57" s="392" t="s">
        <v>669</v>
      </c>
      <c r="B57" s="71" t="s">
        <v>637</v>
      </c>
      <c r="C57" s="346" t="s">
        <v>66</v>
      </c>
      <c r="D57" s="345" t="s">
        <v>14</v>
      </c>
      <c r="E57" s="345" t="s">
        <v>18</v>
      </c>
      <c r="F57" s="844" t="s">
        <v>636</v>
      </c>
      <c r="G57" s="844"/>
      <c r="H57" s="844"/>
      <c r="I57" s="345" t="s">
        <v>68</v>
      </c>
      <c r="J57" s="347">
        <v>0</v>
      </c>
      <c r="K57" s="347">
        <v>0</v>
      </c>
      <c r="L57" s="347">
        <v>0</v>
      </c>
      <c r="M57" s="347">
        <v>0</v>
      </c>
      <c r="N57" s="347">
        <v>0</v>
      </c>
      <c r="O57" s="484">
        <v>0</v>
      </c>
      <c r="P57" s="484">
        <v>0</v>
      </c>
      <c r="Q57" s="484">
        <v>0</v>
      </c>
      <c r="R57" s="484">
        <v>0</v>
      </c>
      <c r="S57" s="484">
        <v>110</v>
      </c>
      <c r="T57" s="484">
        <v>0</v>
      </c>
      <c r="U57" s="484">
        <v>0</v>
      </c>
      <c r="V57" s="347">
        <v>0</v>
      </c>
      <c r="W57" s="484">
        <v>0</v>
      </c>
      <c r="X57" s="118">
        <f t="shared" si="0"/>
        <v>110</v>
      </c>
      <c r="Y57" s="693"/>
    </row>
    <row r="58" spans="1:25" s="349" customFormat="1" ht="240.75" customHeight="1" x14ac:dyDescent="0.2">
      <c r="A58" s="392" t="s">
        <v>670</v>
      </c>
      <c r="B58" s="71" t="s">
        <v>638</v>
      </c>
      <c r="C58" s="346" t="s">
        <v>66</v>
      </c>
      <c r="D58" s="345" t="s">
        <v>14</v>
      </c>
      <c r="E58" s="345" t="s">
        <v>18</v>
      </c>
      <c r="F58" s="844" t="s">
        <v>636</v>
      </c>
      <c r="G58" s="844"/>
      <c r="H58" s="844"/>
      <c r="I58" s="345" t="s">
        <v>68</v>
      </c>
      <c r="J58" s="347">
        <v>0</v>
      </c>
      <c r="K58" s="347">
        <v>0</v>
      </c>
      <c r="L58" s="347">
        <v>0</v>
      </c>
      <c r="M58" s="347">
        <v>0</v>
      </c>
      <c r="N58" s="347">
        <v>0</v>
      </c>
      <c r="O58" s="484">
        <v>0</v>
      </c>
      <c r="P58" s="484">
        <v>0</v>
      </c>
      <c r="Q58" s="484">
        <v>0</v>
      </c>
      <c r="R58" s="484">
        <v>0</v>
      </c>
      <c r="S58" s="484">
        <v>12</v>
      </c>
      <c r="T58" s="484">
        <v>0</v>
      </c>
      <c r="U58" s="484">
        <v>0</v>
      </c>
      <c r="V58" s="347">
        <v>0</v>
      </c>
      <c r="W58" s="484">
        <v>0</v>
      </c>
      <c r="X58" s="118">
        <f t="shared" si="0"/>
        <v>12</v>
      </c>
      <c r="Y58" s="693"/>
    </row>
    <row r="59" spans="1:25" s="349" customFormat="1" ht="133.5" customHeight="1" x14ac:dyDescent="0.2">
      <c r="A59" s="392" t="s">
        <v>671</v>
      </c>
      <c r="B59" s="71" t="s">
        <v>677</v>
      </c>
      <c r="C59" s="346" t="s">
        <v>66</v>
      </c>
      <c r="D59" s="345" t="s">
        <v>14</v>
      </c>
      <c r="E59" s="345" t="s">
        <v>18</v>
      </c>
      <c r="F59" s="844" t="s">
        <v>700</v>
      </c>
      <c r="G59" s="844"/>
      <c r="H59" s="844"/>
      <c r="I59" s="345" t="s">
        <v>68</v>
      </c>
      <c r="J59" s="347">
        <v>0</v>
      </c>
      <c r="K59" s="347">
        <v>0</v>
      </c>
      <c r="L59" s="347">
        <v>0</v>
      </c>
      <c r="M59" s="347">
        <v>0</v>
      </c>
      <c r="N59" s="347">
        <v>0</v>
      </c>
      <c r="O59" s="484">
        <v>0</v>
      </c>
      <c r="P59" s="484">
        <v>0</v>
      </c>
      <c r="Q59" s="484">
        <v>0</v>
      </c>
      <c r="R59" s="484">
        <v>0</v>
      </c>
      <c r="S59" s="484">
        <v>0</v>
      </c>
      <c r="T59" s="484">
        <v>3460.5</v>
      </c>
      <c r="U59" s="484">
        <v>0</v>
      </c>
      <c r="V59" s="347">
        <v>0</v>
      </c>
      <c r="W59" s="484">
        <v>0</v>
      </c>
      <c r="X59" s="118">
        <f t="shared" si="0"/>
        <v>3460.5</v>
      </c>
      <c r="Y59" s="845" t="s">
        <v>716</v>
      </c>
    </row>
    <row r="60" spans="1:25" s="349" customFormat="1" ht="147.75" customHeight="1" x14ac:dyDescent="0.2">
      <c r="A60" s="392" t="s">
        <v>675</v>
      </c>
      <c r="B60" s="71" t="s">
        <v>678</v>
      </c>
      <c r="C60" s="346" t="s">
        <v>66</v>
      </c>
      <c r="D60" s="345" t="s">
        <v>14</v>
      </c>
      <c r="E60" s="345" t="s">
        <v>18</v>
      </c>
      <c r="F60" s="844" t="s">
        <v>701</v>
      </c>
      <c r="G60" s="844"/>
      <c r="H60" s="844"/>
      <c r="I60" s="345" t="s">
        <v>68</v>
      </c>
      <c r="J60" s="347">
        <v>0</v>
      </c>
      <c r="K60" s="347">
        <v>0</v>
      </c>
      <c r="L60" s="347">
        <v>0</v>
      </c>
      <c r="M60" s="347">
        <v>0</v>
      </c>
      <c r="N60" s="347">
        <v>0</v>
      </c>
      <c r="O60" s="484">
        <v>0</v>
      </c>
      <c r="P60" s="484">
        <v>0</v>
      </c>
      <c r="Q60" s="484">
        <v>0</v>
      </c>
      <c r="R60" s="484">
        <v>0</v>
      </c>
      <c r="S60" s="484">
        <v>0</v>
      </c>
      <c r="T60" s="484">
        <f>610.9-79</f>
        <v>531.9</v>
      </c>
      <c r="U60" s="484">
        <v>446.6</v>
      </c>
      <c r="V60" s="347">
        <v>0</v>
      </c>
      <c r="W60" s="484"/>
      <c r="X60" s="118">
        <f t="shared" si="0"/>
        <v>978.5</v>
      </c>
      <c r="Y60" s="845"/>
    </row>
    <row r="61" spans="1:25" s="349" customFormat="1" ht="133.5" customHeight="1" x14ac:dyDescent="0.2">
      <c r="A61" s="392" t="s">
        <v>676</v>
      </c>
      <c r="B61" s="71" t="s">
        <v>677</v>
      </c>
      <c r="C61" s="346" t="s">
        <v>66</v>
      </c>
      <c r="D61" s="345" t="s">
        <v>14</v>
      </c>
      <c r="E61" s="345" t="s">
        <v>18</v>
      </c>
      <c r="F61" s="844" t="s">
        <v>701</v>
      </c>
      <c r="G61" s="844"/>
      <c r="H61" s="844"/>
      <c r="I61" s="345" t="s">
        <v>68</v>
      </c>
      <c r="J61" s="347">
        <v>0</v>
      </c>
      <c r="K61" s="347">
        <v>0</v>
      </c>
      <c r="L61" s="347">
        <v>0</v>
      </c>
      <c r="M61" s="347">
        <v>0</v>
      </c>
      <c r="N61" s="347">
        <v>0</v>
      </c>
      <c r="O61" s="484">
        <v>0</v>
      </c>
      <c r="P61" s="484">
        <v>0</v>
      </c>
      <c r="Q61" s="484">
        <v>0</v>
      </c>
      <c r="R61" s="484">
        <v>0</v>
      </c>
      <c r="S61" s="484">
        <v>0</v>
      </c>
      <c r="T61" s="484">
        <v>0</v>
      </c>
      <c r="U61" s="484">
        <v>5188.8999999999996</v>
      </c>
      <c r="V61" s="347">
        <v>0</v>
      </c>
      <c r="W61" s="484">
        <v>0</v>
      </c>
      <c r="X61" s="118">
        <f>SUM(J61:W61)</f>
        <v>5188.8999999999996</v>
      </c>
      <c r="Y61" s="694"/>
    </row>
    <row r="62" spans="1:25" s="349" customFormat="1" ht="159.75" customHeight="1" x14ac:dyDescent="0.2">
      <c r="A62" s="392" t="s">
        <v>690</v>
      </c>
      <c r="B62" s="71" t="s">
        <v>692</v>
      </c>
      <c r="C62" s="346" t="s">
        <v>66</v>
      </c>
      <c r="D62" s="345" t="s">
        <v>14</v>
      </c>
      <c r="E62" s="345" t="s">
        <v>18</v>
      </c>
      <c r="F62" s="844" t="s">
        <v>694</v>
      </c>
      <c r="G62" s="844"/>
      <c r="H62" s="844"/>
      <c r="I62" s="345" t="s">
        <v>68</v>
      </c>
      <c r="J62" s="347">
        <v>0</v>
      </c>
      <c r="K62" s="347">
        <v>0</v>
      </c>
      <c r="L62" s="347">
        <v>0</v>
      </c>
      <c r="M62" s="347">
        <v>0</v>
      </c>
      <c r="N62" s="347">
        <v>0</v>
      </c>
      <c r="O62" s="484">
        <v>0</v>
      </c>
      <c r="P62" s="484">
        <v>0</v>
      </c>
      <c r="Q62" s="484">
        <v>0</v>
      </c>
      <c r="R62" s="484">
        <v>0</v>
      </c>
      <c r="S62" s="484">
        <v>0</v>
      </c>
      <c r="T62" s="484">
        <v>1787.2</v>
      </c>
      <c r="U62" s="484">
        <v>0</v>
      </c>
      <c r="V62" s="347">
        <v>0</v>
      </c>
      <c r="W62" s="484">
        <v>0</v>
      </c>
      <c r="X62" s="118">
        <f t="shared" si="0"/>
        <v>1787.2</v>
      </c>
      <c r="Y62" s="845" t="s">
        <v>717</v>
      </c>
    </row>
    <row r="63" spans="1:25" s="349" customFormat="1" ht="159.75" customHeight="1" x14ac:dyDescent="0.2">
      <c r="A63" s="392" t="s">
        <v>691</v>
      </c>
      <c r="B63" s="71" t="s">
        <v>709</v>
      </c>
      <c r="C63" s="346" t="s">
        <v>66</v>
      </c>
      <c r="D63" s="345" t="s">
        <v>14</v>
      </c>
      <c r="E63" s="345" t="s">
        <v>18</v>
      </c>
      <c r="F63" s="844" t="s">
        <v>710</v>
      </c>
      <c r="G63" s="844"/>
      <c r="H63" s="844"/>
      <c r="I63" s="345" t="s">
        <v>68</v>
      </c>
      <c r="J63" s="347">
        <v>0</v>
      </c>
      <c r="K63" s="347">
        <v>0</v>
      </c>
      <c r="L63" s="347">
        <v>0</v>
      </c>
      <c r="M63" s="347">
        <v>0</v>
      </c>
      <c r="N63" s="347">
        <v>0</v>
      </c>
      <c r="O63" s="484">
        <v>0</v>
      </c>
      <c r="P63" s="484">
        <v>0</v>
      </c>
      <c r="Q63" s="484">
        <v>0</v>
      </c>
      <c r="R63" s="484">
        <v>0</v>
      </c>
      <c r="S63" s="484">
        <v>0</v>
      </c>
      <c r="T63" s="484">
        <f>1144.6-271.6+79</f>
        <v>951.99999999999989</v>
      </c>
      <c r="U63" s="484">
        <v>0</v>
      </c>
      <c r="V63" s="347">
        <v>0</v>
      </c>
      <c r="W63" s="484">
        <v>0</v>
      </c>
      <c r="X63" s="118">
        <f>SUM(J63:W63)</f>
        <v>951.99999999999989</v>
      </c>
      <c r="Y63" s="845"/>
    </row>
    <row r="64" spans="1:25" s="349" customFormat="1" ht="185.25" customHeight="1" x14ac:dyDescent="0.2">
      <c r="A64" s="392" t="s">
        <v>708</v>
      </c>
      <c r="B64" s="71" t="s">
        <v>693</v>
      </c>
      <c r="C64" s="346" t="s">
        <v>66</v>
      </c>
      <c r="D64" s="345" t="s">
        <v>14</v>
      </c>
      <c r="E64" s="345" t="s">
        <v>18</v>
      </c>
      <c r="F64" s="844" t="s">
        <v>695</v>
      </c>
      <c r="G64" s="844"/>
      <c r="H64" s="844"/>
      <c r="I64" s="345" t="s">
        <v>68</v>
      </c>
      <c r="J64" s="347">
        <v>0</v>
      </c>
      <c r="K64" s="347">
        <v>0</v>
      </c>
      <c r="L64" s="347">
        <v>0</v>
      </c>
      <c r="M64" s="347">
        <v>0</v>
      </c>
      <c r="N64" s="347">
        <v>0</v>
      </c>
      <c r="O64" s="484">
        <v>0</v>
      </c>
      <c r="P64" s="484">
        <v>0</v>
      </c>
      <c r="Q64" s="484">
        <v>0</v>
      </c>
      <c r="R64" s="484">
        <v>0</v>
      </c>
      <c r="S64" s="484">
        <v>0</v>
      </c>
      <c r="T64" s="484">
        <v>112.9</v>
      </c>
      <c r="U64" s="484">
        <v>0</v>
      </c>
      <c r="V64" s="347">
        <v>0</v>
      </c>
      <c r="W64" s="484">
        <v>0</v>
      </c>
      <c r="X64" s="118">
        <f t="shared" si="0"/>
        <v>112.9</v>
      </c>
      <c r="Y64" s="845"/>
    </row>
    <row r="65" spans="1:25" s="349" customFormat="1" ht="175.5" customHeight="1" x14ac:dyDescent="0.2">
      <c r="A65" s="392" t="s">
        <v>720</v>
      </c>
      <c r="B65" s="71" t="s">
        <v>723</v>
      </c>
      <c r="C65" s="346" t="s">
        <v>66</v>
      </c>
      <c r="D65" s="345" t="s">
        <v>14</v>
      </c>
      <c r="E65" s="345" t="s">
        <v>18</v>
      </c>
      <c r="F65" s="844" t="s">
        <v>722</v>
      </c>
      <c r="G65" s="844"/>
      <c r="H65" s="844"/>
      <c r="I65" s="345" t="s">
        <v>68</v>
      </c>
      <c r="J65" s="347">
        <v>0</v>
      </c>
      <c r="K65" s="347">
        <v>0</v>
      </c>
      <c r="L65" s="347">
        <v>0</v>
      </c>
      <c r="M65" s="347">
        <v>0</v>
      </c>
      <c r="N65" s="347">
        <v>0</v>
      </c>
      <c r="O65" s="484">
        <v>0</v>
      </c>
      <c r="P65" s="484">
        <v>0</v>
      </c>
      <c r="Q65" s="484">
        <v>0</v>
      </c>
      <c r="R65" s="484">
        <v>0</v>
      </c>
      <c r="S65" s="484">
        <v>0</v>
      </c>
      <c r="T65" s="484">
        <v>0</v>
      </c>
      <c r="U65" s="484">
        <v>597.1</v>
      </c>
      <c r="V65" s="347">
        <v>0</v>
      </c>
      <c r="W65" s="484">
        <v>0</v>
      </c>
      <c r="X65" s="118">
        <f>SUM(J65:W65)</f>
        <v>597.1</v>
      </c>
      <c r="Y65" s="694"/>
    </row>
    <row r="66" spans="1:25" s="349" customFormat="1" ht="175.5" customHeight="1" x14ac:dyDescent="0.2">
      <c r="A66" s="392" t="s">
        <v>721</v>
      </c>
      <c r="B66" s="71" t="s">
        <v>725</v>
      </c>
      <c r="C66" s="346" t="s">
        <v>66</v>
      </c>
      <c r="D66" s="345" t="s">
        <v>14</v>
      </c>
      <c r="E66" s="345" t="s">
        <v>18</v>
      </c>
      <c r="F66" s="844" t="s">
        <v>722</v>
      </c>
      <c r="G66" s="844"/>
      <c r="H66" s="844"/>
      <c r="I66" s="345" t="s">
        <v>68</v>
      </c>
      <c r="J66" s="347">
        <v>0</v>
      </c>
      <c r="K66" s="347">
        <v>0</v>
      </c>
      <c r="L66" s="347">
        <v>0</v>
      </c>
      <c r="M66" s="347">
        <v>0</v>
      </c>
      <c r="N66" s="347">
        <v>0</v>
      </c>
      <c r="O66" s="484">
        <v>0</v>
      </c>
      <c r="P66" s="484">
        <v>0</v>
      </c>
      <c r="Q66" s="484">
        <v>0</v>
      </c>
      <c r="R66" s="484">
        <v>0</v>
      </c>
      <c r="S66" s="484">
        <v>0</v>
      </c>
      <c r="T66" s="484">
        <v>0</v>
      </c>
      <c r="U66" s="484">
        <v>32.9</v>
      </c>
      <c r="V66" s="347">
        <v>0</v>
      </c>
      <c r="W66" s="484">
        <v>0</v>
      </c>
      <c r="X66" s="118">
        <f>SUM(J66:W66)</f>
        <v>32.9</v>
      </c>
      <c r="Y66" s="694"/>
    </row>
    <row r="67" spans="1:25" s="349" customFormat="1" ht="244.5" customHeight="1" x14ac:dyDescent="0.2">
      <c r="A67" s="392" t="s">
        <v>724</v>
      </c>
      <c r="B67" s="71" t="s">
        <v>728</v>
      </c>
      <c r="C67" s="346" t="s">
        <v>66</v>
      </c>
      <c r="D67" s="345" t="s">
        <v>14</v>
      </c>
      <c r="E67" s="345" t="s">
        <v>18</v>
      </c>
      <c r="F67" s="844" t="s">
        <v>730</v>
      </c>
      <c r="G67" s="844"/>
      <c r="H67" s="844"/>
      <c r="I67" s="345" t="s">
        <v>68</v>
      </c>
      <c r="J67" s="347">
        <v>0</v>
      </c>
      <c r="K67" s="347">
        <v>0</v>
      </c>
      <c r="L67" s="347">
        <v>0</v>
      </c>
      <c r="M67" s="347">
        <v>0</v>
      </c>
      <c r="N67" s="347">
        <v>0</v>
      </c>
      <c r="O67" s="484">
        <v>0</v>
      </c>
      <c r="P67" s="484">
        <v>0</v>
      </c>
      <c r="Q67" s="484">
        <v>0</v>
      </c>
      <c r="R67" s="484">
        <v>0</v>
      </c>
      <c r="S67" s="484">
        <v>0</v>
      </c>
      <c r="T67" s="484">
        <v>0</v>
      </c>
      <c r="U67" s="484">
        <v>90</v>
      </c>
      <c r="V67" s="347">
        <v>0</v>
      </c>
      <c r="W67" s="484">
        <v>0</v>
      </c>
      <c r="X67" s="118">
        <f>SUM(J67:W67)</f>
        <v>90</v>
      </c>
      <c r="Y67" s="694"/>
    </row>
    <row r="68" spans="1:25" s="349" customFormat="1" ht="240" customHeight="1" x14ac:dyDescent="0.2">
      <c r="A68" s="392" t="s">
        <v>726</v>
      </c>
      <c r="B68" s="71" t="s">
        <v>729</v>
      </c>
      <c r="C68" s="346" t="s">
        <v>66</v>
      </c>
      <c r="D68" s="345" t="s">
        <v>14</v>
      </c>
      <c r="E68" s="345" t="s">
        <v>18</v>
      </c>
      <c r="F68" s="844" t="s">
        <v>730</v>
      </c>
      <c r="G68" s="844"/>
      <c r="H68" s="844"/>
      <c r="I68" s="345" t="s">
        <v>68</v>
      </c>
      <c r="J68" s="347">
        <v>0</v>
      </c>
      <c r="K68" s="347">
        <v>0</v>
      </c>
      <c r="L68" s="347">
        <v>0</v>
      </c>
      <c r="M68" s="347">
        <v>0</v>
      </c>
      <c r="N68" s="347">
        <v>0</v>
      </c>
      <c r="O68" s="484">
        <v>0</v>
      </c>
      <c r="P68" s="484">
        <v>0</v>
      </c>
      <c r="Q68" s="484">
        <v>0</v>
      </c>
      <c r="R68" s="484">
        <v>0</v>
      </c>
      <c r="S68" s="484">
        <v>0</v>
      </c>
      <c r="T68" s="484">
        <v>0</v>
      </c>
      <c r="U68" s="484">
        <v>3</v>
      </c>
      <c r="V68" s="347">
        <v>0</v>
      </c>
      <c r="W68" s="484">
        <v>0</v>
      </c>
      <c r="X68" s="118">
        <f>SUM(J68:W68)</f>
        <v>3</v>
      </c>
      <c r="Y68" s="694"/>
    </row>
    <row r="69" spans="1:25" s="660" customFormat="1" ht="95.25" customHeight="1" x14ac:dyDescent="0.2">
      <c r="A69" s="392" t="s">
        <v>727</v>
      </c>
      <c r="B69" s="522" t="s">
        <v>539</v>
      </c>
      <c r="C69" s="493" t="s">
        <v>66</v>
      </c>
      <c r="D69" s="392" t="s">
        <v>14</v>
      </c>
      <c r="E69" s="392" t="s">
        <v>18</v>
      </c>
      <c r="F69" s="848" t="s">
        <v>540</v>
      </c>
      <c r="G69" s="848"/>
      <c r="H69" s="848"/>
      <c r="I69" s="392"/>
      <c r="J69" s="494">
        <v>1541.1</v>
      </c>
      <c r="K69" s="494">
        <v>1423.3</v>
      </c>
      <c r="L69" s="494">
        <v>6483.3</v>
      </c>
      <c r="M69" s="494">
        <v>6959</v>
      </c>
      <c r="N69" s="494">
        <v>4294.3</v>
      </c>
      <c r="O69" s="494">
        <v>4737.3</v>
      </c>
      <c r="P69" s="118">
        <v>2500</v>
      </c>
      <c r="Q69" s="494">
        <v>3800</v>
      </c>
      <c r="R69" s="494">
        <v>3042.3</v>
      </c>
      <c r="S69" s="494">
        <f>3687.7+1000+500+305.4+400+55.3</f>
        <v>5948.4</v>
      </c>
      <c r="T69" s="494">
        <f>4701.6+500+785.4+148.6+450+108.1</f>
        <v>6693.7000000000007</v>
      </c>
      <c r="U69" s="494">
        <f>5284.5+199.2</f>
        <v>5483.7</v>
      </c>
      <c r="V69" s="118">
        <v>5284.5</v>
      </c>
      <c r="W69" s="494">
        <v>5284.5</v>
      </c>
      <c r="X69" s="118">
        <f t="shared" si="0"/>
        <v>63475.399999999994</v>
      </c>
      <c r="Y69" s="692"/>
    </row>
    <row r="70" spans="1:25" ht="21" customHeight="1" x14ac:dyDescent="0.2">
      <c r="A70" s="392"/>
      <c r="B70" s="71" t="s">
        <v>71</v>
      </c>
      <c r="C70" s="330"/>
      <c r="D70" s="71"/>
      <c r="E70" s="71"/>
      <c r="F70" s="848"/>
      <c r="G70" s="848"/>
      <c r="H70" s="848"/>
      <c r="I70" s="71"/>
      <c r="J70" s="118">
        <f>J7+J10+J11+J12+J13+J14+J15+J16+J18+J17+J19+J20+J22+J25+J26+J27+J28+J30+J31+J32+J34+J35+J36+J37+J38+J39+J40+J42+J41+J43+J44+J45+J47+J49+J50+J51+J69</f>
        <v>34821.300000000003</v>
      </c>
      <c r="K70" s="118">
        <f>SUM(K7:K69)</f>
        <v>37580.000000000007</v>
      </c>
      <c r="L70" s="118">
        <f>L7+L11+L13+L15+L19+L20+L21+L22+L25+L26+L69</f>
        <v>47192.3</v>
      </c>
      <c r="M70" s="118">
        <f>M7+M11+M13+M15+M28+M29+M30+M32+M69+M34+M31+M21+M20</f>
        <v>52332.800000000003</v>
      </c>
      <c r="N70" s="118">
        <f>N7+N11+N13+N15+N21+N35+N36+N37+N69+N47+N38</f>
        <v>37242.000000000007</v>
      </c>
      <c r="O70" s="118">
        <f>O7+O11+O13+O21+O36+O39+O43+O44+O46+O45+O69+O15</f>
        <v>37410.400000000009</v>
      </c>
      <c r="P70" s="494">
        <f>P7+P11+P39+P47+P49+P50+P51+P69+P52+P53</f>
        <v>39497.700000000004</v>
      </c>
      <c r="Q70" s="494">
        <f>Q7+Q11+Q39+Q47+Q49+Q50+Q51+Q69+Q8+Q9+Q48</f>
        <v>46894</v>
      </c>
      <c r="R70" s="494">
        <f>R7+R11+R39+R47+R49+R50+R51+R69+R8+R9+R48+R54+R55</f>
        <v>74954.900000000009</v>
      </c>
      <c r="S70" s="494">
        <f>S7+S11+S39+S47+S49+S50+S51+S69+S8+S9+S48+S56+S33</f>
        <v>63694.999999999993</v>
      </c>
      <c r="T70" s="494">
        <f>T7+T8+T9+T39+T47+T48+T69+T59+T54+T55+T60+T64+T62+T63+T11</f>
        <v>75812.399999999994</v>
      </c>
      <c r="U70" s="494">
        <f>U7+U8+U9+U39+U47+U48+U69+U61+U55+U60+U68+U67+U66+U65</f>
        <v>86387.9</v>
      </c>
      <c r="V70" s="118">
        <f>V7+V8+V9+V39+V47+V48+V69</f>
        <v>69994.2</v>
      </c>
      <c r="W70" s="494">
        <f>W7+W8+W9+W39+W47+W48+W69</f>
        <v>69994.2</v>
      </c>
      <c r="X70" s="118">
        <f t="shared" si="0"/>
        <v>773809.1</v>
      </c>
      <c r="Y70" s="330"/>
    </row>
    <row r="71" spans="1:25" ht="20.25" customHeight="1" x14ac:dyDescent="0.2">
      <c r="A71" s="392"/>
      <c r="B71" s="71" t="s">
        <v>91</v>
      </c>
      <c r="C71" s="71"/>
      <c r="D71" s="71"/>
      <c r="E71" s="71"/>
      <c r="F71" s="848"/>
      <c r="G71" s="848"/>
      <c r="H71" s="848"/>
      <c r="I71" s="71"/>
      <c r="J71" s="118">
        <f t="shared" ref="J71:T71" si="3">J70</f>
        <v>34821.300000000003</v>
      </c>
      <c r="K71" s="118">
        <f t="shared" si="3"/>
        <v>37580.000000000007</v>
      </c>
      <c r="L71" s="118">
        <f t="shared" si="3"/>
        <v>47192.3</v>
      </c>
      <c r="M71" s="118">
        <f t="shared" si="3"/>
        <v>52332.800000000003</v>
      </c>
      <c r="N71" s="118">
        <f>N70</f>
        <v>37242.000000000007</v>
      </c>
      <c r="O71" s="494">
        <f>O70</f>
        <v>37410.400000000009</v>
      </c>
      <c r="P71" s="494">
        <f t="shared" si="3"/>
        <v>39497.700000000004</v>
      </c>
      <c r="Q71" s="494">
        <f t="shared" si="3"/>
        <v>46894</v>
      </c>
      <c r="R71" s="494">
        <f t="shared" si="3"/>
        <v>74954.900000000009</v>
      </c>
      <c r="S71" s="494">
        <f t="shared" si="3"/>
        <v>63694.999999999993</v>
      </c>
      <c r="T71" s="494">
        <f t="shared" si="3"/>
        <v>75812.399999999994</v>
      </c>
      <c r="U71" s="494">
        <f>U70</f>
        <v>86387.9</v>
      </c>
      <c r="V71" s="118">
        <f>V70</f>
        <v>69994.2</v>
      </c>
      <c r="W71" s="494">
        <f>W70</f>
        <v>69994.2</v>
      </c>
      <c r="X71" s="118">
        <f t="shared" si="0"/>
        <v>773809.1</v>
      </c>
      <c r="Y71" s="71"/>
    </row>
    <row r="72" spans="1:25" s="445" customFormat="1" ht="59.25" customHeight="1" x14ac:dyDescent="0.25">
      <c r="A72" s="851" t="s">
        <v>735</v>
      </c>
      <c r="B72" s="851"/>
      <c r="C72" s="851"/>
      <c r="D72" s="851"/>
      <c r="E72" s="851"/>
      <c r="F72" s="851"/>
      <c r="G72" s="851"/>
      <c r="H72" s="851"/>
      <c r="I72" s="851"/>
      <c r="J72" s="849" t="s">
        <v>734</v>
      </c>
      <c r="K72" s="850"/>
      <c r="L72" s="850"/>
      <c r="M72" s="850"/>
      <c r="N72" s="850"/>
      <c r="O72" s="850"/>
      <c r="P72" s="850"/>
      <c r="Q72" s="850"/>
      <c r="R72" s="850"/>
      <c r="S72" s="850"/>
      <c r="T72" s="850"/>
      <c r="U72" s="850"/>
      <c r="V72" s="850"/>
      <c r="W72" s="850"/>
      <c r="X72" s="850"/>
      <c r="Y72" s="850"/>
    </row>
    <row r="73" spans="1:25" hidden="1" x14ac:dyDescent="0.2">
      <c r="L73" s="395"/>
      <c r="M73" s="396">
        <v>45373.8</v>
      </c>
      <c r="N73" s="397">
        <v>32947.800000000003</v>
      </c>
      <c r="O73" s="495">
        <v>26880.1</v>
      </c>
      <c r="P73" s="495">
        <v>22100.9</v>
      </c>
      <c r="Q73" s="495">
        <v>22100.9</v>
      </c>
      <c r="R73" s="495"/>
      <c r="S73" s="495"/>
      <c r="T73" s="495"/>
      <c r="U73" s="495"/>
      <c r="V73" s="397"/>
      <c r="W73" s="495"/>
    </row>
    <row r="74" spans="1:25" hidden="1" x14ac:dyDescent="0.2">
      <c r="J74" s="370"/>
      <c r="K74" s="370"/>
      <c r="L74" s="398"/>
      <c r="M74" s="396">
        <f>M73-M71</f>
        <v>-6959</v>
      </c>
      <c r="N74" s="397">
        <f>N73-N71</f>
        <v>-4294.2000000000044</v>
      </c>
      <c r="O74" s="496">
        <f>O73-O71</f>
        <v>-10530.30000000001</v>
      </c>
      <c r="P74" s="496">
        <f>P73-P71</f>
        <v>-17396.800000000003</v>
      </c>
      <c r="Q74" s="496">
        <f>Q73-Q71</f>
        <v>-24793.1</v>
      </c>
      <c r="R74" s="496"/>
      <c r="S74" s="496"/>
      <c r="T74" s="496"/>
      <c r="U74" s="496"/>
      <c r="V74" s="399"/>
      <c r="W74" s="496"/>
      <c r="X74" s="398"/>
    </row>
    <row r="75" spans="1:25" hidden="1" x14ac:dyDescent="0.2">
      <c r="J75" s="370"/>
      <c r="K75" s="370"/>
      <c r="L75" s="370"/>
      <c r="M75" s="370"/>
      <c r="N75" s="399"/>
      <c r="O75" s="496"/>
      <c r="P75" s="496"/>
      <c r="Q75" s="496"/>
      <c r="R75" s="496"/>
      <c r="S75" s="496"/>
      <c r="T75" s="496"/>
      <c r="U75" s="496"/>
      <c r="V75" s="399"/>
      <c r="W75" s="496"/>
      <c r="X75" s="398"/>
    </row>
    <row r="76" spans="1:25" hidden="1" x14ac:dyDescent="0.2">
      <c r="L76" s="13" t="s">
        <v>366</v>
      </c>
      <c r="M76" s="380">
        <v>17923.800000000003</v>
      </c>
      <c r="N76" s="399">
        <v>5642.9000000000087</v>
      </c>
      <c r="O76" s="496">
        <v>5811.3000000000102</v>
      </c>
      <c r="P76" s="496">
        <v>7898.6000000000058</v>
      </c>
      <c r="Q76" s="496">
        <v>46894</v>
      </c>
      <c r="R76" s="496"/>
      <c r="S76" s="496"/>
      <c r="T76" s="496"/>
      <c r="U76" s="496"/>
      <c r="V76" s="399"/>
      <c r="W76" s="496"/>
    </row>
    <row r="77" spans="1:25" hidden="1" x14ac:dyDescent="0.2">
      <c r="N77" s="399"/>
      <c r="O77" s="496"/>
      <c r="P77" s="496"/>
      <c r="Q77" s="496"/>
      <c r="R77" s="496"/>
      <c r="S77" s="496"/>
      <c r="T77" s="496"/>
      <c r="U77" s="496"/>
      <c r="V77" s="399"/>
      <c r="W77" s="496"/>
    </row>
    <row r="78" spans="1:25" hidden="1" x14ac:dyDescent="0.2"/>
    <row r="79" spans="1:25" hidden="1" x14ac:dyDescent="0.2"/>
    <row r="80" spans="1:25" hidden="1" x14ac:dyDescent="0.2"/>
    <row r="81" hidden="1" x14ac:dyDescent="0.2"/>
    <row r="82" hidden="1" x14ac:dyDescent="0.2"/>
    <row r="83" hidden="1" x14ac:dyDescent="0.2"/>
  </sheetData>
  <sheetProtection selectLockedCells="1" selectUnlockedCells="1"/>
  <mergeCells count="97">
    <mergeCell ref="Y3:Y4"/>
    <mergeCell ref="Y39:Y40"/>
    <mergeCell ref="Y50:Y51"/>
    <mergeCell ref="J3:X3"/>
    <mergeCell ref="F29:H29"/>
    <mergeCell ref="F43:H43"/>
    <mergeCell ref="F47:H47"/>
    <mergeCell ref="F44:H44"/>
    <mergeCell ref="F26:H26"/>
    <mergeCell ref="F48:H48"/>
    <mergeCell ref="A3:A4"/>
    <mergeCell ref="L1:Y1"/>
    <mergeCell ref="F12:H12"/>
    <mergeCell ref="E1:G1"/>
    <mergeCell ref="A2:Y2"/>
    <mergeCell ref="A7:A10"/>
    <mergeCell ref="D3:I3"/>
    <mergeCell ref="F7:H7"/>
    <mergeCell ref="A11:A12"/>
    <mergeCell ref="F11:H11"/>
    <mergeCell ref="A13:A14"/>
    <mergeCell ref="F15:H15"/>
    <mergeCell ref="B3:B4"/>
    <mergeCell ref="B5:X5"/>
    <mergeCell ref="F9:H9"/>
    <mergeCell ref="B6:X6"/>
    <mergeCell ref="B11:B12"/>
    <mergeCell ref="C13:C14"/>
    <mergeCell ref="B13:B14"/>
    <mergeCell ref="B15:B16"/>
    <mergeCell ref="Y7:Y16"/>
    <mergeCell ref="B7:B10"/>
    <mergeCell ref="C3:C4"/>
    <mergeCell ref="F4:H4"/>
    <mergeCell ref="F10:H10"/>
    <mergeCell ref="F45:H45"/>
    <mergeCell ref="F22:H22"/>
    <mergeCell ref="F27:H27"/>
    <mergeCell ref="F28:H28"/>
    <mergeCell ref="F32:H32"/>
    <mergeCell ref="C7:C10"/>
    <mergeCell ref="F17:H17"/>
    <mergeCell ref="C11:C12"/>
    <mergeCell ref="F18:H18"/>
    <mergeCell ref="F19:H19"/>
    <mergeCell ref="F13:H13"/>
    <mergeCell ref="F8:H8"/>
    <mergeCell ref="F71:H71"/>
    <mergeCell ref="F41:H41"/>
    <mergeCell ref="F37:H37"/>
    <mergeCell ref="F35:H35"/>
    <mergeCell ref="F57:H57"/>
    <mergeCell ref="F50:H50"/>
    <mergeCell ref="F69:H69"/>
    <mergeCell ref="F54:H54"/>
    <mergeCell ref="F52:H52"/>
    <mergeCell ref="F40:H40"/>
    <mergeCell ref="A15:A16"/>
    <mergeCell ref="F34:H34"/>
    <mergeCell ref="F25:H25"/>
    <mergeCell ref="F16:H16"/>
    <mergeCell ref="F14:H14"/>
    <mergeCell ref="F38:H38"/>
    <mergeCell ref="F31:H31"/>
    <mergeCell ref="F24:H24"/>
    <mergeCell ref="C15:C16"/>
    <mergeCell ref="F20:H20"/>
    <mergeCell ref="J72:Y72"/>
    <mergeCell ref="F51:H51"/>
    <mergeCell ref="F42:H42"/>
    <mergeCell ref="F49:H49"/>
    <mergeCell ref="F39:H39"/>
    <mergeCell ref="A72:I72"/>
    <mergeCell ref="F70:H70"/>
    <mergeCell ref="F53:H53"/>
    <mergeCell ref="F58:H58"/>
    <mergeCell ref="F56:H56"/>
    <mergeCell ref="F21:H21"/>
    <mergeCell ref="F23:H23"/>
    <mergeCell ref="F33:H33"/>
    <mergeCell ref="F46:H46"/>
    <mergeCell ref="F36:H36"/>
    <mergeCell ref="F30:H30"/>
    <mergeCell ref="Y52:Y53"/>
    <mergeCell ref="Y59:Y60"/>
    <mergeCell ref="F55:H55"/>
    <mergeCell ref="F59:H59"/>
    <mergeCell ref="F60:H60"/>
    <mergeCell ref="F63:H63"/>
    <mergeCell ref="F61:H61"/>
    <mergeCell ref="F65:H65"/>
    <mergeCell ref="F66:H66"/>
    <mergeCell ref="F67:H67"/>
    <mergeCell ref="F68:H68"/>
    <mergeCell ref="F62:H62"/>
    <mergeCell ref="Y62:Y64"/>
    <mergeCell ref="F64:H64"/>
  </mergeCells>
  <pageMargins left="0.31496062992125984" right="0.15748031496062992" top="0.62992125984251968" bottom="0.39370078740157483" header="0.51181102362204722" footer="0.51181102362204722"/>
  <pageSetup paperSize="9" scale="46" firstPageNumber="0" fitToHeight="10" orientation="landscape" horizontalDpi="300" verticalDpi="300" r:id="rId1"/>
  <headerFooter alignWithMargins="0"/>
  <rowBreaks count="1" manualBreakCount="1">
    <brk id="34" max="17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57"/>
  <sheetViews>
    <sheetView view="pageBreakPreview" topLeftCell="A31" zoomScale="110" zoomScaleNormal="100" zoomScaleSheetLayoutView="110" zoomScalePageLayoutView="98" workbookViewId="0">
      <selection activeCell="K59" sqref="K59"/>
    </sheetView>
  </sheetViews>
  <sheetFormatPr defaultRowHeight="12.75" x14ac:dyDescent="0.2"/>
  <cols>
    <col min="1" max="1" width="5.7109375" style="58" customWidth="1"/>
    <col min="2" max="2" width="36.5703125" style="58" customWidth="1"/>
    <col min="3" max="3" width="12.85546875" style="58" customWidth="1"/>
    <col min="4" max="4" width="5.85546875" style="58" customWidth="1"/>
    <col min="5" max="5" width="5.7109375" style="58" customWidth="1"/>
    <col min="6" max="6" width="9" style="58" customWidth="1"/>
    <col min="7" max="7" width="2.7109375" style="58" customWidth="1"/>
    <col min="8" max="8" width="0.85546875" style="58" customWidth="1"/>
    <col min="9" max="9" width="6.28515625" style="58" customWidth="1"/>
    <col min="10" max="13" width="12.140625" style="58" customWidth="1"/>
    <col min="14" max="14" width="11" style="58" customWidth="1"/>
    <col min="15" max="15" width="11.140625" style="501" customWidth="1"/>
    <col min="16" max="21" width="10.5703125" style="501" customWidth="1"/>
    <col min="22" max="22" width="10.5703125" style="58" customWidth="1"/>
    <col min="23" max="23" width="10.5703125" style="501" customWidth="1"/>
    <col min="24" max="24" width="11.28515625" style="58" customWidth="1"/>
    <col min="25" max="25" width="11.5703125" style="58" customWidth="1"/>
    <col min="26" max="27" width="14.42578125" style="58" hidden="1" customWidth="1"/>
    <col min="28" max="30" width="0" style="58" hidden="1" customWidth="1"/>
    <col min="31" max="16384" width="9.140625" style="58"/>
  </cols>
  <sheetData>
    <row r="1" spans="1:27" ht="33" customHeight="1" x14ac:dyDescent="0.2">
      <c r="A1" s="381"/>
      <c r="B1" s="382"/>
      <c r="C1" s="382"/>
      <c r="D1" s="382"/>
      <c r="E1" s="869"/>
      <c r="F1" s="869"/>
      <c r="G1" s="869"/>
      <c r="H1" s="382"/>
      <c r="I1" s="382"/>
      <c r="J1" s="382"/>
      <c r="K1" s="869" t="s">
        <v>739</v>
      </c>
      <c r="L1" s="870"/>
      <c r="M1" s="870"/>
      <c r="N1" s="870"/>
      <c r="O1" s="870"/>
      <c r="P1" s="870"/>
      <c r="Q1" s="870"/>
      <c r="R1" s="870"/>
      <c r="S1" s="870"/>
      <c r="T1" s="870"/>
      <c r="U1" s="870"/>
      <c r="V1" s="870"/>
      <c r="W1" s="870"/>
      <c r="X1" s="870"/>
      <c r="Y1" s="870"/>
    </row>
    <row r="2" spans="1:27" x14ac:dyDescent="0.2">
      <c r="A2" s="871" t="s">
        <v>740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871"/>
      <c r="S2" s="871"/>
      <c r="T2" s="871"/>
      <c r="U2" s="871"/>
      <c r="V2" s="871"/>
      <c r="W2" s="871"/>
      <c r="X2" s="871"/>
      <c r="Y2" s="871"/>
    </row>
    <row r="3" spans="1:27" x14ac:dyDescent="0.2">
      <c r="A3" s="872" t="s">
        <v>58</v>
      </c>
      <c r="B3" s="862" t="s">
        <v>1</v>
      </c>
      <c r="C3" s="862" t="s">
        <v>139</v>
      </c>
      <c r="D3" s="862" t="s">
        <v>59</v>
      </c>
      <c r="E3" s="862"/>
      <c r="F3" s="862"/>
      <c r="G3" s="862"/>
      <c r="H3" s="862"/>
      <c r="I3" s="862"/>
      <c r="J3" s="862" t="s">
        <v>3</v>
      </c>
      <c r="K3" s="862"/>
      <c r="L3" s="862"/>
      <c r="M3" s="862"/>
      <c r="N3" s="862"/>
      <c r="O3" s="862"/>
      <c r="P3" s="862"/>
      <c r="Q3" s="862"/>
      <c r="R3" s="862"/>
      <c r="S3" s="862"/>
      <c r="T3" s="862"/>
      <c r="U3" s="862"/>
      <c r="V3" s="862"/>
      <c r="W3" s="862"/>
      <c r="X3" s="862"/>
      <c r="Y3" s="862" t="s">
        <v>60</v>
      </c>
      <c r="AA3" s="58" t="s">
        <v>343</v>
      </c>
    </row>
    <row r="4" spans="1:27" ht="79.5" customHeight="1" x14ac:dyDescent="0.2">
      <c r="A4" s="872"/>
      <c r="B4" s="862"/>
      <c r="C4" s="862"/>
      <c r="D4" s="376" t="s">
        <v>138</v>
      </c>
      <c r="E4" s="376" t="s">
        <v>4</v>
      </c>
      <c r="F4" s="862" t="s">
        <v>5</v>
      </c>
      <c r="G4" s="862"/>
      <c r="H4" s="862"/>
      <c r="I4" s="376" t="s">
        <v>6</v>
      </c>
      <c r="J4" s="376" t="s">
        <v>7</v>
      </c>
      <c r="K4" s="376" t="s">
        <v>8</v>
      </c>
      <c r="L4" s="376" t="s">
        <v>9</v>
      </c>
      <c r="M4" s="376" t="s">
        <v>122</v>
      </c>
      <c r="N4" s="376" t="s">
        <v>160</v>
      </c>
      <c r="O4" s="498" t="s">
        <v>163</v>
      </c>
      <c r="P4" s="498" t="s">
        <v>164</v>
      </c>
      <c r="Q4" s="498" t="s">
        <v>391</v>
      </c>
      <c r="R4" s="498" t="s">
        <v>392</v>
      </c>
      <c r="S4" s="498" t="s">
        <v>439</v>
      </c>
      <c r="T4" s="498" t="s">
        <v>440</v>
      </c>
      <c r="U4" s="498" t="s">
        <v>441</v>
      </c>
      <c r="V4" s="376" t="s">
        <v>442</v>
      </c>
      <c r="W4" s="498" t="s">
        <v>443</v>
      </c>
      <c r="X4" s="376" t="s">
        <v>703</v>
      </c>
      <c r="Y4" s="862"/>
      <c r="AA4" s="384">
        <f>M7+M13+M15+M17+M21</f>
        <v>20068.600000000002</v>
      </c>
    </row>
    <row r="5" spans="1:27" x14ac:dyDescent="0.2">
      <c r="A5" s="696"/>
      <c r="B5" s="865" t="s">
        <v>649</v>
      </c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376"/>
      <c r="AA5" s="384">
        <v>20986.400000000001</v>
      </c>
    </row>
    <row r="6" spans="1:27" x14ac:dyDescent="0.2">
      <c r="A6" s="697" t="s">
        <v>62</v>
      </c>
      <c r="B6" s="865" t="s">
        <v>650</v>
      </c>
      <c r="C6" s="865"/>
      <c r="D6" s="865"/>
      <c r="E6" s="865"/>
      <c r="F6" s="865"/>
      <c r="G6" s="865"/>
      <c r="H6" s="865"/>
      <c r="I6" s="865"/>
      <c r="J6" s="865"/>
      <c r="K6" s="865"/>
      <c r="L6" s="865"/>
      <c r="M6" s="865"/>
      <c r="N6" s="865"/>
      <c r="O6" s="865"/>
      <c r="P6" s="865"/>
      <c r="Q6" s="865"/>
      <c r="R6" s="865"/>
      <c r="S6" s="865"/>
      <c r="T6" s="865"/>
      <c r="U6" s="865"/>
      <c r="V6" s="865"/>
      <c r="W6" s="865"/>
      <c r="X6" s="865"/>
      <c r="Y6" s="376"/>
      <c r="AA6" s="384">
        <f>AA4-AA5</f>
        <v>-917.79999999999927</v>
      </c>
    </row>
    <row r="7" spans="1:27" ht="30" customHeight="1" x14ac:dyDescent="0.2">
      <c r="A7" s="863" t="s">
        <v>64</v>
      </c>
      <c r="B7" s="865" t="s">
        <v>127</v>
      </c>
      <c r="C7" s="862" t="s">
        <v>66</v>
      </c>
      <c r="D7" s="383" t="s">
        <v>14</v>
      </c>
      <c r="E7" s="383" t="s">
        <v>269</v>
      </c>
      <c r="F7" s="859" t="s">
        <v>181</v>
      </c>
      <c r="G7" s="859"/>
      <c r="H7" s="859"/>
      <c r="I7" s="383" t="s">
        <v>67</v>
      </c>
      <c r="J7" s="700">
        <v>0</v>
      </c>
      <c r="K7" s="700">
        <v>0</v>
      </c>
      <c r="L7" s="700">
        <f>17468.2-30</f>
        <v>17438.2</v>
      </c>
      <c r="M7" s="700">
        <f>16700.4+4.9+409.2</f>
        <v>17114.500000000004</v>
      </c>
      <c r="N7" s="700">
        <v>17414</v>
      </c>
      <c r="O7" s="701">
        <v>18070.2</v>
      </c>
      <c r="P7" s="701">
        <v>20900.099999999999</v>
      </c>
      <c r="Q7" s="701">
        <v>1083.7</v>
      </c>
      <c r="R7" s="701">
        <v>1547.2</v>
      </c>
      <c r="S7" s="701">
        <v>1261.0999999999999</v>
      </c>
      <c r="T7" s="701">
        <f>1199.5+306.9+88.4</f>
        <v>1594.8000000000002</v>
      </c>
      <c r="U7" s="701">
        <v>1701.3</v>
      </c>
      <c r="V7" s="700">
        <f>5970.7-3500</f>
        <v>2470.6999999999998</v>
      </c>
      <c r="W7" s="701">
        <f>5970.7-3500</f>
        <v>2470.6999999999998</v>
      </c>
      <c r="X7" s="700">
        <f>SUM(J7:W7)</f>
        <v>103066.5</v>
      </c>
      <c r="Y7" s="868" t="s">
        <v>651</v>
      </c>
      <c r="AA7" s="386"/>
    </row>
    <row r="8" spans="1:27" ht="30" customHeight="1" x14ac:dyDescent="0.2">
      <c r="A8" s="866"/>
      <c r="B8" s="865"/>
      <c r="C8" s="862"/>
      <c r="D8" s="383" t="s">
        <v>14</v>
      </c>
      <c r="E8" s="383" t="s">
        <v>269</v>
      </c>
      <c r="F8" s="859" t="s">
        <v>564</v>
      </c>
      <c r="G8" s="859"/>
      <c r="H8" s="859"/>
      <c r="I8" s="383" t="s">
        <v>67</v>
      </c>
      <c r="J8" s="700">
        <v>0</v>
      </c>
      <c r="K8" s="700">
        <v>0</v>
      </c>
      <c r="L8" s="700">
        <v>0</v>
      </c>
      <c r="M8" s="700">
        <v>0</v>
      </c>
      <c r="N8" s="700">
        <v>0</v>
      </c>
      <c r="O8" s="701">
        <v>0</v>
      </c>
      <c r="P8" s="701">
        <v>0</v>
      </c>
      <c r="Q8" s="701">
        <f>650.3+50</f>
        <v>700.3</v>
      </c>
      <c r="R8" s="701">
        <f>739.5+1</f>
        <v>740.5</v>
      </c>
      <c r="S8" s="701">
        <f>701+7.4</f>
        <v>708.4</v>
      </c>
      <c r="T8" s="701">
        <f>729+33.2</f>
        <v>762.2</v>
      </c>
      <c r="U8" s="701">
        <v>883.3</v>
      </c>
      <c r="V8" s="700">
        <v>883.3</v>
      </c>
      <c r="W8" s="701">
        <v>883.3</v>
      </c>
      <c r="X8" s="700">
        <f t="shared" ref="X8:X36" si="0">SUM(J8:W8)</f>
        <v>5561.3</v>
      </c>
      <c r="Y8" s="868"/>
      <c r="AA8" s="386"/>
    </row>
    <row r="9" spans="1:27" ht="30" customHeight="1" x14ac:dyDescent="0.2">
      <c r="A9" s="866"/>
      <c r="B9" s="865"/>
      <c r="C9" s="862"/>
      <c r="D9" s="383" t="s">
        <v>14</v>
      </c>
      <c r="E9" s="383" t="s">
        <v>269</v>
      </c>
      <c r="F9" s="859" t="s">
        <v>565</v>
      </c>
      <c r="G9" s="859"/>
      <c r="H9" s="859"/>
      <c r="I9" s="383" t="s">
        <v>67</v>
      </c>
      <c r="J9" s="700">
        <v>0</v>
      </c>
      <c r="K9" s="700">
        <v>0</v>
      </c>
      <c r="L9" s="700">
        <v>0</v>
      </c>
      <c r="M9" s="700">
        <v>0</v>
      </c>
      <c r="N9" s="700">
        <v>0</v>
      </c>
      <c r="O9" s="701">
        <v>0</v>
      </c>
      <c r="P9" s="701">
        <v>0</v>
      </c>
      <c r="Q9" s="701">
        <f>27336.6+621</f>
        <v>27957.599999999999</v>
      </c>
      <c r="R9" s="701">
        <v>30112.6</v>
      </c>
      <c r="S9" s="701">
        <f>32210.5+1016.8-7.4</f>
        <v>33219.9</v>
      </c>
      <c r="T9" s="701">
        <f>31215.6+3967.4+3341.6+1701.8</f>
        <v>40226.400000000001</v>
      </c>
      <c r="U9" s="701">
        <f>41037+7504.3</f>
        <v>48541.3</v>
      </c>
      <c r="V9" s="700">
        <v>41037</v>
      </c>
      <c r="W9" s="701">
        <v>41037</v>
      </c>
      <c r="X9" s="700">
        <f t="shared" si="0"/>
        <v>262131.8</v>
      </c>
      <c r="Y9" s="868"/>
      <c r="AA9" s="386"/>
    </row>
    <row r="10" spans="1:27" ht="39" customHeight="1" x14ac:dyDescent="0.2">
      <c r="A10" s="864"/>
      <c r="B10" s="865"/>
      <c r="C10" s="862"/>
      <c r="D10" s="383" t="s">
        <v>14</v>
      </c>
      <c r="E10" s="383" t="s">
        <v>269</v>
      </c>
      <c r="F10" s="859" t="s">
        <v>256</v>
      </c>
      <c r="G10" s="859"/>
      <c r="H10" s="859"/>
      <c r="I10" s="383" t="s">
        <v>67</v>
      </c>
      <c r="J10" s="700">
        <v>16702.400000000001</v>
      </c>
      <c r="K10" s="700">
        <v>17524.8</v>
      </c>
      <c r="L10" s="700">
        <v>0</v>
      </c>
      <c r="M10" s="700">
        <v>0</v>
      </c>
      <c r="N10" s="700">
        <v>0</v>
      </c>
      <c r="O10" s="701">
        <v>0</v>
      </c>
      <c r="P10" s="701">
        <f t="shared" ref="P10:U23" si="1">O10</f>
        <v>0</v>
      </c>
      <c r="Q10" s="701">
        <f t="shared" si="1"/>
        <v>0</v>
      </c>
      <c r="R10" s="701">
        <f t="shared" si="1"/>
        <v>0</v>
      </c>
      <c r="S10" s="701">
        <f t="shared" si="1"/>
        <v>0</v>
      </c>
      <c r="T10" s="701">
        <f t="shared" si="1"/>
        <v>0</v>
      </c>
      <c r="U10" s="701">
        <f t="shared" si="1"/>
        <v>0</v>
      </c>
      <c r="V10" s="700">
        <f>T10</f>
        <v>0</v>
      </c>
      <c r="W10" s="701">
        <f>U10</f>
        <v>0</v>
      </c>
      <c r="X10" s="700">
        <f t="shared" si="0"/>
        <v>34227.199999999997</v>
      </c>
      <c r="Y10" s="868"/>
      <c r="AA10" s="386"/>
    </row>
    <row r="11" spans="1:27" ht="29.25" customHeight="1" x14ac:dyDescent="0.2">
      <c r="A11" s="863" t="s">
        <v>522</v>
      </c>
      <c r="B11" s="865" t="s">
        <v>106</v>
      </c>
      <c r="C11" s="862" t="s">
        <v>66</v>
      </c>
      <c r="D11" s="383" t="s">
        <v>14</v>
      </c>
      <c r="E11" s="383" t="s">
        <v>269</v>
      </c>
      <c r="F11" s="859" t="s">
        <v>181</v>
      </c>
      <c r="G11" s="859"/>
      <c r="H11" s="859"/>
      <c r="I11" s="383" t="s">
        <v>68</v>
      </c>
      <c r="J11" s="700">
        <v>0</v>
      </c>
      <c r="K11" s="700">
        <v>0</v>
      </c>
      <c r="L11" s="700">
        <f>349.2+30</f>
        <v>379.2</v>
      </c>
      <c r="M11" s="700">
        <v>30</v>
      </c>
      <c r="N11" s="700">
        <v>90</v>
      </c>
      <c r="O11" s="701">
        <v>0</v>
      </c>
      <c r="P11" s="701">
        <f t="shared" si="1"/>
        <v>0</v>
      </c>
      <c r="Q11" s="701">
        <f>170.8+31+280.8</f>
        <v>482.6</v>
      </c>
      <c r="R11" s="701">
        <v>15</v>
      </c>
      <c r="S11" s="701">
        <v>0</v>
      </c>
      <c r="T11" s="701">
        <f>99+87.5+104+239.2+2033.5</f>
        <v>2563.1999999999998</v>
      </c>
      <c r="U11" s="701">
        <f>347.7+5142.9</f>
        <v>5490.5999999999995</v>
      </c>
      <c r="V11" s="700">
        <v>0</v>
      </c>
      <c r="W11" s="701">
        <v>0</v>
      </c>
      <c r="X11" s="700">
        <f t="shared" si="0"/>
        <v>9050.5999999999985</v>
      </c>
      <c r="Y11" s="868"/>
    </row>
    <row r="12" spans="1:27" ht="39" customHeight="1" x14ac:dyDescent="0.2">
      <c r="A12" s="864"/>
      <c r="B12" s="865"/>
      <c r="C12" s="862"/>
      <c r="D12" s="383" t="s">
        <v>14</v>
      </c>
      <c r="E12" s="383" t="s">
        <v>269</v>
      </c>
      <c r="F12" s="859" t="s">
        <v>256</v>
      </c>
      <c r="G12" s="859"/>
      <c r="H12" s="859"/>
      <c r="I12" s="383" t="s">
        <v>68</v>
      </c>
      <c r="J12" s="700">
        <v>245.5</v>
      </c>
      <c r="K12" s="700">
        <v>584.6</v>
      </c>
      <c r="L12" s="700">
        <v>0</v>
      </c>
      <c r="M12" s="700">
        <v>0</v>
      </c>
      <c r="N12" s="700">
        <v>0</v>
      </c>
      <c r="O12" s="701">
        <v>0</v>
      </c>
      <c r="P12" s="701">
        <f t="shared" si="1"/>
        <v>0</v>
      </c>
      <c r="Q12" s="701">
        <f t="shared" si="1"/>
        <v>0</v>
      </c>
      <c r="R12" s="701">
        <f t="shared" si="1"/>
        <v>0</v>
      </c>
      <c r="S12" s="701">
        <f t="shared" si="1"/>
        <v>0</v>
      </c>
      <c r="T12" s="701">
        <f t="shared" si="1"/>
        <v>0</v>
      </c>
      <c r="U12" s="701">
        <f t="shared" si="1"/>
        <v>0</v>
      </c>
      <c r="V12" s="700">
        <f>T12</f>
        <v>0</v>
      </c>
      <c r="W12" s="701">
        <f>U12</f>
        <v>0</v>
      </c>
      <c r="X12" s="700">
        <f t="shared" si="0"/>
        <v>830.1</v>
      </c>
      <c r="Y12" s="868"/>
      <c r="AA12" s="386"/>
    </row>
    <row r="13" spans="1:27" ht="39.75" customHeight="1" x14ac:dyDescent="0.2">
      <c r="A13" s="863" t="s">
        <v>523</v>
      </c>
      <c r="B13" s="865" t="s">
        <v>129</v>
      </c>
      <c r="C13" s="862" t="s">
        <v>66</v>
      </c>
      <c r="D13" s="383" t="s">
        <v>14</v>
      </c>
      <c r="E13" s="383" t="s">
        <v>269</v>
      </c>
      <c r="F13" s="859" t="s">
        <v>182</v>
      </c>
      <c r="G13" s="859"/>
      <c r="H13" s="859"/>
      <c r="I13" s="383" t="s">
        <v>67</v>
      </c>
      <c r="J13" s="700">
        <v>0</v>
      </c>
      <c r="K13" s="700">
        <v>0</v>
      </c>
      <c r="L13" s="700">
        <v>1514.5</v>
      </c>
      <c r="M13" s="700">
        <f>1489.4+112.2-0.1</f>
        <v>1601.5000000000002</v>
      </c>
      <c r="N13" s="700">
        <f>2031.1+31.2</f>
        <v>2062.2999999999997</v>
      </c>
      <c r="O13" s="701">
        <v>2615.4</v>
      </c>
      <c r="P13" s="701">
        <v>2405.5</v>
      </c>
      <c r="Q13" s="701">
        <v>0</v>
      </c>
      <c r="R13" s="701">
        <v>0</v>
      </c>
      <c r="S13" s="701">
        <v>0</v>
      </c>
      <c r="T13" s="701">
        <v>0</v>
      </c>
      <c r="U13" s="701">
        <v>0</v>
      </c>
      <c r="V13" s="700">
        <v>0</v>
      </c>
      <c r="W13" s="701">
        <v>0</v>
      </c>
      <c r="X13" s="700">
        <f t="shared" si="0"/>
        <v>10199.199999999999</v>
      </c>
      <c r="Y13" s="868"/>
    </row>
    <row r="14" spans="1:27" ht="24.75" customHeight="1" x14ac:dyDescent="0.2">
      <c r="A14" s="864"/>
      <c r="B14" s="865"/>
      <c r="C14" s="862"/>
      <c r="D14" s="383" t="s">
        <v>14</v>
      </c>
      <c r="E14" s="383" t="s">
        <v>269</v>
      </c>
      <c r="F14" s="859" t="s">
        <v>257</v>
      </c>
      <c r="G14" s="859"/>
      <c r="H14" s="859"/>
      <c r="I14" s="383" t="s">
        <v>67</v>
      </c>
      <c r="J14" s="700">
        <v>663.5</v>
      </c>
      <c r="K14" s="700">
        <v>1019.4</v>
      </c>
      <c r="L14" s="700">
        <v>0</v>
      </c>
      <c r="M14" s="700">
        <v>0</v>
      </c>
      <c r="N14" s="700">
        <v>0</v>
      </c>
      <c r="O14" s="701">
        <v>0</v>
      </c>
      <c r="P14" s="701">
        <f t="shared" si="1"/>
        <v>0</v>
      </c>
      <c r="Q14" s="701">
        <f t="shared" si="1"/>
        <v>0</v>
      </c>
      <c r="R14" s="701">
        <f t="shared" si="1"/>
        <v>0</v>
      </c>
      <c r="S14" s="701">
        <f t="shared" si="1"/>
        <v>0</v>
      </c>
      <c r="T14" s="701">
        <f t="shared" si="1"/>
        <v>0</v>
      </c>
      <c r="U14" s="701">
        <f t="shared" si="1"/>
        <v>0</v>
      </c>
      <c r="V14" s="700">
        <f t="shared" ref="V14:W17" si="2">T14</f>
        <v>0</v>
      </c>
      <c r="W14" s="701">
        <f t="shared" si="2"/>
        <v>0</v>
      </c>
      <c r="X14" s="700">
        <f t="shared" si="0"/>
        <v>1682.9</v>
      </c>
      <c r="Y14" s="868"/>
    </row>
    <row r="15" spans="1:27" ht="44.25" customHeight="1" x14ac:dyDescent="0.2">
      <c r="A15" s="863" t="s">
        <v>524</v>
      </c>
      <c r="B15" s="865" t="s">
        <v>130</v>
      </c>
      <c r="C15" s="862" t="s">
        <v>66</v>
      </c>
      <c r="D15" s="383" t="s">
        <v>14</v>
      </c>
      <c r="E15" s="383" t="s">
        <v>269</v>
      </c>
      <c r="F15" s="859" t="s">
        <v>183</v>
      </c>
      <c r="G15" s="859"/>
      <c r="H15" s="859"/>
      <c r="I15" s="383" t="s">
        <v>67</v>
      </c>
      <c r="J15" s="700">
        <v>0</v>
      </c>
      <c r="K15" s="700">
        <v>0</v>
      </c>
      <c r="L15" s="700">
        <v>380.3</v>
      </c>
      <c r="M15" s="700">
        <f>505.8+103.1-0.1</f>
        <v>608.79999999999995</v>
      </c>
      <c r="N15" s="700">
        <v>676.5</v>
      </c>
      <c r="O15" s="701">
        <v>524.5</v>
      </c>
      <c r="P15" s="701" t="s">
        <v>111</v>
      </c>
      <c r="Q15" s="701" t="str">
        <f t="shared" si="1"/>
        <v>-</v>
      </c>
      <c r="R15" s="701" t="str">
        <f t="shared" si="1"/>
        <v>-</v>
      </c>
      <c r="S15" s="701" t="str">
        <f t="shared" si="1"/>
        <v>-</v>
      </c>
      <c r="T15" s="701" t="str">
        <f t="shared" si="1"/>
        <v>-</v>
      </c>
      <c r="U15" s="701" t="str">
        <f t="shared" si="1"/>
        <v>-</v>
      </c>
      <c r="V15" s="700" t="str">
        <f t="shared" si="2"/>
        <v>-</v>
      </c>
      <c r="W15" s="701" t="str">
        <f t="shared" si="2"/>
        <v>-</v>
      </c>
      <c r="X15" s="700">
        <f t="shared" si="0"/>
        <v>2190.1</v>
      </c>
      <c r="Y15" s="868"/>
    </row>
    <row r="16" spans="1:27" ht="23.25" customHeight="1" x14ac:dyDescent="0.2">
      <c r="A16" s="864"/>
      <c r="B16" s="865"/>
      <c r="C16" s="862"/>
      <c r="D16" s="383" t="s">
        <v>14</v>
      </c>
      <c r="E16" s="383" t="s">
        <v>269</v>
      </c>
      <c r="F16" s="859" t="s">
        <v>258</v>
      </c>
      <c r="G16" s="859"/>
      <c r="H16" s="859"/>
      <c r="I16" s="383" t="s">
        <v>67</v>
      </c>
      <c r="J16" s="700">
        <v>136.6</v>
      </c>
      <c r="K16" s="700">
        <v>112.8</v>
      </c>
      <c r="L16" s="700">
        <v>0</v>
      </c>
      <c r="M16" s="700">
        <v>0</v>
      </c>
      <c r="N16" s="700">
        <v>0</v>
      </c>
      <c r="O16" s="701">
        <v>0</v>
      </c>
      <c r="P16" s="701">
        <f t="shared" si="1"/>
        <v>0</v>
      </c>
      <c r="Q16" s="701">
        <f t="shared" si="1"/>
        <v>0</v>
      </c>
      <c r="R16" s="701">
        <f t="shared" si="1"/>
        <v>0</v>
      </c>
      <c r="S16" s="701">
        <f t="shared" si="1"/>
        <v>0</v>
      </c>
      <c r="T16" s="701">
        <f t="shared" si="1"/>
        <v>0</v>
      </c>
      <c r="U16" s="701">
        <f t="shared" si="1"/>
        <v>0</v>
      </c>
      <c r="V16" s="700">
        <f t="shared" si="2"/>
        <v>0</v>
      </c>
      <c r="W16" s="701">
        <f t="shared" si="2"/>
        <v>0</v>
      </c>
      <c r="X16" s="700">
        <f t="shared" si="0"/>
        <v>249.39999999999998</v>
      </c>
      <c r="Y16" s="702"/>
    </row>
    <row r="17" spans="1:25" ht="171.75" customHeight="1" x14ac:dyDescent="0.2">
      <c r="A17" s="676" t="s">
        <v>525</v>
      </c>
      <c r="B17" s="703" t="s">
        <v>184</v>
      </c>
      <c r="C17" s="376" t="s">
        <v>66</v>
      </c>
      <c r="D17" s="383" t="s">
        <v>14</v>
      </c>
      <c r="E17" s="383" t="s">
        <v>269</v>
      </c>
      <c r="F17" s="859" t="s">
        <v>415</v>
      </c>
      <c r="G17" s="859"/>
      <c r="H17" s="860"/>
      <c r="I17" s="383" t="s">
        <v>67</v>
      </c>
      <c r="J17" s="700"/>
      <c r="K17" s="700">
        <v>0</v>
      </c>
      <c r="L17" s="700">
        <v>30.1</v>
      </c>
      <c r="M17" s="700">
        <f>29.4+3.9</f>
        <v>33.299999999999997</v>
      </c>
      <c r="N17" s="700">
        <v>31.8</v>
      </c>
      <c r="O17" s="701">
        <v>4.8</v>
      </c>
      <c r="P17" s="701" t="s">
        <v>111</v>
      </c>
      <c r="Q17" s="701" t="str">
        <f t="shared" si="1"/>
        <v>-</v>
      </c>
      <c r="R17" s="701" t="str">
        <f t="shared" si="1"/>
        <v>-</v>
      </c>
      <c r="S17" s="701" t="str">
        <f t="shared" si="1"/>
        <v>-</v>
      </c>
      <c r="T17" s="701" t="str">
        <f t="shared" si="1"/>
        <v>-</v>
      </c>
      <c r="U17" s="701" t="str">
        <f t="shared" si="1"/>
        <v>-</v>
      </c>
      <c r="V17" s="700" t="str">
        <f t="shared" si="2"/>
        <v>-</v>
      </c>
      <c r="W17" s="701" t="str">
        <f t="shared" si="2"/>
        <v>-</v>
      </c>
      <c r="X17" s="700">
        <f t="shared" si="0"/>
        <v>100</v>
      </c>
      <c r="Y17" s="702"/>
    </row>
    <row r="18" spans="1:25" ht="90.75" customHeight="1" x14ac:dyDescent="0.2">
      <c r="A18" s="676" t="s">
        <v>526</v>
      </c>
      <c r="B18" s="703" t="s">
        <v>621</v>
      </c>
      <c r="C18" s="376" t="s">
        <v>66</v>
      </c>
      <c r="D18" s="383" t="s">
        <v>14</v>
      </c>
      <c r="E18" s="383" t="s">
        <v>269</v>
      </c>
      <c r="F18" s="859" t="s">
        <v>624</v>
      </c>
      <c r="G18" s="859"/>
      <c r="H18" s="860"/>
      <c r="I18" s="383" t="s">
        <v>67</v>
      </c>
      <c r="J18" s="700"/>
      <c r="K18" s="700">
        <v>0</v>
      </c>
      <c r="L18" s="700">
        <v>0</v>
      </c>
      <c r="M18" s="700">
        <v>0</v>
      </c>
      <c r="N18" s="700">
        <v>0</v>
      </c>
      <c r="O18" s="701">
        <v>0</v>
      </c>
      <c r="P18" s="701" t="s">
        <v>111</v>
      </c>
      <c r="Q18" s="701" t="str">
        <f>P18</f>
        <v>-</v>
      </c>
      <c r="R18" s="701">
        <v>303.89999999999998</v>
      </c>
      <c r="S18" s="701">
        <v>0</v>
      </c>
      <c r="T18" s="701">
        <v>0</v>
      </c>
      <c r="U18" s="701">
        <v>0</v>
      </c>
      <c r="V18" s="700">
        <v>0</v>
      </c>
      <c r="W18" s="701">
        <v>0</v>
      </c>
      <c r="X18" s="700">
        <f t="shared" si="0"/>
        <v>303.89999999999998</v>
      </c>
      <c r="Y18" s="702"/>
    </row>
    <row r="19" spans="1:25" ht="69.75" customHeight="1" x14ac:dyDescent="0.2">
      <c r="A19" s="676" t="s">
        <v>527</v>
      </c>
      <c r="B19" s="678" t="s">
        <v>161</v>
      </c>
      <c r="C19" s="376" t="s">
        <v>66</v>
      </c>
      <c r="D19" s="383" t="s">
        <v>14</v>
      </c>
      <c r="E19" s="383" t="s">
        <v>269</v>
      </c>
      <c r="F19" s="859" t="s">
        <v>162</v>
      </c>
      <c r="G19" s="859"/>
      <c r="H19" s="860"/>
      <c r="I19" s="383" t="s">
        <v>68</v>
      </c>
      <c r="J19" s="700">
        <v>0</v>
      </c>
      <c r="K19" s="700">
        <v>2662.3</v>
      </c>
      <c r="L19" s="700">
        <v>0</v>
      </c>
      <c r="M19" s="700">
        <v>0</v>
      </c>
      <c r="N19" s="700">
        <v>0</v>
      </c>
      <c r="O19" s="701">
        <v>0</v>
      </c>
      <c r="P19" s="701">
        <f t="shared" si="1"/>
        <v>0</v>
      </c>
      <c r="Q19" s="701">
        <f t="shared" si="1"/>
        <v>0</v>
      </c>
      <c r="R19" s="701">
        <f t="shared" si="1"/>
        <v>0</v>
      </c>
      <c r="S19" s="701">
        <f t="shared" si="1"/>
        <v>0</v>
      </c>
      <c r="T19" s="701">
        <f t="shared" si="1"/>
        <v>0</v>
      </c>
      <c r="U19" s="701">
        <f t="shared" si="1"/>
        <v>0</v>
      </c>
      <c r="V19" s="700">
        <f t="shared" ref="V19:W23" si="3">T19</f>
        <v>0</v>
      </c>
      <c r="W19" s="701">
        <f t="shared" si="3"/>
        <v>0</v>
      </c>
      <c r="X19" s="700">
        <f t="shared" si="0"/>
        <v>2662.3</v>
      </c>
      <c r="Y19" s="702"/>
    </row>
    <row r="20" spans="1:25" ht="165.75" customHeight="1" x14ac:dyDescent="0.2">
      <c r="A20" s="676" t="s">
        <v>528</v>
      </c>
      <c r="B20" s="678" t="s">
        <v>143</v>
      </c>
      <c r="C20" s="376" t="s">
        <v>66</v>
      </c>
      <c r="D20" s="383" t="s">
        <v>14</v>
      </c>
      <c r="E20" s="383" t="s">
        <v>269</v>
      </c>
      <c r="F20" s="859" t="s">
        <v>259</v>
      </c>
      <c r="G20" s="859"/>
      <c r="H20" s="860"/>
      <c r="I20" s="383" t="s">
        <v>67</v>
      </c>
      <c r="J20" s="700">
        <v>19.3</v>
      </c>
      <c r="K20" s="700">
        <v>0</v>
      </c>
      <c r="L20" s="700">
        <v>0</v>
      </c>
      <c r="M20" s="700">
        <v>0</v>
      </c>
      <c r="N20" s="700">
        <v>0</v>
      </c>
      <c r="O20" s="701">
        <v>0</v>
      </c>
      <c r="P20" s="701">
        <f t="shared" si="1"/>
        <v>0</v>
      </c>
      <c r="Q20" s="701">
        <f t="shared" si="1"/>
        <v>0</v>
      </c>
      <c r="R20" s="701">
        <f t="shared" si="1"/>
        <v>0</v>
      </c>
      <c r="S20" s="701">
        <f t="shared" si="1"/>
        <v>0</v>
      </c>
      <c r="T20" s="701">
        <f t="shared" si="1"/>
        <v>0</v>
      </c>
      <c r="U20" s="701">
        <f t="shared" si="1"/>
        <v>0</v>
      </c>
      <c r="V20" s="700">
        <f t="shared" si="3"/>
        <v>0</v>
      </c>
      <c r="W20" s="701">
        <f t="shared" si="3"/>
        <v>0</v>
      </c>
      <c r="X20" s="700">
        <f t="shared" si="0"/>
        <v>19.3</v>
      </c>
      <c r="Y20" s="702"/>
    </row>
    <row r="21" spans="1:25" ht="106.5" customHeight="1" x14ac:dyDescent="0.2">
      <c r="A21" s="676" t="s">
        <v>529</v>
      </c>
      <c r="B21" s="704" t="s">
        <v>311</v>
      </c>
      <c r="C21" s="376" t="s">
        <v>66</v>
      </c>
      <c r="D21" s="383" t="s">
        <v>14</v>
      </c>
      <c r="E21" s="383" t="s">
        <v>269</v>
      </c>
      <c r="F21" s="859" t="s">
        <v>296</v>
      </c>
      <c r="G21" s="859"/>
      <c r="H21" s="860"/>
      <c r="I21" s="383" t="s">
        <v>67</v>
      </c>
      <c r="J21" s="700"/>
      <c r="K21" s="700"/>
      <c r="L21" s="700"/>
      <c r="M21" s="700">
        <v>710.5</v>
      </c>
      <c r="N21" s="700">
        <v>0</v>
      </c>
      <c r="O21" s="701">
        <v>0</v>
      </c>
      <c r="P21" s="701">
        <f t="shared" si="1"/>
        <v>0</v>
      </c>
      <c r="Q21" s="701">
        <f t="shared" si="1"/>
        <v>0</v>
      </c>
      <c r="R21" s="701">
        <f t="shared" si="1"/>
        <v>0</v>
      </c>
      <c r="S21" s="701">
        <f t="shared" si="1"/>
        <v>0</v>
      </c>
      <c r="T21" s="701">
        <f t="shared" si="1"/>
        <v>0</v>
      </c>
      <c r="U21" s="701">
        <f t="shared" si="1"/>
        <v>0</v>
      </c>
      <c r="V21" s="700">
        <f t="shared" si="3"/>
        <v>0</v>
      </c>
      <c r="W21" s="701">
        <f t="shared" si="3"/>
        <v>0</v>
      </c>
      <c r="X21" s="700">
        <f t="shared" si="0"/>
        <v>710.5</v>
      </c>
      <c r="Y21" s="702"/>
    </row>
    <row r="22" spans="1:25" ht="108.75" customHeight="1" x14ac:dyDescent="0.2">
      <c r="A22" s="676" t="s">
        <v>530</v>
      </c>
      <c r="B22" s="678" t="s">
        <v>355</v>
      </c>
      <c r="C22" s="376" t="s">
        <v>66</v>
      </c>
      <c r="D22" s="383" t="s">
        <v>14</v>
      </c>
      <c r="E22" s="383" t="s">
        <v>269</v>
      </c>
      <c r="F22" s="859" t="s">
        <v>357</v>
      </c>
      <c r="G22" s="859" t="s">
        <v>357</v>
      </c>
      <c r="H22" s="860"/>
      <c r="I22" s="383" t="s">
        <v>67</v>
      </c>
      <c r="J22" s="700"/>
      <c r="K22" s="700"/>
      <c r="L22" s="700"/>
      <c r="M22" s="700"/>
      <c r="N22" s="700">
        <v>649.5</v>
      </c>
      <c r="O22" s="701"/>
      <c r="P22" s="701">
        <f t="shared" si="1"/>
        <v>0</v>
      </c>
      <c r="Q22" s="701">
        <f t="shared" si="1"/>
        <v>0</v>
      </c>
      <c r="R22" s="701">
        <f t="shared" si="1"/>
        <v>0</v>
      </c>
      <c r="S22" s="701">
        <f t="shared" si="1"/>
        <v>0</v>
      </c>
      <c r="T22" s="701">
        <f t="shared" si="1"/>
        <v>0</v>
      </c>
      <c r="U22" s="701">
        <f t="shared" si="1"/>
        <v>0</v>
      </c>
      <c r="V22" s="700">
        <f t="shared" si="3"/>
        <v>0</v>
      </c>
      <c r="W22" s="701">
        <f t="shared" si="3"/>
        <v>0</v>
      </c>
      <c r="X22" s="700">
        <f t="shared" si="0"/>
        <v>649.5</v>
      </c>
      <c r="Y22" s="702"/>
    </row>
    <row r="23" spans="1:25" ht="211.5" customHeight="1" x14ac:dyDescent="0.2">
      <c r="A23" s="676" t="s">
        <v>531</v>
      </c>
      <c r="B23" s="678" t="s">
        <v>356</v>
      </c>
      <c r="C23" s="376" t="s">
        <v>66</v>
      </c>
      <c r="D23" s="383" t="s">
        <v>14</v>
      </c>
      <c r="E23" s="383" t="s">
        <v>269</v>
      </c>
      <c r="F23" s="859" t="s">
        <v>358</v>
      </c>
      <c r="G23" s="859" t="s">
        <v>358</v>
      </c>
      <c r="H23" s="860"/>
      <c r="I23" s="383" t="s">
        <v>67</v>
      </c>
      <c r="J23" s="700"/>
      <c r="K23" s="700"/>
      <c r="L23" s="700"/>
      <c r="M23" s="700"/>
      <c r="N23" s="700">
        <v>1616.5</v>
      </c>
      <c r="O23" s="701">
        <v>1865.2</v>
      </c>
      <c r="P23" s="701">
        <v>0</v>
      </c>
      <c r="Q23" s="701">
        <f t="shared" si="1"/>
        <v>0</v>
      </c>
      <c r="R23" s="701">
        <f t="shared" si="1"/>
        <v>0</v>
      </c>
      <c r="S23" s="701">
        <f t="shared" si="1"/>
        <v>0</v>
      </c>
      <c r="T23" s="701">
        <f t="shared" si="1"/>
        <v>0</v>
      </c>
      <c r="U23" s="701">
        <f t="shared" si="1"/>
        <v>0</v>
      </c>
      <c r="V23" s="700">
        <f t="shared" si="3"/>
        <v>0</v>
      </c>
      <c r="W23" s="701">
        <f t="shared" si="3"/>
        <v>0</v>
      </c>
      <c r="X23" s="700">
        <f t="shared" si="0"/>
        <v>3481.7</v>
      </c>
      <c r="Y23" s="702"/>
    </row>
    <row r="24" spans="1:25" ht="181.5" customHeight="1" x14ac:dyDescent="0.2">
      <c r="A24" s="676" t="s">
        <v>532</v>
      </c>
      <c r="B24" s="678" t="s">
        <v>466</v>
      </c>
      <c r="C24" s="376" t="s">
        <v>66</v>
      </c>
      <c r="D24" s="383" t="s">
        <v>14</v>
      </c>
      <c r="E24" s="383" t="s">
        <v>269</v>
      </c>
      <c r="F24" s="859" t="s">
        <v>467</v>
      </c>
      <c r="G24" s="859"/>
      <c r="H24" s="860"/>
      <c r="I24" s="383" t="s">
        <v>67</v>
      </c>
      <c r="J24" s="700"/>
      <c r="K24" s="700"/>
      <c r="L24" s="700"/>
      <c r="M24" s="700"/>
      <c r="N24" s="700"/>
      <c r="O24" s="701">
        <v>49.3</v>
      </c>
      <c r="P24" s="701"/>
      <c r="Q24" s="701"/>
      <c r="R24" s="701"/>
      <c r="S24" s="701"/>
      <c r="T24" s="701"/>
      <c r="U24" s="701"/>
      <c r="V24" s="700"/>
      <c r="W24" s="701"/>
      <c r="X24" s="700">
        <f t="shared" si="0"/>
        <v>49.3</v>
      </c>
      <c r="Y24" s="702"/>
    </row>
    <row r="25" spans="1:25" s="501" customFormat="1" ht="270.75" customHeight="1" x14ac:dyDescent="0.2">
      <c r="A25" s="677" t="s">
        <v>533</v>
      </c>
      <c r="B25" s="705" t="s">
        <v>474</v>
      </c>
      <c r="C25" s="498" t="s">
        <v>66</v>
      </c>
      <c r="D25" s="706" t="s">
        <v>14</v>
      </c>
      <c r="E25" s="706" t="s">
        <v>269</v>
      </c>
      <c r="F25" s="861" t="s">
        <v>475</v>
      </c>
      <c r="G25" s="861"/>
      <c r="H25" s="861"/>
      <c r="I25" s="706" t="s">
        <v>67</v>
      </c>
      <c r="J25" s="701"/>
      <c r="K25" s="701"/>
      <c r="L25" s="701"/>
      <c r="M25" s="701"/>
      <c r="N25" s="701"/>
      <c r="O25" s="701">
        <v>24.8</v>
      </c>
      <c r="P25" s="701"/>
      <c r="Q25" s="701"/>
      <c r="R25" s="701"/>
      <c r="S25" s="701"/>
      <c r="T25" s="701"/>
      <c r="U25" s="701"/>
      <c r="V25" s="700"/>
      <c r="W25" s="701"/>
      <c r="X25" s="700">
        <f t="shared" si="0"/>
        <v>24.8</v>
      </c>
      <c r="Y25" s="707"/>
    </row>
    <row r="26" spans="1:25" s="501" customFormat="1" ht="236.25" customHeight="1" x14ac:dyDescent="0.2">
      <c r="A26" s="677" t="s">
        <v>534</v>
      </c>
      <c r="B26" s="708" t="s">
        <v>486</v>
      </c>
      <c r="C26" s="498" t="s">
        <v>66</v>
      </c>
      <c r="D26" s="706" t="s">
        <v>14</v>
      </c>
      <c r="E26" s="706" t="s">
        <v>269</v>
      </c>
      <c r="F26" s="861" t="s">
        <v>487</v>
      </c>
      <c r="G26" s="861"/>
      <c r="H26" s="861"/>
      <c r="I26" s="706" t="s">
        <v>67</v>
      </c>
      <c r="J26" s="701"/>
      <c r="K26" s="701"/>
      <c r="L26" s="701"/>
      <c r="M26" s="701"/>
      <c r="N26" s="701"/>
      <c r="O26" s="701">
        <v>173.1</v>
      </c>
      <c r="P26" s="701" t="s">
        <v>111</v>
      </c>
      <c r="Q26" s="701" t="s">
        <v>111</v>
      </c>
      <c r="R26" s="701" t="s">
        <v>111</v>
      </c>
      <c r="S26" s="701" t="s">
        <v>111</v>
      </c>
      <c r="T26" s="701" t="s">
        <v>111</v>
      </c>
      <c r="U26" s="701" t="s">
        <v>111</v>
      </c>
      <c r="V26" s="700" t="s">
        <v>111</v>
      </c>
      <c r="W26" s="701" t="s">
        <v>111</v>
      </c>
      <c r="X26" s="700">
        <f t="shared" si="0"/>
        <v>173.1</v>
      </c>
      <c r="Y26" s="707"/>
    </row>
    <row r="27" spans="1:25" s="501" customFormat="1" ht="169.5" customHeight="1" x14ac:dyDescent="0.2">
      <c r="A27" s="677" t="s">
        <v>535</v>
      </c>
      <c r="B27" s="708" t="s">
        <v>495</v>
      </c>
      <c r="C27" s="498" t="s">
        <v>66</v>
      </c>
      <c r="D27" s="706" t="s">
        <v>14</v>
      </c>
      <c r="E27" s="706" t="s">
        <v>269</v>
      </c>
      <c r="F27" s="861" t="s">
        <v>496</v>
      </c>
      <c r="G27" s="861"/>
      <c r="H27" s="861"/>
      <c r="I27" s="706" t="s">
        <v>67</v>
      </c>
      <c r="J27" s="701"/>
      <c r="K27" s="701"/>
      <c r="L27" s="701"/>
      <c r="M27" s="701"/>
      <c r="N27" s="701"/>
      <c r="O27" s="701"/>
      <c r="P27" s="701">
        <v>275.39999999999998</v>
      </c>
      <c r="Q27" s="701"/>
      <c r="R27" s="701"/>
      <c r="S27" s="701"/>
      <c r="T27" s="701"/>
      <c r="U27" s="701"/>
      <c r="V27" s="700"/>
      <c r="W27" s="701"/>
      <c r="X27" s="700">
        <f t="shared" si="0"/>
        <v>275.39999999999998</v>
      </c>
      <c r="Y27" s="707"/>
    </row>
    <row r="28" spans="1:25" s="501" customFormat="1" ht="173.25" customHeight="1" x14ac:dyDescent="0.2">
      <c r="A28" s="677" t="s">
        <v>536</v>
      </c>
      <c r="B28" s="708" t="s">
        <v>506</v>
      </c>
      <c r="C28" s="498" t="s">
        <v>66</v>
      </c>
      <c r="D28" s="706" t="s">
        <v>14</v>
      </c>
      <c r="E28" s="706" t="s">
        <v>269</v>
      </c>
      <c r="F28" s="861" t="s">
        <v>497</v>
      </c>
      <c r="G28" s="861"/>
      <c r="H28" s="861"/>
      <c r="I28" s="706" t="s">
        <v>67</v>
      </c>
      <c r="J28" s="701"/>
      <c r="K28" s="701"/>
      <c r="L28" s="701"/>
      <c r="M28" s="701"/>
      <c r="N28" s="701"/>
      <c r="O28" s="701"/>
      <c r="P28" s="701">
        <v>1580.6</v>
      </c>
      <c r="Q28" s="701"/>
      <c r="R28" s="701"/>
      <c r="S28" s="701"/>
      <c r="T28" s="701"/>
      <c r="U28" s="701"/>
      <c r="V28" s="700"/>
      <c r="W28" s="701"/>
      <c r="X28" s="700">
        <f t="shared" si="0"/>
        <v>1580.6</v>
      </c>
      <c r="Y28" s="707"/>
    </row>
    <row r="29" spans="1:25" s="501" customFormat="1" ht="134.25" customHeight="1" x14ac:dyDescent="0.2">
      <c r="A29" s="677" t="s">
        <v>537</v>
      </c>
      <c r="B29" s="708" t="s">
        <v>513</v>
      </c>
      <c r="C29" s="498" t="s">
        <v>66</v>
      </c>
      <c r="D29" s="706" t="s">
        <v>14</v>
      </c>
      <c r="E29" s="706" t="s">
        <v>269</v>
      </c>
      <c r="F29" s="861" t="s">
        <v>512</v>
      </c>
      <c r="G29" s="861"/>
      <c r="H29" s="861"/>
      <c r="I29" s="706" t="s">
        <v>67</v>
      </c>
      <c r="J29" s="701"/>
      <c r="K29" s="701"/>
      <c r="L29" s="701"/>
      <c r="M29" s="701"/>
      <c r="N29" s="701"/>
      <c r="O29" s="701"/>
      <c r="P29" s="701">
        <v>208</v>
      </c>
      <c r="Q29" s="701"/>
      <c r="R29" s="701"/>
      <c r="S29" s="701"/>
      <c r="T29" s="701"/>
      <c r="U29" s="701"/>
      <c r="V29" s="700"/>
      <c r="W29" s="701"/>
      <c r="X29" s="700">
        <f t="shared" si="0"/>
        <v>208</v>
      </c>
      <c r="Y29" s="707"/>
    </row>
    <row r="30" spans="1:25" ht="121.5" customHeight="1" x14ac:dyDescent="0.2">
      <c r="A30" s="676" t="s">
        <v>549</v>
      </c>
      <c r="B30" s="708" t="s">
        <v>552</v>
      </c>
      <c r="C30" s="376" t="s">
        <v>66</v>
      </c>
      <c r="D30" s="383" t="s">
        <v>14</v>
      </c>
      <c r="E30" s="383" t="s">
        <v>269</v>
      </c>
      <c r="F30" s="859" t="s">
        <v>551</v>
      </c>
      <c r="G30" s="859"/>
      <c r="H30" s="859"/>
      <c r="I30" s="383" t="s">
        <v>67</v>
      </c>
      <c r="J30" s="700"/>
      <c r="K30" s="700"/>
      <c r="L30" s="700"/>
      <c r="M30" s="700"/>
      <c r="N30" s="700"/>
      <c r="O30" s="700"/>
      <c r="P30" s="700">
        <v>38</v>
      </c>
      <c r="Q30" s="701"/>
      <c r="R30" s="701"/>
      <c r="S30" s="701"/>
      <c r="T30" s="701"/>
      <c r="U30" s="701"/>
      <c r="V30" s="700"/>
      <c r="W30" s="701"/>
      <c r="X30" s="700">
        <f t="shared" si="0"/>
        <v>38</v>
      </c>
      <c r="Y30" s="702"/>
    </row>
    <row r="31" spans="1:25" ht="96.75" customHeight="1" x14ac:dyDescent="0.2">
      <c r="A31" s="676" t="s">
        <v>622</v>
      </c>
      <c r="B31" s="678" t="s">
        <v>657</v>
      </c>
      <c r="C31" s="376" t="s">
        <v>66</v>
      </c>
      <c r="D31" s="383" t="s">
        <v>14</v>
      </c>
      <c r="E31" s="383" t="s">
        <v>269</v>
      </c>
      <c r="F31" s="859" t="s">
        <v>658</v>
      </c>
      <c r="G31" s="859"/>
      <c r="H31" s="860"/>
      <c r="I31" s="383" t="s">
        <v>68</v>
      </c>
      <c r="J31" s="700">
        <v>0</v>
      </c>
      <c r="K31" s="700">
        <v>0</v>
      </c>
      <c r="L31" s="700">
        <v>0</v>
      </c>
      <c r="M31" s="700">
        <v>0</v>
      </c>
      <c r="N31" s="700">
        <v>0</v>
      </c>
      <c r="O31" s="701">
        <v>0</v>
      </c>
      <c r="P31" s="701">
        <f>O31</f>
        <v>0</v>
      </c>
      <c r="Q31" s="701">
        <f>P31</f>
        <v>0</v>
      </c>
      <c r="R31" s="701">
        <f>Q31</f>
        <v>0</v>
      </c>
      <c r="S31" s="701">
        <v>397.7</v>
      </c>
      <c r="T31" s="701">
        <v>0</v>
      </c>
      <c r="U31" s="701">
        <v>0</v>
      </c>
      <c r="V31" s="700">
        <f>T31</f>
        <v>0</v>
      </c>
      <c r="W31" s="701">
        <f>U31</f>
        <v>0</v>
      </c>
      <c r="X31" s="700">
        <f>SUM(J31:W31)</f>
        <v>397.7</v>
      </c>
      <c r="Y31" s="702"/>
    </row>
    <row r="32" spans="1:25" s="501" customFormat="1" ht="67.5" customHeight="1" x14ac:dyDescent="0.2">
      <c r="A32" s="677" t="s">
        <v>656</v>
      </c>
      <c r="B32" s="708" t="s">
        <v>539</v>
      </c>
      <c r="C32" s="498" t="s">
        <v>66</v>
      </c>
      <c r="D32" s="383" t="s">
        <v>14</v>
      </c>
      <c r="E32" s="383" t="s">
        <v>269</v>
      </c>
      <c r="F32" s="859" t="s">
        <v>540</v>
      </c>
      <c r="G32" s="859"/>
      <c r="H32" s="859"/>
      <c r="I32" s="383"/>
      <c r="J32" s="701">
        <v>427.7</v>
      </c>
      <c r="K32" s="701">
        <v>852.6</v>
      </c>
      <c r="L32" s="701">
        <v>747.1</v>
      </c>
      <c r="M32" s="701">
        <v>888</v>
      </c>
      <c r="N32" s="701">
        <v>759.09999999999991</v>
      </c>
      <c r="O32" s="701">
        <v>686.3</v>
      </c>
      <c r="P32" s="701">
        <v>519.4</v>
      </c>
      <c r="Q32" s="701">
        <v>760.9</v>
      </c>
      <c r="R32" s="701">
        <f>1076.2+15.6</f>
        <v>1091.8</v>
      </c>
      <c r="S32" s="701">
        <f>961-38.9+25</f>
        <v>947.1</v>
      </c>
      <c r="T32" s="701">
        <f>874.8+95</f>
        <v>969.8</v>
      </c>
      <c r="U32" s="701">
        <v>1286.3</v>
      </c>
      <c r="V32" s="700">
        <v>1286.3</v>
      </c>
      <c r="W32" s="701">
        <v>1286.3</v>
      </c>
      <c r="X32" s="700">
        <f t="shared" si="0"/>
        <v>12508.699999999997</v>
      </c>
      <c r="Y32" s="707"/>
    </row>
    <row r="33" spans="1:25" ht="21.75" customHeight="1" x14ac:dyDescent="0.2">
      <c r="A33" s="676"/>
      <c r="B33" s="686" t="s">
        <v>71</v>
      </c>
      <c r="C33" s="686"/>
      <c r="D33" s="383"/>
      <c r="E33" s="383"/>
      <c r="F33" s="859"/>
      <c r="G33" s="859"/>
      <c r="H33" s="859"/>
      <c r="I33" s="376"/>
      <c r="J33" s="700">
        <f t="shared" ref="J33:R33" si="4">SUM(J7:J32)</f>
        <v>18195</v>
      </c>
      <c r="K33" s="700">
        <f t="shared" si="4"/>
        <v>22756.499999999996</v>
      </c>
      <c r="L33" s="700">
        <f t="shared" si="4"/>
        <v>20489.399999999998</v>
      </c>
      <c r="M33" s="700">
        <f t="shared" si="4"/>
        <v>20986.600000000002</v>
      </c>
      <c r="N33" s="700">
        <f t="shared" si="4"/>
        <v>23299.699999999997</v>
      </c>
      <c r="O33" s="700">
        <f t="shared" si="4"/>
        <v>24013.599999999999</v>
      </c>
      <c r="P33" s="701">
        <f>SUM(P7:P32)</f>
        <v>25927</v>
      </c>
      <c r="Q33" s="701">
        <f t="shared" si="4"/>
        <v>30985.1</v>
      </c>
      <c r="R33" s="701">
        <f t="shared" si="4"/>
        <v>33811</v>
      </c>
      <c r="S33" s="701">
        <f>SUM(S7:S32)</f>
        <v>36534.199999999997</v>
      </c>
      <c r="T33" s="701">
        <f>SUM(T7:T32)</f>
        <v>46116.4</v>
      </c>
      <c r="U33" s="701">
        <f>SUM(U7:U32)</f>
        <v>57902.8</v>
      </c>
      <c r="V33" s="700">
        <f>SUM(V7:V32)</f>
        <v>45677.3</v>
      </c>
      <c r="W33" s="701">
        <f>SUM(W7:W32)</f>
        <v>45677.3</v>
      </c>
      <c r="X33" s="700">
        <f t="shared" si="0"/>
        <v>452371.89999999997</v>
      </c>
      <c r="Y33" s="709"/>
    </row>
    <row r="34" spans="1:25" ht="18" customHeight="1" x14ac:dyDescent="0.2">
      <c r="A34" s="698"/>
      <c r="B34" s="686" t="s">
        <v>91</v>
      </c>
      <c r="C34" s="686"/>
      <c r="D34" s="686"/>
      <c r="E34" s="686"/>
      <c r="F34" s="859"/>
      <c r="G34" s="859"/>
      <c r="H34" s="859"/>
      <c r="I34" s="686"/>
      <c r="J34" s="700">
        <f t="shared" ref="J34:P34" si="5">J33</f>
        <v>18195</v>
      </c>
      <c r="K34" s="700">
        <f t="shared" si="5"/>
        <v>22756.499999999996</v>
      </c>
      <c r="L34" s="700">
        <f t="shared" si="5"/>
        <v>20489.399999999998</v>
      </c>
      <c r="M34" s="700">
        <f t="shared" si="5"/>
        <v>20986.600000000002</v>
      </c>
      <c r="N34" s="700">
        <f t="shared" si="5"/>
        <v>23299.699999999997</v>
      </c>
      <c r="O34" s="701">
        <f t="shared" si="5"/>
        <v>24013.599999999999</v>
      </c>
      <c r="P34" s="701">
        <f t="shared" si="5"/>
        <v>25927</v>
      </c>
      <c r="Q34" s="701">
        <f t="shared" ref="Q34:W34" si="6">Q33</f>
        <v>30985.1</v>
      </c>
      <c r="R34" s="701">
        <f t="shared" si="6"/>
        <v>33811</v>
      </c>
      <c r="S34" s="701">
        <f t="shared" si="6"/>
        <v>36534.199999999997</v>
      </c>
      <c r="T34" s="701">
        <f t="shared" si="6"/>
        <v>46116.4</v>
      </c>
      <c r="U34" s="701">
        <f t="shared" si="6"/>
        <v>57902.8</v>
      </c>
      <c r="V34" s="700">
        <f>V33</f>
        <v>45677.3</v>
      </c>
      <c r="W34" s="701">
        <f t="shared" si="6"/>
        <v>45677.3</v>
      </c>
      <c r="X34" s="700">
        <f t="shared" si="0"/>
        <v>452371.89999999997</v>
      </c>
      <c r="Y34" s="686"/>
    </row>
    <row r="35" spans="1:25" ht="19.5" hidden="1" customHeight="1" x14ac:dyDescent="0.2">
      <c r="A35" s="387"/>
      <c r="B35" s="388"/>
      <c r="C35" s="388"/>
      <c r="D35" s="388"/>
      <c r="E35" s="388"/>
      <c r="F35" s="387"/>
      <c r="G35" s="387"/>
      <c r="H35" s="387"/>
      <c r="I35" s="388"/>
      <c r="J35" s="32"/>
      <c r="K35" s="32"/>
      <c r="L35" s="32"/>
      <c r="M35" s="32">
        <v>20098.599999999999</v>
      </c>
      <c r="N35" s="32">
        <v>22540.7</v>
      </c>
      <c r="O35" s="499">
        <v>20472.8</v>
      </c>
      <c r="P35" s="499">
        <v>18385.900000000001</v>
      </c>
      <c r="Q35" s="499">
        <v>18385.900000000001</v>
      </c>
      <c r="R35" s="499"/>
      <c r="S35" s="499"/>
      <c r="T35" s="499"/>
      <c r="U35" s="499"/>
      <c r="V35" s="673"/>
      <c r="W35" s="499"/>
      <c r="X35" s="699">
        <f t="shared" si="0"/>
        <v>99883.9</v>
      </c>
      <c r="Y35" s="388"/>
    </row>
    <row r="36" spans="1:25" hidden="1" x14ac:dyDescent="0.2">
      <c r="A36" s="381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9">
        <f>M35-M34</f>
        <v>-888.00000000000364</v>
      </c>
      <c r="N36" s="389">
        <f>N35-N34</f>
        <v>-758.99999999999636</v>
      </c>
      <c r="O36" s="500">
        <f>O35-O34</f>
        <v>-3540.7999999999993</v>
      </c>
      <c r="P36" s="500">
        <f>P35-P34</f>
        <v>-7541.0999999999985</v>
      </c>
      <c r="Q36" s="500">
        <f>Q35-Q34</f>
        <v>-12599.199999999997</v>
      </c>
      <c r="R36" s="500"/>
      <c r="S36" s="500"/>
      <c r="T36" s="500"/>
      <c r="U36" s="500"/>
      <c r="V36" s="389"/>
      <c r="W36" s="500"/>
      <c r="X36" s="385">
        <f t="shared" si="0"/>
        <v>-25328.099999999995</v>
      </c>
      <c r="Y36" s="382"/>
    </row>
    <row r="37" spans="1:25" s="390" customFormat="1" ht="29.25" customHeight="1" x14ac:dyDescent="0.2">
      <c r="A37" s="837" t="s">
        <v>733</v>
      </c>
      <c r="B37" s="837"/>
      <c r="C37" s="837"/>
      <c r="D37" s="837"/>
      <c r="E37" s="837"/>
      <c r="F37" s="837"/>
      <c r="G37" s="837"/>
      <c r="H37" s="837"/>
      <c r="I37" s="837"/>
      <c r="J37" s="350"/>
      <c r="K37" s="838"/>
      <c r="L37" s="838"/>
      <c r="M37" s="350"/>
      <c r="N37" s="350"/>
      <c r="O37" s="489"/>
      <c r="P37" s="835" t="s">
        <v>734</v>
      </c>
      <c r="Q37" s="835"/>
      <c r="R37" s="835"/>
      <c r="S37" s="835"/>
      <c r="T37" s="835"/>
      <c r="U37" s="835"/>
      <c r="V37" s="835"/>
      <c r="W37" s="835"/>
      <c r="X37" s="867"/>
      <c r="Y37" s="867"/>
    </row>
    <row r="38" spans="1:25" hidden="1" x14ac:dyDescent="0.2">
      <c r="A38" s="381"/>
      <c r="B38" s="382"/>
      <c r="C38" s="382"/>
      <c r="D38" s="382"/>
      <c r="E38" s="382"/>
      <c r="F38" s="382"/>
      <c r="G38" s="382"/>
      <c r="H38" s="382"/>
      <c r="I38" s="382"/>
      <c r="J38" s="391"/>
      <c r="K38" s="391"/>
    </row>
    <row r="39" spans="1:25" ht="15.75" hidden="1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59"/>
      <c r="M39" s="59"/>
      <c r="N39" s="59"/>
      <c r="O39" s="502"/>
      <c r="P39" s="502"/>
      <c r="Q39" s="502"/>
      <c r="R39" s="502"/>
      <c r="S39" s="502"/>
      <c r="T39" s="502"/>
      <c r="U39" s="502"/>
      <c r="V39" s="59"/>
      <c r="W39" s="502"/>
      <c r="X39" s="59"/>
      <c r="Y39" s="59"/>
    </row>
    <row r="40" spans="1:25" ht="15.75" hidden="1" x14ac:dyDescent="0.2">
      <c r="A40" s="12"/>
      <c r="B40" s="13"/>
      <c r="C40" s="13"/>
      <c r="D40" s="13"/>
      <c r="E40" s="13"/>
      <c r="F40" s="13"/>
      <c r="G40" s="13"/>
      <c r="H40" s="13"/>
      <c r="I40" s="13"/>
      <c r="J40" s="370"/>
      <c r="K40" s="370"/>
      <c r="M40" s="386">
        <v>917.79999999999927</v>
      </c>
      <c r="N40" s="386">
        <v>6203.8999999999978</v>
      </c>
      <c r="O40" s="503">
        <v>6917.7999999999993</v>
      </c>
      <c r="P40" s="503">
        <v>8831.2000000000007</v>
      </c>
      <c r="Q40" s="503"/>
      <c r="R40" s="503"/>
      <c r="S40" s="503"/>
      <c r="T40" s="503"/>
      <c r="U40" s="503"/>
      <c r="V40" s="386"/>
      <c r="W40" s="503"/>
    </row>
    <row r="41" spans="1:25" ht="15.75" hidden="1" x14ac:dyDescent="0.2">
      <c r="A41" s="12"/>
      <c r="B41" s="13"/>
      <c r="C41" s="13"/>
      <c r="D41" s="13"/>
      <c r="E41" s="13"/>
      <c r="F41" s="13"/>
      <c r="G41" s="13"/>
      <c r="H41" s="13"/>
      <c r="I41" s="13"/>
      <c r="J41" s="370"/>
      <c r="K41" s="370"/>
    </row>
    <row r="42" spans="1:25" ht="15.75" hidden="1" x14ac:dyDescent="0.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25" ht="15.75" hidden="1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25" ht="15.75" hidden="1" x14ac:dyDescent="0.2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25" ht="15.75" hidden="1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25" ht="15.75" hidden="1" x14ac:dyDescent="0.2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25" ht="15.75" x14ac:dyDescent="0.2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25" ht="15.75" x14ac:dyDescent="0.2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ht="15.75" x14ac:dyDescent="0.2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5.75" x14ac:dyDescent="0.2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ht="15.75" x14ac:dyDescent="0.2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ht="15.75" x14ac:dyDescent="0.2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ht="15.75" x14ac:dyDescent="0.2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5.75" x14ac:dyDescent="0.2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ht="15.75" x14ac:dyDescent="0.2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5.75" x14ac:dyDescent="0.2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x14ac:dyDescent="0.2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</row>
  </sheetData>
  <mergeCells count="56">
    <mergeCell ref="B6:X6"/>
    <mergeCell ref="F11:H11"/>
    <mergeCell ref="F27:H27"/>
    <mergeCell ref="F28:H28"/>
    <mergeCell ref="K1:Y1"/>
    <mergeCell ref="A2:Y2"/>
    <mergeCell ref="A3:A4"/>
    <mergeCell ref="F4:H4"/>
    <mergeCell ref="F12:H12"/>
    <mergeCell ref="E1:G1"/>
    <mergeCell ref="P37:Y37"/>
    <mergeCell ref="F34:H34"/>
    <mergeCell ref="K37:L37"/>
    <mergeCell ref="F33:H33"/>
    <mergeCell ref="F24:H24"/>
    <mergeCell ref="F10:H10"/>
    <mergeCell ref="Y7:Y15"/>
    <mergeCell ref="F32:H32"/>
    <mergeCell ref="F7:H7"/>
    <mergeCell ref="F30:H30"/>
    <mergeCell ref="Y3:Y4"/>
    <mergeCell ref="D3:I3"/>
    <mergeCell ref="C3:C4"/>
    <mergeCell ref="A13:A14"/>
    <mergeCell ref="B13:B14"/>
    <mergeCell ref="A11:A12"/>
    <mergeCell ref="B5:X5"/>
    <mergeCell ref="C7:C10"/>
    <mergeCell ref="B3:B4"/>
    <mergeCell ref="J3:X3"/>
    <mergeCell ref="A7:A10"/>
    <mergeCell ref="B7:B10"/>
    <mergeCell ref="F14:H14"/>
    <mergeCell ref="B11:B12"/>
    <mergeCell ref="F26:H26"/>
    <mergeCell ref="A37:I37"/>
    <mergeCell ref="F20:H20"/>
    <mergeCell ref="F21:H21"/>
    <mergeCell ref="F13:H13"/>
    <mergeCell ref="F23:H23"/>
    <mergeCell ref="A15:A16"/>
    <mergeCell ref="B15:B16"/>
    <mergeCell ref="F16:H16"/>
    <mergeCell ref="F15:H15"/>
    <mergeCell ref="C11:C12"/>
    <mergeCell ref="F22:H22"/>
    <mergeCell ref="F31:H31"/>
    <mergeCell ref="F8:H8"/>
    <mergeCell ref="F9:H9"/>
    <mergeCell ref="F29:H29"/>
    <mergeCell ref="C13:C14"/>
    <mergeCell ref="C15:C16"/>
    <mergeCell ref="F25:H25"/>
    <mergeCell ref="F17:H17"/>
    <mergeCell ref="F19:H19"/>
    <mergeCell ref="F18:H18"/>
  </mergeCells>
  <pageMargins left="0.23622047244094491" right="0.23622047244094491" top="0.74803149606299213" bottom="0.27559055118110237" header="0.31496062992125984" footer="0.19685039370078741"/>
  <pageSetup paperSize="9" scale="55" fitToHeight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1"/>
  <sheetViews>
    <sheetView view="pageBreakPreview" topLeftCell="A37" zoomScaleNormal="100" zoomScaleSheetLayoutView="100" zoomScalePageLayoutView="69" workbookViewId="0">
      <selection activeCell="L50" sqref="L50"/>
    </sheetView>
  </sheetViews>
  <sheetFormatPr defaultRowHeight="15.75" x14ac:dyDescent="0.2"/>
  <cols>
    <col min="1" max="1" width="5.5703125" style="12" customWidth="1"/>
    <col min="2" max="2" width="26.140625" style="13" customWidth="1"/>
    <col min="3" max="3" width="17.42578125" style="375" customWidth="1"/>
    <col min="4" max="4" width="7.7109375" style="13" customWidth="1"/>
    <col min="5" max="5" width="9.140625" style="13"/>
    <col min="6" max="6" width="4.5703125" style="13" customWidth="1"/>
    <col min="7" max="7" width="2.42578125" style="13" customWidth="1"/>
    <col min="8" max="8" width="6.5703125" style="13" customWidth="1"/>
    <col min="9" max="9" width="7.28515625" style="13" customWidth="1"/>
    <col min="10" max="10" width="10" style="13" customWidth="1"/>
    <col min="11" max="11" width="9.85546875" style="13" customWidth="1"/>
    <col min="12" max="12" width="10.42578125" style="13" customWidth="1"/>
    <col min="13" max="13" width="10.140625" style="13" customWidth="1"/>
    <col min="14" max="14" width="11.140625" style="13" customWidth="1"/>
    <col min="15" max="15" width="11.140625" style="497" customWidth="1"/>
    <col min="16" max="16" width="11.42578125" style="552" customWidth="1"/>
    <col min="17" max="17" width="11.42578125" style="497" customWidth="1"/>
    <col min="18" max="18" width="11.85546875" style="497" customWidth="1"/>
    <col min="19" max="19" width="11.85546875" style="529" customWidth="1"/>
    <col min="20" max="20" width="11.7109375" style="567" customWidth="1"/>
    <col min="21" max="21" width="11.140625" style="608" customWidth="1"/>
    <col min="22" max="22" width="11.140625" style="13" customWidth="1"/>
    <col min="23" max="23" width="11.140625" style="659" customWidth="1"/>
    <col min="24" max="24" width="12.42578125" style="13" customWidth="1"/>
    <col min="25" max="25" width="10.28515625" style="13" customWidth="1"/>
    <col min="26" max="26" width="10.42578125" style="13" customWidth="1"/>
    <col min="27" max="16384" width="9.140625" style="13"/>
  </cols>
  <sheetData>
    <row r="1" spans="1:26" ht="42" customHeight="1" x14ac:dyDescent="0.2">
      <c r="E1" s="719"/>
      <c r="F1" s="719"/>
      <c r="G1" s="719"/>
      <c r="L1" s="719" t="s">
        <v>741</v>
      </c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  <c r="Z1" s="331"/>
    </row>
    <row r="2" spans="1:26" ht="23.25" customHeight="1" x14ac:dyDescent="0.2">
      <c r="A2" s="873" t="s">
        <v>584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</row>
    <row r="3" spans="1:26" ht="18" customHeight="1" x14ac:dyDescent="0.2">
      <c r="A3" s="735" t="s">
        <v>58</v>
      </c>
      <c r="B3" s="734" t="s">
        <v>1</v>
      </c>
      <c r="C3" s="734" t="s">
        <v>139</v>
      </c>
      <c r="D3" s="734" t="s">
        <v>59</v>
      </c>
      <c r="E3" s="734"/>
      <c r="F3" s="734"/>
      <c r="G3" s="734"/>
      <c r="H3" s="734"/>
      <c r="I3" s="734"/>
      <c r="J3" s="734" t="s">
        <v>3</v>
      </c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862" t="s">
        <v>60</v>
      </c>
    </row>
    <row r="4" spans="1:26" ht="76.5" customHeight="1" x14ac:dyDescent="0.2">
      <c r="A4" s="735"/>
      <c r="B4" s="734"/>
      <c r="C4" s="734"/>
      <c r="D4" s="366" t="s">
        <v>138</v>
      </c>
      <c r="E4" s="366" t="s">
        <v>4</v>
      </c>
      <c r="F4" s="734" t="s">
        <v>5</v>
      </c>
      <c r="G4" s="734"/>
      <c r="H4" s="734"/>
      <c r="I4" s="366" t="s">
        <v>6</v>
      </c>
      <c r="J4" s="366" t="s">
        <v>7</v>
      </c>
      <c r="K4" s="366" t="s">
        <v>8</v>
      </c>
      <c r="L4" s="366" t="s">
        <v>9</v>
      </c>
      <c r="M4" s="366" t="s">
        <v>122</v>
      </c>
      <c r="N4" s="366" t="s">
        <v>160</v>
      </c>
      <c r="O4" s="504" t="s">
        <v>163</v>
      </c>
      <c r="P4" s="504" t="s">
        <v>164</v>
      </c>
      <c r="Q4" s="504" t="s">
        <v>391</v>
      </c>
      <c r="R4" s="504" t="s">
        <v>392</v>
      </c>
      <c r="S4" s="504" t="s">
        <v>439</v>
      </c>
      <c r="T4" s="504" t="s">
        <v>440</v>
      </c>
      <c r="U4" s="504" t="s">
        <v>441</v>
      </c>
      <c r="V4" s="366" t="s">
        <v>442</v>
      </c>
      <c r="W4" s="504" t="s">
        <v>443</v>
      </c>
      <c r="X4" s="366" t="s">
        <v>703</v>
      </c>
      <c r="Y4" s="862"/>
    </row>
    <row r="5" spans="1:26" ht="15.75" customHeight="1" x14ac:dyDescent="0.2">
      <c r="A5" s="675"/>
      <c r="B5" s="743" t="s">
        <v>652</v>
      </c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878"/>
    </row>
    <row r="6" spans="1:26" ht="24" customHeight="1" x14ac:dyDescent="0.2">
      <c r="A6" s="710" t="s">
        <v>97</v>
      </c>
      <c r="B6" s="743" t="s">
        <v>594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878"/>
    </row>
    <row r="7" spans="1:26" ht="50.25" customHeight="1" x14ac:dyDescent="0.25">
      <c r="A7" s="874" t="s">
        <v>64</v>
      </c>
      <c r="B7" s="743" t="s">
        <v>99</v>
      </c>
      <c r="C7" s="734" t="s">
        <v>66</v>
      </c>
      <c r="D7" s="365" t="s">
        <v>14</v>
      </c>
      <c r="E7" s="365" t="s">
        <v>27</v>
      </c>
      <c r="F7" s="724" t="s">
        <v>178</v>
      </c>
      <c r="G7" s="724"/>
      <c r="H7" s="724"/>
      <c r="I7" s="365" t="s">
        <v>100</v>
      </c>
      <c r="J7" s="14">
        <v>0</v>
      </c>
      <c r="K7" s="14">
        <v>0</v>
      </c>
      <c r="L7" s="14">
        <v>1801.8</v>
      </c>
      <c r="M7" s="14">
        <f>1626.3+127.7+38.6</f>
        <v>1792.6</v>
      </c>
      <c r="N7" s="14">
        <f>1824.3-67.3</f>
        <v>1757</v>
      </c>
      <c r="O7" s="505">
        <v>2224.6</v>
      </c>
      <c r="P7" s="505">
        <v>2432.5</v>
      </c>
      <c r="Q7" s="505">
        <f>2971.5-227.3</f>
        <v>2744.2</v>
      </c>
      <c r="R7" s="505">
        <v>2237.3000000000002</v>
      </c>
      <c r="S7" s="505">
        <f>3661.2-210-47.5</f>
        <v>3403.7</v>
      </c>
      <c r="T7" s="505">
        <f>3445+288.2+87+155.3-39</f>
        <v>3936.5</v>
      </c>
      <c r="U7" s="505">
        <f>4058.5+240</f>
        <v>4298.5</v>
      </c>
      <c r="V7" s="14">
        <v>4058.5</v>
      </c>
      <c r="W7" s="505">
        <v>4058.5</v>
      </c>
      <c r="X7" s="14">
        <f>SUM(J7:W7)</f>
        <v>34745.699999999997</v>
      </c>
      <c r="Y7" s="877" t="s">
        <v>101</v>
      </c>
      <c r="Z7" s="369"/>
    </row>
    <row r="8" spans="1:26" ht="25.5" customHeight="1" x14ac:dyDescent="0.25">
      <c r="A8" s="875"/>
      <c r="B8" s="743"/>
      <c r="C8" s="734"/>
      <c r="D8" s="365" t="s">
        <v>14</v>
      </c>
      <c r="E8" s="365" t="s">
        <v>27</v>
      </c>
      <c r="F8" s="724" t="s">
        <v>260</v>
      </c>
      <c r="G8" s="724"/>
      <c r="H8" s="724"/>
      <c r="I8" s="365" t="s">
        <v>100</v>
      </c>
      <c r="J8" s="14">
        <v>1023.8</v>
      </c>
      <c r="K8" s="14">
        <v>1757.4</v>
      </c>
      <c r="L8" s="14">
        <v>0</v>
      </c>
      <c r="M8" s="14">
        <v>0</v>
      </c>
      <c r="N8" s="14">
        <v>0</v>
      </c>
      <c r="O8" s="505">
        <v>0</v>
      </c>
      <c r="P8" s="505">
        <f>O8</f>
        <v>0</v>
      </c>
      <c r="Q8" s="505">
        <f>P8</f>
        <v>0</v>
      </c>
      <c r="R8" s="505">
        <f>Q8</f>
        <v>0</v>
      </c>
      <c r="S8" s="505">
        <v>0</v>
      </c>
      <c r="T8" s="505">
        <v>0</v>
      </c>
      <c r="U8" s="505">
        <v>0</v>
      </c>
      <c r="V8" s="14">
        <v>0</v>
      </c>
      <c r="W8" s="505">
        <v>0</v>
      </c>
      <c r="X8" s="14">
        <f t="shared" ref="X8:X45" si="0">SUM(J8:W8)</f>
        <v>2781.2</v>
      </c>
      <c r="Y8" s="877"/>
      <c r="Z8" s="369"/>
    </row>
    <row r="9" spans="1:26" ht="21" customHeight="1" x14ac:dyDescent="0.25">
      <c r="A9" s="875"/>
      <c r="B9" s="743"/>
      <c r="C9" s="734"/>
      <c r="D9" s="365" t="s">
        <v>14</v>
      </c>
      <c r="E9" s="365" t="s">
        <v>27</v>
      </c>
      <c r="F9" s="724" t="s">
        <v>179</v>
      </c>
      <c r="G9" s="724"/>
      <c r="H9" s="724"/>
      <c r="I9" s="365" t="s">
        <v>100</v>
      </c>
      <c r="J9" s="14">
        <v>0</v>
      </c>
      <c r="K9" s="14">
        <v>0</v>
      </c>
      <c r="L9" s="14">
        <v>291.3</v>
      </c>
      <c r="M9" s="14">
        <f>277.8+13.1</f>
        <v>290.90000000000003</v>
      </c>
      <c r="N9" s="14">
        <v>289.89999999999998</v>
      </c>
      <c r="O9" s="505">
        <v>301.39999999999998</v>
      </c>
      <c r="P9" s="505">
        <v>314.39999999999998</v>
      </c>
      <c r="Q9" s="505">
        <v>356.2</v>
      </c>
      <c r="R9" s="505">
        <f>391.8+15.1</f>
        <v>406.90000000000003</v>
      </c>
      <c r="S9" s="505">
        <f>421+17</f>
        <v>438</v>
      </c>
      <c r="T9" s="505">
        <f>411.9+59.1+17.8+18.9</f>
        <v>507.7</v>
      </c>
      <c r="U9" s="505">
        <f>527.3+60</f>
        <v>587.29999999999995</v>
      </c>
      <c r="V9" s="14">
        <v>527.29999999999995</v>
      </c>
      <c r="W9" s="505">
        <v>527.29999999999995</v>
      </c>
      <c r="X9" s="14">
        <f t="shared" si="0"/>
        <v>4838.6000000000004</v>
      </c>
      <c r="Y9" s="877"/>
      <c r="Z9" s="369"/>
    </row>
    <row r="10" spans="1:26" ht="27" customHeight="1" x14ac:dyDescent="0.25">
      <c r="A10" s="876"/>
      <c r="B10" s="743"/>
      <c r="C10" s="734"/>
      <c r="D10" s="365" t="s">
        <v>14</v>
      </c>
      <c r="E10" s="365" t="s">
        <v>27</v>
      </c>
      <c r="F10" s="724" t="s">
        <v>261</v>
      </c>
      <c r="G10" s="724"/>
      <c r="H10" s="724"/>
      <c r="I10" s="365" t="s">
        <v>100</v>
      </c>
      <c r="J10" s="14">
        <v>279.5</v>
      </c>
      <c r="K10" s="14">
        <v>293.39999999999998</v>
      </c>
      <c r="L10" s="14">
        <v>0</v>
      </c>
      <c r="M10" s="14">
        <v>0</v>
      </c>
      <c r="N10" s="14">
        <v>0</v>
      </c>
      <c r="O10" s="505">
        <v>0</v>
      </c>
      <c r="P10" s="505">
        <f t="shared" ref="P10:R13" si="1">O10</f>
        <v>0</v>
      </c>
      <c r="Q10" s="505">
        <f t="shared" si="1"/>
        <v>0</v>
      </c>
      <c r="R10" s="505">
        <f t="shared" si="1"/>
        <v>0</v>
      </c>
      <c r="S10" s="505">
        <v>0</v>
      </c>
      <c r="T10" s="505">
        <v>0</v>
      </c>
      <c r="U10" s="505">
        <v>0</v>
      </c>
      <c r="V10" s="14">
        <v>0</v>
      </c>
      <c r="W10" s="505">
        <v>0</v>
      </c>
      <c r="X10" s="14">
        <f t="shared" si="0"/>
        <v>572.9</v>
      </c>
      <c r="Y10" s="877"/>
      <c r="Z10" s="369"/>
    </row>
    <row r="11" spans="1:26" ht="24.75" customHeight="1" x14ac:dyDescent="0.25">
      <c r="A11" s="711"/>
      <c r="B11" s="743"/>
      <c r="C11" s="734"/>
      <c r="D11" s="365" t="s">
        <v>14</v>
      </c>
      <c r="E11" s="365" t="s">
        <v>27</v>
      </c>
      <c r="F11" s="724" t="s">
        <v>359</v>
      </c>
      <c r="G11" s="724" t="s">
        <v>359</v>
      </c>
      <c r="H11" s="724" t="s">
        <v>359</v>
      </c>
      <c r="I11" s="365" t="s">
        <v>306</v>
      </c>
      <c r="J11" s="14"/>
      <c r="K11" s="14"/>
      <c r="L11" s="14"/>
      <c r="M11" s="14"/>
      <c r="N11" s="14">
        <v>535</v>
      </c>
      <c r="O11" s="505"/>
      <c r="P11" s="505">
        <f t="shared" si="1"/>
        <v>0</v>
      </c>
      <c r="Q11" s="505">
        <f t="shared" si="1"/>
        <v>0</v>
      </c>
      <c r="R11" s="505">
        <f t="shared" si="1"/>
        <v>0</v>
      </c>
      <c r="S11" s="505">
        <v>0</v>
      </c>
      <c r="T11" s="505">
        <v>0</v>
      </c>
      <c r="U11" s="505">
        <v>0</v>
      </c>
      <c r="V11" s="14">
        <v>0</v>
      </c>
      <c r="W11" s="505">
        <v>0</v>
      </c>
      <c r="X11" s="14">
        <f t="shared" si="0"/>
        <v>535</v>
      </c>
      <c r="Y11" s="877"/>
      <c r="Z11" s="369"/>
    </row>
    <row r="12" spans="1:26" ht="20.25" customHeight="1" x14ac:dyDescent="0.25">
      <c r="A12" s="711"/>
      <c r="B12" s="743"/>
      <c r="C12" s="734"/>
      <c r="D12" s="365" t="s">
        <v>14</v>
      </c>
      <c r="E12" s="365" t="s">
        <v>27</v>
      </c>
      <c r="F12" s="724" t="s">
        <v>360</v>
      </c>
      <c r="G12" s="724" t="s">
        <v>360</v>
      </c>
      <c r="H12" s="724" t="s">
        <v>360</v>
      </c>
      <c r="I12" s="365" t="s">
        <v>100</v>
      </c>
      <c r="J12" s="14"/>
      <c r="K12" s="14"/>
      <c r="L12" s="14"/>
      <c r="M12" s="14"/>
      <c r="N12" s="14">
        <v>72.099999999999994</v>
      </c>
      <c r="O12" s="505"/>
      <c r="P12" s="505">
        <f t="shared" si="1"/>
        <v>0</v>
      </c>
      <c r="Q12" s="505">
        <f t="shared" si="1"/>
        <v>0</v>
      </c>
      <c r="R12" s="505">
        <f t="shared" si="1"/>
        <v>0</v>
      </c>
      <c r="S12" s="505">
        <v>0</v>
      </c>
      <c r="T12" s="505">
        <v>0</v>
      </c>
      <c r="U12" s="505">
        <v>0</v>
      </c>
      <c r="V12" s="14">
        <v>0</v>
      </c>
      <c r="W12" s="505">
        <v>0</v>
      </c>
      <c r="X12" s="14">
        <f t="shared" si="0"/>
        <v>72.099999999999994</v>
      </c>
      <c r="Y12" s="877"/>
      <c r="Z12" s="369"/>
    </row>
    <row r="13" spans="1:26" ht="24" customHeight="1" x14ac:dyDescent="0.25">
      <c r="A13" s="711"/>
      <c r="B13" s="743"/>
      <c r="C13" s="734"/>
      <c r="D13" s="365" t="s">
        <v>14</v>
      </c>
      <c r="E13" s="365" t="s">
        <v>27</v>
      </c>
      <c r="F13" s="724" t="s">
        <v>361</v>
      </c>
      <c r="G13" s="724"/>
      <c r="H13" s="724"/>
      <c r="I13" s="365" t="s">
        <v>100</v>
      </c>
      <c r="J13" s="14"/>
      <c r="K13" s="14"/>
      <c r="L13" s="14"/>
      <c r="M13" s="14"/>
      <c r="N13" s="14">
        <v>11.6</v>
      </c>
      <c r="O13" s="505"/>
      <c r="P13" s="505">
        <f t="shared" si="1"/>
        <v>0</v>
      </c>
      <c r="Q13" s="505">
        <f t="shared" si="1"/>
        <v>0</v>
      </c>
      <c r="R13" s="505">
        <f t="shared" si="1"/>
        <v>0</v>
      </c>
      <c r="S13" s="505">
        <v>0</v>
      </c>
      <c r="T13" s="505">
        <v>0</v>
      </c>
      <c r="U13" s="505">
        <v>0</v>
      </c>
      <c r="V13" s="14">
        <v>0</v>
      </c>
      <c r="W13" s="505">
        <v>0</v>
      </c>
      <c r="X13" s="14">
        <f t="shared" si="0"/>
        <v>11.6</v>
      </c>
      <c r="Y13" s="877"/>
      <c r="Z13" s="369"/>
    </row>
    <row r="14" spans="1:26" ht="21" customHeight="1" x14ac:dyDescent="0.25">
      <c r="A14" s="711"/>
      <c r="B14" s="743"/>
      <c r="C14" s="734"/>
      <c r="D14" s="365" t="s">
        <v>14</v>
      </c>
      <c r="E14" s="365" t="s">
        <v>27</v>
      </c>
      <c r="F14" s="724" t="s">
        <v>414</v>
      </c>
      <c r="G14" s="724"/>
      <c r="H14" s="724"/>
      <c r="I14" s="365" t="s">
        <v>100</v>
      </c>
      <c r="J14" s="14"/>
      <c r="K14" s="14"/>
      <c r="L14" s="14"/>
      <c r="M14" s="14"/>
      <c r="N14" s="14"/>
      <c r="O14" s="505">
        <f>37.3+11.3</f>
        <v>48.599999999999994</v>
      </c>
      <c r="P14" s="505">
        <v>0</v>
      </c>
      <c r="Q14" s="505">
        <v>0</v>
      </c>
      <c r="R14" s="505">
        <f>Q14</f>
        <v>0</v>
      </c>
      <c r="S14" s="505">
        <v>0</v>
      </c>
      <c r="T14" s="505">
        <v>0</v>
      </c>
      <c r="U14" s="505">
        <v>0</v>
      </c>
      <c r="V14" s="14">
        <v>0</v>
      </c>
      <c r="W14" s="505">
        <v>0</v>
      </c>
      <c r="X14" s="14">
        <f t="shared" si="0"/>
        <v>48.599999999999994</v>
      </c>
      <c r="Y14" s="877"/>
      <c r="Z14" s="369"/>
    </row>
    <row r="15" spans="1:26" ht="23.25" customHeight="1" x14ac:dyDescent="0.25">
      <c r="A15" s="711"/>
      <c r="B15" s="743"/>
      <c r="C15" s="734"/>
      <c r="D15" s="365" t="s">
        <v>14</v>
      </c>
      <c r="E15" s="365" t="s">
        <v>27</v>
      </c>
      <c r="F15" s="724" t="s">
        <v>403</v>
      </c>
      <c r="G15" s="724"/>
      <c r="H15" s="724"/>
      <c r="I15" s="365" t="s">
        <v>100</v>
      </c>
      <c r="J15" s="14"/>
      <c r="K15" s="14"/>
      <c r="L15" s="14"/>
      <c r="M15" s="14"/>
      <c r="N15" s="14">
        <v>128.30000000000001</v>
      </c>
      <c r="O15" s="505"/>
      <c r="P15" s="505">
        <f>O15</f>
        <v>0</v>
      </c>
      <c r="Q15" s="505">
        <f>P15</f>
        <v>0</v>
      </c>
      <c r="R15" s="505">
        <f>Q15</f>
        <v>0</v>
      </c>
      <c r="S15" s="505">
        <v>0</v>
      </c>
      <c r="T15" s="505">
        <v>0</v>
      </c>
      <c r="U15" s="505">
        <v>0</v>
      </c>
      <c r="V15" s="14">
        <v>0</v>
      </c>
      <c r="W15" s="505">
        <v>0</v>
      </c>
      <c r="X15" s="14">
        <f>SUM(J15:W15)</f>
        <v>128.30000000000001</v>
      </c>
      <c r="Y15" s="877"/>
      <c r="Z15" s="369"/>
    </row>
    <row r="16" spans="1:26" ht="23.25" customHeight="1" x14ac:dyDescent="0.25">
      <c r="A16" s="711"/>
      <c r="B16" s="743"/>
      <c r="C16" s="734"/>
      <c r="D16" s="365" t="s">
        <v>14</v>
      </c>
      <c r="E16" s="365" t="s">
        <v>27</v>
      </c>
      <c r="F16" s="724" t="s">
        <v>719</v>
      </c>
      <c r="G16" s="724"/>
      <c r="H16" s="724"/>
      <c r="I16" s="365" t="s">
        <v>100</v>
      </c>
      <c r="J16" s="14"/>
      <c r="K16" s="14"/>
      <c r="L16" s="14"/>
      <c r="M16" s="14"/>
      <c r="N16" s="14">
        <v>0</v>
      </c>
      <c r="O16" s="505"/>
      <c r="P16" s="505">
        <f>O16</f>
        <v>0</v>
      </c>
      <c r="Q16" s="505">
        <f>P16</f>
        <v>0</v>
      </c>
      <c r="R16" s="505">
        <f>Q16</f>
        <v>0</v>
      </c>
      <c r="S16" s="505">
        <v>0</v>
      </c>
      <c r="T16" s="505">
        <v>0</v>
      </c>
      <c r="U16" s="505">
        <v>372.7</v>
      </c>
      <c r="V16" s="14">
        <v>0</v>
      </c>
      <c r="W16" s="505">
        <v>0</v>
      </c>
      <c r="X16" s="14">
        <f t="shared" si="0"/>
        <v>372.7</v>
      </c>
      <c r="Y16" s="877"/>
      <c r="Z16" s="369"/>
    </row>
    <row r="17" spans="1:26" ht="30.75" customHeight="1" x14ac:dyDescent="0.25">
      <c r="A17" s="874" t="s">
        <v>69</v>
      </c>
      <c r="B17" s="743" t="s">
        <v>102</v>
      </c>
      <c r="C17" s="734" t="s">
        <v>66</v>
      </c>
      <c r="D17" s="365" t="s">
        <v>14</v>
      </c>
      <c r="E17" s="365" t="s">
        <v>27</v>
      </c>
      <c r="F17" s="724" t="s">
        <v>178</v>
      </c>
      <c r="G17" s="724"/>
      <c r="H17" s="724"/>
      <c r="I17" s="365" t="s">
        <v>103</v>
      </c>
      <c r="J17" s="14">
        <v>0</v>
      </c>
      <c r="K17" s="14">
        <v>0</v>
      </c>
      <c r="L17" s="14">
        <v>313.7</v>
      </c>
      <c r="M17" s="14">
        <f>222.8+21.3</f>
        <v>244.10000000000002</v>
      </c>
      <c r="N17" s="14">
        <f>406.8+7.2</f>
        <v>414</v>
      </c>
      <c r="O17" s="505">
        <v>363</v>
      </c>
      <c r="P17" s="505">
        <v>403.3</v>
      </c>
      <c r="Q17" s="505">
        <f>426.1+79</f>
        <v>505.1</v>
      </c>
      <c r="R17" s="505">
        <f>580.6+40+48</f>
        <v>668.6</v>
      </c>
      <c r="S17" s="505">
        <f>475.7+30+47.5</f>
        <v>553.20000000000005</v>
      </c>
      <c r="T17" s="505">
        <f>506.4+116.8</f>
        <v>623.19999999999993</v>
      </c>
      <c r="U17" s="505">
        <f>506.1+50</f>
        <v>556.1</v>
      </c>
      <c r="V17" s="14">
        <v>591</v>
      </c>
      <c r="W17" s="505">
        <v>591</v>
      </c>
      <c r="X17" s="14">
        <f t="shared" si="0"/>
        <v>5826.3</v>
      </c>
      <c r="Y17" s="878"/>
      <c r="Z17" s="369"/>
    </row>
    <row r="18" spans="1:26" ht="15.75" customHeight="1" x14ac:dyDescent="0.25">
      <c r="A18" s="875"/>
      <c r="B18" s="743"/>
      <c r="C18" s="734"/>
      <c r="D18" s="365" t="s">
        <v>14</v>
      </c>
      <c r="E18" s="365" t="s">
        <v>461</v>
      </c>
      <c r="F18" s="724" t="s">
        <v>696</v>
      </c>
      <c r="G18" s="724"/>
      <c r="H18" s="724"/>
      <c r="I18" s="365" t="s">
        <v>103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505">
        <v>0</v>
      </c>
      <c r="P18" s="505">
        <f t="shared" ref="P18:R20" si="2">O18</f>
        <v>0</v>
      </c>
      <c r="Q18" s="505">
        <f t="shared" si="2"/>
        <v>0</v>
      </c>
      <c r="R18" s="505">
        <f t="shared" si="2"/>
        <v>0</v>
      </c>
      <c r="S18" s="505">
        <v>0</v>
      </c>
      <c r="T18" s="505">
        <v>0</v>
      </c>
      <c r="U18" s="505">
        <v>0</v>
      </c>
      <c r="V18" s="14">
        <v>0</v>
      </c>
      <c r="W18" s="505">
        <v>0</v>
      </c>
      <c r="X18" s="14">
        <f t="shared" si="0"/>
        <v>0</v>
      </c>
      <c r="Y18" s="878"/>
      <c r="Z18" s="369"/>
    </row>
    <row r="19" spans="1:26" ht="52.5" customHeight="1" x14ac:dyDescent="0.25">
      <c r="A19" s="876"/>
      <c r="B19" s="743"/>
      <c r="C19" s="734"/>
      <c r="D19" s="365" t="s">
        <v>14</v>
      </c>
      <c r="E19" s="365" t="s">
        <v>27</v>
      </c>
      <c r="F19" s="724" t="s">
        <v>260</v>
      </c>
      <c r="G19" s="724"/>
      <c r="H19" s="724"/>
      <c r="I19" s="365" t="s">
        <v>103</v>
      </c>
      <c r="J19" s="14">
        <v>284.2</v>
      </c>
      <c r="K19" s="14">
        <v>315.2</v>
      </c>
      <c r="L19" s="14">
        <v>0</v>
      </c>
      <c r="M19" s="14">
        <v>0</v>
      </c>
      <c r="N19" s="14">
        <v>0</v>
      </c>
      <c r="O19" s="505">
        <v>0</v>
      </c>
      <c r="P19" s="505">
        <f t="shared" si="2"/>
        <v>0</v>
      </c>
      <c r="Q19" s="505">
        <f t="shared" si="2"/>
        <v>0</v>
      </c>
      <c r="R19" s="505">
        <f t="shared" si="2"/>
        <v>0</v>
      </c>
      <c r="S19" s="505">
        <v>0</v>
      </c>
      <c r="T19" s="505">
        <v>0</v>
      </c>
      <c r="U19" s="505">
        <v>0</v>
      </c>
      <c r="V19" s="14">
        <v>0</v>
      </c>
      <c r="W19" s="505">
        <v>0</v>
      </c>
      <c r="X19" s="14">
        <f t="shared" si="0"/>
        <v>599.4</v>
      </c>
      <c r="Y19" s="878"/>
      <c r="Z19" s="369"/>
    </row>
    <row r="20" spans="1:26" ht="65.25" customHeight="1" x14ac:dyDescent="0.25">
      <c r="A20" s="711" t="s">
        <v>70</v>
      </c>
      <c r="B20" s="367" t="s">
        <v>109</v>
      </c>
      <c r="C20" s="366" t="s">
        <v>66</v>
      </c>
      <c r="D20" s="365" t="s">
        <v>14</v>
      </c>
      <c r="E20" s="365" t="s">
        <v>27</v>
      </c>
      <c r="F20" s="724" t="s">
        <v>260</v>
      </c>
      <c r="G20" s="724"/>
      <c r="H20" s="724"/>
      <c r="I20" s="365" t="s">
        <v>108</v>
      </c>
      <c r="J20" s="14">
        <v>96.7</v>
      </c>
      <c r="K20" s="14">
        <v>0</v>
      </c>
      <c r="L20" s="14">
        <v>0</v>
      </c>
      <c r="M20" s="14">
        <v>0</v>
      </c>
      <c r="N20" s="14">
        <v>0</v>
      </c>
      <c r="O20" s="505">
        <v>0</v>
      </c>
      <c r="P20" s="505">
        <f t="shared" si="2"/>
        <v>0</v>
      </c>
      <c r="Q20" s="505">
        <f t="shared" si="2"/>
        <v>0</v>
      </c>
      <c r="R20" s="505">
        <f t="shared" si="2"/>
        <v>0</v>
      </c>
      <c r="S20" s="505">
        <v>0</v>
      </c>
      <c r="T20" s="505">
        <v>0</v>
      </c>
      <c r="U20" s="505">
        <v>0</v>
      </c>
      <c r="V20" s="14">
        <v>0</v>
      </c>
      <c r="W20" s="505">
        <v>0</v>
      </c>
      <c r="X20" s="14">
        <f t="shared" si="0"/>
        <v>96.7</v>
      </c>
      <c r="Y20" s="878"/>
      <c r="Z20" s="369"/>
    </row>
    <row r="21" spans="1:26" ht="35.25" customHeight="1" x14ac:dyDescent="0.25">
      <c r="A21" s="716" t="s">
        <v>107</v>
      </c>
      <c r="B21" s="734" t="s">
        <v>123</v>
      </c>
      <c r="C21" s="734" t="s">
        <v>66</v>
      </c>
      <c r="D21" s="365" t="s">
        <v>14</v>
      </c>
      <c r="E21" s="365" t="s">
        <v>27</v>
      </c>
      <c r="F21" s="724" t="s">
        <v>180</v>
      </c>
      <c r="G21" s="724"/>
      <c r="H21" s="724"/>
      <c r="I21" s="365" t="s">
        <v>100</v>
      </c>
      <c r="J21" s="14">
        <v>0</v>
      </c>
      <c r="K21" s="14">
        <v>0</v>
      </c>
      <c r="L21" s="14">
        <v>81.2</v>
      </c>
      <c r="M21" s="14">
        <v>90</v>
      </c>
      <c r="N21" s="14">
        <f>94.4-27.6</f>
        <v>66.800000000000011</v>
      </c>
      <c r="O21" s="505">
        <v>95.7</v>
      </c>
      <c r="P21" s="505">
        <v>105.4</v>
      </c>
      <c r="Q21" s="505">
        <v>111.9</v>
      </c>
      <c r="R21" s="505">
        <f>111.9+11.2+5.3</f>
        <v>128.4</v>
      </c>
      <c r="S21" s="505">
        <f>135.3+4.3</f>
        <v>139.60000000000002</v>
      </c>
      <c r="T21" s="505">
        <v>171.3</v>
      </c>
      <c r="U21" s="505">
        <f>171.2+29.3</f>
        <v>200.5</v>
      </c>
      <c r="V21" s="14">
        <v>171.2</v>
      </c>
      <c r="W21" s="505">
        <v>171.2</v>
      </c>
      <c r="X21" s="14">
        <f t="shared" si="0"/>
        <v>1533.2</v>
      </c>
      <c r="Y21" s="878"/>
      <c r="Z21" s="369"/>
    </row>
    <row r="22" spans="1:26" ht="19.5" customHeight="1" x14ac:dyDescent="0.25">
      <c r="A22" s="716"/>
      <c r="B22" s="734"/>
      <c r="C22" s="734"/>
      <c r="D22" s="365" t="s">
        <v>14</v>
      </c>
      <c r="E22" s="365" t="s">
        <v>27</v>
      </c>
      <c r="F22" s="724" t="s">
        <v>262</v>
      </c>
      <c r="G22" s="724"/>
      <c r="H22" s="724"/>
      <c r="I22" s="365" t="s">
        <v>100</v>
      </c>
      <c r="J22" s="14">
        <v>8.3000000000000007</v>
      </c>
      <c r="K22" s="14">
        <v>80.8</v>
      </c>
      <c r="L22" s="14">
        <v>0</v>
      </c>
      <c r="M22" s="14">
        <v>0</v>
      </c>
      <c r="N22" s="14">
        <v>0</v>
      </c>
      <c r="O22" s="505">
        <v>0</v>
      </c>
      <c r="P22" s="505">
        <f>O22</f>
        <v>0</v>
      </c>
      <c r="Q22" s="505">
        <f>P22</f>
        <v>0</v>
      </c>
      <c r="R22" s="505">
        <f>Q22</f>
        <v>0</v>
      </c>
      <c r="S22" s="505">
        <v>0</v>
      </c>
      <c r="T22" s="505">
        <v>0</v>
      </c>
      <c r="U22" s="505">
        <v>0</v>
      </c>
      <c r="V22" s="14">
        <v>0</v>
      </c>
      <c r="W22" s="505">
        <v>0</v>
      </c>
      <c r="X22" s="14">
        <f t="shared" si="0"/>
        <v>89.1</v>
      </c>
      <c r="Y22" s="878"/>
      <c r="Z22" s="369"/>
    </row>
    <row r="23" spans="1:26" ht="23.25" customHeight="1" x14ac:dyDescent="0.25">
      <c r="A23" s="716"/>
      <c r="B23" s="734"/>
      <c r="C23" s="734"/>
      <c r="D23" s="365" t="s">
        <v>14</v>
      </c>
      <c r="E23" s="365" t="s">
        <v>27</v>
      </c>
      <c r="F23" s="724" t="s">
        <v>305</v>
      </c>
      <c r="G23" s="724"/>
      <c r="H23" s="724"/>
      <c r="I23" s="365" t="s">
        <v>306</v>
      </c>
      <c r="J23" s="14"/>
      <c r="K23" s="14"/>
      <c r="L23" s="14"/>
      <c r="M23" s="14">
        <f>4183+143.9-13.6-0.1</f>
        <v>4313.1999999999989</v>
      </c>
      <c r="N23" s="14">
        <f>13166.3-8.5</f>
        <v>13157.8</v>
      </c>
      <c r="O23" s="505">
        <v>12111.7</v>
      </c>
      <c r="P23" s="505">
        <v>12165.8</v>
      </c>
      <c r="Q23" s="505">
        <f>26759.1+953.9-960.5-200</f>
        <v>26552.5</v>
      </c>
      <c r="R23" s="505">
        <f>29797.8+313-156.2</f>
        <v>29954.6</v>
      </c>
      <c r="S23" s="505">
        <f>35354+1422</f>
        <v>36776</v>
      </c>
      <c r="T23" s="505">
        <f>33984.7+5637.2+1702.4+5946.8+1395.7</f>
        <v>48666.799999999996</v>
      </c>
      <c r="U23" s="505">
        <f>54659.7+4832.2</f>
        <v>59491.899999999994</v>
      </c>
      <c r="V23" s="14">
        <v>54659.7</v>
      </c>
      <c r="W23" s="505">
        <v>54659.7</v>
      </c>
      <c r="X23" s="14">
        <f t="shared" si="0"/>
        <v>352509.7</v>
      </c>
      <c r="Y23" s="878"/>
      <c r="Z23" s="369"/>
    </row>
    <row r="24" spans="1:26" ht="20.25" customHeight="1" x14ac:dyDescent="0.25">
      <c r="A24" s="716"/>
      <c r="B24" s="734"/>
      <c r="C24" s="734"/>
      <c r="D24" s="365" t="s">
        <v>14</v>
      </c>
      <c r="E24" s="365" t="s">
        <v>27</v>
      </c>
      <c r="F24" s="724" t="s">
        <v>308</v>
      </c>
      <c r="G24" s="724"/>
      <c r="H24" s="724"/>
      <c r="I24" s="365" t="s">
        <v>306</v>
      </c>
      <c r="J24" s="14"/>
      <c r="K24" s="14"/>
      <c r="L24" s="14"/>
      <c r="M24" s="14">
        <f>1969+407.7+123.1</f>
        <v>2499.7999999999997</v>
      </c>
      <c r="N24" s="14">
        <v>9890.7999999999993</v>
      </c>
      <c r="O24" s="505">
        <v>14080.1</v>
      </c>
      <c r="P24" s="505">
        <v>9834.2000000000007</v>
      </c>
      <c r="Q24" s="505">
        <v>0</v>
      </c>
      <c r="R24" s="505">
        <v>0</v>
      </c>
      <c r="S24" s="505">
        <v>0</v>
      </c>
      <c r="T24" s="505">
        <v>0</v>
      </c>
      <c r="U24" s="505">
        <v>0</v>
      </c>
      <c r="V24" s="14">
        <v>0</v>
      </c>
      <c r="W24" s="505">
        <v>0</v>
      </c>
      <c r="X24" s="14">
        <f t="shared" si="0"/>
        <v>36304.899999999994</v>
      </c>
      <c r="Y24" s="878"/>
      <c r="Z24" s="369"/>
    </row>
    <row r="25" spans="1:26" ht="19.5" customHeight="1" x14ac:dyDescent="0.25">
      <c r="A25" s="716"/>
      <c r="B25" s="734"/>
      <c r="C25" s="734"/>
      <c r="D25" s="365" t="s">
        <v>14</v>
      </c>
      <c r="E25" s="365" t="s">
        <v>27</v>
      </c>
      <c r="F25" s="724" t="s">
        <v>327</v>
      </c>
      <c r="G25" s="724"/>
      <c r="H25" s="724"/>
      <c r="I25" s="365" t="s">
        <v>306</v>
      </c>
      <c r="J25" s="14"/>
      <c r="K25" s="14"/>
      <c r="L25" s="14"/>
      <c r="M25" s="14">
        <v>10.9</v>
      </c>
      <c r="N25" s="14">
        <v>45.3</v>
      </c>
      <c r="O25" s="505">
        <v>45.3</v>
      </c>
      <c r="P25" s="505" t="s">
        <v>111</v>
      </c>
      <c r="Q25" s="505" t="str">
        <f>P25</f>
        <v>-</v>
      </c>
      <c r="R25" s="505">
        <v>0</v>
      </c>
      <c r="S25" s="505">
        <v>0</v>
      </c>
      <c r="T25" s="505">
        <v>0</v>
      </c>
      <c r="U25" s="505">
        <v>0</v>
      </c>
      <c r="V25" s="14">
        <v>0</v>
      </c>
      <c r="W25" s="505">
        <v>0</v>
      </c>
      <c r="X25" s="14">
        <f t="shared" si="0"/>
        <v>101.5</v>
      </c>
      <c r="Y25" s="878"/>
      <c r="Z25" s="369"/>
    </row>
    <row r="26" spans="1:26" ht="22.5" customHeight="1" x14ac:dyDescent="0.25">
      <c r="A26" s="716"/>
      <c r="B26" s="734"/>
      <c r="C26" s="734"/>
      <c r="D26" s="513" t="s">
        <v>14</v>
      </c>
      <c r="E26" s="513" t="s">
        <v>27</v>
      </c>
      <c r="F26" s="879" t="s">
        <v>476</v>
      </c>
      <c r="G26" s="879"/>
      <c r="H26" s="879"/>
      <c r="I26" s="513" t="s">
        <v>306</v>
      </c>
      <c r="J26" s="505"/>
      <c r="K26" s="505"/>
      <c r="L26" s="505"/>
      <c r="M26" s="505"/>
      <c r="N26" s="505"/>
      <c r="O26" s="505">
        <v>86</v>
      </c>
      <c r="P26" s="505" t="s">
        <v>111</v>
      </c>
      <c r="Q26" s="505" t="s">
        <v>111</v>
      </c>
      <c r="R26" s="505" t="s">
        <v>111</v>
      </c>
      <c r="S26" s="505">
        <v>0</v>
      </c>
      <c r="T26" s="505">
        <v>0</v>
      </c>
      <c r="U26" s="505">
        <v>0</v>
      </c>
      <c r="V26" s="14">
        <v>0</v>
      </c>
      <c r="W26" s="505">
        <v>0</v>
      </c>
      <c r="X26" s="14">
        <f t="shared" si="0"/>
        <v>86</v>
      </c>
      <c r="Y26" s="878"/>
      <c r="Z26" s="369"/>
    </row>
    <row r="27" spans="1:26" ht="18.75" customHeight="1" x14ac:dyDescent="0.25">
      <c r="A27" s="716"/>
      <c r="B27" s="734"/>
      <c r="C27" s="734"/>
      <c r="D27" s="513" t="s">
        <v>14</v>
      </c>
      <c r="E27" s="513" t="s">
        <v>27</v>
      </c>
      <c r="F27" s="879" t="s">
        <v>476</v>
      </c>
      <c r="G27" s="879"/>
      <c r="H27" s="879"/>
      <c r="I27" s="513" t="s">
        <v>100</v>
      </c>
      <c r="J27" s="505"/>
      <c r="K27" s="505"/>
      <c r="L27" s="505"/>
      <c r="M27" s="505"/>
      <c r="N27" s="505"/>
      <c r="O27" s="505">
        <v>26.6</v>
      </c>
      <c r="P27" s="505" t="s">
        <v>111</v>
      </c>
      <c r="Q27" s="505" t="s">
        <v>111</v>
      </c>
      <c r="R27" s="505" t="s">
        <v>111</v>
      </c>
      <c r="S27" s="505">
        <v>0</v>
      </c>
      <c r="T27" s="505">
        <v>0</v>
      </c>
      <c r="U27" s="505">
        <v>0</v>
      </c>
      <c r="V27" s="14">
        <v>0</v>
      </c>
      <c r="W27" s="505">
        <v>0</v>
      </c>
      <c r="X27" s="14">
        <f t="shared" si="0"/>
        <v>26.6</v>
      </c>
      <c r="Y27" s="878"/>
      <c r="Z27" s="369"/>
    </row>
    <row r="28" spans="1:26" ht="18.75" customHeight="1" x14ac:dyDescent="0.25">
      <c r="A28" s="716"/>
      <c r="B28" s="734"/>
      <c r="C28" s="734"/>
      <c r="D28" s="513" t="s">
        <v>14</v>
      </c>
      <c r="E28" s="513" t="s">
        <v>27</v>
      </c>
      <c r="F28" s="879" t="s">
        <v>514</v>
      </c>
      <c r="G28" s="879"/>
      <c r="H28" s="879"/>
      <c r="I28" s="513" t="s">
        <v>100</v>
      </c>
      <c r="J28" s="505"/>
      <c r="K28" s="505"/>
      <c r="L28" s="505"/>
      <c r="M28" s="505"/>
      <c r="N28" s="505"/>
      <c r="O28" s="505">
        <v>0</v>
      </c>
      <c r="P28" s="505">
        <v>18.399999999999999</v>
      </c>
      <c r="Q28" s="505" t="s">
        <v>111</v>
      </c>
      <c r="R28" s="505" t="s">
        <v>111</v>
      </c>
      <c r="S28" s="505">
        <v>0</v>
      </c>
      <c r="T28" s="505">
        <v>0</v>
      </c>
      <c r="U28" s="505">
        <v>0</v>
      </c>
      <c r="V28" s="14">
        <v>0</v>
      </c>
      <c r="W28" s="505">
        <v>0</v>
      </c>
      <c r="X28" s="14">
        <f t="shared" si="0"/>
        <v>18.399999999999999</v>
      </c>
      <c r="Y28" s="878"/>
      <c r="Z28" s="369"/>
    </row>
    <row r="29" spans="1:26" ht="18.75" customHeight="1" x14ac:dyDescent="0.25">
      <c r="A29" s="716"/>
      <c r="B29" s="734"/>
      <c r="C29" s="734"/>
      <c r="D29" s="513" t="s">
        <v>14</v>
      </c>
      <c r="E29" s="513" t="s">
        <v>27</v>
      </c>
      <c r="F29" s="879" t="s">
        <v>516</v>
      </c>
      <c r="G29" s="879"/>
      <c r="H29" s="879"/>
      <c r="I29" s="513" t="s">
        <v>100</v>
      </c>
      <c r="J29" s="505"/>
      <c r="K29" s="505"/>
      <c r="L29" s="505"/>
      <c r="M29" s="505"/>
      <c r="N29" s="505"/>
      <c r="O29" s="505"/>
      <c r="P29" s="505">
        <v>725</v>
      </c>
      <c r="Q29" s="505"/>
      <c r="R29" s="505"/>
      <c r="S29" s="505">
        <v>0</v>
      </c>
      <c r="T29" s="505">
        <v>0</v>
      </c>
      <c r="U29" s="505">
        <v>0</v>
      </c>
      <c r="V29" s="14">
        <v>0</v>
      </c>
      <c r="W29" s="505">
        <v>0</v>
      </c>
      <c r="X29" s="14">
        <f t="shared" si="0"/>
        <v>725</v>
      </c>
      <c r="Y29" s="878"/>
      <c r="Z29" s="369"/>
    </row>
    <row r="30" spans="1:26" ht="18.75" customHeight="1" x14ac:dyDescent="0.25">
      <c r="A30" s="716"/>
      <c r="B30" s="734"/>
      <c r="C30" s="734"/>
      <c r="D30" s="513" t="s">
        <v>14</v>
      </c>
      <c r="E30" s="513" t="s">
        <v>27</v>
      </c>
      <c r="F30" s="879" t="s">
        <v>515</v>
      </c>
      <c r="G30" s="879"/>
      <c r="H30" s="879"/>
      <c r="I30" s="513" t="s">
        <v>100</v>
      </c>
      <c r="J30" s="505"/>
      <c r="K30" s="505"/>
      <c r="L30" s="505"/>
      <c r="M30" s="505"/>
      <c r="N30" s="505"/>
      <c r="O30" s="505">
        <v>0</v>
      </c>
      <c r="P30" s="505">
        <v>280.3</v>
      </c>
      <c r="Q30" s="505" t="s">
        <v>111</v>
      </c>
      <c r="R30" s="505" t="s">
        <v>111</v>
      </c>
      <c r="S30" s="505">
        <v>0</v>
      </c>
      <c r="T30" s="505">
        <v>0</v>
      </c>
      <c r="U30" s="505">
        <v>0</v>
      </c>
      <c r="V30" s="14">
        <v>0</v>
      </c>
      <c r="W30" s="505">
        <v>0</v>
      </c>
      <c r="X30" s="14">
        <f t="shared" si="0"/>
        <v>280.3</v>
      </c>
      <c r="Y30" s="878"/>
      <c r="Z30" s="369"/>
    </row>
    <row r="31" spans="1:26" ht="18.75" customHeight="1" x14ac:dyDescent="0.25">
      <c r="A31" s="716"/>
      <c r="B31" s="734"/>
      <c r="C31" s="734"/>
      <c r="D31" s="513" t="s">
        <v>14</v>
      </c>
      <c r="E31" s="513" t="s">
        <v>27</v>
      </c>
      <c r="F31" s="879" t="s">
        <v>553</v>
      </c>
      <c r="G31" s="879"/>
      <c r="H31" s="879"/>
      <c r="I31" s="513" t="s">
        <v>100</v>
      </c>
      <c r="J31" s="505"/>
      <c r="K31" s="505"/>
      <c r="L31" s="505"/>
      <c r="M31" s="505"/>
      <c r="N31" s="505"/>
      <c r="O31" s="505"/>
      <c r="P31" s="505">
        <v>2.6</v>
      </c>
      <c r="Q31" s="505"/>
      <c r="R31" s="505"/>
      <c r="S31" s="505"/>
      <c r="T31" s="505"/>
      <c r="U31" s="505"/>
      <c r="V31" s="14"/>
      <c r="W31" s="505"/>
      <c r="X31" s="14">
        <f t="shared" si="0"/>
        <v>2.6</v>
      </c>
      <c r="Y31" s="878"/>
      <c r="Z31" s="369"/>
    </row>
    <row r="32" spans="1:26" ht="18.75" customHeight="1" x14ac:dyDescent="0.25">
      <c r="A32" s="716"/>
      <c r="B32" s="734"/>
      <c r="C32" s="734"/>
      <c r="D32" s="513" t="s">
        <v>14</v>
      </c>
      <c r="E32" s="513" t="s">
        <v>27</v>
      </c>
      <c r="F32" s="879" t="s">
        <v>477</v>
      </c>
      <c r="G32" s="879"/>
      <c r="H32" s="879"/>
      <c r="I32" s="513" t="s">
        <v>100</v>
      </c>
      <c r="J32" s="505"/>
      <c r="K32" s="505"/>
      <c r="L32" s="505"/>
      <c r="M32" s="505"/>
      <c r="N32" s="505"/>
      <c r="O32" s="505">
        <v>3.2</v>
      </c>
      <c r="P32" s="505" t="s">
        <v>111</v>
      </c>
      <c r="Q32" s="505" t="s">
        <v>111</v>
      </c>
      <c r="R32" s="505" t="s">
        <v>111</v>
      </c>
      <c r="S32" s="505">
        <v>0</v>
      </c>
      <c r="T32" s="505">
        <v>0</v>
      </c>
      <c r="U32" s="505">
        <v>0</v>
      </c>
      <c r="V32" s="14">
        <v>0</v>
      </c>
      <c r="W32" s="505">
        <v>0</v>
      </c>
      <c r="X32" s="14">
        <f t="shared" si="0"/>
        <v>3.2</v>
      </c>
      <c r="Y32" s="878"/>
      <c r="Z32" s="369"/>
    </row>
    <row r="33" spans="1:26" ht="18.75" customHeight="1" x14ac:dyDescent="0.25">
      <c r="A33" s="716"/>
      <c r="B33" s="734"/>
      <c r="C33" s="734"/>
      <c r="D33" s="513" t="s">
        <v>14</v>
      </c>
      <c r="E33" s="513" t="s">
        <v>27</v>
      </c>
      <c r="F33" s="879" t="s">
        <v>488</v>
      </c>
      <c r="G33" s="879"/>
      <c r="H33" s="879"/>
      <c r="I33" s="513" t="s">
        <v>306</v>
      </c>
      <c r="J33" s="505"/>
      <c r="K33" s="505"/>
      <c r="L33" s="505"/>
      <c r="M33" s="505"/>
      <c r="N33" s="505"/>
      <c r="O33" s="505">
        <v>41.6</v>
      </c>
      <c r="P33" s="505" t="s">
        <v>111</v>
      </c>
      <c r="Q33" s="505" t="s">
        <v>111</v>
      </c>
      <c r="R33" s="505" t="s">
        <v>111</v>
      </c>
      <c r="S33" s="505">
        <v>0</v>
      </c>
      <c r="T33" s="505">
        <v>0</v>
      </c>
      <c r="U33" s="505">
        <v>0</v>
      </c>
      <c r="V33" s="14">
        <v>0</v>
      </c>
      <c r="W33" s="505">
        <v>0</v>
      </c>
      <c r="X33" s="14">
        <f t="shared" si="0"/>
        <v>41.6</v>
      </c>
      <c r="Y33" s="878"/>
      <c r="Z33" s="369"/>
    </row>
    <row r="34" spans="1:26" ht="18.75" customHeight="1" x14ac:dyDescent="0.25">
      <c r="A34" s="716"/>
      <c r="B34" s="734"/>
      <c r="C34" s="734"/>
      <c r="D34" s="513" t="s">
        <v>14</v>
      </c>
      <c r="E34" s="513" t="s">
        <v>27</v>
      </c>
      <c r="F34" s="879" t="s">
        <v>554</v>
      </c>
      <c r="G34" s="879"/>
      <c r="H34" s="879"/>
      <c r="I34" s="513" t="s">
        <v>306</v>
      </c>
      <c r="J34" s="505"/>
      <c r="K34" s="505"/>
      <c r="L34" s="505"/>
      <c r="M34" s="505"/>
      <c r="N34" s="505"/>
      <c r="O34" s="505"/>
      <c r="P34" s="505">
        <v>102.6</v>
      </c>
      <c r="Q34" s="505">
        <v>0</v>
      </c>
      <c r="R34" s="505">
        <v>0</v>
      </c>
      <c r="S34" s="505">
        <v>0</v>
      </c>
      <c r="T34" s="505">
        <v>0</v>
      </c>
      <c r="U34" s="505">
        <v>0</v>
      </c>
      <c r="V34" s="14">
        <v>0</v>
      </c>
      <c r="W34" s="505">
        <v>0</v>
      </c>
      <c r="X34" s="14">
        <f t="shared" si="0"/>
        <v>102.6</v>
      </c>
      <c r="Y34" s="878"/>
      <c r="Z34" s="369"/>
    </row>
    <row r="35" spans="1:26" ht="18" customHeight="1" x14ac:dyDescent="0.25">
      <c r="A35" s="716"/>
      <c r="B35" s="734"/>
      <c r="C35" s="734"/>
      <c r="D35" s="513" t="s">
        <v>14</v>
      </c>
      <c r="E35" s="513" t="s">
        <v>27</v>
      </c>
      <c r="F35" s="879" t="s">
        <v>494</v>
      </c>
      <c r="G35" s="879"/>
      <c r="H35" s="879"/>
      <c r="I35" s="513" t="s">
        <v>306</v>
      </c>
      <c r="J35" s="505"/>
      <c r="K35" s="505"/>
      <c r="L35" s="505"/>
      <c r="M35" s="505"/>
      <c r="N35" s="505"/>
      <c r="O35" s="505"/>
      <c r="P35" s="505">
        <v>986.6</v>
      </c>
      <c r="Q35" s="505" t="s">
        <v>111</v>
      </c>
      <c r="R35" s="505" t="s">
        <v>111</v>
      </c>
      <c r="S35" s="505">
        <v>0</v>
      </c>
      <c r="T35" s="505">
        <v>0</v>
      </c>
      <c r="U35" s="505">
        <v>0</v>
      </c>
      <c r="V35" s="14">
        <v>0</v>
      </c>
      <c r="W35" s="505">
        <v>0</v>
      </c>
      <c r="X35" s="14">
        <f t="shared" si="0"/>
        <v>986.6</v>
      </c>
      <c r="Y35" s="878"/>
      <c r="Z35" s="369"/>
    </row>
    <row r="36" spans="1:26" ht="18" customHeight="1" x14ac:dyDescent="0.25">
      <c r="A36" s="716"/>
      <c r="B36" s="734"/>
      <c r="C36" s="734"/>
      <c r="D36" s="513" t="s">
        <v>14</v>
      </c>
      <c r="E36" s="513" t="s">
        <v>27</v>
      </c>
      <c r="F36" s="879" t="s">
        <v>623</v>
      </c>
      <c r="G36" s="879"/>
      <c r="H36" s="879"/>
      <c r="I36" s="513" t="s">
        <v>306</v>
      </c>
      <c r="J36" s="505"/>
      <c r="K36" s="505"/>
      <c r="L36" s="505"/>
      <c r="M36" s="505"/>
      <c r="N36" s="505"/>
      <c r="O36" s="505"/>
      <c r="P36" s="505">
        <v>0</v>
      </c>
      <c r="Q36" s="505" t="s">
        <v>111</v>
      </c>
      <c r="R36" s="505">
        <v>1256.0999999999999</v>
      </c>
      <c r="S36" s="505">
        <v>0</v>
      </c>
      <c r="T36" s="505">
        <v>0</v>
      </c>
      <c r="U36" s="505">
        <v>0</v>
      </c>
      <c r="V36" s="14">
        <v>0</v>
      </c>
      <c r="W36" s="505">
        <v>0</v>
      </c>
      <c r="X36" s="14">
        <f t="shared" si="0"/>
        <v>1256.0999999999999</v>
      </c>
      <c r="Y36" s="878"/>
      <c r="Z36" s="369"/>
    </row>
    <row r="37" spans="1:26" ht="18" customHeight="1" x14ac:dyDescent="0.25">
      <c r="A37" s="674"/>
      <c r="B37" s="366"/>
      <c r="C37" s="734"/>
      <c r="D37" s="513" t="s">
        <v>14</v>
      </c>
      <c r="E37" s="513" t="s">
        <v>27</v>
      </c>
      <c r="F37" s="879" t="s">
        <v>713</v>
      </c>
      <c r="G37" s="879"/>
      <c r="H37" s="879"/>
      <c r="I37" s="513" t="s">
        <v>306</v>
      </c>
      <c r="J37" s="505"/>
      <c r="K37" s="505"/>
      <c r="L37" s="505"/>
      <c r="M37" s="505"/>
      <c r="N37" s="505"/>
      <c r="O37" s="505"/>
      <c r="P37" s="505">
        <v>0</v>
      </c>
      <c r="Q37" s="505" t="s">
        <v>111</v>
      </c>
      <c r="R37" s="505">
        <v>0</v>
      </c>
      <c r="S37" s="505">
        <v>0</v>
      </c>
      <c r="T37" s="505">
        <v>190.7</v>
      </c>
      <c r="U37" s="505">
        <v>0</v>
      </c>
      <c r="V37" s="14">
        <v>0</v>
      </c>
      <c r="W37" s="505">
        <v>0</v>
      </c>
      <c r="X37" s="14">
        <f>SUM(J37:W37)</f>
        <v>190.7</v>
      </c>
      <c r="Y37" s="878"/>
      <c r="Z37" s="369"/>
    </row>
    <row r="38" spans="1:26" ht="26.25" customHeight="1" x14ac:dyDescent="0.25">
      <c r="A38" s="875" t="s">
        <v>114</v>
      </c>
      <c r="B38" s="743" t="s">
        <v>102</v>
      </c>
      <c r="C38" s="734" t="s">
        <v>66</v>
      </c>
      <c r="D38" s="365" t="s">
        <v>14</v>
      </c>
      <c r="E38" s="365" t="s">
        <v>27</v>
      </c>
      <c r="F38" s="724" t="s">
        <v>180</v>
      </c>
      <c r="G38" s="724"/>
      <c r="H38" s="724"/>
      <c r="I38" s="365" t="s">
        <v>103</v>
      </c>
      <c r="J38" s="14">
        <v>0</v>
      </c>
      <c r="K38" s="14">
        <v>0</v>
      </c>
      <c r="L38" s="14">
        <v>19</v>
      </c>
      <c r="M38" s="14">
        <v>21.1</v>
      </c>
      <c r="N38" s="14">
        <v>22.1</v>
      </c>
      <c r="O38" s="505">
        <v>23</v>
      </c>
      <c r="P38" s="505">
        <v>23.9</v>
      </c>
      <c r="Q38" s="505">
        <v>24.8</v>
      </c>
      <c r="R38" s="505">
        <v>25.7</v>
      </c>
      <c r="S38" s="505">
        <v>27.4</v>
      </c>
      <c r="T38" s="505">
        <v>28.8</v>
      </c>
      <c r="U38" s="505">
        <v>30.3</v>
      </c>
      <c r="V38" s="14">
        <v>30.3</v>
      </c>
      <c r="W38" s="505">
        <v>30.3</v>
      </c>
      <c r="X38" s="14">
        <f t="shared" si="0"/>
        <v>306.70000000000005</v>
      </c>
      <c r="Y38" s="878"/>
      <c r="Z38" s="369"/>
    </row>
    <row r="39" spans="1:26" ht="24.75" customHeight="1" x14ac:dyDescent="0.25">
      <c r="A39" s="875"/>
      <c r="B39" s="743"/>
      <c r="C39" s="734"/>
      <c r="D39" s="365" t="s">
        <v>14</v>
      </c>
      <c r="E39" s="365" t="s">
        <v>27</v>
      </c>
      <c r="F39" s="724" t="s">
        <v>262</v>
      </c>
      <c r="G39" s="724"/>
      <c r="H39" s="724"/>
      <c r="I39" s="365" t="s">
        <v>103</v>
      </c>
      <c r="J39" s="14">
        <v>0</v>
      </c>
      <c r="K39" s="14">
        <v>18.899999999999999</v>
      </c>
      <c r="L39" s="14">
        <v>0</v>
      </c>
      <c r="M39" s="14">
        <v>0</v>
      </c>
      <c r="N39" s="14">
        <v>0</v>
      </c>
      <c r="O39" s="505">
        <v>0</v>
      </c>
      <c r="P39" s="505">
        <f>O39</f>
        <v>0</v>
      </c>
      <c r="Q39" s="505">
        <f>P39</f>
        <v>0</v>
      </c>
      <c r="R39" s="505">
        <f>Q39</f>
        <v>0</v>
      </c>
      <c r="S39" s="505">
        <v>0</v>
      </c>
      <c r="T39" s="505">
        <v>0</v>
      </c>
      <c r="U39" s="505">
        <v>0</v>
      </c>
      <c r="V39" s="14">
        <v>0</v>
      </c>
      <c r="W39" s="505">
        <v>0</v>
      </c>
      <c r="X39" s="14">
        <f t="shared" si="0"/>
        <v>18.899999999999999</v>
      </c>
      <c r="Y39" s="878"/>
      <c r="Z39" s="369"/>
    </row>
    <row r="40" spans="1:26" ht="31.5" customHeight="1" x14ac:dyDescent="0.25">
      <c r="A40" s="876"/>
      <c r="B40" s="743"/>
      <c r="C40" s="734"/>
      <c r="D40" s="365" t="s">
        <v>14</v>
      </c>
      <c r="E40" s="365" t="s">
        <v>27</v>
      </c>
      <c r="F40" s="724" t="s">
        <v>305</v>
      </c>
      <c r="G40" s="724"/>
      <c r="H40" s="724"/>
      <c r="I40" s="365" t="s">
        <v>103</v>
      </c>
      <c r="J40" s="14"/>
      <c r="K40" s="14"/>
      <c r="L40" s="14"/>
      <c r="M40" s="14">
        <f>520.4+91+14.9-0.1</f>
        <v>626.19999999999993</v>
      </c>
      <c r="N40" s="14">
        <f>694.1+18.5</f>
        <v>712.6</v>
      </c>
      <c r="O40" s="505">
        <v>1017.6</v>
      </c>
      <c r="P40" s="505">
        <f>1562.2+24.6</f>
        <v>1586.8</v>
      </c>
      <c r="Q40" s="505">
        <f>780.6+7.9+24.6+614.6</f>
        <v>1427.7</v>
      </c>
      <c r="R40" s="14">
        <v>1473.8</v>
      </c>
      <c r="S40" s="505">
        <v>1554.4</v>
      </c>
      <c r="T40" s="505">
        <f>2648.4+8.3+51.1+36.87+4919+2.8+76.7+288.9-1.4</f>
        <v>8030.67</v>
      </c>
      <c r="U40" s="505">
        <f>4899.3+250</f>
        <v>5149.3</v>
      </c>
      <c r="V40" s="14">
        <f>14039.1-8000</f>
        <v>6039.1</v>
      </c>
      <c r="W40" s="505">
        <f>14039.1-8000</f>
        <v>6039.1</v>
      </c>
      <c r="X40" s="14">
        <f t="shared" si="0"/>
        <v>33657.269999999997</v>
      </c>
      <c r="Y40" s="878"/>
      <c r="Z40" s="369"/>
    </row>
    <row r="41" spans="1:26" ht="64.5" customHeight="1" x14ac:dyDescent="0.25">
      <c r="A41" s="712" t="s">
        <v>404</v>
      </c>
      <c r="B41" s="367" t="s">
        <v>411</v>
      </c>
      <c r="C41" s="366" t="s">
        <v>66</v>
      </c>
      <c r="D41" s="365" t="s">
        <v>14</v>
      </c>
      <c r="E41" s="365" t="s">
        <v>27</v>
      </c>
      <c r="F41" s="724" t="s">
        <v>305</v>
      </c>
      <c r="G41" s="724"/>
      <c r="H41" s="724"/>
      <c r="I41" s="365" t="s">
        <v>410</v>
      </c>
      <c r="J41" s="14"/>
      <c r="K41" s="14"/>
      <c r="L41" s="14"/>
      <c r="M41" s="14"/>
      <c r="N41" s="14"/>
      <c r="O41" s="505">
        <v>144.4</v>
      </c>
      <c r="P41" s="505">
        <v>0</v>
      </c>
      <c r="Q41" s="505">
        <f>P41</f>
        <v>0</v>
      </c>
      <c r="R41" s="505">
        <f>Q41</f>
        <v>0</v>
      </c>
      <c r="S41" s="505">
        <v>0</v>
      </c>
      <c r="T41" s="505">
        <v>0</v>
      </c>
      <c r="U41" s="505">
        <v>0</v>
      </c>
      <c r="V41" s="14">
        <v>0</v>
      </c>
      <c r="W41" s="505">
        <v>0</v>
      </c>
      <c r="X41" s="14">
        <f t="shared" si="0"/>
        <v>144.4</v>
      </c>
      <c r="Y41" s="878"/>
      <c r="Z41" s="369"/>
    </row>
    <row r="42" spans="1:26" ht="62.25" customHeight="1" x14ac:dyDescent="0.25">
      <c r="A42" s="712" t="s">
        <v>405</v>
      </c>
      <c r="B42" s="367" t="s">
        <v>406</v>
      </c>
      <c r="C42" s="366" t="s">
        <v>66</v>
      </c>
      <c r="D42" s="365" t="s">
        <v>14</v>
      </c>
      <c r="E42" s="365" t="s">
        <v>27</v>
      </c>
      <c r="F42" s="724" t="s">
        <v>305</v>
      </c>
      <c r="G42" s="724"/>
      <c r="H42" s="724"/>
      <c r="I42" s="365" t="s">
        <v>407</v>
      </c>
      <c r="J42" s="14"/>
      <c r="K42" s="14"/>
      <c r="L42" s="14"/>
      <c r="M42" s="14"/>
      <c r="N42" s="14">
        <v>13</v>
      </c>
      <c r="O42" s="505">
        <v>1</v>
      </c>
      <c r="P42" s="505">
        <v>0</v>
      </c>
      <c r="Q42" s="505">
        <v>0</v>
      </c>
      <c r="R42" s="505">
        <f>Q42</f>
        <v>0</v>
      </c>
      <c r="S42" s="505">
        <v>0</v>
      </c>
      <c r="T42" s="505">
        <v>0</v>
      </c>
      <c r="U42" s="505">
        <v>0</v>
      </c>
      <c r="V42" s="14">
        <v>0</v>
      </c>
      <c r="W42" s="505">
        <v>0</v>
      </c>
      <c r="X42" s="14">
        <f t="shared" si="0"/>
        <v>14</v>
      </c>
      <c r="Y42" s="878"/>
      <c r="Z42" s="369"/>
    </row>
    <row r="43" spans="1:26" ht="63.75" customHeight="1" x14ac:dyDescent="0.25">
      <c r="A43" s="712" t="s">
        <v>295</v>
      </c>
      <c r="B43" s="367" t="s">
        <v>307</v>
      </c>
      <c r="C43" s="366" t="s">
        <v>66</v>
      </c>
      <c r="D43" s="365" t="s">
        <v>14</v>
      </c>
      <c r="E43" s="365" t="s">
        <v>27</v>
      </c>
      <c r="F43" s="724" t="s">
        <v>305</v>
      </c>
      <c r="G43" s="724"/>
      <c r="H43" s="724"/>
      <c r="I43" s="365" t="s">
        <v>108</v>
      </c>
      <c r="J43" s="14"/>
      <c r="K43" s="14"/>
      <c r="L43" s="14"/>
      <c r="M43" s="14">
        <f>11-5-1.3</f>
        <v>4.7</v>
      </c>
      <c r="N43" s="14">
        <f>17-7.7</f>
        <v>9.3000000000000007</v>
      </c>
      <c r="O43" s="505">
        <v>104.5</v>
      </c>
      <c r="P43" s="505">
        <v>3</v>
      </c>
      <c r="Q43" s="505">
        <f>4-3.994</f>
        <v>5.9999999999997833E-3</v>
      </c>
      <c r="R43" s="505">
        <f>5-3.2</f>
        <v>1.7999999999999998</v>
      </c>
      <c r="S43" s="505">
        <v>0</v>
      </c>
      <c r="T43" s="505">
        <f>5+3+1.4</f>
        <v>9.4</v>
      </c>
      <c r="U43" s="505">
        <v>5</v>
      </c>
      <c r="V43" s="14">
        <v>5</v>
      </c>
      <c r="W43" s="505">
        <v>5</v>
      </c>
      <c r="X43" s="14">
        <f t="shared" si="0"/>
        <v>147.70599999999999</v>
      </c>
      <c r="Y43" s="878"/>
      <c r="Z43" s="369"/>
    </row>
    <row r="44" spans="1:26" ht="24" customHeight="1" x14ac:dyDescent="0.2">
      <c r="A44" s="675"/>
      <c r="B44" s="329" t="s">
        <v>71</v>
      </c>
      <c r="C44" s="366"/>
      <c r="D44" s="365"/>
      <c r="E44" s="365"/>
      <c r="F44" s="724"/>
      <c r="G44" s="724"/>
      <c r="H44" s="724"/>
      <c r="I44" s="329"/>
      <c r="J44" s="14">
        <f>SUM(J7:J39)</f>
        <v>1692.5</v>
      </c>
      <c r="K44" s="14">
        <f>SUM(K7:K39)</f>
        <v>2465.7000000000003</v>
      </c>
      <c r="L44" s="14">
        <f>SUM(L7:L39)</f>
        <v>2506.9999999999995</v>
      </c>
      <c r="M44" s="14">
        <f t="shared" ref="M44:S44" si="3">SUM(M7:M43)</f>
        <v>9893.5</v>
      </c>
      <c r="N44" s="14">
        <f t="shared" si="3"/>
        <v>27125.599999999995</v>
      </c>
      <c r="O44" s="505">
        <f t="shared" si="3"/>
        <v>30718.299999999996</v>
      </c>
      <c r="P44" s="505">
        <f t="shared" si="3"/>
        <v>28984.799999999996</v>
      </c>
      <c r="Q44" s="505">
        <f t="shared" si="3"/>
        <v>31722.406000000003</v>
      </c>
      <c r="R44" s="14">
        <f>SUM(R7:R43)</f>
        <v>36153.199999999997</v>
      </c>
      <c r="S44" s="14">
        <f t="shared" si="3"/>
        <v>42892.3</v>
      </c>
      <c r="T44" s="14">
        <f>SUM(T7:T43)</f>
        <v>62165.069999999992</v>
      </c>
      <c r="U44" s="14">
        <f>SUM(U7:U43)</f>
        <v>70691.599999999991</v>
      </c>
      <c r="V44" s="14">
        <f>SUM(V7:V43)</f>
        <v>66082.100000000006</v>
      </c>
      <c r="W44" s="14">
        <f>SUM(W7:W43)</f>
        <v>66082.100000000006</v>
      </c>
      <c r="X44" s="14">
        <f t="shared" si="0"/>
        <v>479176.17599999998</v>
      </c>
      <c r="Y44" s="367"/>
      <c r="Z44" s="370"/>
    </row>
    <row r="45" spans="1:26" ht="24.75" customHeight="1" x14ac:dyDescent="0.2">
      <c r="A45" s="675"/>
      <c r="B45" s="329" t="s">
        <v>91</v>
      </c>
      <c r="C45" s="366"/>
      <c r="D45" s="329"/>
      <c r="E45" s="329"/>
      <c r="F45" s="724"/>
      <c r="G45" s="724"/>
      <c r="H45" s="724"/>
      <c r="I45" s="329"/>
      <c r="J45" s="14">
        <f t="shared" ref="J45:P45" si="4">J44</f>
        <v>1692.5</v>
      </c>
      <c r="K45" s="14">
        <f t="shared" si="4"/>
        <v>2465.7000000000003</v>
      </c>
      <c r="L45" s="14">
        <f t="shared" si="4"/>
        <v>2506.9999999999995</v>
      </c>
      <c r="M45" s="14">
        <f t="shared" si="4"/>
        <v>9893.5</v>
      </c>
      <c r="N45" s="14">
        <f>N44</f>
        <v>27125.599999999995</v>
      </c>
      <c r="O45" s="505">
        <f t="shared" si="4"/>
        <v>30718.299999999996</v>
      </c>
      <c r="P45" s="505">
        <f t="shared" si="4"/>
        <v>28984.799999999996</v>
      </c>
      <c r="Q45" s="505">
        <f t="shared" ref="Q45:W45" si="5">Q44</f>
        <v>31722.406000000003</v>
      </c>
      <c r="R45" s="14">
        <f t="shared" si="5"/>
        <v>36153.199999999997</v>
      </c>
      <c r="S45" s="14">
        <f t="shared" si="5"/>
        <v>42892.3</v>
      </c>
      <c r="T45" s="14">
        <f t="shared" si="5"/>
        <v>62165.069999999992</v>
      </c>
      <c r="U45" s="14">
        <f t="shared" si="5"/>
        <v>70691.599999999991</v>
      </c>
      <c r="V45" s="14">
        <f>V44</f>
        <v>66082.100000000006</v>
      </c>
      <c r="W45" s="14">
        <f t="shared" si="5"/>
        <v>66082.100000000006</v>
      </c>
      <c r="X45" s="14">
        <f t="shared" si="0"/>
        <v>479176.17599999998</v>
      </c>
      <c r="Y45" s="329"/>
      <c r="Z45" s="370"/>
    </row>
    <row r="46" spans="1:26" s="372" customFormat="1" ht="24" hidden="1" customHeight="1" x14ac:dyDescent="0.2">
      <c r="A46" s="371"/>
      <c r="C46" s="377"/>
      <c r="L46" s="373"/>
      <c r="M46" s="378">
        <v>9893.5</v>
      </c>
      <c r="N46" s="379">
        <f>27153.3-27.6</f>
        <v>27125.7</v>
      </c>
      <c r="O46" s="506">
        <v>25556.400000000001</v>
      </c>
      <c r="P46" s="506">
        <v>20909.8</v>
      </c>
      <c r="Q46" s="506">
        <v>20909.8</v>
      </c>
      <c r="R46" s="506"/>
      <c r="S46" s="506"/>
      <c r="T46" s="506"/>
      <c r="U46" s="506"/>
      <c r="V46" s="379"/>
      <c r="W46" s="506"/>
      <c r="X46" s="14">
        <f>SUM(J46:T46)</f>
        <v>104395.2</v>
      </c>
    </row>
    <row r="47" spans="1:26" s="372" customFormat="1" ht="19.5" hidden="1" customHeight="1" x14ac:dyDescent="0.2">
      <c r="A47" s="371"/>
      <c r="C47" s="377"/>
      <c r="L47" s="373"/>
      <c r="M47" s="380">
        <f>M46-M45</f>
        <v>0</v>
      </c>
      <c r="N47" s="380">
        <f>N46-N45</f>
        <v>0.10000000000582077</v>
      </c>
      <c r="O47" s="507">
        <f>O46-O45</f>
        <v>-5161.8999999999942</v>
      </c>
      <c r="P47" s="507">
        <f>P46-P45</f>
        <v>-8074.9999999999964</v>
      </c>
      <c r="Q47" s="507">
        <f>Q46-Q45</f>
        <v>-10812.606000000003</v>
      </c>
      <c r="R47" s="507"/>
      <c r="S47" s="507"/>
      <c r="T47" s="507"/>
      <c r="U47" s="507"/>
      <c r="V47" s="380"/>
      <c r="W47" s="507"/>
      <c r="X47" s="14">
        <f>SUM(J47:T47)</f>
        <v>-24049.405999999988</v>
      </c>
    </row>
    <row r="48" spans="1:26" ht="33" customHeight="1" x14ac:dyDescent="0.2"/>
    <row r="49" spans="1:26" s="372" customFormat="1" ht="35.25" customHeight="1" x14ac:dyDescent="0.2">
      <c r="A49" s="720" t="s">
        <v>735</v>
      </c>
      <c r="B49" s="720"/>
      <c r="C49" s="720"/>
      <c r="D49" s="720"/>
      <c r="E49" s="720"/>
      <c r="F49" s="720"/>
      <c r="G49" s="720"/>
      <c r="H49" s="720"/>
      <c r="I49" s="720"/>
      <c r="J49" s="370"/>
      <c r="K49" s="728" t="s">
        <v>734</v>
      </c>
      <c r="L49" s="728"/>
      <c r="M49" s="374"/>
      <c r="N49" s="374"/>
      <c r="O49" s="508"/>
      <c r="P49" s="508"/>
      <c r="Q49" s="508"/>
      <c r="R49" s="508"/>
      <c r="S49" s="508"/>
      <c r="T49" s="508"/>
      <c r="U49" s="508"/>
      <c r="V49" s="374"/>
      <c r="W49" s="508"/>
      <c r="X49" s="374"/>
    </row>
    <row r="50" spans="1:26" s="372" customFormat="1" ht="35.25" customHeight="1" x14ac:dyDescent="0.2">
      <c r="A50" s="371"/>
      <c r="C50" s="377"/>
      <c r="J50" s="374"/>
      <c r="O50" s="509"/>
      <c r="P50" s="509"/>
      <c r="Q50" s="509"/>
      <c r="R50" s="509"/>
      <c r="S50" s="509"/>
      <c r="T50" s="509"/>
      <c r="U50" s="509"/>
      <c r="W50" s="509"/>
    </row>
    <row r="51" spans="1:26" x14ac:dyDescent="0.2">
      <c r="J51" s="370"/>
      <c r="Z51" s="370"/>
    </row>
  </sheetData>
  <sheetProtection selectLockedCells="1" selectUnlockedCells="1"/>
  <mergeCells count="66">
    <mergeCell ref="A21:A36"/>
    <mergeCell ref="B38:B40"/>
    <mergeCell ref="C38:C40"/>
    <mergeCell ref="B21:B36"/>
    <mergeCell ref="F40:H40"/>
    <mergeCell ref="F29:H29"/>
    <mergeCell ref="F22:H22"/>
    <mergeCell ref="F24:H24"/>
    <mergeCell ref="F37:H37"/>
    <mergeCell ref="C21:C37"/>
    <mergeCell ref="F43:H43"/>
    <mergeCell ref="F30:H30"/>
    <mergeCell ref="F32:H32"/>
    <mergeCell ref="F25:H25"/>
    <mergeCell ref="F33:H33"/>
    <mergeCell ref="F42:H42"/>
    <mergeCell ref="F31:H31"/>
    <mergeCell ref="F34:H34"/>
    <mergeCell ref="F36:H36"/>
    <mergeCell ref="F35:H35"/>
    <mergeCell ref="K49:L49"/>
    <mergeCell ref="A49:I49"/>
    <mergeCell ref="C17:C19"/>
    <mergeCell ref="A38:A40"/>
    <mergeCell ref="F20:H20"/>
    <mergeCell ref="F23:H23"/>
    <mergeCell ref="F28:H28"/>
    <mergeCell ref="F44:H44"/>
    <mergeCell ref="A17:A19"/>
    <mergeCell ref="F19:H19"/>
    <mergeCell ref="B6:Y6"/>
    <mergeCell ref="B5:Y5"/>
    <mergeCell ref="F11:H11"/>
    <mergeCell ref="F18:H18"/>
    <mergeCell ref="F14:H14"/>
    <mergeCell ref="F10:H10"/>
    <mergeCell ref="F15:H15"/>
    <mergeCell ref="F45:H45"/>
    <mergeCell ref="F39:H39"/>
    <mergeCell ref="C7:C16"/>
    <mergeCell ref="F27:H27"/>
    <mergeCell ref="F21:H21"/>
    <mergeCell ref="F17:H17"/>
    <mergeCell ref="F12:H12"/>
    <mergeCell ref="F16:H16"/>
    <mergeCell ref="F8:H8"/>
    <mergeCell ref="F7:H7"/>
    <mergeCell ref="A7:A10"/>
    <mergeCell ref="Y3:Y4"/>
    <mergeCell ref="B7:B16"/>
    <mergeCell ref="F13:H13"/>
    <mergeCell ref="Y7:Y43"/>
    <mergeCell ref="F41:H41"/>
    <mergeCell ref="F38:H38"/>
    <mergeCell ref="F26:H26"/>
    <mergeCell ref="F9:H9"/>
    <mergeCell ref="B17:B19"/>
    <mergeCell ref="E1:G1"/>
    <mergeCell ref="B3:B4"/>
    <mergeCell ref="L1:Y1"/>
    <mergeCell ref="A2:Y2"/>
    <mergeCell ref="A3:A4"/>
    <mergeCell ref="C3:C4"/>
    <mergeCell ref="D3:I3"/>
    <mergeCell ref="J3:X3"/>
    <mergeCell ref="F4:H4"/>
  </mergeCells>
  <pageMargins left="0.27559055118110237" right="0.23622047244094491" top="1.0236220472440944" bottom="0.39370078740157483" header="0.51181102362204722" footer="0.51181102362204722"/>
  <pageSetup paperSize="9" scale="54" firstPageNumber="0" fitToHeight="4" orientation="landscape" horizontalDpi="300" verticalDpi="300" r:id="rId1"/>
  <headerFooter alignWithMargins="0"/>
  <rowBreaks count="1" manualBreakCount="1">
    <brk id="23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5"/>
  <sheetViews>
    <sheetView topLeftCell="A51" zoomScale="74" zoomScaleNormal="74" workbookViewId="0">
      <selection activeCell="L58" sqref="L58:R59"/>
    </sheetView>
  </sheetViews>
  <sheetFormatPr defaultRowHeight="15.75" x14ac:dyDescent="0.2"/>
  <cols>
    <col min="1" max="1" width="6.42578125" style="7" customWidth="1"/>
    <col min="2" max="2" width="53.7109375" style="4" customWidth="1"/>
    <col min="3" max="3" width="17.28515625" style="4" customWidth="1"/>
    <col min="4" max="5" width="9.140625" style="4"/>
    <col min="6" max="6" width="4.5703125" style="4" customWidth="1"/>
    <col min="7" max="7" width="2.42578125" style="4" customWidth="1"/>
    <col min="8" max="8" width="6.85546875" style="4" customWidth="1"/>
    <col min="9" max="9" width="7" style="4" customWidth="1"/>
    <col min="10" max="10" width="11.7109375" style="4" customWidth="1"/>
    <col min="11" max="11" width="12.28515625" style="4" customWidth="1"/>
    <col min="12" max="12" width="11.5703125" style="4" customWidth="1"/>
    <col min="13" max="13" width="12.7109375" style="202" customWidth="1"/>
    <col min="14" max="14" width="12.5703125" style="4" customWidth="1"/>
    <col min="15" max="16" width="12.28515625" style="4" customWidth="1"/>
    <col min="17" max="17" width="12.85546875" style="4" customWidth="1"/>
    <col min="18" max="18" width="22.42578125" style="4" customWidth="1"/>
    <col min="19" max="19" width="15.42578125" style="4" customWidth="1"/>
    <col min="20" max="16384" width="9.140625" style="4"/>
  </cols>
  <sheetData>
    <row r="1" spans="1:20" ht="104.25" customHeight="1" x14ac:dyDescent="0.2">
      <c r="B1" s="229" t="s">
        <v>365</v>
      </c>
      <c r="E1" s="922"/>
      <c r="F1" s="922"/>
      <c r="G1" s="922"/>
      <c r="L1" s="922" t="s">
        <v>312</v>
      </c>
      <c r="M1" s="922"/>
      <c r="N1" s="922"/>
      <c r="O1" s="922"/>
      <c r="P1" s="922"/>
      <c r="Q1" s="922"/>
      <c r="R1" s="922"/>
      <c r="S1" s="6"/>
    </row>
    <row r="2" spans="1:20" ht="45.75" customHeight="1" x14ac:dyDescent="0.2">
      <c r="A2" s="923" t="s">
        <v>159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  <c r="R2" s="923"/>
    </row>
    <row r="3" spans="1:20" ht="1.5" hidden="1" customHeight="1" x14ac:dyDescent="0.2">
      <c r="E3" s="8"/>
      <c r="F3" s="9" t="s">
        <v>57</v>
      </c>
      <c r="G3" s="8">
        <v>1</v>
      </c>
      <c r="H3" s="8"/>
    </row>
    <row r="4" spans="1:20" s="76" customFormat="1" ht="18" customHeight="1" x14ac:dyDescent="0.2">
      <c r="A4" s="884" t="s">
        <v>58</v>
      </c>
      <c r="B4" s="919" t="s">
        <v>1</v>
      </c>
      <c r="C4" s="919" t="s">
        <v>139</v>
      </c>
      <c r="D4" s="919" t="s">
        <v>59</v>
      </c>
      <c r="E4" s="919"/>
      <c r="F4" s="919"/>
      <c r="G4" s="919"/>
      <c r="H4" s="919"/>
      <c r="I4" s="919"/>
      <c r="J4" s="919" t="s">
        <v>3</v>
      </c>
      <c r="K4" s="919"/>
      <c r="L4" s="919"/>
      <c r="M4" s="919"/>
      <c r="N4" s="919"/>
      <c r="O4" s="919"/>
      <c r="P4" s="919"/>
      <c r="Q4" s="919"/>
      <c r="R4" s="919" t="s">
        <v>60</v>
      </c>
    </row>
    <row r="5" spans="1:20" s="76" customFormat="1" ht="93" customHeight="1" x14ac:dyDescent="0.2">
      <c r="A5" s="884"/>
      <c r="B5" s="919"/>
      <c r="C5" s="919"/>
      <c r="D5" s="75" t="s">
        <v>138</v>
      </c>
      <c r="E5" s="75" t="s">
        <v>4</v>
      </c>
      <c r="F5" s="919" t="s">
        <v>5</v>
      </c>
      <c r="G5" s="919"/>
      <c r="H5" s="919"/>
      <c r="I5" s="75" t="s">
        <v>6</v>
      </c>
      <c r="J5" s="75" t="s">
        <v>7</v>
      </c>
      <c r="K5" s="75" t="s">
        <v>8</v>
      </c>
      <c r="L5" s="75" t="s">
        <v>9</v>
      </c>
      <c r="M5" s="203" t="s">
        <v>122</v>
      </c>
      <c r="N5" s="75" t="s">
        <v>160</v>
      </c>
      <c r="O5" s="75" t="s">
        <v>163</v>
      </c>
      <c r="P5" s="75" t="s">
        <v>164</v>
      </c>
      <c r="Q5" s="75" t="s">
        <v>316</v>
      </c>
      <c r="R5" s="919"/>
    </row>
    <row r="6" spans="1:20" s="76" customFormat="1" ht="30" customHeight="1" x14ac:dyDescent="0.2">
      <c r="A6" s="74"/>
      <c r="B6" s="910" t="s">
        <v>61</v>
      </c>
      <c r="C6" s="910"/>
      <c r="D6" s="910"/>
      <c r="E6" s="910"/>
      <c r="F6" s="910"/>
      <c r="G6" s="910"/>
      <c r="H6" s="910"/>
      <c r="I6" s="910"/>
      <c r="J6" s="910"/>
      <c r="K6" s="910"/>
      <c r="L6" s="910"/>
      <c r="M6" s="910"/>
      <c r="N6" s="910"/>
      <c r="O6" s="910"/>
      <c r="P6" s="910"/>
      <c r="Q6" s="910"/>
      <c r="R6" s="75"/>
    </row>
    <row r="7" spans="1:20" s="76" customFormat="1" ht="24" customHeight="1" x14ac:dyDescent="0.2">
      <c r="A7" s="74" t="s">
        <v>62</v>
      </c>
      <c r="B7" s="910" t="s">
        <v>63</v>
      </c>
      <c r="C7" s="910"/>
      <c r="D7" s="910"/>
      <c r="E7" s="910"/>
      <c r="F7" s="910"/>
      <c r="G7" s="910"/>
      <c r="H7" s="910"/>
      <c r="I7" s="910"/>
      <c r="J7" s="910"/>
      <c r="K7" s="910"/>
      <c r="L7" s="910"/>
      <c r="M7" s="910"/>
      <c r="N7" s="910"/>
      <c r="O7" s="910"/>
      <c r="P7" s="910"/>
      <c r="Q7" s="910"/>
      <c r="R7" s="77"/>
      <c r="S7" s="81">
        <f>M8+M20+M23+M26+M29+M30+M33</f>
        <v>33783.1</v>
      </c>
      <c r="T7" s="81">
        <f>S7-'[13]ГПприл6-ГЗ'!AE4</f>
        <v>-0.20000000000436557</v>
      </c>
    </row>
    <row r="8" spans="1:20" s="76" customFormat="1" ht="49.5" customHeight="1" x14ac:dyDescent="0.2">
      <c r="A8" s="890" t="s">
        <v>64</v>
      </c>
      <c r="B8" s="894" t="s">
        <v>65</v>
      </c>
      <c r="C8" s="894" t="s">
        <v>66</v>
      </c>
      <c r="D8" s="74" t="s">
        <v>14</v>
      </c>
      <c r="E8" s="74" t="s">
        <v>18</v>
      </c>
      <c r="F8" s="884" t="s">
        <v>191</v>
      </c>
      <c r="G8" s="884"/>
      <c r="H8" s="884"/>
      <c r="I8" s="74" t="s">
        <v>67</v>
      </c>
      <c r="J8" s="79">
        <v>0</v>
      </c>
      <c r="K8" s="79">
        <v>0</v>
      </c>
      <c r="L8" s="79">
        <f>19977.7+136.6</f>
        <v>20114.3</v>
      </c>
      <c r="M8" s="204">
        <v>17346.3</v>
      </c>
      <c r="N8" s="79">
        <v>17631.599999999999</v>
      </c>
      <c r="O8" s="79">
        <v>17631.599999999999</v>
      </c>
      <c r="P8" s="79">
        <v>17631.599999999999</v>
      </c>
      <c r="Q8" s="79">
        <f>SUM(J8:P8)</f>
        <v>90355.4</v>
      </c>
      <c r="R8" s="902" t="s">
        <v>319</v>
      </c>
      <c r="S8" s="81"/>
    </row>
    <row r="9" spans="1:20" s="76" customFormat="1" ht="21" customHeight="1" x14ac:dyDescent="0.2">
      <c r="A9" s="920"/>
      <c r="B9" s="921"/>
      <c r="C9" s="921"/>
      <c r="D9" s="74" t="s">
        <v>14</v>
      </c>
      <c r="E9" s="74" t="s">
        <v>18</v>
      </c>
      <c r="F9" s="884" t="s">
        <v>233</v>
      </c>
      <c r="G9" s="884"/>
      <c r="H9" s="884"/>
      <c r="I9" s="74" t="s">
        <v>67</v>
      </c>
      <c r="J9" s="79">
        <v>18962.7</v>
      </c>
      <c r="K9" s="79">
        <v>20021.099999999999</v>
      </c>
      <c r="L9" s="79"/>
      <c r="M9" s="204"/>
      <c r="N9" s="79"/>
      <c r="O9" s="79"/>
      <c r="P9" s="79"/>
      <c r="Q9" s="79">
        <f t="shared" ref="Q9:Q31" si="0">SUM(J9:P9)</f>
        <v>38983.800000000003</v>
      </c>
      <c r="R9" s="902"/>
      <c r="S9" s="81"/>
    </row>
    <row r="10" spans="1:20" s="76" customFormat="1" ht="50.25" customHeight="1" x14ac:dyDescent="0.2">
      <c r="A10" s="903" t="s">
        <v>69</v>
      </c>
      <c r="B10" s="899" t="s">
        <v>106</v>
      </c>
      <c r="C10" s="899" t="s">
        <v>66</v>
      </c>
      <c r="D10" s="83" t="s">
        <v>14</v>
      </c>
      <c r="E10" s="74" t="s">
        <v>18</v>
      </c>
      <c r="F10" s="884" t="s">
        <v>191</v>
      </c>
      <c r="G10" s="884"/>
      <c r="H10" s="884"/>
      <c r="I10" s="74" t="s">
        <v>68</v>
      </c>
      <c r="J10" s="79">
        <v>0</v>
      </c>
      <c r="K10" s="79">
        <v>0</v>
      </c>
      <c r="L10" s="79">
        <v>900.6</v>
      </c>
      <c r="M10" s="204">
        <v>30.9</v>
      </c>
      <c r="N10" s="79">
        <v>0</v>
      </c>
      <c r="O10" s="79">
        <v>0</v>
      </c>
      <c r="P10" s="79"/>
      <c r="Q10" s="79">
        <f t="shared" si="0"/>
        <v>931.5</v>
      </c>
      <c r="R10" s="902"/>
      <c r="S10" s="81"/>
    </row>
    <row r="11" spans="1:20" s="76" customFormat="1" ht="21" customHeight="1" x14ac:dyDescent="0.2">
      <c r="A11" s="903"/>
      <c r="B11" s="899"/>
      <c r="C11" s="899"/>
      <c r="D11" s="83" t="s">
        <v>14</v>
      </c>
      <c r="E11" s="74" t="s">
        <v>18</v>
      </c>
      <c r="F11" s="884" t="s">
        <v>233</v>
      </c>
      <c r="G11" s="884"/>
      <c r="H11" s="884"/>
      <c r="I11" s="74" t="s">
        <v>68</v>
      </c>
      <c r="J11" s="79">
        <v>344.4</v>
      </c>
      <c r="K11" s="79">
        <v>669.9</v>
      </c>
      <c r="L11" s="79"/>
      <c r="M11" s="204"/>
      <c r="N11" s="79"/>
      <c r="O11" s="79"/>
      <c r="P11" s="79"/>
      <c r="Q11" s="79">
        <f t="shared" si="0"/>
        <v>1014.3</v>
      </c>
      <c r="R11" s="902"/>
      <c r="S11" s="81"/>
    </row>
    <row r="12" spans="1:20" s="76" customFormat="1" ht="75.75" customHeight="1" x14ac:dyDescent="0.2">
      <c r="A12" s="897" t="s">
        <v>70</v>
      </c>
      <c r="B12" s="899" t="s">
        <v>211</v>
      </c>
      <c r="C12" s="899" t="s">
        <v>66</v>
      </c>
      <c r="D12" s="83" t="s">
        <v>14</v>
      </c>
      <c r="E12" s="74" t="s">
        <v>18</v>
      </c>
      <c r="F12" s="885" t="s">
        <v>227</v>
      </c>
      <c r="G12" s="886"/>
      <c r="H12" s="887"/>
      <c r="I12" s="74" t="s">
        <v>68</v>
      </c>
      <c r="J12" s="79">
        <v>0</v>
      </c>
      <c r="K12" s="79">
        <v>0</v>
      </c>
      <c r="L12" s="79">
        <v>1868.4</v>
      </c>
      <c r="M12" s="204">
        <v>0</v>
      </c>
      <c r="N12" s="79">
        <v>0</v>
      </c>
      <c r="O12" s="79">
        <v>0</v>
      </c>
      <c r="P12" s="79"/>
      <c r="Q12" s="79">
        <f t="shared" si="0"/>
        <v>1868.4</v>
      </c>
      <c r="R12" s="902"/>
    </row>
    <row r="13" spans="1:20" s="76" customFormat="1" ht="49.5" hidden="1" customHeight="1" x14ac:dyDescent="0.2">
      <c r="A13" s="918"/>
      <c r="B13" s="899"/>
      <c r="C13" s="899"/>
      <c r="D13" s="83" t="s">
        <v>14</v>
      </c>
      <c r="E13" s="74" t="s">
        <v>18</v>
      </c>
      <c r="F13" s="885" t="s">
        <v>112</v>
      </c>
      <c r="G13" s="886"/>
      <c r="H13" s="887"/>
      <c r="I13" s="74" t="s">
        <v>68</v>
      </c>
      <c r="J13" s="79">
        <v>0</v>
      </c>
      <c r="K13" s="79" t="s">
        <v>111</v>
      </c>
      <c r="L13" s="79" t="s">
        <v>111</v>
      </c>
      <c r="M13" s="204" t="s">
        <v>111</v>
      </c>
      <c r="N13" s="79" t="s">
        <v>111</v>
      </c>
      <c r="O13" s="79" t="s">
        <v>111</v>
      </c>
      <c r="P13" s="79"/>
      <c r="Q13" s="79">
        <f t="shared" si="0"/>
        <v>0</v>
      </c>
      <c r="R13" s="902"/>
    </row>
    <row r="14" spans="1:20" s="76" customFormat="1" ht="49.5" hidden="1" customHeight="1" x14ac:dyDescent="0.2">
      <c r="A14" s="918"/>
      <c r="B14" s="899"/>
      <c r="C14" s="899"/>
      <c r="D14" s="83" t="s">
        <v>14</v>
      </c>
      <c r="E14" s="74" t="s">
        <v>18</v>
      </c>
      <c r="F14" s="885" t="s">
        <v>116</v>
      </c>
      <c r="G14" s="886"/>
      <c r="H14" s="887"/>
      <c r="I14" s="74" t="s">
        <v>68</v>
      </c>
      <c r="J14" s="79">
        <v>0</v>
      </c>
      <c r="K14" s="79" t="s">
        <v>111</v>
      </c>
      <c r="L14" s="79" t="s">
        <v>111</v>
      </c>
      <c r="M14" s="204" t="s">
        <v>111</v>
      </c>
      <c r="N14" s="79" t="s">
        <v>111</v>
      </c>
      <c r="O14" s="79" t="s">
        <v>111</v>
      </c>
      <c r="P14" s="79"/>
      <c r="Q14" s="79">
        <f t="shared" si="0"/>
        <v>0</v>
      </c>
      <c r="R14" s="902"/>
    </row>
    <row r="15" spans="1:20" s="76" customFormat="1" ht="82.5" customHeight="1" x14ac:dyDescent="0.2">
      <c r="A15" s="898"/>
      <c r="B15" s="899"/>
      <c r="C15" s="899"/>
      <c r="D15" s="83" t="s">
        <v>14</v>
      </c>
      <c r="E15" s="74" t="s">
        <v>18</v>
      </c>
      <c r="F15" s="885" t="s">
        <v>234</v>
      </c>
      <c r="G15" s="886"/>
      <c r="H15" s="887"/>
      <c r="I15" s="74" t="s">
        <v>68</v>
      </c>
      <c r="J15" s="79">
        <v>5551.3</v>
      </c>
      <c r="K15" s="79">
        <v>6225</v>
      </c>
      <c r="L15" s="79">
        <v>0</v>
      </c>
      <c r="M15" s="204">
        <v>0</v>
      </c>
      <c r="N15" s="79">
        <v>0</v>
      </c>
      <c r="O15" s="79">
        <v>0</v>
      </c>
      <c r="P15" s="79"/>
      <c r="Q15" s="79">
        <f t="shared" si="0"/>
        <v>11776.3</v>
      </c>
      <c r="R15" s="902"/>
      <c r="S15" s="81"/>
    </row>
    <row r="16" spans="1:20" s="76" customFormat="1" ht="45" customHeight="1" x14ac:dyDescent="0.2">
      <c r="A16" s="903" t="s">
        <v>107</v>
      </c>
      <c r="B16" s="899" t="s">
        <v>113</v>
      </c>
      <c r="C16" s="899" t="s">
        <v>66</v>
      </c>
      <c r="D16" s="83" t="s">
        <v>14</v>
      </c>
      <c r="E16" s="74" t="s">
        <v>18</v>
      </c>
      <c r="F16" s="885" t="s">
        <v>210</v>
      </c>
      <c r="G16" s="886"/>
      <c r="H16" s="887"/>
      <c r="I16" s="74" t="s">
        <v>68</v>
      </c>
      <c r="J16" s="79">
        <v>0</v>
      </c>
      <c r="K16" s="79">
        <v>0</v>
      </c>
      <c r="L16" s="79">
        <v>130</v>
      </c>
      <c r="M16" s="204">
        <v>0</v>
      </c>
      <c r="N16" s="79">
        <v>0</v>
      </c>
      <c r="O16" s="79">
        <v>0</v>
      </c>
      <c r="P16" s="79"/>
      <c r="Q16" s="79">
        <f t="shared" si="0"/>
        <v>130</v>
      </c>
      <c r="R16" s="902"/>
    </row>
    <row r="17" spans="1:19" s="76" customFormat="1" ht="30.75" customHeight="1" x14ac:dyDescent="0.2">
      <c r="A17" s="903"/>
      <c r="B17" s="899"/>
      <c r="C17" s="899"/>
      <c r="D17" s="83" t="s">
        <v>14</v>
      </c>
      <c r="E17" s="74" t="s">
        <v>18</v>
      </c>
      <c r="F17" s="885" t="s">
        <v>235</v>
      </c>
      <c r="G17" s="886"/>
      <c r="H17" s="887"/>
      <c r="I17" s="74" t="s">
        <v>68</v>
      </c>
      <c r="J17" s="79">
        <v>55.5</v>
      </c>
      <c r="K17" s="79">
        <v>63</v>
      </c>
      <c r="L17" s="79">
        <v>0</v>
      </c>
      <c r="M17" s="204">
        <v>0</v>
      </c>
      <c r="N17" s="79">
        <v>0</v>
      </c>
      <c r="O17" s="79">
        <v>0</v>
      </c>
      <c r="P17" s="79"/>
      <c r="Q17" s="79">
        <f t="shared" si="0"/>
        <v>118.5</v>
      </c>
      <c r="R17" s="902"/>
      <c r="S17" s="81"/>
    </row>
    <row r="18" spans="1:19" s="76" customFormat="1" ht="57.75" customHeight="1" x14ac:dyDescent="0.2">
      <c r="A18" s="909" t="s">
        <v>114</v>
      </c>
      <c r="B18" s="916" t="s">
        <v>145</v>
      </c>
      <c r="C18" s="916" t="s">
        <v>66</v>
      </c>
      <c r="D18" s="82" t="s">
        <v>14</v>
      </c>
      <c r="E18" s="82" t="s">
        <v>18</v>
      </c>
      <c r="F18" s="903" t="s">
        <v>192</v>
      </c>
      <c r="G18" s="903"/>
      <c r="H18" s="903"/>
      <c r="I18" s="82" t="s">
        <v>68</v>
      </c>
      <c r="J18" s="85">
        <v>0</v>
      </c>
      <c r="K18" s="85">
        <v>0</v>
      </c>
      <c r="L18" s="85">
        <v>0.6</v>
      </c>
      <c r="M18" s="205">
        <v>0</v>
      </c>
      <c r="N18" s="85">
        <v>0</v>
      </c>
      <c r="O18" s="85">
        <v>0</v>
      </c>
      <c r="P18" s="86"/>
      <c r="Q18" s="79">
        <f t="shared" si="0"/>
        <v>0.6</v>
      </c>
      <c r="R18" s="902"/>
      <c r="S18" s="81"/>
    </row>
    <row r="19" spans="1:19" s="76" customFormat="1" ht="30.75" customHeight="1" x14ac:dyDescent="0.2">
      <c r="A19" s="915"/>
      <c r="B19" s="917"/>
      <c r="C19" s="917"/>
      <c r="D19" s="83" t="s">
        <v>14</v>
      </c>
      <c r="E19" s="74" t="s">
        <v>18</v>
      </c>
      <c r="F19" s="885" t="s">
        <v>236</v>
      </c>
      <c r="G19" s="886"/>
      <c r="H19" s="887"/>
      <c r="I19" s="74" t="s">
        <v>68</v>
      </c>
      <c r="J19" s="79">
        <v>0</v>
      </c>
      <c r="K19" s="79">
        <v>0.1</v>
      </c>
      <c r="L19" s="79">
        <v>0</v>
      </c>
      <c r="M19" s="204">
        <v>0</v>
      </c>
      <c r="N19" s="79">
        <v>0</v>
      </c>
      <c r="O19" s="79">
        <v>0</v>
      </c>
      <c r="P19" s="79"/>
      <c r="Q19" s="79">
        <f t="shared" si="0"/>
        <v>0.1</v>
      </c>
      <c r="R19" s="902"/>
      <c r="S19" s="81"/>
    </row>
    <row r="20" spans="1:19" s="76" customFormat="1" ht="68.25" customHeight="1" x14ac:dyDescent="0.2">
      <c r="A20" s="903" t="s">
        <v>115</v>
      </c>
      <c r="B20" s="899" t="s">
        <v>238</v>
      </c>
      <c r="C20" s="899" t="s">
        <v>66</v>
      </c>
      <c r="D20" s="83" t="s">
        <v>14</v>
      </c>
      <c r="E20" s="74" t="s">
        <v>18</v>
      </c>
      <c r="F20" s="884" t="s">
        <v>193</v>
      </c>
      <c r="G20" s="884"/>
      <c r="H20" s="884"/>
      <c r="I20" s="74" t="s">
        <v>67</v>
      </c>
      <c r="J20" s="79">
        <v>0</v>
      </c>
      <c r="K20" s="79">
        <v>0</v>
      </c>
      <c r="L20" s="79">
        <v>4290.5</v>
      </c>
      <c r="M20" s="204">
        <f>4314.4-718.2-353.3-51</f>
        <v>3191.8999999999996</v>
      </c>
      <c r="N20" s="79">
        <v>3217.9</v>
      </c>
      <c r="O20" s="79">
        <v>3217.9</v>
      </c>
      <c r="P20" s="79">
        <v>3217.9</v>
      </c>
      <c r="Q20" s="79">
        <f>SUM(J20:P20)</f>
        <v>17136.099999999999</v>
      </c>
      <c r="R20" s="902"/>
    </row>
    <row r="21" spans="1:19" s="76" customFormat="1" ht="21" customHeight="1" x14ac:dyDescent="0.2">
      <c r="A21" s="903"/>
      <c r="B21" s="899"/>
      <c r="C21" s="899"/>
      <c r="D21" s="83" t="s">
        <v>14</v>
      </c>
      <c r="E21" s="74" t="s">
        <v>18</v>
      </c>
      <c r="F21" s="885" t="s">
        <v>239</v>
      </c>
      <c r="G21" s="886"/>
      <c r="H21" s="887"/>
      <c r="I21" s="74" t="s">
        <v>67</v>
      </c>
      <c r="J21" s="79">
        <v>438.7</v>
      </c>
      <c r="K21" s="79">
        <v>889.3</v>
      </c>
      <c r="L21" s="79">
        <v>0</v>
      </c>
      <c r="M21" s="204">
        <v>0</v>
      </c>
      <c r="N21" s="79">
        <v>0</v>
      </c>
      <c r="O21" s="79">
        <v>0</v>
      </c>
      <c r="P21" s="79"/>
      <c r="Q21" s="79">
        <f t="shared" si="0"/>
        <v>1328</v>
      </c>
      <c r="R21" s="902"/>
      <c r="S21" s="81"/>
    </row>
    <row r="22" spans="1:19" s="76" customFormat="1" ht="21" customHeight="1" x14ac:dyDescent="0.2">
      <c r="A22" s="903"/>
      <c r="B22" s="899"/>
      <c r="C22" s="899"/>
      <c r="D22" s="83" t="s">
        <v>14</v>
      </c>
      <c r="E22" s="74" t="s">
        <v>18</v>
      </c>
      <c r="F22" s="885" t="s">
        <v>237</v>
      </c>
      <c r="G22" s="886"/>
      <c r="H22" s="887"/>
      <c r="I22" s="74" t="s">
        <v>67</v>
      </c>
      <c r="J22" s="79">
        <v>1290.2</v>
      </c>
      <c r="K22" s="79">
        <v>1885.5</v>
      </c>
      <c r="L22" s="79">
        <v>0</v>
      </c>
      <c r="M22" s="204">
        <v>0</v>
      </c>
      <c r="N22" s="79">
        <v>0</v>
      </c>
      <c r="O22" s="79">
        <v>0</v>
      </c>
      <c r="P22" s="79"/>
      <c r="Q22" s="79">
        <f t="shared" si="0"/>
        <v>3175.7</v>
      </c>
      <c r="R22" s="902"/>
      <c r="S22" s="81"/>
    </row>
    <row r="23" spans="1:19" s="76" customFormat="1" ht="66.75" customHeight="1" x14ac:dyDescent="0.2">
      <c r="A23" s="911" t="s">
        <v>142</v>
      </c>
      <c r="B23" s="913" t="s">
        <v>240</v>
      </c>
      <c r="C23" s="87" t="s">
        <v>66</v>
      </c>
      <c r="D23" s="74" t="s">
        <v>14</v>
      </c>
      <c r="E23" s="74" t="s">
        <v>18</v>
      </c>
      <c r="F23" s="884" t="s">
        <v>194</v>
      </c>
      <c r="G23" s="884"/>
      <c r="H23" s="884"/>
      <c r="I23" s="74" t="s">
        <v>67</v>
      </c>
      <c r="J23" s="79">
        <v>0</v>
      </c>
      <c r="K23" s="79">
        <v>0</v>
      </c>
      <c r="L23" s="79">
        <v>370.5</v>
      </c>
      <c r="M23" s="204">
        <f>342.3+33+33.9+61.1</f>
        <v>470.3</v>
      </c>
      <c r="N23" s="79">
        <v>305.10000000000002</v>
      </c>
      <c r="O23" s="79">
        <v>305.10000000000002</v>
      </c>
      <c r="P23" s="79">
        <v>305.10000000000002</v>
      </c>
      <c r="Q23" s="79">
        <f t="shared" si="0"/>
        <v>1756.1</v>
      </c>
      <c r="R23" s="902"/>
    </row>
    <row r="24" spans="1:19" s="76" customFormat="1" ht="21" customHeight="1" x14ac:dyDescent="0.2">
      <c r="A24" s="912"/>
      <c r="B24" s="914"/>
      <c r="C24" s="225"/>
      <c r="D24" s="83" t="s">
        <v>14</v>
      </c>
      <c r="E24" s="74" t="s">
        <v>18</v>
      </c>
      <c r="F24" s="885" t="s">
        <v>241</v>
      </c>
      <c r="G24" s="886"/>
      <c r="H24" s="887"/>
      <c r="I24" s="74" t="s">
        <v>67</v>
      </c>
      <c r="J24" s="79">
        <v>99.5</v>
      </c>
      <c r="K24" s="79">
        <v>99.7</v>
      </c>
      <c r="L24" s="79">
        <v>0</v>
      </c>
      <c r="M24" s="204">
        <v>0</v>
      </c>
      <c r="N24" s="79">
        <v>0</v>
      </c>
      <c r="O24" s="79">
        <v>0</v>
      </c>
      <c r="P24" s="79"/>
      <c r="Q24" s="79">
        <f t="shared" si="0"/>
        <v>199.2</v>
      </c>
      <c r="R24" s="80"/>
      <c r="S24" s="81"/>
    </row>
    <row r="25" spans="1:19" s="76" customFormat="1" ht="21" customHeight="1" x14ac:dyDescent="0.2">
      <c r="A25" s="891"/>
      <c r="B25" s="895"/>
      <c r="C25" s="225"/>
      <c r="D25" s="83" t="s">
        <v>14</v>
      </c>
      <c r="E25" s="74" t="s">
        <v>18</v>
      </c>
      <c r="F25" s="885" t="s">
        <v>242</v>
      </c>
      <c r="G25" s="886"/>
      <c r="H25" s="887"/>
      <c r="I25" s="74" t="s">
        <v>67</v>
      </c>
      <c r="J25" s="79">
        <v>302.3</v>
      </c>
      <c r="K25" s="79">
        <v>331.8</v>
      </c>
      <c r="L25" s="79">
        <v>0</v>
      </c>
      <c r="M25" s="204">
        <v>0</v>
      </c>
      <c r="N25" s="79">
        <v>0</v>
      </c>
      <c r="O25" s="79">
        <v>0</v>
      </c>
      <c r="P25" s="79"/>
      <c r="Q25" s="79">
        <f t="shared" si="0"/>
        <v>634.1</v>
      </c>
      <c r="R25" s="80"/>
      <c r="S25" s="81"/>
    </row>
    <row r="26" spans="1:19" s="76" customFormat="1" ht="141" customHeight="1" x14ac:dyDescent="0.2">
      <c r="A26" s="74" t="s">
        <v>212</v>
      </c>
      <c r="B26" s="89" t="s">
        <v>195</v>
      </c>
      <c r="C26" s="75" t="s">
        <v>66</v>
      </c>
      <c r="D26" s="74" t="s">
        <v>14</v>
      </c>
      <c r="E26" s="74" t="s">
        <v>18</v>
      </c>
      <c r="F26" s="884" t="s">
        <v>196</v>
      </c>
      <c r="G26" s="884"/>
      <c r="H26" s="884"/>
      <c r="I26" s="74" t="s">
        <v>67</v>
      </c>
      <c r="J26" s="79">
        <v>0</v>
      </c>
      <c r="K26" s="79">
        <v>0</v>
      </c>
      <c r="L26" s="79">
        <v>33.299999999999997</v>
      </c>
      <c r="M26" s="204">
        <f>37+9</f>
        <v>46</v>
      </c>
      <c r="N26" s="79">
        <v>33.299999999999997</v>
      </c>
      <c r="O26" s="79">
        <v>33.299999999999997</v>
      </c>
      <c r="P26" s="79">
        <v>33.299999999999997</v>
      </c>
      <c r="Q26" s="79">
        <f t="shared" si="0"/>
        <v>179.2</v>
      </c>
      <c r="R26" s="80"/>
    </row>
    <row r="27" spans="1:19" s="76" customFormat="1" ht="138" customHeight="1" x14ac:dyDescent="0.2">
      <c r="A27" s="74" t="s">
        <v>246</v>
      </c>
      <c r="B27" s="89" t="s">
        <v>143</v>
      </c>
      <c r="C27" s="75" t="s">
        <v>66</v>
      </c>
      <c r="D27" s="74" t="s">
        <v>14</v>
      </c>
      <c r="E27" s="74" t="s">
        <v>18</v>
      </c>
      <c r="F27" s="884" t="s">
        <v>144</v>
      </c>
      <c r="G27" s="884"/>
      <c r="H27" s="884"/>
      <c r="I27" s="74" t="s">
        <v>67</v>
      </c>
      <c r="J27" s="79">
        <f>34.7</f>
        <v>34.700000000000003</v>
      </c>
      <c r="K27" s="79">
        <v>0</v>
      </c>
      <c r="L27" s="79">
        <v>0</v>
      </c>
      <c r="M27" s="204">
        <v>0</v>
      </c>
      <c r="N27" s="79">
        <v>0</v>
      </c>
      <c r="O27" s="79">
        <v>0</v>
      </c>
      <c r="P27" s="79"/>
      <c r="Q27" s="79">
        <f t="shared" si="0"/>
        <v>34.700000000000003</v>
      </c>
      <c r="R27" s="80"/>
    </row>
    <row r="28" spans="1:19" s="76" customFormat="1" ht="90" x14ac:dyDescent="0.2">
      <c r="A28" s="90" t="s">
        <v>270</v>
      </c>
      <c r="B28" s="91" t="s">
        <v>271</v>
      </c>
      <c r="C28" s="92" t="s">
        <v>66</v>
      </c>
      <c r="D28" s="84" t="s">
        <v>14</v>
      </c>
      <c r="E28" s="84" t="s">
        <v>18</v>
      </c>
      <c r="F28" s="897" t="s">
        <v>272</v>
      </c>
      <c r="G28" s="897"/>
      <c r="H28" s="897"/>
      <c r="I28" s="84" t="s">
        <v>68</v>
      </c>
      <c r="J28" s="93">
        <v>0</v>
      </c>
      <c r="K28" s="93">
        <v>0</v>
      </c>
      <c r="L28" s="93">
        <v>0</v>
      </c>
      <c r="M28" s="206">
        <v>32.799999999999997</v>
      </c>
      <c r="N28" s="93">
        <v>0.7</v>
      </c>
      <c r="O28" s="93">
        <v>0.7</v>
      </c>
      <c r="P28" s="93">
        <v>0.7</v>
      </c>
      <c r="Q28" s="79">
        <f t="shared" si="0"/>
        <v>34.900000000000006</v>
      </c>
      <c r="R28" s="94"/>
      <c r="S28" s="81"/>
    </row>
    <row r="29" spans="1:19" s="98" customFormat="1" ht="92.25" customHeight="1" x14ac:dyDescent="0.25">
      <c r="A29" s="95" t="s">
        <v>276</v>
      </c>
      <c r="B29" s="96" t="s">
        <v>277</v>
      </c>
      <c r="C29" s="92" t="s">
        <v>66</v>
      </c>
      <c r="D29" s="84" t="s">
        <v>14</v>
      </c>
      <c r="E29" s="84" t="s">
        <v>18</v>
      </c>
      <c r="F29" s="907" t="s">
        <v>278</v>
      </c>
      <c r="G29" s="908"/>
      <c r="H29" s="909"/>
      <c r="I29" s="84" t="s">
        <v>67</v>
      </c>
      <c r="J29" s="93">
        <v>0</v>
      </c>
      <c r="K29" s="93">
        <v>0</v>
      </c>
      <c r="L29" s="93">
        <v>0</v>
      </c>
      <c r="M29" s="206">
        <v>1181</v>
      </c>
      <c r="N29" s="93">
        <v>0</v>
      </c>
      <c r="O29" s="93">
        <v>0</v>
      </c>
      <c r="P29" s="93"/>
      <c r="Q29" s="79">
        <f t="shared" si="0"/>
        <v>1181</v>
      </c>
      <c r="R29" s="97"/>
      <c r="S29" s="227"/>
    </row>
    <row r="30" spans="1:19" s="103" customFormat="1" ht="90" x14ac:dyDescent="0.25">
      <c r="A30" s="99" t="s">
        <v>302</v>
      </c>
      <c r="B30" s="100" t="s">
        <v>310</v>
      </c>
      <c r="C30" s="98" t="s">
        <v>66</v>
      </c>
      <c r="D30" s="82" t="s">
        <v>14</v>
      </c>
      <c r="E30" s="82" t="s">
        <v>18</v>
      </c>
      <c r="F30" s="903" t="s">
        <v>303</v>
      </c>
      <c r="G30" s="903"/>
      <c r="H30" s="903"/>
      <c r="I30" s="82" t="s">
        <v>67</v>
      </c>
      <c r="J30" s="85"/>
      <c r="K30" s="85"/>
      <c r="L30" s="85"/>
      <c r="M30" s="205">
        <f>1719.9+154.1+12.6+2433.5</f>
        <v>4320.1000000000004</v>
      </c>
      <c r="N30" s="85"/>
      <c r="O30" s="85"/>
      <c r="P30" s="85"/>
      <c r="Q30" s="79">
        <f t="shared" si="0"/>
        <v>4320.1000000000004</v>
      </c>
      <c r="R30" s="101"/>
      <c r="S30" s="102"/>
    </row>
    <row r="31" spans="1:19" s="76" customFormat="1" ht="31.5" customHeight="1" x14ac:dyDescent="0.2">
      <c r="A31" s="88"/>
      <c r="B31" s="104" t="s">
        <v>71</v>
      </c>
      <c r="C31" s="225"/>
      <c r="D31" s="104"/>
      <c r="E31" s="104"/>
      <c r="F31" s="891"/>
      <c r="G31" s="891"/>
      <c r="H31" s="891"/>
      <c r="I31" s="104"/>
      <c r="J31" s="105">
        <f t="shared" ref="J31:O31" si="1">SUM(J8:J29)</f>
        <v>27079.300000000003</v>
      </c>
      <c r="K31" s="105">
        <f t="shared" si="1"/>
        <v>30185.399999999998</v>
      </c>
      <c r="L31" s="105">
        <f t="shared" si="1"/>
        <v>27708.199999999997</v>
      </c>
      <c r="M31" s="207">
        <f>SUM(M8:M30)</f>
        <v>26619.299999999996</v>
      </c>
      <c r="N31" s="105">
        <f t="shared" si="1"/>
        <v>21188.6</v>
      </c>
      <c r="O31" s="105">
        <f t="shared" si="1"/>
        <v>21188.6</v>
      </c>
      <c r="P31" s="105">
        <f>SUM(P8:P29)</f>
        <v>21188.6</v>
      </c>
      <c r="Q31" s="79">
        <f t="shared" si="0"/>
        <v>175158</v>
      </c>
      <c r="R31" s="106"/>
      <c r="S31" s="107"/>
    </row>
    <row r="32" spans="1:19" s="76" customFormat="1" ht="31.5" customHeight="1" x14ac:dyDescent="0.2">
      <c r="A32" s="78" t="s">
        <v>72</v>
      </c>
      <c r="B32" s="892" t="s">
        <v>73</v>
      </c>
      <c r="C32" s="910"/>
      <c r="D32" s="910"/>
      <c r="E32" s="910"/>
      <c r="F32" s="910"/>
      <c r="G32" s="910"/>
      <c r="H32" s="910"/>
      <c r="I32" s="910"/>
      <c r="J32" s="910"/>
      <c r="K32" s="910"/>
      <c r="L32" s="910"/>
      <c r="M32" s="910"/>
      <c r="N32" s="910"/>
      <c r="O32" s="910"/>
      <c r="P32" s="910"/>
      <c r="Q32" s="910"/>
      <c r="R32" s="109"/>
    </row>
    <row r="33" spans="1:19" s="76" customFormat="1" ht="44.25" customHeight="1" x14ac:dyDescent="0.2">
      <c r="A33" s="897" t="s">
        <v>74</v>
      </c>
      <c r="B33" s="899" t="s">
        <v>75</v>
      </c>
      <c r="C33" s="900" t="s">
        <v>66</v>
      </c>
      <c r="D33" s="74" t="s">
        <v>14</v>
      </c>
      <c r="E33" s="74" t="s">
        <v>18</v>
      </c>
      <c r="F33" s="884" t="s">
        <v>197</v>
      </c>
      <c r="G33" s="884"/>
      <c r="H33" s="884"/>
      <c r="I33" s="74" t="s">
        <v>67</v>
      </c>
      <c r="J33" s="79">
        <v>0</v>
      </c>
      <c r="K33" s="79">
        <v>0</v>
      </c>
      <c r="L33" s="79">
        <v>8152</v>
      </c>
      <c r="M33" s="204">
        <f>7787.3-605.7+45.9</f>
        <v>7227.5</v>
      </c>
      <c r="N33" s="79">
        <v>7286.8</v>
      </c>
      <c r="O33" s="79">
        <v>7286.8</v>
      </c>
      <c r="P33" s="79">
        <v>7286.8</v>
      </c>
      <c r="Q33" s="79">
        <f t="shared" ref="Q33:Q40" si="2">SUM(J33:P33)</f>
        <v>37239.9</v>
      </c>
      <c r="R33" s="902" t="s">
        <v>318</v>
      </c>
      <c r="S33" s="81"/>
    </row>
    <row r="34" spans="1:19" s="76" customFormat="1" ht="21" customHeight="1" x14ac:dyDescent="0.2">
      <c r="A34" s="898"/>
      <c r="B34" s="899"/>
      <c r="C34" s="901"/>
      <c r="D34" s="74" t="s">
        <v>14</v>
      </c>
      <c r="E34" s="74" t="s">
        <v>18</v>
      </c>
      <c r="F34" s="884" t="s">
        <v>243</v>
      </c>
      <c r="G34" s="884"/>
      <c r="H34" s="884"/>
      <c r="I34" s="74" t="s">
        <v>67</v>
      </c>
      <c r="J34" s="79">
        <v>7867.55</v>
      </c>
      <c r="K34" s="79">
        <v>8239.9</v>
      </c>
      <c r="L34" s="79">
        <v>0</v>
      </c>
      <c r="M34" s="204">
        <v>0</v>
      </c>
      <c r="N34" s="79">
        <v>0</v>
      </c>
      <c r="O34" s="79">
        <v>0</v>
      </c>
      <c r="P34" s="79"/>
      <c r="Q34" s="79">
        <f t="shared" si="2"/>
        <v>16107.45</v>
      </c>
      <c r="R34" s="902"/>
      <c r="S34" s="81"/>
    </row>
    <row r="35" spans="1:19" s="76" customFormat="1" ht="29.25" customHeight="1" x14ac:dyDescent="0.2">
      <c r="A35" s="903" t="s">
        <v>76</v>
      </c>
      <c r="B35" s="904" t="s">
        <v>106</v>
      </c>
      <c r="C35" s="899" t="s">
        <v>66</v>
      </c>
      <c r="D35" s="83" t="s">
        <v>14</v>
      </c>
      <c r="E35" s="74" t="s">
        <v>18</v>
      </c>
      <c r="F35" s="884" t="s">
        <v>197</v>
      </c>
      <c r="G35" s="884"/>
      <c r="H35" s="884"/>
      <c r="I35" s="74" t="s">
        <v>68</v>
      </c>
      <c r="J35" s="79">
        <v>0</v>
      </c>
      <c r="K35" s="79">
        <v>0</v>
      </c>
      <c r="L35" s="110">
        <v>115.4</v>
      </c>
      <c r="M35" s="208">
        <v>232.6</v>
      </c>
      <c r="N35" s="110">
        <v>0</v>
      </c>
      <c r="O35" s="110">
        <v>0</v>
      </c>
      <c r="P35" s="110"/>
      <c r="Q35" s="79">
        <f t="shared" si="2"/>
        <v>348</v>
      </c>
      <c r="R35" s="902"/>
    </row>
    <row r="36" spans="1:19" s="76" customFormat="1" ht="23.25" customHeight="1" x14ac:dyDescent="0.2">
      <c r="A36" s="903"/>
      <c r="B36" s="905"/>
      <c r="C36" s="899"/>
      <c r="D36" s="83" t="s">
        <v>14</v>
      </c>
      <c r="E36" s="74" t="s">
        <v>18</v>
      </c>
      <c r="F36" s="884" t="s">
        <v>243</v>
      </c>
      <c r="G36" s="884"/>
      <c r="H36" s="884"/>
      <c r="I36" s="74" t="s">
        <v>68</v>
      </c>
      <c r="J36" s="79">
        <v>24.15</v>
      </c>
      <c r="K36" s="79">
        <v>1230.0999999999999</v>
      </c>
      <c r="L36" s="110">
        <v>0</v>
      </c>
      <c r="M36" s="208">
        <v>0</v>
      </c>
      <c r="N36" s="110">
        <v>0</v>
      </c>
      <c r="O36" s="110">
        <v>0</v>
      </c>
      <c r="P36" s="110"/>
      <c r="Q36" s="79">
        <f t="shared" si="2"/>
        <v>1254.25</v>
      </c>
      <c r="R36" s="902"/>
    </row>
    <row r="37" spans="1:19" s="76" customFormat="1" ht="27" customHeight="1" x14ac:dyDescent="0.2">
      <c r="A37" s="903"/>
      <c r="B37" s="906"/>
      <c r="C37" s="899"/>
      <c r="D37" s="83" t="s">
        <v>14</v>
      </c>
      <c r="E37" s="74" t="s">
        <v>18</v>
      </c>
      <c r="F37" s="885" t="s">
        <v>244</v>
      </c>
      <c r="G37" s="886"/>
      <c r="H37" s="887"/>
      <c r="I37" s="74" t="s">
        <v>68</v>
      </c>
      <c r="J37" s="79">
        <v>580</v>
      </c>
      <c r="K37" s="79">
        <v>130.19999999999999</v>
      </c>
      <c r="L37" s="79">
        <v>0</v>
      </c>
      <c r="M37" s="204">
        <v>0</v>
      </c>
      <c r="N37" s="79">
        <v>0</v>
      </c>
      <c r="O37" s="79">
        <v>0</v>
      </c>
      <c r="P37" s="79"/>
      <c r="Q37" s="79">
        <f t="shared" si="2"/>
        <v>710.2</v>
      </c>
      <c r="R37" s="902"/>
      <c r="S37" s="81"/>
    </row>
    <row r="38" spans="1:19" s="76" customFormat="1" ht="144" customHeight="1" x14ac:dyDescent="0.2">
      <c r="A38" s="111" t="s">
        <v>245</v>
      </c>
      <c r="B38" s="112" t="s">
        <v>143</v>
      </c>
      <c r="C38" s="121" t="s">
        <v>66</v>
      </c>
      <c r="D38" s="74" t="s">
        <v>14</v>
      </c>
      <c r="E38" s="74" t="s">
        <v>18</v>
      </c>
      <c r="F38" s="884" t="s">
        <v>144</v>
      </c>
      <c r="G38" s="884"/>
      <c r="H38" s="884"/>
      <c r="I38" s="74" t="s">
        <v>67</v>
      </c>
      <c r="J38" s="79">
        <v>11.4</v>
      </c>
      <c r="K38" s="79">
        <v>0</v>
      </c>
      <c r="L38" s="79">
        <v>0</v>
      </c>
      <c r="M38" s="204">
        <v>0</v>
      </c>
      <c r="N38" s="79">
        <v>0</v>
      </c>
      <c r="O38" s="79">
        <v>0</v>
      </c>
      <c r="P38" s="79"/>
      <c r="Q38" s="79">
        <f t="shared" si="2"/>
        <v>11.4</v>
      </c>
      <c r="R38" s="80"/>
    </row>
    <row r="39" spans="1:19" s="76" customFormat="1" ht="105" x14ac:dyDescent="0.25">
      <c r="A39" s="78" t="s">
        <v>304</v>
      </c>
      <c r="B39" s="113" t="s">
        <v>300</v>
      </c>
      <c r="C39" s="75" t="s">
        <v>66</v>
      </c>
      <c r="D39" s="74" t="s">
        <v>14</v>
      </c>
      <c r="E39" s="74" t="s">
        <v>18</v>
      </c>
      <c r="F39" s="885" t="s">
        <v>279</v>
      </c>
      <c r="G39" s="886"/>
      <c r="H39" s="887"/>
      <c r="I39" s="74" t="s">
        <v>68</v>
      </c>
      <c r="J39" s="79"/>
      <c r="K39" s="79"/>
      <c r="L39" s="79"/>
      <c r="M39" s="204">
        <v>280</v>
      </c>
      <c r="N39" s="79"/>
      <c r="O39" s="79"/>
      <c r="P39" s="79"/>
      <c r="Q39" s="79">
        <f t="shared" si="2"/>
        <v>280</v>
      </c>
      <c r="R39" s="80"/>
    </row>
    <row r="40" spans="1:19" s="76" customFormat="1" ht="19.5" customHeight="1" x14ac:dyDescent="0.2">
      <c r="A40" s="74"/>
      <c r="B40" s="77" t="s">
        <v>77</v>
      </c>
      <c r="C40" s="226"/>
      <c r="D40" s="77"/>
      <c r="E40" s="77"/>
      <c r="F40" s="884"/>
      <c r="G40" s="884"/>
      <c r="H40" s="884"/>
      <c r="I40" s="77"/>
      <c r="J40" s="79">
        <f t="shared" ref="J40:P40" si="3">SUM(J33:J38)</f>
        <v>8483.1</v>
      </c>
      <c r="K40" s="79">
        <f t="shared" si="3"/>
        <v>9600.2000000000007</v>
      </c>
      <c r="L40" s="79">
        <f t="shared" si="3"/>
        <v>8267.4</v>
      </c>
      <c r="M40" s="204">
        <f>SUM(M33:M39)</f>
        <v>7740.1</v>
      </c>
      <c r="N40" s="79">
        <f t="shared" si="3"/>
        <v>7286.8</v>
      </c>
      <c r="O40" s="79">
        <f t="shared" si="3"/>
        <v>7286.8</v>
      </c>
      <c r="P40" s="79">
        <f t="shared" si="3"/>
        <v>7286.8</v>
      </c>
      <c r="Q40" s="79">
        <f t="shared" si="2"/>
        <v>55951.200000000012</v>
      </c>
      <c r="R40" s="114"/>
      <c r="S40" s="107"/>
    </row>
    <row r="41" spans="1:19" s="76" customFormat="1" ht="21" customHeight="1" x14ac:dyDescent="0.2">
      <c r="A41" s="74" t="s">
        <v>78</v>
      </c>
      <c r="B41" s="896" t="s">
        <v>79</v>
      </c>
      <c r="C41" s="896"/>
      <c r="D41" s="896"/>
      <c r="E41" s="896"/>
      <c r="F41" s="896"/>
      <c r="G41" s="896"/>
      <c r="H41" s="896"/>
      <c r="I41" s="896"/>
      <c r="J41" s="896"/>
      <c r="K41" s="896"/>
      <c r="L41" s="896"/>
      <c r="M41" s="896"/>
      <c r="N41" s="896"/>
      <c r="O41" s="896"/>
      <c r="P41" s="896"/>
      <c r="Q41" s="896"/>
      <c r="R41" s="108"/>
      <c r="S41" s="107"/>
    </row>
    <row r="42" spans="1:19" s="76" customFormat="1" ht="69" customHeight="1" x14ac:dyDescent="0.2">
      <c r="A42" s="74" t="s">
        <v>80</v>
      </c>
      <c r="B42" s="77" t="s">
        <v>81</v>
      </c>
      <c r="C42" s="75" t="s">
        <v>66</v>
      </c>
      <c r="D42" s="74" t="s">
        <v>14</v>
      </c>
      <c r="E42" s="74" t="s">
        <v>18</v>
      </c>
      <c r="F42" s="884" t="s">
        <v>82</v>
      </c>
      <c r="G42" s="884"/>
      <c r="H42" s="884"/>
      <c r="I42" s="77">
        <v>612</v>
      </c>
      <c r="J42" s="79">
        <v>235.5</v>
      </c>
      <c r="K42" s="79">
        <v>0</v>
      </c>
      <c r="L42" s="79">
        <v>0</v>
      </c>
      <c r="M42" s="204" t="s">
        <v>111</v>
      </c>
      <c r="N42" s="79"/>
      <c r="O42" s="79" t="s">
        <v>111</v>
      </c>
      <c r="P42" s="115"/>
      <c r="Q42" s="115">
        <f>SUM(J42:P42)</f>
        <v>235.5</v>
      </c>
      <c r="R42" s="98"/>
      <c r="S42" s="107"/>
    </row>
    <row r="43" spans="1:19" s="76" customFormat="1" ht="69.75" customHeight="1" x14ac:dyDescent="0.2">
      <c r="A43" s="74" t="s">
        <v>83</v>
      </c>
      <c r="B43" s="77" t="s">
        <v>84</v>
      </c>
      <c r="C43" s="75" t="s">
        <v>66</v>
      </c>
      <c r="D43" s="74" t="s">
        <v>14</v>
      </c>
      <c r="E43" s="74" t="s">
        <v>18</v>
      </c>
      <c r="F43" s="884" t="s">
        <v>85</v>
      </c>
      <c r="G43" s="884"/>
      <c r="H43" s="884"/>
      <c r="I43" s="77">
        <v>612</v>
      </c>
      <c r="J43" s="79">
        <v>58.9</v>
      </c>
      <c r="K43" s="79">
        <v>0</v>
      </c>
      <c r="L43" s="79">
        <v>0</v>
      </c>
      <c r="M43" s="204" t="s">
        <v>111</v>
      </c>
      <c r="N43" s="79"/>
      <c r="O43" s="79" t="s">
        <v>111</v>
      </c>
      <c r="P43" s="115"/>
      <c r="Q43" s="115">
        <f t="shared" ref="Q43:Q55" si="4">SUM(J43:P43)</f>
        <v>58.9</v>
      </c>
      <c r="R43" s="98"/>
      <c r="S43" s="107"/>
    </row>
    <row r="44" spans="1:19" s="76" customFormat="1" ht="36.75" customHeight="1" x14ac:dyDescent="0.2">
      <c r="A44" s="890" t="s">
        <v>86</v>
      </c>
      <c r="B44" s="892" t="s">
        <v>121</v>
      </c>
      <c r="C44" s="894" t="s">
        <v>66</v>
      </c>
      <c r="D44" s="74" t="s">
        <v>14</v>
      </c>
      <c r="E44" s="74" t="s">
        <v>18</v>
      </c>
      <c r="F44" s="885" t="s">
        <v>268</v>
      </c>
      <c r="G44" s="886"/>
      <c r="H44" s="887"/>
      <c r="I44" s="77">
        <v>612</v>
      </c>
      <c r="J44" s="79">
        <v>0</v>
      </c>
      <c r="K44" s="79">
        <v>0</v>
      </c>
      <c r="L44" s="79">
        <v>5.2</v>
      </c>
      <c r="M44" s="204">
        <v>0</v>
      </c>
      <c r="N44" s="79">
        <v>0</v>
      </c>
      <c r="O44" s="79">
        <v>0</v>
      </c>
      <c r="P44" s="79"/>
      <c r="Q44" s="115">
        <f t="shared" si="4"/>
        <v>5.2</v>
      </c>
      <c r="R44" s="87"/>
      <c r="S44" s="107"/>
    </row>
    <row r="45" spans="1:19" s="76" customFormat="1" ht="27" customHeight="1" x14ac:dyDescent="0.2">
      <c r="A45" s="891"/>
      <c r="B45" s="893"/>
      <c r="C45" s="895"/>
      <c r="D45" s="83" t="s">
        <v>14</v>
      </c>
      <c r="E45" s="74" t="s">
        <v>18</v>
      </c>
      <c r="F45" s="885" t="s">
        <v>247</v>
      </c>
      <c r="G45" s="886"/>
      <c r="H45" s="887"/>
      <c r="I45" s="116" t="s">
        <v>68</v>
      </c>
      <c r="J45" s="79">
        <v>0</v>
      </c>
      <c r="K45" s="79">
        <v>5.3</v>
      </c>
      <c r="L45" s="79">
        <v>0</v>
      </c>
      <c r="M45" s="204">
        <v>0</v>
      </c>
      <c r="N45" s="79">
        <v>0</v>
      </c>
      <c r="O45" s="79">
        <v>0</v>
      </c>
      <c r="P45" s="79"/>
      <c r="Q45" s="115">
        <f t="shared" si="4"/>
        <v>5.3</v>
      </c>
      <c r="R45" s="75"/>
      <c r="S45" s="81"/>
    </row>
    <row r="46" spans="1:19" s="76" customFormat="1" ht="66.75" customHeight="1" x14ac:dyDescent="0.2">
      <c r="A46" s="74" t="s">
        <v>88</v>
      </c>
      <c r="B46" s="77" t="s">
        <v>87</v>
      </c>
      <c r="C46" s="75" t="s">
        <v>66</v>
      </c>
      <c r="D46" s="74" t="s">
        <v>14</v>
      </c>
      <c r="E46" s="74" t="s">
        <v>18</v>
      </c>
      <c r="F46" s="884" t="s">
        <v>226</v>
      </c>
      <c r="G46" s="884"/>
      <c r="H46" s="884"/>
      <c r="I46" s="77">
        <v>612</v>
      </c>
      <c r="J46" s="79">
        <v>0</v>
      </c>
      <c r="K46" s="79">
        <v>0</v>
      </c>
      <c r="L46" s="79">
        <v>95.9</v>
      </c>
      <c r="M46" s="204">
        <v>0</v>
      </c>
      <c r="N46" s="79">
        <v>0</v>
      </c>
      <c r="O46" s="79">
        <v>0</v>
      </c>
      <c r="P46" s="79"/>
      <c r="Q46" s="115">
        <f t="shared" si="4"/>
        <v>95.9</v>
      </c>
      <c r="R46" s="75"/>
      <c r="S46" s="107"/>
    </row>
    <row r="47" spans="1:19" s="76" customFormat="1" ht="27" customHeight="1" x14ac:dyDescent="0.2">
      <c r="A47" s="74"/>
      <c r="B47" s="77"/>
      <c r="C47" s="226"/>
      <c r="D47" s="83" t="s">
        <v>14</v>
      </c>
      <c r="E47" s="74" t="s">
        <v>18</v>
      </c>
      <c r="F47" s="884" t="s">
        <v>248</v>
      </c>
      <c r="G47" s="884"/>
      <c r="H47" s="884"/>
      <c r="I47" s="116" t="s">
        <v>68</v>
      </c>
      <c r="J47" s="79">
        <v>36.6</v>
      </c>
      <c r="K47" s="79">
        <v>87.8</v>
      </c>
      <c r="L47" s="79">
        <v>0</v>
      </c>
      <c r="M47" s="204">
        <v>0</v>
      </c>
      <c r="N47" s="79">
        <v>0</v>
      </c>
      <c r="O47" s="79">
        <v>0</v>
      </c>
      <c r="P47" s="79"/>
      <c r="Q47" s="115">
        <f t="shared" si="4"/>
        <v>124.4</v>
      </c>
      <c r="R47" s="75"/>
      <c r="S47" s="81"/>
    </row>
    <row r="48" spans="1:19" s="76" customFormat="1" ht="48" customHeight="1" x14ac:dyDescent="0.2">
      <c r="A48" s="890" t="s">
        <v>104</v>
      </c>
      <c r="B48" s="892" t="s">
        <v>89</v>
      </c>
      <c r="C48" s="894" t="s">
        <v>66</v>
      </c>
      <c r="D48" s="74" t="s">
        <v>14</v>
      </c>
      <c r="E48" s="74" t="s">
        <v>18</v>
      </c>
      <c r="F48" s="884" t="s">
        <v>225</v>
      </c>
      <c r="G48" s="884"/>
      <c r="H48" s="884"/>
      <c r="I48" s="77">
        <v>612</v>
      </c>
      <c r="J48" s="79">
        <v>0</v>
      </c>
      <c r="K48" s="79">
        <v>0</v>
      </c>
      <c r="L48" s="79">
        <v>32</v>
      </c>
      <c r="M48" s="204">
        <v>0</v>
      </c>
      <c r="N48" s="79">
        <v>0</v>
      </c>
      <c r="O48" s="79">
        <v>0</v>
      </c>
      <c r="P48" s="79"/>
      <c r="Q48" s="115">
        <f t="shared" si="4"/>
        <v>32</v>
      </c>
      <c r="R48" s="75"/>
      <c r="S48" s="107"/>
    </row>
    <row r="49" spans="1:19" s="76" customFormat="1" ht="27" customHeight="1" x14ac:dyDescent="0.2">
      <c r="A49" s="891"/>
      <c r="B49" s="893"/>
      <c r="C49" s="895"/>
      <c r="D49" s="83" t="s">
        <v>14</v>
      </c>
      <c r="E49" s="74" t="s">
        <v>18</v>
      </c>
      <c r="F49" s="884" t="s">
        <v>249</v>
      </c>
      <c r="G49" s="884"/>
      <c r="H49" s="884"/>
      <c r="I49" s="116" t="s">
        <v>68</v>
      </c>
      <c r="J49" s="79">
        <v>12.2</v>
      </c>
      <c r="K49" s="79">
        <v>25.3</v>
      </c>
      <c r="L49" s="79">
        <v>0</v>
      </c>
      <c r="M49" s="204">
        <v>0</v>
      </c>
      <c r="N49" s="79">
        <v>0</v>
      </c>
      <c r="O49" s="79">
        <v>0</v>
      </c>
      <c r="P49" s="79"/>
      <c r="Q49" s="115">
        <f t="shared" si="4"/>
        <v>37.5</v>
      </c>
      <c r="R49" s="75"/>
      <c r="S49" s="81"/>
    </row>
    <row r="50" spans="1:19" s="76" customFormat="1" ht="66.75" customHeight="1" x14ac:dyDescent="0.2">
      <c r="A50" s="890" t="s">
        <v>120</v>
      </c>
      <c r="B50" s="892" t="s">
        <v>105</v>
      </c>
      <c r="C50" s="894" t="s">
        <v>66</v>
      </c>
      <c r="D50" s="74" t="s">
        <v>14</v>
      </c>
      <c r="E50" s="74" t="s">
        <v>18</v>
      </c>
      <c r="F50" s="884" t="s">
        <v>250</v>
      </c>
      <c r="G50" s="884"/>
      <c r="H50" s="884"/>
      <c r="I50" s="77">
        <v>612</v>
      </c>
      <c r="J50" s="79">
        <v>17.3</v>
      </c>
      <c r="K50" s="79">
        <v>1.6</v>
      </c>
      <c r="L50" s="79">
        <v>0</v>
      </c>
      <c r="M50" s="204">
        <v>0</v>
      </c>
      <c r="N50" s="79">
        <v>0</v>
      </c>
      <c r="O50" s="79">
        <v>0</v>
      </c>
      <c r="P50" s="79"/>
      <c r="Q50" s="115">
        <f t="shared" si="4"/>
        <v>18.900000000000002</v>
      </c>
      <c r="R50" s="75"/>
      <c r="S50" s="107"/>
    </row>
    <row r="51" spans="1:19" s="76" customFormat="1" ht="66.75" customHeight="1" x14ac:dyDescent="0.2">
      <c r="A51" s="891"/>
      <c r="B51" s="893"/>
      <c r="C51" s="895"/>
      <c r="D51" s="74" t="s">
        <v>14</v>
      </c>
      <c r="E51" s="74" t="s">
        <v>18</v>
      </c>
      <c r="F51" s="885" t="s">
        <v>280</v>
      </c>
      <c r="G51" s="886"/>
      <c r="H51" s="887"/>
      <c r="I51" s="77">
        <v>612</v>
      </c>
      <c r="J51" s="79">
        <v>0</v>
      </c>
      <c r="K51" s="79">
        <v>0</v>
      </c>
      <c r="L51" s="79">
        <v>0</v>
      </c>
      <c r="M51" s="204">
        <v>7</v>
      </c>
      <c r="N51" s="79">
        <v>0</v>
      </c>
      <c r="O51" s="79">
        <v>0</v>
      </c>
      <c r="P51" s="79"/>
      <c r="Q51" s="115">
        <f t="shared" si="4"/>
        <v>7</v>
      </c>
      <c r="R51" s="75"/>
      <c r="S51" s="107"/>
    </row>
    <row r="52" spans="1:19" s="76" customFormat="1" ht="165" customHeight="1" x14ac:dyDescent="0.2">
      <c r="A52" s="74" t="s">
        <v>213</v>
      </c>
      <c r="B52" s="77" t="s">
        <v>232</v>
      </c>
      <c r="C52" s="75" t="s">
        <v>66</v>
      </c>
      <c r="D52" s="74" t="s">
        <v>14</v>
      </c>
      <c r="E52" s="74" t="s">
        <v>18</v>
      </c>
      <c r="F52" s="884" t="s">
        <v>279</v>
      </c>
      <c r="G52" s="884"/>
      <c r="H52" s="884"/>
      <c r="I52" s="77">
        <v>612</v>
      </c>
      <c r="J52" s="79"/>
      <c r="K52" s="79">
        <v>0</v>
      </c>
      <c r="L52" s="79">
        <v>280</v>
      </c>
      <c r="M52" s="204">
        <v>0</v>
      </c>
      <c r="N52" s="79">
        <v>0</v>
      </c>
      <c r="O52" s="79">
        <v>0</v>
      </c>
      <c r="P52" s="79"/>
      <c r="Q52" s="115">
        <f t="shared" si="4"/>
        <v>280</v>
      </c>
      <c r="R52" s="75" t="s">
        <v>322</v>
      </c>
      <c r="S52" s="107"/>
    </row>
    <row r="53" spans="1:19" s="76" customFormat="1" ht="82.5" customHeight="1" x14ac:dyDescent="0.2">
      <c r="A53" s="74" t="s">
        <v>231</v>
      </c>
      <c r="B53" s="77" t="s">
        <v>309</v>
      </c>
      <c r="C53" s="75" t="s">
        <v>66</v>
      </c>
      <c r="D53" s="74" t="s">
        <v>14</v>
      </c>
      <c r="E53" s="74" t="s">
        <v>18</v>
      </c>
      <c r="F53" s="884" t="s">
        <v>280</v>
      </c>
      <c r="G53" s="884"/>
      <c r="H53" s="884"/>
      <c r="I53" s="77">
        <v>612</v>
      </c>
      <c r="J53" s="79"/>
      <c r="K53" s="79">
        <v>0</v>
      </c>
      <c r="L53" s="79">
        <v>10.8</v>
      </c>
      <c r="M53" s="204">
        <v>0</v>
      </c>
      <c r="N53" s="79">
        <v>0</v>
      </c>
      <c r="O53" s="79">
        <v>0</v>
      </c>
      <c r="P53" s="79"/>
      <c r="Q53" s="115">
        <f t="shared" si="4"/>
        <v>10.8</v>
      </c>
      <c r="R53" s="75"/>
      <c r="S53" s="107"/>
    </row>
    <row r="54" spans="1:19" s="76" customFormat="1" ht="99" customHeight="1" x14ac:dyDescent="0.2">
      <c r="A54" s="74" t="s">
        <v>273</v>
      </c>
      <c r="B54" s="77" t="s">
        <v>274</v>
      </c>
      <c r="C54" s="75" t="s">
        <v>66</v>
      </c>
      <c r="D54" s="74" t="s">
        <v>14</v>
      </c>
      <c r="E54" s="74" t="s">
        <v>18</v>
      </c>
      <c r="F54" s="884" t="s">
        <v>275</v>
      </c>
      <c r="G54" s="884"/>
      <c r="H54" s="884"/>
      <c r="I54" s="77">
        <v>612</v>
      </c>
      <c r="J54" s="79"/>
      <c r="K54" s="79">
        <v>0</v>
      </c>
      <c r="L54" s="79">
        <v>0</v>
      </c>
      <c r="M54" s="204">
        <v>4.9000000000000004</v>
      </c>
      <c r="N54" s="79">
        <v>0</v>
      </c>
      <c r="O54" s="79">
        <v>0</v>
      </c>
      <c r="P54" s="79"/>
      <c r="Q54" s="115">
        <f t="shared" si="4"/>
        <v>4.9000000000000004</v>
      </c>
      <c r="R54" s="75"/>
      <c r="S54" s="107"/>
    </row>
    <row r="55" spans="1:19" s="76" customFormat="1" ht="93" customHeight="1" x14ac:dyDescent="0.2">
      <c r="A55" s="74" t="s">
        <v>273</v>
      </c>
      <c r="B55" s="77" t="s">
        <v>274</v>
      </c>
      <c r="C55" s="75" t="s">
        <v>66</v>
      </c>
      <c r="D55" s="74" t="s">
        <v>14</v>
      </c>
      <c r="E55" s="74" t="s">
        <v>18</v>
      </c>
      <c r="F55" s="884" t="s">
        <v>275</v>
      </c>
      <c r="G55" s="884"/>
      <c r="H55" s="884"/>
      <c r="I55" s="77">
        <v>612</v>
      </c>
      <c r="J55" s="79"/>
      <c r="K55" s="79">
        <v>0</v>
      </c>
      <c r="L55" s="79">
        <v>0</v>
      </c>
      <c r="M55" s="204">
        <v>96.4</v>
      </c>
      <c r="N55" s="79">
        <v>0</v>
      </c>
      <c r="O55" s="79">
        <v>0</v>
      </c>
      <c r="P55" s="79"/>
      <c r="Q55" s="115">
        <f t="shared" si="4"/>
        <v>96.4</v>
      </c>
      <c r="R55" s="75"/>
      <c r="S55" s="107"/>
    </row>
    <row r="56" spans="1:19" s="76" customFormat="1" ht="18.75" customHeight="1" x14ac:dyDescent="0.2">
      <c r="A56" s="74"/>
      <c r="B56" s="77" t="s">
        <v>90</v>
      </c>
      <c r="C56" s="226"/>
      <c r="D56" s="77"/>
      <c r="E56" s="77"/>
      <c r="F56" s="885"/>
      <c r="G56" s="886"/>
      <c r="H56" s="887"/>
      <c r="I56" s="77"/>
      <c r="J56" s="79">
        <f>SUM(J42:J54)</f>
        <v>360.5</v>
      </c>
      <c r="K56" s="79">
        <f>SUM(K42:K54)</f>
        <v>119.99999999999999</v>
      </c>
      <c r="L56" s="79">
        <f>SUM(L42:L54)</f>
        <v>423.90000000000003</v>
      </c>
      <c r="M56" s="204">
        <f>SUM(M42:M55)</f>
        <v>108.30000000000001</v>
      </c>
      <c r="N56" s="79">
        <f>SUM(N42:N55)</f>
        <v>0</v>
      </c>
      <c r="O56" s="79">
        <f>SUM(O42:O55)</f>
        <v>0</v>
      </c>
      <c r="P56" s="79">
        <f>SUM(P42:P55)</f>
        <v>0</v>
      </c>
      <c r="Q56" s="79">
        <f>SUM(Q42:Q55)</f>
        <v>1012.6999999999998</v>
      </c>
      <c r="R56" s="75"/>
      <c r="S56" s="107"/>
    </row>
    <row r="57" spans="1:19" s="76" customFormat="1" ht="18.75" customHeight="1" x14ac:dyDescent="0.2">
      <c r="A57" s="74"/>
      <c r="B57" s="77" t="s">
        <v>91</v>
      </c>
      <c r="C57" s="77"/>
      <c r="D57" s="77"/>
      <c r="E57" s="77"/>
      <c r="F57" s="888"/>
      <c r="G57" s="888"/>
      <c r="H57" s="888"/>
      <c r="I57" s="77"/>
      <c r="J57" s="79">
        <f t="shared" ref="J57:R57" si="5">J31+J40+J56</f>
        <v>35922.9</v>
      </c>
      <c r="K57" s="79">
        <f t="shared" si="5"/>
        <v>39905.599999999999</v>
      </c>
      <c r="L57" s="79">
        <f t="shared" si="5"/>
        <v>36399.5</v>
      </c>
      <c r="M57" s="204">
        <f>M31+M40+M56</f>
        <v>34467.699999999997</v>
      </c>
      <c r="N57" s="79">
        <f t="shared" si="5"/>
        <v>28475.399999999998</v>
      </c>
      <c r="O57" s="79">
        <f t="shared" si="5"/>
        <v>28475.399999999998</v>
      </c>
      <c r="P57" s="79">
        <f t="shared" si="5"/>
        <v>28475.399999999998</v>
      </c>
      <c r="Q57" s="79">
        <f>SUM(J57:P57)</f>
        <v>232121.9</v>
      </c>
      <c r="R57" s="79">
        <f t="shared" si="5"/>
        <v>0</v>
      </c>
      <c r="S57" s="107"/>
    </row>
    <row r="58" spans="1:19" s="76" customFormat="1" ht="18.75" customHeight="1" x14ac:dyDescent="0.2">
      <c r="A58" s="117"/>
      <c r="B58" s="103"/>
      <c r="C58" s="103"/>
      <c r="D58" s="103"/>
      <c r="E58" s="103"/>
      <c r="F58" s="117"/>
      <c r="G58" s="117"/>
      <c r="H58" s="117"/>
      <c r="I58" s="103"/>
      <c r="J58" s="86"/>
      <c r="K58" s="86"/>
      <c r="L58" s="230">
        <v>612</v>
      </c>
      <c r="M58" s="231"/>
      <c r="N58" s="86"/>
      <c r="O58" s="86"/>
      <c r="P58" s="86"/>
      <c r="Q58" s="86"/>
      <c r="R58" s="103"/>
      <c r="S58" s="107"/>
    </row>
    <row r="59" spans="1:19" s="76" customFormat="1" ht="18.75" customHeight="1" x14ac:dyDescent="0.2">
      <c r="A59" s="117"/>
      <c r="B59" s="103"/>
      <c r="C59" s="103"/>
      <c r="D59" s="103"/>
      <c r="E59" s="103"/>
      <c r="F59" s="117"/>
      <c r="G59" s="117"/>
      <c r="H59" s="117"/>
      <c r="I59" s="103"/>
      <c r="J59" s="86"/>
      <c r="K59" s="86"/>
      <c r="L59" s="230">
        <v>611</v>
      </c>
      <c r="M59" s="209">
        <f>M33+M30+M29+M27+M26+M23+M20+M8</f>
        <v>33783.1</v>
      </c>
      <c r="N59" s="209">
        <f>N33+N30+N29+N27+N26+N23+N20+N8</f>
        <v>28474.699999999997</v>
      </c>
      <c r="O59" s="209">
        <f>O33+O30+O29+O27+O26+O23+O20+O8</f>
        <v>28474.699999999997</v>
      </c>
      <c r="P59" s="209">
        <f>P33+P30+P29+P27+P26+P23+P20+P8</f>
        <v>28474.699999999997</v>
      </c>
      <c r="Q59" s="209">
        <f>Q33+Q30+Q29+Q27+Q26+Q23+Q20+Q8</f>
        <v>152202.5</v>
      </c>
      <c r="R59" s="103"/>
      <c r="S59" s="107"/>
    </row>
    <row r="60" spans="1:19" s="76" customFormat="1" ht="15.75" customHeight="1" x14ac:dyDescent="0.2">
      <c r="A60" s="117"/>
      <c r="B60" s="103"/>
      <c r="C60" s="103"/>
      <c r="D60" s="103"/>
      <c r="E60" s="103"/>
      <c r="F60" s="889"/>
      <c r="G60" s="889"/>
      <c r="H60" s="889"/>
      <c r="I60" s="103"/>
      <c r="J60" s="86"/>
      <c r="K60" s="86"/>
      <c r="L60" s="86"/>
      <c r="M60" s="209"/>
      <c r="N60" s="86"/>
      <c r="O60" s="86"/>
      <c r="P60" s="86"/>
      <c r="Q60" s="86"/>
      <c r="R60" s="103"/>
      <c r="S60" s="107"/>
    </row>
    <row r="61" spans="1:19" s="76" customFormat="1" ht="35.25" customHeight="1" x14ac:dyDescent="0.2">
      <c r="A61" s="880" t="s">
        <v>263</v>
      </c>
      <c r="B61" s="880"/>
      <c r="C61" s="880"/>
      <c r="D61" s="880"/>
      <c r="E61" s="880"/>
      <c r="F61" s="880"/>
      <c r="G61" s="880"/>
      <c r="H61" s="880"/>
      <c r="I61" s="880"/>
      <c r="J61" s="881"/>
      <c r="K61" s="881"/>
      <c r="L61" s="107"/>
      <c r="M61" s="139"/>
      <c r="N61" s="107"/>
      <c r="O61" s="107"/>
      <c r="P61" s="882" t="s">
        <v>323</v>
      </c>
      <c r="Q61" s="883"/>
      <c r="R61" s="883"/>
    </row>
    <row r="62" spans="1:19" x14ac:dyDescent="0.2">
      <c r="A62" s="34"/>
      <c r="B62" s="35"/>
      <c r="C62" s="35"/>
      <c r="D62" s="35"/>
      <c r="E62" s="35"/>
      <c r="F62" s="35"/>
      <c r="G62" s="35"/>
      <c r="H62" s="35"/>
      <c r="I62" s="35"/>
      <c r="J62" s="51"/>
      <c r="K62" s="51"/>
      <c r="L62" s="51"/>
      <c r="M62" s="210"/>
      <c r="N62" s="51"/>
      <c r="O62" s="51"/>
      <c r="P62" s="51"/>
      <c r="Q62" s="51"/>
      <c r="R62" s="35"/>
    </row>
    <row r="63" spans="1:19" x14ac:dyDescent="0.2">
      <c r="L63" s="11"/>
      <c r="M63" s="211"/>
      <c r="N63" s="11"/>
      <c r="O63" s="11"/>
      <c r="P63" s="11"/>
    </row>
    <row r="64" spans="1:19" x14ac:dyDescent="0.2">
      <c r="J64" s="3"/>
      <c r="K64" s="3"/>
      <c r="L64" s="3"/>
      <c r="M64" s="122"/>
      <c r="N64" s="3"/>
      <c r="O64" s="3"/>
      <c r="P64" s="3"/>
      <c r="Q64" s="3"/>
    </row>
    <row r="65" spans="10:19" x14ac:dyDescent="0.2">
      <c r="J65" s="3"/>
      <c r="K65" s="3"/>
      <c r="L65" s="3"/>
      <c r="M65" s="122"/>
      <c r="N65" s="3"/>
      <c r="O65" s="3"/>
      <c r="P65" s="3"/>
      <c r="Q65" s="3"/>
      <c r="S65" s="3"/>
    </row>
  </sheetData>
  <mergeCells count="103">
    <mergeCell ref="F10:H10"/>
    <mergeCell ref="B6:Q6"/>
    <mergeCell ref="F8:H8"/>
    <mergeCell ref="F9:H9"/>
    <mergeCell ref="E1:G1"/>
    <mergeCell ref="L1:R1"/>
    <mergeCell ref="A2:R2"/>
    <mergeCell ref="A4:A5"/>
    <mergeCell ref="B4:B5"/>
    <mergeCell ref="C4:C5"/>
    <mergeCell ref="D4:I4"/>
    <mergeCell ref="J4:Q4"/>
    <mergeCell ref="R4:R5"/>
    <mergeCell ref="F5:H5"/>
    <mergeCell ref="B7:Q7"/>
    <mergeCell ref="A8:A9"/>
    <mergeCell ref="B8:B9"/>
    <mergeCell ref="C8:C9"/>
    <mergeCell ref="R8:R23"/>
    <mergeCell ref="A10:A11"/>
    <mergeCell ref="B10:B11"/>
    <mergeCell ref="C10:C11"/>
    <mergeCell ref="F11:H11"/>
    <mergeCell ref="A12:A15"/>
    <mergeCell ref="B12:B15"/>
    <mergeCell ref="C12:C15"/>
    <mergeCell ref="F12:H12"/>
    <mergeCell ref="F13:H13"/>
    <mergeCell ref="F14:H14"/>
    <mergeCell ref="F15:H15"/>
    <mergeCell ref="A16:A17"/>
    <mergeCell ref="B16:B17"/>
    <mergeCell ref="C16:C17"/>
    <mergeCell ref="F16:H16"/>
    <mergeCell ref="F17:H17"/>
    <mergeCell ref="A18:A19"/>
    <mergeCell ref="B18:B19"/>
    <mergeCell ref="C18:C19"/>
    <mergeCell ref="F18:H18"/>
    <mergeCell ref="F19:H19"/>
    <mergeCell ref="A20:A22"/>
    <mergeCell ref="B20:B22"/>
    <mergeCell ref="C20:C22"/>
    <mergeCell ref="F20:H20"/>
    <mergeCell ref="F21:H21"/>
    <mergeCell ref="F22:H22"/>
    <mergeCell ref="A23:A25"/>
    <mergeCell ref="B23:B25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B32:Q32"/>
    <mergeCell ref="A33:A34"/>
    <mergeCell ref="B33:B34"/>
    <mergeCell ref="C33:C34"/>
    <mergeCell ref="F33:H33"/>
    <mergeCell ref="R33:R37"/>
    <mergeCell ref="F34:H34"/>
    <mergeCell ref="A35:A37"/>
    <mergeCell ref="B35:B37"/>
    <mergeCell ref="C35:C37"/>
    <mergeCell ref="F35:H35"/>
    <mergeCell ref="F36:H36"/>
    <mergeCell ref="F37:H37"/>
    <mergeCell ref="F38:H38"/>
    <mergeCell ref="F39:H39"/>
    <mergeCell ref="F40:H40"/>
    <mergeCell ref="B41:Q41"/>
    <mergeCell ref="F42:H42"/>
    <mergeCell ref="F43:H43"/>
    <mergeCell ref="A44:A45"/>
    <mergeCell ref="B44:B45"/>
    <mergeCell ref="C44:C45"/>
    <mergeCell ref="F44:H44"/>
    <mergeCell ref="F45:H45"/>
    <mergeCell ref="F46:H46"/>
    <mergeCell ref="F47:H47"/>
    <mergeCell ref="A48:A49"/>
    <mergeCell ref="B48:B49"/>
    <mergeCell ref="C48:C49"/>
    <mergeCell ref="F48:H48"/>
    <mergeCell ref="F49:H49"/>
    <mergeCell ref="A50:A51"/>
    <mergeCell ref="B50:B51"/>
    <mergeCell ref="C50:C51"/>
    <mergeCell ref="F50:H50"/>
    <mergeCell ref="F51:H51"/>
    <mergeCell ref="F52:H52"/>
    <mergeCell ref="A61:I61"/>
    <mergeCell ref="J61:K61"/>
    <mergeCell ref="P61:R61"/>
    <mergeCell ref="F53:H53"/>
    <mergeCell ref="F54:H54"/>
    <mergeCell ref="F55:H55"/>
    <mergeCell ref="F56:H56"/>
    <mergeCell ref="F57:H57"/>
    <mergeCell ref="F60:H60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A33" zoomScale="75" zoomScaleNormal="75" workbookViewId="0">
      <selection activeCell="M40" sqref="M40"/>
    </sheetView>
  </sheetViews>
  <sheetFormatPr defaultRowHeight="15.75" x14ac:dyDescent="0.2"/>
  <cols>
    <col min="1" max="1" width="6.5703125" style="7" customWidth="1"/>
    <col min="2" max="2" width="31.42578125" style="4" customWidth="1"/>
    <col min="3" max="3" width="16.140625" style="4" customWidth="1"/>
    <col min="4" max="5" width="9.140625" style="4"/>
    <col min="6" max="6" width="4.5703125" style="4" customWidth="1"/>
    <col min="7" max="7" width="2.42578125" style="4" customWidth="1"/>
    <col min="8" max="8" width="6.85546875" style="4" customWidth="1"/>
    <col min="9" max="9" width="9.140625" style="4"/>
    <col min="10" max="10" width="11.7109375" style="4" customWidth="1"/>
    <col min="11" max="11" width="11.85546875" style="4" customWidth="1"/>
    <col min="12" max="12" width="12" style="4" customWidth="1"/>
    <col min="13" max="13" width="12" style="202" customWidth="1"/>
    <col min="14" max="15" width="11.85546875" style="4" customWidth="1"/>
    <col min="16" max="16" width="11.5703125" style="4" customWidth="1"/>
    <col min="17" max="17" width="14" style="4" customWidth="1"/>
    <col min="18" max="18" width="24.140625" style="4" customWidth="1"/>
    <col min="19" max="19" width="18" style="4" customWidth="1"/>
    <col min="20" max="16384" width="9.140625" style="4"/>
  </cols>
  <sheetData>
    <row r="1" spans="1:20" ht="106.5" customHeight="1" x14ac:dyDescent="0.2">
      <c r="A1" s="12"/>
      <c r="B1" s="13"/>
      <c r="C1" s="13"/>
      <c r="D1" s="13"/>
      <c r="E1" s="719"/>
      <c r="F1" s="719"/>
      <c r="G1" s="719"/>
      <c r="H1" s="13"/>
      <c r="I1" s="13"/>
      <c r="J1" s="13"/>
      <c r="K1" s="13"/>
      <c r="L1" s="719" t="s">
        <v>313</v>
      </c>
      <c r="M1" s="719"/>
      <c r="N1" s="719"/>
      <c r="O1" s="719"/>
      <c r="P1" s="719"/>
      <c r="Q1" s="719"/>
      <c r="R1" s="719"/>
    </row>
    <row r="2" spans="1:20" ht="39" customHeight="1" x14ac:dyDescent="0.2">
      <c r="A2" s="856" t="s">
        <v>92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</row>
    <row r="3" spans="1:20" s="49" customFormat="1" x14ac:dyDescent="0.2">
      <c r="A3" s="40"/>
      <c r="E3" s="66"/>
      <c r="F3" s="67" t="s">
        <v>57</v>
      </c>
      <c r="G3" s="66">
        <v>4</v>
      </c>
      <c r="H3" s="66"/>
      <c r="M3" s="212"/>
    </row>
    <row r="4" spans="1:20" s="49" customFormat="1" ht="18" customHeight="1" x14ac:dyDescent="0.2">
      <c r="A4" s="924" t="s">
        <v>58</v>
      </c>
      <c r="B4" s="929" t="s">
        <v>1</v>
      </c>
      <c r="C4" s="929" t="s">
        <v>139</v>
      </c>
      <c r="D4" s="929" t="s">
        <v>59</v>
      </c>
      <c r="E4" s="929"/>
      <c r="F4" s="929"/>
      <c r="G4" s="929"/>
      <c r="H4" s="929"/>
      <c r="I4" s="929"/>
      <c r="J4" s="929" t="s">
        <v>3</v>
      </c>
      <c r="K4" s="929"/>
      <c r="L4" s="929"/>
      <c r="M4" s="929"/>
      <c r="N4" s="929"/>
      <c r="O4" s="929"/>
      <c r="P4" s="929"/>
      <c r="Q4" s="929"/>
      <c r="R4" s="929" t="s">
        <v>60</v>
      </c>
    </row>
    <row r="5" spans="1:20" s="49" customFormat="1" ht="83.25" customHeight="1" x14ac:dyDescent="0.2">
      <c r="A5" s="924"/>
      <c r="B5" s="929"/>
      <c r="C5" s="929"/>
      <c r="D5" s="64" t="s">
        <v>138</v>
      </c>
      <c r="E5" s="64" t="s">
        <v>4</v>
      </c>
      <c r="F5" s="929" t="s">
        <v>5</v>
      </c>
      <c r="G5" s="929"/>
      <c r="H5" s="929"/>
      <c r="I5" s="64" t="s">
        <v>6</v>
      </c>
      <c r="J5" s="64" t="s">
        <v>7</v>
      </c>
      <c r="K5" s="64" t="s">
        <v>8</v>
      </c>
      <c r="L5" s="64" t="s">
        <v>9</v>
      </c>
      <c r="M5" s="213" t="s">
        <v>122</v>
      </c>
      <c r="N5" s="64" t="s">
        <v>160</v>
      </c>
      <c r="O5" s="64" t="s">
        <v>163</v>
      </c>
      <c r="P5" s="64" t="s">
        <v>164</v>
      </c>
      <c r="Q5" s="64" t="s">
        <v>317</v>
      </c>
      <c r="R5" s="929"/>
      <c r="S5" s="215">
        <f>M8+M12+M14+M32+M20</f>
        <v>34409</v>
      </c>
      <c r="T5" s="215">
        <f>S5-S6</f>
        <v>-0.30000000000291038</v>
      </c>
    </row>
    <row r="6" spans="1:20" s="49" customFormat="1" ht="21.75" customHeight="1" x14ac:dyDescent="0.2">
      <c r="A6" s="40"/>
      <c r="B6" s="931" t="s">
        <v>93</v>
      </c>
      <c r="C6" s="931"/>
      <c r="D6" s="931"/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64"/>
      <c r="S6" s="212">
        <f>'[13]ГПприл6-ГЗ'!AE5</f>
        <v>34409.300000000003</v>
      </c>
      <c r="T6" s="212"/>
    </row>
    <row r="7" spans="1:20" s="49" customFormat="1" ht="21" customHeight="1" x14ac:dyDescent="0.2">
      <c r="A7" s="40" t="s">
        <v>62</v>
      </c>
      <c r="B7" s="931" t="s">
        <v>94</v>
      </c>
      <c r="C7" s="931"/>
      <c r="D7" s="931"/>
      <c r="E7" s="931"/>
      <c r="F7" s="931"/>
      <c r="G7" s="931"/>
      <c r="H7" s="931"/>
      <c r="I7" s="931"/>
      <c r="J7" s="931"/>
      <c r="K7" s="931"/>
      <c r="L7" s="931"/>
      <c r="M7" s="931"/>
      <c r="N7" s="931"/>
      <c r="O7" s="931"/>
      <c r="P7" s="931"/>
      <c r="Q7" s="931"/>
    </row>
    <row r="8" spans="1:20" s="49" customFormat="1" ht="57" customHeight="1" x14ac:dyDescent="0.2">
      <c r="A8" s="924" t="s">
        <v>64</v>
      </c>
      <c r="B8" s="929" t="s">
        <v>45</v>
      </c>
      <c r="C8" s="929" t="s">
        <v>66</v>
      </c>
      <c r="D8" s="40" t="s">
        <v>14</v>
      </c>
      <c r="E8" s="40" t="s">
        <v>18</v>
      </c>
      <c r="F8" s="924" t="s">
        <v>186</v>
      </c>
      <c r="G8" s="924"/>
      <c r="H8" s="924"/>
      <c r="I8" s="40" t="s">
        <v>67</v>
      </c>
      <c r="J8" s="39">
        <v>0</v>
      </c>
      <c r="K8" s="39">
        <v>0</v>
      </c>
      <c r="L8" s="39">
        <v>33663.5</v>
      </c>
      <c r="M8" s="214">
        <f>30746.9-2852.5+295.7</f>
        <v>28190.100000000002</v>
      </c>
      <c r="N8" s="39">
        <v>28708.6</v>
      </c>
      <c r="O8" s="39">
        <v>28708.6</v>
      </c>
      <c r="P8" s="39">
        <v>28708.6</v>
      </c>
      <c r="Q8" s="39">
        <f>SUM(J8:P8)</f>
        <v>147979.40000000002</v>
      </c>
      <c r="R8" s="930" t="s">
        <v>320</v>
      </c>
    </row>
    <row r="9" spans="1:20" s="49" customFormat="1" ht="29.25" customHeight="1" x14ac:dyDescent="0.2">
      <c r="A9" s="924"/>
      <c r="B9" s="929"/>
      <c r="C9" s="929"/>
      <c r="D9" s="40" t="s">
        <v>14</v>
      </c>
      <c r="E9" s="40" t="s">
        <v>18</v>
      </c>
      <c r="F9" s="924" t="s">
        <v>251</v>
      </c>
      <c r="G9" s="924"/>
      <c r="H9" s="924"/>
      <c r="I9" s="40" t="s">
        <v>67</v>
      </c>
      <c r="J9" s="39">
        <v>31292.1</v>
      </c>
      <c r="K9" s="39">
        <v>33214.9</v>
      </c>
      <c r="L9" s="39">
        <v>0</v>
      </c>
      <c r="M9" s="214">
        <v>0</v>
      </c>
      <c r="N9" s="39">
        <v>0</v>
      </c>
      <c r="O9" s="39">
        <v>0</v>
      </c>
      <c r="P9" s="39">
        <v>0</v>
      </c>
      <c r="Q9" s="39">
        <f t="shared" ref="Q9:Q33" si="0">SUM(J9:P9)</f>
        <v>64507</v>
      </c>
      <c r="R9" s="930"/>
    </row>
    <row r="10" spans="1:20" s="49" customFormat="1" ht="42.75" customHeight="1" x14ac:dyDescent="0.2">
      <c r="A10" s="924" t="s">
        <v>69</v>
      </c>
      <c r="B10" s="929" t="s">
        <v>106</v>
      </c>
      <c r="C10" s="929" t="s">
        <v>66</v>
      </c>
      <c r="D10" s="40" t="s">
        <v>14</v>
      </c>
      <c r="E10" s="40" t="s">
        <v>18</v>
      </c>
      <c r="F10" s="924" t="s">
        <v>186</v>
      </c>
      <c r="G10" s="924"/>
      <c r="H10" s="924"/>
      <c r="I10" s="40" t="s">
        <v>68</v>
      </c>
      <c r="J10" s="39">
        <v>0</v>
      </c>
      <c r="K10" s="39">
        <v>0</v>
      </c>
      <c r="L10" s="39">
        <v>1700.1</v>
      </c>
      <c r="M10" s="214">
        <v>84.7</v>
      </c>
      <c r="N10" s="39">
        <v>0</v>
      </c>
      <c r="O10" s="39">
        <v>0</v>
      </c>
      <c r="P10" s="39">
        <v>0</v>
      </c>
      <c r="Q10" s="39">
        <f t="shared" si="0"/>
        <v>1784.8</v>
      </c>
      <c r="R10" s="930"/>
    </row>
    <row r="11" spans="1:20" s="49" customFormat="1" ht="42.75" customHeight="1" x14ac:dyDescent="0.2">
      <c r="A11" s="924"/>
      <c r="B11" s="929"/>
      <c r="C11" s="929"/>
      <c r="D11" s="40" t="s">
        <v>14</v>
      </c>
      <c r="E11" s="40" t="s">
        <v>18</v>
      </c>
      <c r="F11" s="924" t="s">
        <v>251</v>
      </c>
      <c r="G11" s="924"/>
      <c r="H11" s="924"/>
      <c r="I11" s="40" t="s">
        <v>68</v>
      </c>
      <c r="J11" s="39">
        <v>450.9</v>
      </c>
      <c r="K11" s="39">
        <v>430.3</v>
      </c>
      <c r="L11" s="39"/>
      <c r="M11" s="214"/>
      <c r="N11" s="39"/>
      <c r="O11" s="39"/>
      <c r="P11" s="39"/>
      <c r="Q11" s="39">
        <f t="shared" si="0"/>
        <v>881.2</v>
      </c>
      <c r="R11" s="930"/>
    </row>
    <row r="12" spans="1:20" s="49" customFormat="1" ht="53.25" customHeight="1" x14ac:dyDescent="0.2">
      <c r="A12" s="924" t="s">
        <v>70</v>
      </c>
      <c r="B12" s="929" t="s">
        <v>95</v>
      </c>
      <c r="C12" s="929" t="s">
        <v>66</v>
      </c>
      <c r="D12" s="40" t="s">
        <v>14</v>
      </c>
      <c r="E12" s="40" t="s">
        <v>18</v>
      </c>
      <c r="F12" s="924" t="s">
        <v>187</v>
      </c>
      <c r="G12" s="924"/>
      <c r="H12" s="924"/>
      <c r="I12" s="40" t="s">
        <v>67</v>
      </c>
      <c r="J12" s="39">
        <v>0</v>
      </c>
      <c r="K12" s="39">
        <v>0</v>
      </c>
      <c r="L12" s="39">
        <v>3590.2</v>
      </c>
      <c r="M12" s="214">
        <f>3692.2-897.5-29.3</f>
        <v>2765.3999999999996</v>
      </c>
      <c r="N12" s="39">
        <v>2698.3</v>
      </c>
      <c r="O12" s="39">
        <v>2698.3</v>
      </c>
      <c r="P12" s="39">
        <v>2698.3</v>
      </c>
      <c r="Q12" s="39">
        <f t="shared" si="0"/>
        <v>14450.5</v>
      </c>
      <c r="R12" s="930"/>
    </row>
    <row r="13" spans="1:20" s="49" customFormat="1" ht="32.25" customHeight="1" x14ac:dyDescent="0.2">
      <c r="A13" s="924"/>
      <c r="B13" s="929"/>
      <c r="C13" s="929"/>
      <c r="D13" s="40" t="s">
        <v>14</v>
      </c>
      <c r="E13" s="40" t="s">
        <v>18</v>
      </c>
      <c r="F13" s="924" t="s">
        <v>252</v>
      </c>
      <c r="G13" s="924"/>
      <c r="H13" s="924"/>
      <c r="I13" s="40" t="s">
        <v>67</v>
      </c>
      <c r="J13" s="39">
        <f>1320.1-0.05</f>
        <v>1320.05</v>
      </c>
      <c r="K13" s="39">
        <v>2218.6999999999998</v>
      </c>
      <c r="L13" s="39">
        <v>0</v>
      </c>
      <c r="M13" s="214">
        <v>0</v>
      </c>
      <c r="N13" s="39">
        <v>0</v>
      </c>
      <c r="O13" s="39">
        <v>0</v>
      </c>
      <c r="P13" s="39">
        <v>0</v>
      </c>
      <c r="Q13" s="39">
        <f t="shared" si="0"/>
        <v>3538.75</v>
      </c>
      <c r="R13" s="930"/>
    </row>
    <row r="14" spans="1:20" s="49" customFormat="1" ht="50.25" customHeight="1" x14ac:dyDescent="0.2">
      <c r="A14" s="924" t="s">
        <v>107</v>
      </c>
      <c r="B14" s="929" t="s">
        <v>96</v>
      </c>
      <c r="C14" s="929" t="s">
        <v>66</v>
      </c>
      <c r="D14" s="40" t="s">
        <v>14</v>
      </c>
      <c r="E14" s="40" t="s">
        <v>18</v>
      </c>
      <c r="F14" s="924" t="s">
        <v>188</v>
      </c>
      <c r="G14" s="924"/>
      <c r="H14" s="924"/>
      <c r="I14" s="40" t="s">
        <v>67</v>
      </c>
      <c r="J14" s="39">
        <v>0</v>
      </c>
      <c r="K14" s="39">
        <v>0</v>
      </c>
      <c r="L14" s="39">
        <v>150.30000000000001</v>
      </c>
      <c r="M14" s="214">
        <f>204.4+28.3+43</f>
        <v>275.70000000000005</v>
      </c>
      <c r="N14" s="39">
        <v>131.9</v>
      </c>
      <c r="O14" s="39">
        <v>131.9</v>
      </c>
      <c r="P14" s="39">
        <v>131.9</v>
      </c>
      <c r="Q14" s="39">
        <f t="shared" si="0"/>
        <v>821.7</v>
      </c>
      <c r="R14" s="930"/>
    </row>
    <row r="15" spans="1:20" s="49" customFormat="1" ht="32.25" customHeight="1" x14ac:dyDescent="0.2">
      <c r="A15" s="924"/>
      <c r="B15" s="929"/>
      <c r="C15" s="929"/>
      <c r="D15" s="40" t="s">
        <v>14</v>
      </c>
      <c r="E15" s="40" t="s">
        <v>18</v>
      </c>
      <c r="F15" s="924" t="s">
        <v>253</v>
      </c>
      <c r="G15" s="924"/>
      <c r="H15" s="924"/>
      <c r="I15" s="40" t="s">
        <v>67</v>
      </c>
      <c r="J15" s="39">
        <f>177.2-0.05</f>
        <v>177.14999999999998</v>
      </c>
      <c r="K15" s="39">
        <v>129.9</v>
      </c>
      <c r="L15" s="39">
        <v>0</v>
      </c>
      <c r="M15" s="214">
        <v>0</v>
      </c>
      <c r="N15" s="39">
        <v>0</v>
      </c>
      <c r="O15" s="39">
        <v>0</v>
      </c>
      <c r="P15" s="39">
        <v>0</v>
      </c>
      <c r="Q15" s="39">
        <f t="shared" si="0"/>
        <v>307.04999999999995</v>
      </c>
      <c r="R15" s="68"/>
    </row>
    <row r="16" spans="1:20" s="49" customFormat="1" ht="261.75" customHeight="1" x14ac:dyDescent="0.2">
      <c r="A16" s="40" t="s">
        <v>114</v>
      </c>
      <c r="B16" s="65" t="s">
        <v>155</v>
      </c>
      <c r="C16" s="61" t="s">
        <v>66</v>
      </c>
      <c r="D16" s="40" t="s">
        <v>14</v>
      </c>
      <c r="E16" s="40" t="s">
        <v>18</v>
      </c>
      <c r="F16" s="924" t="s">
        <v>157</v>
      </c>
      <c r="G16" s="924"/>
      <c r="H16" s="924"/>
      <c r="I16" s="40" t="s">
        <v>68</v>
      </c>
      <c r="J16" s="39">
        <v>0</v>
      </c>
      <c r="K16" s="39">
        <v>130.30000000000001</v>
      </c>
      <c r="L16" s="39">
        <v>0</v>
      </c>
      <c r="M16" s="214">
        <v>0</v>
      </c>
      <c r="N16" s="39">
        <v>0</v>
      </c>
      <c r="O16" s="39">
        <v>0</v>
      </c>
      <c r="P16" s="39"/>
      <c r="Q16" s="39">
        <f t="shared" si="0"/>
        <v>130.30000000000001</v>
      </c>
      <c r="R16" s="73" t="s">
        <v>165</v>
      </c>
    </row>
    <row r="17" spans="1:18" s="49" customFormat="1" ht="278.25" customHeight="1" x14ac:dyDescent="0.2">
      <c r="A17" s="40" t="s">
        <v>115</v>
      </c>
      <c r="B17" s="61" t="s">
        <v>156</v>
      </c>
      <c r="C17" s="61" t="s">
        <v>66</v>
      </c>
      <c r="D17" s="40" t="s">
        <v>14</v>
      </c>
      <c r="E17" s="40" t="s">
        <v>18</v>
      </c>
      <c r="F17" s="924" t="s">
        <v>158</v>
      </c>
      <c r="G17" s="924"/>
      <c r="H17" s="924"/>
      <c r="I17" s="40" t="s">
        <v>68</v>
      </c>
      <c r="J17" s="39">
        <v>0</v>
      </c>
      <c r="K17" s="39">
        <v>32.6</v>
      </c>
      <c r="L17" s="39">
        <v>0</v>
      </c>
      <c r="M17" s="214">
        <v>0</v>
      </c>
      <c r="N17" s="39">
        <v>0</v>
      </c>
      <c r="O17" s="39">
        <v>0</v>
      </c>
      <c r="P17" s="39"/>
      <c r="Q17" s="39">
        <f t="shared" si="0"/>
        <v>32.6</v>
      </c>
      <c r="R17" s="68"/>
    </row>
    <row r="18" spans="1:18" s="49" customFormat="1" ht="224.25" customHeight="1" x14ac:dyDescent="0.2">
      <c r="A18" s="40" t="s">
        <v>142</v>
      </c>
      <c r="B18" s="61" t="s">
        <v>229</v>
      </c>
      <c r="C18" s="61" t="s">
        <v>66</v>
      </c>
      <c r="D18" s="40" t="s">
        <v>14</v>
      </c>
      <c r="E18" s="40" t="s">
        <v>18</v>
      </c>
      <c r="F18" s="924" t="s">
        <v>230</v>
      </c>
      <c r="G18" s="924"/>
      <c r="H18" s="924"/>
      <c r="I18" s="40" t="s">
        <v>68</v>
      </c>
      <c r="J18" s="39">
        <v>0</v>
      </c>
      <c r="K18" s="39">
        <v>0</v>
      </c>
      <c r="L18" s="39">
        <v>600</v>
      </c>
      <c r="M18" s="214">
        <v>0</v>
      </c>
      <c r="N18" s="39">
        <v>0</v>
      </c>
      <c r="O18" s="39">
        <v>0</v>
      </c>
      <c r="P18" s="39"/>
      <c r="Q18" s="39">
        <f t="shared" si="0"/>
        <v>600</v>
      </c>
      <c r="R18" s="68" t="s">
        <v>265</v>
      </c>
    </row>
    <row r="19" spans="1:18" s="49" customFormat="1" ht="108.75" customHeight="1" x14ac:dyDescent="0.2">
      <c r="A19" s="40" t="s">
        <v>212</v>
      </c>
      <c r="B19" s="61" t="s">
        <v>214</v>
      </c>
      <c r="C19" s="61" t="s">
        <v>66</v>
      </c>
      <c r="D19" s="40" t="s">
        <v>14</v>
      </c>
      <c r="E19" s="40" t="s">
        <v>18</v>
      </c>
      <c r="F19" s="924" t="s">
        <v>281</v>
      </c>
      <c r="G19" s="924"/>
      <c r="H19" s="924"/>
      <c r="I19" s="40" t="s">
        <v>68</v>
      </c>
      <c r="J19" s="39">
        <v>0</v>
      </c>
      <c r="K19" s="39">
        <v>0</v>
      </c>
      <c r="L19" s="39">
        <v>9.1</v>
      </c>
      <c r="M19" s="214">
        <v>5</v>
      </c>
      <c r="N19" s="39">
        <v>0</v>
      </c>
      <c r="O19" s="39">
        <v>0</v>
      </c>
      <c r="P19" s="39"/>
      <c r="Q19" s="39">
        <f t="shared" si="0"/>
        <v>14.1</v>
      </c>
      <c r="R19" s="68"/>
    </row>
    <row r="20" spans="1:18" s="49" customFormat="1" ht="249" customHeight="1" x14ac:dyDescent="0.2">
      <c r="A20" s="40" t="s">
        <v>215</v>
      </c>
      <c r="B20" s="61" t="s">
        <v>189</v>
      </c>
      <c r="C20" s="61" t="s">
        <v>66</v>
      </c>
      <c r="D20" s="40" t="s">
        <v>14</v>
      </c>
      <c r="E20" s="40" t="s">
        <v>18</v>
      </c>
      <c r="F20" s="924" t="s">
        <v>190</v>
      </c>
      <c r="G20" s="924"/>
      <c r="H20" s="924"/>
      <c r="I20" s="40" t="s">
        <v>67</v>
      </c>
      <c r="J20" s="39">
        <v>0</v>
      </c>
      <c r="K20" s="39">
        <v>0</v>
      </c>
      <c r="L20" s="39">
        <v>69.8</v>
      </c>
      <c r="M20" s="214">
        <f>65.8+3.9</f>
        <v>69.7</v>
      </c>
      <c r="N20" s="39">
        <v>60.3</v>
      </c>
      <c r="O20" s="39">
        <v>60.3</v>
      </c>
      <c r="P20" s="39">
        <v>60.3</v>
      </c>
      <c r="Q20" s="39">
        <f>SUM(J20:P20)</f>
        <v>320.40000000000003</v>
      </c>
      <c r="R20" s="68"/>
    </row>
    <row r="21" spans="1:18" s="49" customFormat="1" ht="157.5" customHeight="1" x14ac:dyDescent="0.2">
      <c r="A21" s="40" t="s">
        <v>218</v>
      </c>
      <c r="B21" s="61" t="s">
        <v>216</v>
      </c>
      <c r="C21" s="61" t="s">
        <v>66</v>
      </c>
      <c r="D21" s="40" t="s">
        <v>14</v>
      </c>
      <c r="E21" s="40" t="s">
        <v>18</v>
      </c>
      <c r="F21" s="924" t="s">
        <v>217</v>
      </c>
      <c r="G21" s="924"/>
      <c r="H21" s="924"/>
      <c r="I21" s="40" t="s">
        <v>68</v>
      </c>
      <c r="J21" s="39">
        <v>0</v>
      </c>
      <c r="K21" s="39">
        <v>0</v>
      </c>
      <c r="L21" s="39">
        <v>100</v>
      </c>
      <c r="M21" s="214">
        <v>0</v>
      </c>
      <c r="N21" s="39">
        <v>0</v>
      </c>
      <c r="O21" s="39">
        <v>0</v>
      </c>
      <c r="P21" s="39"/>
      <c r="Q21" s="39">
        <f t="shared" si="0"/>
        <v>100</v>
      </c>
      <c r="R21" s="68"/>
    </row>
    <row r="22" spans="1:18" s="49" customFormat="1" ht="149.25" hidden="1" customHeight="1" x14ac:dyDescent="0.2">
      <c r="A22" s="40"/>
      <c r="B22" s="61"/>
      <c r="C22" s="61"/>
      <c r="D22" s="40"/>
      <c r="E22" s="40"/>
      <c r="F22" s="924"/>
      <c r="G22" s="924"/>
      <c r="H22" s="924"/>
      <c r="I22" s="40"/>
      <c r="J22" s="39"/>
      <c r="K22" s="39"/>
      <c r="L22" s="39"/>
      <c r="M22" s="214"/>
      <c r="N22" s="39"/>
      <c r="O22" s="39"/>
      <c r="P22" s="39"/>
      <c r="Q22" s="39">
        <f t="shared" si="0"/>
        <v>0</v>
      </c>
      <c r="R22" s="68"/>
    </row>
    <row r="23" spans="1:18" s="49" customFormat="1" ht="149.25" hidden="1" customHeight="1" x14ac:dyDescent="0.2">
      <c r="A23" s="40"/>
      <c r="B23" s="61"/>
      <c r="C23" s="61"/>
      <c r="D23" s="40"/>
      <c r="E23" s="40"/>
      <c r="F23" s="924"/>
      <c r="G23" s="924"/>
      <c r="H23" s="924"/>
      <c r="I23" s="40"/>
      <c r="J23" s="39"/>
      <c r="K23" s="39"/>
      <c r="L23" s="39"/>
      <c r="M23" s="214"/>
      <c r="N23" s="39"/>
      <c r="O23" s="39"/>
      <c r="P23" s="39"/>
      <c r="Q23" s="39">
        <f t="shared" si="0"/>
        <v>0</v>
      </c>
      <c r="R23" s="68"/>
    </row>
    <row r="24" spans="1:18" s="49" customFormat="1" ht="100.5" customHeight="1" x14ac:dyDescent="0.2">
      <c r="A24" s="40" t="s">
        <v>219</v>
      </c>
      <c r="B24" s="61" t="s">
        <v>220</v>
      </c>
      <c r="C24" s="61" t="s">
        <v>66</v>
      </c>
      <c r="D24" s="40" t="s">
        <v>14</v>
      </c>
      <c r="E24" s="40" t="s">
        <v>222</v>
      </c>
      <c r="F24" s="924" t="s">
        <v>223</v>
      </c>
      <c r="G24" s="924"/>
      <c r="H24" s="924"/>
      <c r="I24" s="40" t="s">
        <v>68</v>
      </c>
      <c r="J24" s="39">
        <v>0</v>
      </c>
      <c r="K24" s="39">
        <v>0</v>
      </c>
      <c r="L24" s="39">
        <v>810</v>
      </c>
      <c r="M24" s="214">
        <v>0</v>
      </c>
      <c r="N24" s="39">
        <v>0</v>
      </c>
      <c r="O24" s="39">
        <v>0</v>
      </c>
      <c r="P24" s="39"/>
      <c r="Q24" s="39">
        <f t="shared" si="0"/>
        <v>810</v>
      </c>
      <c r="R24" s="68" t="s">
        <v>266</v>
      </c>
    </row>
    <row r="25" spans="1:18" s="49" customFormat="1" ht="183.75" customHeight="1" x14ac:dyDescent="0.2">
      <c r="A25" s="40" t="s">
        <v>228</v>
      </c>
      <c r="B25" s="61" t="s">
        <v>221</v>
      </c>
      <c r="C25" s="61" t="s">
        <v>66</v>
      </c>
      <c r="D25" s="40" t="s">
        <v>14</v>
      </c>
      <c r="E25" s="40" t="s">
        <v>222</v>
      </c>
      <c r="F25" s="924" t="s">
        <v>224</v>
      </c>
      <c r="G25" s="924"/>
      <c r="H25" s="924"/>
      <c r="I25" s="40" t="s">
        <v>68</v>
      </c>
      <c r="J25" s="39">
        <v>0</v>
      </c>
      <c r="K25" s="39">
        <v>0</v>
      </c>
      <c r="L25" s="39">
        <v>16</v>
      </c>
      <c r="M25" s="214">
        <v>0</v>
      </c>
      <c r="N25" s="39">
        <v>0</v>
      </c>
      <c r="O25" s="39">
        <v>0</v>
      </c>
      <c r="P25" s="39"/>
      <c r="Q25" s="39">
        <f t="shared" si="0"/>
        <v>16</v>
      </c>
      <c r="R25" s="68"/>
    </row>
    <row r="26" spans="1:18" s="49" customFormat="1" ht="263.25" customHeight="1" x14ac:dyDescent="0.2">
      <c r="A26" s="40" t="s">
        <v>254</v>
      </c>
      <c r="B26" s="61" t="s">
        <v>143</v>
      </c>
      <c r="C26" s="61" t="s">
        <v>66</v>
      </c>
      <c r="D26" s="40" t="s">
        <v>14</v>
      </c>
      <c r="E26" s="40" t="s">
        <v>18</v>
      </c>
      <c r="F26" s="924" t="s">
        <v>255</v>
      </c>
      <c r="G26" s="924"/>
      <c r="H26" s="924"/>
      <c r="I26" s="40" t="s">
        <v>67</v>
      </c>
      <c r="J26" s="39">
        <v>40</v>
      </c>
      <c r="K26" s="39">
        <v>0</v>
      </c>
      <c r="L26" s="39">
        <v>0</v>
      </c>
      <c r="M26" s="214">
        <v>0</v>
      </c>
      <c r="N26" s="39">
        <v>0</v>
      </c>
      <c r="O26" s="39">
        <v>0</v>
      </c>
      <c r="P26" s="39"/>
      <c r="Q26" s="39">
        <f t="shared" si="0"/>
        <v>40</v>
      </c>
      <c r="R26" s="68"/>
    </row>
    <row r="27" spans="1:18" s="49" customFormat="1" ht="237" customHeight="1" x14ac:dyDescent="0.2">
      <c r="A27" s="40" t="s">
        <v>283</v>
      </c>
      <c r="B27" s="71" t="s">
        <v>282</v>
      </c>
      <c r="C27" s="61" t="s">
        <v>66</v>
      </c>
      <c r="D27" s="40" t="s">
        <v>14</v>
      </c>
      <c r="E27" s="40" t="s">
        <v>18</v>
      </c>
      <c r="F27" s="924" t="s">
        <v>284</v>
      </c>
      <c r="G27" s="924"/>
      <c r="H27" s="924"/>
      <c r="I27" s="40" t="s">
        <v>68</v>
      </c>
      <c r="J27" s="39">
        <v>0</v>
      </c>
      <c r="K27" s="39">
        <v>0</v>
      </c>
      <c r="L27" s="39">
        <v>0</v>
      </c>
      <c r="M27" s="214">
        <v>189.9</v>
      </c>
      <c r="N27" s="39"/>
      <c r="O27" s="39"/>
      <c r="P27" s="39"/>
      <c r="Q27" s="39">
        <f t="shared" si="0"/>
        <v>189.9</v>
      </c>
      <c r="R27" s="68"/>
    </row>
    <row r="28" spans="1:18" s="49" customFormat="1" ht="234.75" customHeight="1" x14ac:dyDescent="0.25">
      <c r="A28" s="40" t="s">
        <v>285</v>
      </c>
      <c r="B28" s="60" t="s">
        <v>286</v>
      </c>
      <c r="C28" s="61" t="s">
        <v>66</v>
      </c>
      <c r="D28" s="40" t="s">
        <v>14</v>
      </c>
      <c r="E28" s="40" t="s">
        <v>18</v>
      </c>
      <c r="F28" s="924" t="s">
        <v>328</v>
      </c>
      <c r="G28" s="924"/>
      <c r="H28" s="924"/>
      <c r="I28" s="40" t="s">
        <v>68</v>
      </c>
      <c r="J28" s="39">
        <v>0</v>
      </c>
      <c r="K28" s="39">
        <v>0</v>
      </c>
      <c r="L28" s="39">
        <v>0</v>
      </c>
      <c r="M28" s="214">
        <v>355.92</v>
      </c>
      <c r="N28" s="39">
        <v>0</v>
      </c>
      <c r="O28" s="39">
        <v>0</v>
      </c>
      <c r="P28" s="39"/>
      <c r="Q28" s="39">
        <f t="shared" si="0"/>
        <v>355.92</v>
      </c>
      <c r="R28" s="68"/>
    </row>
    <row r="29" spans="1:18" s="49" customFormat="1" ht="135" customHeight="1" x14ac:dyDescent="0.25">
      <c r="A29" s="40" t="s">
        <v>285</v>
      </c>
      <c r="B29" s="60" t="s">
        <v>286</v>
      </c>
      <c r="C29" s="61" t="s">
        <v>66</v>
      </c>
      <c r="D29" s="40" t="s">
        <v>14</v>
      </c>
      <c r="E29" s="40" t="s">
        <v>18</v>
      </c>
      <c r="F29" s="924" t="s">
        <v>328</v>
      </c>
      <c r="G29" s="924"/>
      <c r="H29" s="924"/>
      <c r="I29" s="40" t="s">
        <v>68</v>
      </c>
      <c r="J29" s="39">
        <v>0</v>
      </c>
      <c r="K29" s="39">
        <v>0</v>
      </c>
      <c r="L29" s="39">
        <v>0</v>
      </c>
      <c r="M29" s="214">
        <v>3203.2</v>
      </c>
      <c r="N29" s="39">
        <v>0</v>
      </c>
      <c r="O29" s="39">
        <v>0</v>
      </c>
      <c r="P29" s="39"/>
      <c r="Q29" s="39">
        <f t="shared" si="0"/>
        <v>3203.2</v>
      </c>
      <c r="R29" s="68"/>
    </row>
    <row r="30" spans="1:18" s="49" customFormat="1" ht="204.75" x14ac:dyDescent="0.25">
      <c r="A30" s="40" t="s">
        <v>287</v>
      </c>
      <c r="B30" s="60" t="s">
        <v>288</v>
      </c>
      <c r="C30" s="61" t="s">
        <v>66</v>
      </c>
      <c r="D30" s="40" t="s">
        <v>14</v>
      </c>
      <c r="E30" s="40" t="s">
        <v>18</v>
      </c>
      <c r="F30" s="924" t="s">
        <v>289</v>
      </c>
      <c r="G30" s="924"/>
      <c r="H30" s="924"/>
      <c r="I30" s="40" t="s">
        <v>68</v>
      </c>
      <c r="J30" s="39">
        <v>0</v>
      </c>
      <c r="K30" s="39">
        <v>0</v>
      </c>
      <c r="L30" s="39">
        <v>0</v>
      </c>
      <c r="M30" s="214">
        <v>6323.8</v>
      </c>
      <c r="N30" s="39"/>
      <c r="O30" s="39"/>
      <c r="P30" s="39"/>
      <c r="Q30" s="39">
        <f t="shared" si="0"/>
        <v>6323.8</v>
      </c>
      <c r="R30" s="68"/>
    </row>
    <row r="31" spans="1:18" s="49" customFormat="1" ht="217.5" customHeight="1" x14ac:dyDescent="0.25">
      <c r="A31" s="40" t="s">
        <v>290</v>
      </c>
      <c r="B31" s="69" t="s">
        <v>291</v>
      </c>
      <c r="C31" s="61" t="s">
        <v>66</v>
      </c>
      <c r="D31" s="40" t="s">
        <v>14</v>
      </c>
      <c r="E31" s="40" t="s">
        <v>18</v>
      </c>
      <c r="F31" s="924" t="s">
        <v>292</v>
      </c>
      <c r="G31" s="924"/>
      <c r="H31" s="924"/>
      <c r="I31" s="40" t="s">
        <v>68</v>
      </c>
      <c r="J31" s="39">
        <v>0</v>
      </c>
      <c r="K31" s="39">
        <v>0</v>
      </c>
      <c r="L31" s="39">
        <v>0</v>
      </c>
      <c r="M31" s="214">
        <v>702.2</v>
      </c>
      <c r="N31" s="39">
        <v>0</v>
      </c>
      <c r="O31" s="39">
        <v>0</v>
      </c>
      <c r="P31" s="39"/>
      <c r="Q31" s="39">
        <f t="shared" si="0"/>
        <v>702.2</v>
      </c>
      <c r="R31" s="68"/>
    </row>
    <row r="32" spans="1:18" s="49" customFormat="1" ht="185.25" customHeight="1" x14ac:dyDescent="0.2">
      <c r="A32" s="40" t="s">
        <v>297</v>
      </c>
      <c r="B32" s="71" t="s">
        <v>310</v>
      </c>
      <c r="C32" s="61" t="s">
        <v>66</v>
      </c>
      <c r="D32" s="40" t="s">
        <v>14</v>
      </c>
      <c r="E32" s="40" t="s">
        <v>18</v>
      </c>
      <c r="F32" s="924" t="s">
        <v>299</v>
      </c>
      <c r="G32" s="924"/>
      <c r="H32" s="924"/>
      <c r="I32" s="40" t="s">
        <v>67</v>
      </c>
      <c r="J32" s="39"/>
      <c r="K32" s="39"/>
      <c r="L32" s="39"/>
      <c r="M32" s="214">
        <f>1037.7+282.9+1787.5</f>
        <v>3108.1</v>
      </c>
      <c r="N32" s="39"/>
      <c r="O32" s="39"/>
      <c r="P32" s="39"/>
      <c r="Q32" s="39">
        <f t="shared" si="0"/>
        <v>3108.1</v>
      </c>
      <c r="R32" s="68"/>
    </row>
    <row r="33" spans="1:19" s="49" customFormat="1" ht="207.75" customHeight="1" x14ac:dyDescent="0.2">
      <c r="A33" s="40" t="s">
        <v>298</v>
      </c>
      <c r="B33" s="72" t="s">
        <v>300</v>
      </c>
      <c r="C33" s="61" t="s">
        <v>66</v>
      </c>
      <c r="D33" s="40" t="s">
        <v>14</v>
      </c>
      <c r="E33" s="40" t="s">
        <v>18</v>
      </c>
      <c r="F33" s="924" t="s">
        <v>301</v>
      </c>
      <c r="G33" s="924"/>
      <c r="H33" s="924"/>
      <c r="I33" s="40" t="s">
        <v>68</v>
      </c>
      <c r="J33" s="39"/>
      <c r="K33" s="39"/>
      <c r="L33" s="39"/>
      <c r="M33" s="214">
        <v>100</v>
      </c>
      <c r="N33" s="39"/>
      <c r="O33" s="39"/>
      <c r="P33" s="39"/>
      <c r="Q33" s="39">
        <f t="shared" si="0"/>
        <v>100</v>
      </c>
      <c r="R33" s="68" t="s">
        <v>326</v>
      </c>
    </row>
    <row r="34" spans="1:19" s="49" customFormat="1" ht="21" customHeight="1" x14ac:dyDescent="0.2">
      <c r="A34" s="40"/>
      <c r="B34" s="49" t="s">
        <v>71</v>
      </c>
      <c r="C34" s="61"/>
      <c r="F34" s="924"/>
      <c r="G34" s="924"/>
      <c r="H34" s="924"/>
      <c r="J34" s="39">
        <f>SUM(J8:J28)</f>
        <v>33280.200000000004</v>
      </c>
      <c r="K34" s="39">
        <f>SUM(K8:K28)</f>
        <v>36156.700000000004</v>
      </c>
      <c r="L34" s="39">
        <f>SUM(L8:L28)</f>
        <v>40709</v>
      </c>
      <c r="M34" s="214">
        <f>SUM(M8:M33)</f>
        <v>45373.72</v>
      </c>
      <c r="N34" s="39">
        <f>SUM(N8:N26)</f>
        <v>31599.1</v>
      </c>
      <c r="O34" s="39">
        <f>SUM(O8:O26)</f>
        <v>31599.1</v>
      </c>
      <c r="P34" s="39">
        <f>SUM(P8:P26)</f>
        <v>31599.1</v>
      </c>
      <c r="Q34" s="39">
        <f>SUM(J34:P34)</f>
        <v>250316.92</v>
      </c>
      <c r="R34" s="61"/>
    </row>
    <row r="35" spans="1:19" s="49" customFormat="1" ht="20.25" customHeight="1" x14ac:dyDescent="0.2">
      <c r="A35" s="40"/>
      <c r="B35" s="49" t="s">
        <v>91</v>
      </c>
      <c r="F35" s="924"/>
      <c r="G35" s="924"/>
      <c r="H35" s="924"/>
      <c r="J35" s="39">
        <f t="shared" ref="J35:Q35" si="1">J34</f>
        <v>33280.200000000004</v>
      </c>
      <c r="K35" s="39">
        <f t="shared" si="1"/>
        <v>36156.700000000004</v>
      </c>
      <c r="L35" s="39">
        <f t="shared" si="1"/>
        <v>40709</v>
      </c>
      <c r="M35" s="214">
        <f t="shared" si="1"/>
        <v>45373.72</v>
      </c>
      <c r="N35" s="39">
        <f t="shared" si="1"/>
        <v>31599.1</v>
      </c>
      <c r="O35" s="39">
        <f t="shared" si="1"/>
        <v>31599.1</v>
      </c>
      <c r="P35" s="39">
        <f t="shared" si="1"/>
        <v>31599.1</v>
      </c>
      <c r="Q35" s="39">
        <f t="shared" si="1"/>
        <v>250316.92</v>
      </c>
    </row>
    <row r="36" spans="1:19" s="70" customFormat="1" ht="31.5" customHeight="1" x14ac:dyDescent="0.25">
      <c r="A36" s="925" t="s">
        <v>263</v>
      </c>
      <c r="B36" s="925"/>
      <c r="C36" s="925"/>
      <c r="D36" s="925"/>
      <c r="E36" s="925"/>
      <c r="F36" s="925"/>
      <c r="G36" s="925"/>
      <c r="H36" s="925"/>
      <c r="I36" s="925"/>
      <c r="J36" s="926" t="s">
        <v>321</v>
      </c>
      <c r="K36" s="927"/>
      <c r="L36" s="927"/>
      <c r="M36" s="927"/>
      <c r="N36" s="927"/>
      <c r="O36" s="927"/>
      <c r="P36" s="927"/>
      <c r="Q36" s="927"/>
      <c r="R36" s="927"/>
    </row>
    <row r="38" spans="1:19" x14ac:dyDescent="0.2">
      <c r="J38" s="3"/>
      <c r="K38" s="3"/>
      <c r="L38" s="3"/>
      <c r="M38" s="122"/>
      <c r="N38" s="3"/>
      <c r="O38" s="3"/>
      <c r="P38" s="3"/>
      <c r="Q38" s="3"/>
    </row>
    <row r="39" spans="1:19" x14ac:dyDescent="0.2">
      <c r="J39" s="3"/>
      <c r="K39" s="3"/>
      <c r="L39" s="230">
        <v>612</v>
      </c>
      <c r="M39" s="231"/>
      <c r="N39" s="231"/>
      <c r="O39" s="86"/>
      <c r="P39" s="86"/>
      <c r="Q39" s="86"/>
      <c r="R39" s="86"/>
      <c r="S39" s="103"/>
    </row>
    <row r="40" spans="1:19" x14ac:dyDescent="0.2">
      <c r="L40" s="230">
        <v>611</v>
      </c>
      <c r="M40" s="209">
        <f>M8+M12+M13+M14+M15+M20+M26+M32</f>
        <v>34409</v>
      </c>
      <c r="N40" s="209">
        <f>N8+N12+N13+N14+N15+N20+N26+N32</f>
        <v>31599.1</v>
      </c>
      <c r="O40" s="209">
        <f>O8+O12+O13+O14+O15+O20+O26+O32</f>
        <v>31599.1</v>
      </c>
      <c r="P40" s="209">
        <f>P8+P12+P13+P14+P15+P20+P26+P32</f>
        <v>31599.1</v>
      </c>
      <c r="Q40" s="86"/>
      <c r="R40" s="86"/>
      <c r="S40" s="103"/>
    </row>
    <row r="41" spans="1:19" x14ac:dyDescent="0.2">
      <c r="I41" s="928"/>
      <c r="J41" s="928"/>
      <c r="K41" s="928"/>
      <c r="Q41" s="86"/>
      <c r="R41" s="86"/>
      <c r="S41" s="103"/>
    </row>
  </sheetData>
  <mergeCells count="56">
    <mergeCell ref="E1:G1"/>
    <mergeCell ref="L1:R1"/>
    <mergeCell ref="A2:R2"/>
    <mergeCell ref="A4:A5"/>
    <mergeCell ref="B4:B5"/>
    <mergeCell ref="C4:C5"/>
    <mergeCell ref="D4:I4"/>
    <mergeCell ref="J4:Q4"/>
    <mergeCell ref="R4:R5"/>
    <mergeCell ref="F5:H5"/>
    <mergeCell ref="B6:Q6"/>
    <mergeCell ref="B7:Q7"/>
    <mergeCell ref="A8:A9"/>
    <mergeCell ref="B8:B9"/>
    <mergeCell ref="C8:C9"/>
    <mergeCell ref="F8:H8"/>
    <mergeCell ref="R8:R14"/>
    <mergeCell ref="F9:H9"/>
    <mergeCell ref="A10:A11"/>
    <mergeCell ref="B10:B11"/>
    <mergeCell ref="C10:C11"/>
    <mergeCell ref="F10:H10"/>
    <mergeCell ref="F11:H11"/>
    <mergeCell ref="A12:A13"/>
    <mergeCell ref="B12:B13"/>
    <mergeCell ref="C12:C13"/>
    <mergeCell ref="F12:H12"/>
    <mergeCell ref="F13:H13"/>
    <mergeCell ref="A14:A15"/>
    <mergeCell ref="B14:B15"/>
    <mergeCell ref="C14:C15"/>
    <mergeCell ref="F14:H14"/>
    <mergeCell ref="F15:H15"/>
    <mergeCell ref="F16:H16"/>
    <mergeCell ref="F17:H17"/>
    <mergeCell ref="F18:H18"/>
    <mergeCell ref="F19:H19"/>
    <mergeCell ref="F20:H20"/>
    <mergeCell ref="F21:H21"/>
    <mergeCell ref="F33:H33"/>
    <mergeCell ref="F22:H22"/>
    <mergeCell ref="F23:H23"/>
    <mergeCell ref="F24:H24"/>
    <mergeCell ref="F25:H25"/>
    <mergeCell ref="F26:H26"/>
    <mergeCell ref="F27:H27"/>
    <mergeCell ref="F34:H34"/>
    <mergeCell ref="F35:H35"/>
    <mergeCell ref="A36:I36"/>
    <mergeCell ref="J36:R36"/>
    <mergeCell ref="I41:K41"/>
    <mergeCell ref="F28:H28"/>
    <mergeCell ref="F29:H29"/>
    <mergeCell ref="F30:H30"/>
    <mergeCell ref="F31:H31"/>
    <mergeCell ref="F32:H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21" workbookViewId="0">
      <selection activeCell="M25" sqref="M25"/>
    </sheetView>
  </sheetViews>
  <sheetFormatPr defaultRowHeight="12.75" x14ac:dyDescent="0.2"/>
  <cols>
    <col min="1" max="1" width="4.28515625" style="17" customWidth="1"/>
    <col min="2" max="2" width="25.42578125" style="17" customWidth="1"/>
    <col min="3" max="3" width="12.85546875" style="17" customWidth="1"/>
    <col min="4" max="4" width="5.85546875" style="17" customWidth="1"/>
    <col min="5" max="5" width="5.7109375" style="17" customWidth="1"/>
    <col min="6" max="6" width="9" style="17" customWidth="1"/>
    <col min="7" max="7" width="2.7109375" style="17" customWidth="1"/>
    <col min="8" max="8" width="0.85546875" style="17" hidden="1" customWidth="1"/>
    <col min="9" max="9" width="6.28515625" style="17" customWidth="1"/>
    <col min="10" max="12" width="12.140625" style="17" customWidth="1"/>
    <col min="13" max="13" width="12.140625" style="142" customWidth="1"/>
    <col min="14" max="17" width="12.140625" style="17" customWidth="1"/>
    <col min="18" max="18" width="14.28515625" style="17" customWidth="1"/>
    <col min="19" max="20" width="14.42578125" style="17" customWidth="1"/>
    <col min="21" max="16384" width="9.140625" style="17"/>
  </cols>
  <sheetData>
    <row r="1" spans="1:20" ht="102.75" customHeight="1" x14ac:dyDescent="0.2">
      <c r="A1" s="34"/>
      <c r="B1" s="35"/>
      <c r="C1" s="35"/>
      <c r="D1" s="35"/>
      <c r="E1" s="944"/>
      <c r="F1" s="944"/>
      <c r="G1" s="944"/>
      <c r="H1" s="35"/>
      <c r="I1" s="35"/>
      <c r="J1" s="35"/>
      <c r="K1" s="35"/>
      <c r="L1" s="944" t="s">
        <v>314</v>
      </c>
      <c r="M1" s="944"/>
      <c r="N1" s="944"/>
      <c r="O1" s="944"/>
      <c r="P1" s="944"/>
      <c r="Q1" s="944"/>
      <c r="R1" s="944"/>
    </row>
    <row r="2" spans="1:20" x14ac:dyDescent="0.2">
      <c r="A2" s="945" t="s">
        <v>124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</row>
    <row r="3" spans="1:20" x14ac:dyDescent="0.2">
      <c r="A3" s="34"/>
      <c r="B3" s="35"/>
      <c r="C3" s="35"/>
      <c r="D3" s="35"/>
      <c r="E3" s="36"/>
      <c r="F3" s="37" t="s">
        <v>57</v>
      </c>
      <c r="G3" s="36">
        <v>5</v>
      </c>
      <c r="H3" s="36"/>
      <c r="I3" s="36"/>
      <c r="J3" s="35"/>
      <c r="K3" s="35"/>
      <c r="L3" s="35"/>
      <c r="M3" s="133"/>
      <c r="N3" s="35"/>
      <c r="O3" s="35"/>
      <c r="P3" s="35"/>
      <c r="Q3" s="35"/>
      <c r="R3" s="35"/>
    </row>
    <row r="4" spans="1:20" x14ac:dyDescent="0.2">
      <c r="A4" s="946" t="s">
        <v>58</v>
      </c>
      <c r="B4" s="947" t="s">
        <v>1</v>
      </c>
      <c r="C4" s="947" t="s">
        <v>139</v>
      </c>
      <c r="D4" s="947" t="s">
        <v>59</v>
      </c>
      <c r="E4" s="947"/>
      <c r="F4" s="947"/>
      <c r="G4" s="947"/>
      <c r="H4" s="947"/>
      <c r="I4" s="947"/>
      <c r="J4" s="947" t="s">
        <v>3</v>
      </c>
      <c r="K4" s="947"/>
      <c r="L4" s="947"/>
      <c r="M4" s="947"/>
      <c r="N4" s="947"/>
      <c r="O4" s="947"/>
      <c r="P4" s="947"/>
      <c r="Q4" s="947"/>
      <c r="R4" s="947" t="s">
        <v>60</v>
      </c>
      <c r="T4" s="17" t="s">
        <v>343</v>
      </c>
    </row>
    <row r="5" spans="1:20" ht="79.5" customHeight="1" x14ac:dyDescent="0.2">
      <c r="A5" s="946"/>
      <c r="B5" s="947"/>
      <c r="C5" s="947"/>
      <c r="D5" s="20" t="s">
        <v>138</v>
      </c>
      <c r="E5" s="20" t="s">
        <v>4</v>
      </c>
      <c r="F5" s="947" t="s">
        <v>5</v>
      </c>
      <c r="G5" s="947"/>
      <c r="H5" s="947"/>
      <c r="I5" s="20" t="s">
        <v>6</v>
      </c>
      <c r="J5" s="20" t="s">
        <v>7</v>
      </c>
      <c r="K5" s="20" t="s">
        <v>8</v>
      </c>
      <c r="L5" s="20" t="s">
        <v>9</v>
      </c>
      <c r="M5" s="134" t="s">
        <v>122</v>
      </c>
      <c r="N5" s="20" t="s">
        <v>160</v>
      </c>
      <c r="O5" s="20" t="s">
        <v>163</v>
      </c>
      <c r="P5" s="20" t="s">
        <v>164</v>
      </c>
      <c r="Q5" s="20" t="s">
        <v>317</v>
      </c>
      <c r="R5" s="947"/>
      <c r="T5" s="216">
        <f>M8+M12+M14+M16+M19</f>
        <v>20068.800000000003</v>
      </c>
    </row>
    <row r="6" spans="1:20" x14ac:dyDescent="0.2">
      <c r="A6" s="19"/>
      <c r="B6" s="942" t="s">
        <v>125</v>
      </c>
      <c r="C6" s="942"/>
      <c r="D6" s="942"/>
      <c r="E6" s="942"/>
      <c r="F6" s="942"/>
      <c r="G6" s="942"/>
      <c r="H6" s="942"/>
      <c r="I6" s="942"/>
      <c r="J6" s="942"/>
      <c r="K6" s="942"/>
      <c r="L6" s="942"/>
      <c r="M6" s="942"/>
      <c r="N6" s="942"/>
      <c r="O6" s="942"/>
      <c r="P6" s="942"/>
      <c r="Q6" s="942"/>
      <c r="R6" s="20"/>
      <c r="T6" s="216">
        <f>'[13]ГПприл6-ГЗ'!AE6</f>
        <v>20068.600000000002</v>
      </c>
    </row>
    <row r="7" spans="1:20" x14ac:dyDescent="0.2">
      <c r="A7" s="21" t="s">
        <v>62</v>
      </c>
      <c r="B7" s="943" t="s">
        <v>126</v>
      </c>
      <c r="C7" s="943"/>
      <c r="D7" s="943"/>
      <c r="E7" s="943"/>
      <c r="F7" s="943"/>
      <c r="G7" s="943"/>
      <c r="H7" s="943"/>
      <c r="I7" s="943"/>
      <c r="J7" s="943"/>
      <c r="K7" s="943"/>
      <c r="L7" s="943"/>
      <c r="M7" s="943"/>
      <c r="N7" s="943"/>
      <c r="O7" s="943"/>
      <c r="P7" s="943"/>
      <c r="Q7" s="943"/>
      <c r="R7" s="22"/>
      <c r="T7" s="216">
        <f>T5-T6</f>
        <v>0.2000000000007276</v>
      </c>
    </row>
    <row r="8" spans="1:20" ht="30" customHeight="1" x14ac:dyDescent="0.2">
      <c r="A8" s="937" t="s">
        <v>64</v>
      </c>
      <c r="B8" s="939" t="s">
        <v>127</v>
      </c>
      <c r="C8" s="939" t="s">
        <v>66</v>
      </c>
      <c r="D8" s="23" t="s">
        <v>14</v>
      </c>
      <c r="E8" s="23" t="s">
        <v>269</v>
      </c>
      <c r="F8" s="935" t="s">
        <v>181</v>
      </c>
      <c r="G8" s="935"/>
      <c r="H8" s="935"/>
      <c r="I8" s="23" t="s">
        <v>67</v>
      </c>
      <c r="J8" s="26">
        <v>0</v>
      </c>
      <c r="K8" s="26">
        <v>0</v>
      </c>
      <c r="L8" s="26">
        <f>17468.2-30</f>
        <v>17438.2</v>
      </c>
      <c r="M8" s="135">
        <f>16700.4+4.9+409.2</f>
        <v>17114.500000000004</v>
      </c>
      <c r="N8" s="26">
        <v>15712.5</v>
      </c>
      <c r="O8" s="26">
        <v>15712.5</v>
      </c>
      <c r="P8" s="26">
        <v>15712.5</v>
      </c>
      <c r="Q8" s="26">
        <f>SUM(J8:P8)</f>
        <v>81690.200000000012</v>
      </c>
      <c r="R8" s="941" t="s">
        <v>324</v>
      </c>
      <c r="T8" s="57"/>
    </row>
    <row r="9" spans="1:20" ht="39" customHeight="1" x14ac:dyDescent="0.2">
      <c r="A9" s="938"/>
      <c r="B9" s="940"/>
      <c r="C9" s="940"/>
      <c r="D9" s="23" t="s">
        <v>14</v>
      </c>
      <c r="E9" s="23" t="s">
        <v>269</v>
      </c>
      <c r="F9" s="935" t="s">
        <v>256</v>
      </c>
      <c r="G9" s="935"/>
      <c r="H9" s="935"/>
      <c r="I9" s="23" t="s">
        <v>67</v>
      </c>
      <c r="J9" s="26">
        <v>16702.400000000001</v>
      </c>
      <c r="K9" s="26">
        <v>17524.8</v>
      </c>
      <c r="L9" s="26">
        <v>0</v>
      </c>
      <c r="M9" s="135">
        <v>0</v>
      </c>
      <c r="N9" s="26">
        <v>0</v>
      </c>
      <c r="O9" s="26">
        <v>0</v>
      </c>
      <c r="P9" s="26">
        <v>0</v>
      </c>
      <c r="Q9" s="26">
        <f t="shared" ref="Q9:Q21" si="0">SUM(J9:P9)</f>
        <v>34227.199999999997</v>
      </c>
      <c r="R9" s="941"/>
      <c r="T9" s="57"/>
    </row>
    <row r="10" spans="1:20" ht="29.25" customHeight="1" x14ac:dyDescent="0.2">
      <c r="A10" s="937" t="s">
        <v>69</v>
      </c>
      <c r="B10" s="939" t="s">
        <v>106</v>
      </c>
      <c r="C10" s="939" t="s">
        <v>66</v>
      </c>
      <c r="D10" s="23" t="s">
        <v>14</v>
      </c>
      <c r="E10" s="23" t="s">
        <v>269</v>
      </c>
      <c r="F10" s="935" t="s">
        <v>181</v>
      </c>
      <c r="G10" s="935"/>
      <c r="H10" s="935"/>
      <c r="I10" s="23" t="s">
        <v>68</v>
      </c>
      <c r="J10" s="26">
        <v>0</v>
      </c>
      <c r="K10" s="26">
        <v>0</v>
      </c>
      <c r="L10" s="26">
        <f>349.2+30</f>
        <v>379.2</v>
      </c>
      <c r="M10" s="135">
        <v>30</v>
      </c>
      <c r="N10" s="26">
        <v>0</v>
      </c>
      <c r="O10" s="26">
        <v>0</v>
      </c>
      <c r="P10" s="26">
        <v>0</v>
      </c>
      <c r="Q10" s="26">
        <f t="shared" si="0"/>
        <v>409.2</v>
      </c>
      <c r="R10" s="941"/>
    </row>
    <row r="11" spans="1:20" ht="39" customHeight="1" x14ac:dyDescent="0.2">
      <c r="A11" s="938"/>
      <c r="B11" s="940"/>
      <c r="C11" s="940"/>
      <c r="D11" s="23" t="s">
        <v>14</v>
      </c>
      <c r="E11" s="23" t="s">
        <v>269</v>
      </c>
      <c r="F11" s="935" t="s">
        <v>256</v>
      </c>
      <c r="G11" s="935"/>
      <c r="H11" s="935"/>
      <c r="I11" s="23" t="s">
        <v>68</v>
      </c>
      <c r="J11" s="26">
        <v>245.5</v>
      </c>
      <c r="K11" s="26">
        <v>584.6</v>
      </c>
      <c r="L11" s="26">
        <v>0</v>
      </c>
      <c r="M11" s="135">
        <v>0</v>
      </c>
      <c r="N11" s="26">
        <v>0</v>
      </c>
      <c r="O11" s="26">
        <v>0</v>
      </c>
      <c r="P11" s="26">
        <v>0</v>
      </c>
      <c r="Q11" s="26">
        <f t="shared" si="0"/>
        <v>830.1</v>
      </c>
      <c r="R11" s="941"/>
      <c r="T11" s="57"/>
    </row>
    <row r="12" spans="1:20" ht="39.75" customHeight="1" x14ac:dyDescent="0.2">
      <c r="A12" s="937" t="s">
        <v>70</v>
      </c>
      <c r="B12" s="939" t="s">
        <v>129</v>
      </c>
      <c r="C12" s="939" t="s">
        <v>66</v>
      </c>
      <c r="D12" s="23" t="s">
        <v>14</v>
      </c>
      <c r="E12" s="23" t="s">
        <v>269</v>
      </c>
      <c r="F12" s="935" t="s">
        <v>182</v>
      </c>
      <c r="G12" s="935"/>
      <c r="H12" s="935"/>
      <c r="I12" s="23" t="s">
        <v>67</v>
      </c>
      <c r="J12" s="26">
        <v>0</v>
      </c>
      <c r="K12" s="26">
        <v>0</v>
      </c>
      <c r="L12" s="26">
        <v>1514.5</v>
      </c>
      <c r="M12" s="135">
        <f>1489.4+112.2</f>
        <v>1601.6000000000001</v>
      </c>
      <c r="N12" s="26">
        <v>1135.8</v>
      </c>
      <c r="O12" s="26">
        <v>1135.8</v>
      </c>
      <c r="P12" s="26">
        <v>1135.8</v>
      </c>
      <c r="Q12" s="26">
        <f t="shared" si="0"/>
        <v>6523.5000000000009</v>
      </c>
      <c r="R12" s="941"/>
    </row>
    <row r="13" spans="1:20" ht="24.75" customHeight="1" x14ac:dyDescent="0.2">
      <c r="A13" s="938"/>
      <c r="B13" s="940"/>
      <c r="C13" s="940"/>
      <c r="D13" s="23" t="s">
        <v>14</v>
      </c>
      <c r="E13" s="23" t="s">
        <v>269</v>
      </c>
      <c r="F13" s="935" t="s">
        <v>257</v>
      </c>
      <c r="G13" s="935"/>
      <c r="H13" s="935"/>
      <c r="I13" s="23" t="s">
        <v>67</v>
      </c>
      <c r="J13" s="26">
        <v>663.5</v>
      </c>
      <c r="K13" s="26">
        <v>1019.4</v>
      </c>
      <c r="L13" s="26">
        <v>0</v>
      </c>
      <c r="M13" s="135">
        <v>0</v>
      </c>
      <c r="N13" s="26">
        <v>0</v>
      </c>
      <c r="O13" s="26">
        <v>0</v>
      </c>
      <c r="P13" s="26">
        <v>0</v>
      </c>
      <c r="Q13" s="26">
        <f t="shared" si="0"/>
        <v>1682.9</v>
      </c>
      <c r="R13" s="941"/>
    </row>
    <row r="14" spans="1:20" ht="44.25" customHeight="1" x14ac:dyDescent="0.2">
      <c r="A14" s="937" t="s">
        <v>107</v>
      </c>
      <c r="B14" s="939" t="s">
        <v>130</v>
      </c>
      <c r="C14" s="939" t="s">
        <v>66</v>
      </c>
      <c r="D14" s="23" t="s">
        <v>14</v>
      </c>
      <c r="E14" s="23" t="s">
        <v>269</v>
      </c>
      <c r="F14" s="935" t="s">
        <v>183</v>
      </c>
      <c r="G14" s="935"/>
      <c r="H14" s="935"/>
      <c r="I14" s="23" t="s">
        <v>67</v>
      </c>
      <c r="J14" s="26">
        <v>0</v>
      </c>
      <c r="K14" s="26">
        <v>0</v>
      </c>
      <c r="L14" s="26">
        <v>380.3</v>
      </c>
      <c r="M14" s="135">
        <f>505.8+103.1</f>
        <v>608.9</v>
      </c>
      <c r="N14" s="26">
        <v>226.6</v>
      </c>
      <c r="O14" s="26">
        <v>226.6</v>
      </c>
      <c r="P14" s="26">
        <v>226.6</v>
      </c>
      <c r="Q14" s="26">
        <f t="shared" si="0"/>
        <v>1668.9999999999998</v>
      </c>
      <c r="R14" s="941"/>
    </row>
    <row r="15" spans="1:20" ht="23.25" customHeight="1" x14ac:dyDescent="0.2">
      <c r="A15" s="938"/>
      <c r="B15" s="940"/>
      <c r="C15" s="940"/>
      <c r="D15" s="23" t="s">
        <v>14</v>
      </c>
      <c r="E15" s="23" t="s">
        <v>269</v>
      </c>
      <c r="F15" s="935" t="s">
        <v>258</v>
      </c>
      <c r="G15" s="935"/>
      <c r="H15" s="935"/>
      <c r="I15" s="23" t="s">
        <v>67</v>
      </c>
      <c r="J15" s="26">
        <v>136.6</v>
      </c>
      <c r="K15" s="26">
        <v>112.8</v>
      </c>
      <c r="L15" s="26">
        <v>0</v>
      </c>
      <c r="M15" s="135">
        <v>0</v>
      </c>
      <c r="N15" s="26">
        <v>0</v>
      </c>
      <c r="O15" s="26">
        <v>0</v>
      </c>
      <c r="P15" s="26">
        <v>0</v>
      </c>
      <c r="Q15" s="26">
        <f t="shared" si="0"/>
        <v>249.39999999999998</v>
      </c>
      <c r="R15" s="27"/>
    </row>
    <row r="16" spans="1:20" ht="228.75" customHeight="1" x14ac:dyDescent="0.2">
      <c r="A16" s="23" t="s">
        <v>114</v>
      </c>
      <c r="B16" s="46" t="s">
        <v>184</v>
      </c>
      <c r="C16" s="44" t="s">
        <v>66</v>
      </c>
      <c r="D16" s="23" t="s">
        <v>14</v>
      </c>
      <c r="E16" s="23" t="s">
        <v>269</v>
      </c>
      <c r="F16" s="933" t="s">
        <v>185</v>
      </c>
      <c r="G16" s="934"/>
      <c r="H16" s="23"/>
      <c r="I16" s="23" t="s">
        <v>67</v>
      </c>
      <c r="J16" s="26"/>
      <c r="K16" s="26">
        <v>0</v>
      </c>
      <c r="L16" s="26">
        <v>30.1</v>
      </c>
      <c r="M16" s="135">
        <f>29.4+3.9</f>
        <v>33.299999999999997</v>
      </c>
      <c r="N16" s="26">
        <v>20.9</v>
      </c>
      <c r="O16" s="26">
        <v>20.9</v>
      </c>
      <c r="P16" s="26">
        <v>20.9</v>
      </c>
      <c r="Q16" s="26">
        <f t="shared" si="0"/>
        <v>126.1</v>
      </c>
      <c r="R16" s="27"/>
    </row>
    <row r="17" spans="1:18" ht="79.5" customHeight="1" x14ac:dyDescent="0.2">
      <c r="A17" s="23" t="s">
        <v>115</v>
      </c>
      <c r="B17" s="25" t="s">
        <v>161</v>
      </c>
      <c r="C17" s="44" t="s">
        <v>66</v>
      </c>
      <c r="D17" s="23" t="s">
        <v>14</v>
      </c>
      <c r="E17" s="23" t="s">
        <v>269</v>
      </c>
      <c r="F17" s="933" t="s">
        <v>162</v>
      </c>
      <c r="G17" s="934"/>
      <c r="H17" s="23"/>
      <c r="I17" s="23" t="s">
        <v>68</v>
      </c>
      <c r="J17" s="26">
        <v>0</v>
      </c>
      <c r="K17" s="26">
        <v>2662.3</v>
      </c>
      <c r="L17" s="26">
        <v>0</v>
      </c>
      <c r="M17" s="135">
        <v>0</v>
      </c>
      <c r="N17" s="26">
        <v>0</v>
      </c>
      <c r="O17" s="26">
        <v>0</v>
      </c>
      <c r="P17" s="26"/>
      <c r="Q17" s="26">
        <f t="shared" si="0"/>
        <v>2662.3</v>
      </c>
      <c r="R17" s="27"/>
    </row>
    <row r="18" spans="1:18" ht="181.5" customHeight="1" x14ac:dyDescent="0.2">
      <c r="A18" s="23" t="s">
        <v>142</v>
      </c>
      <c r="B18" s="25" t="s">
        <v>143</v>
      </c>
      <c r="C18" s="44" t="s">
        <v>66</v>
      </c>
      <c r="D18" s="23" t="s">
        <v>14</v>
      </c>
      <c r="E18" s="23" t="s">
        <v>269</v>
      </c>
      <c r="F18" s="933" t="s">
        <v>259</v>
      </c>
      <c r="G18" s="934"/>
      <c r="H18" s="23"/>
      <c r="I18" s="23" t="s">
        <v>67</v>
      </c>
      <c r="J18" s="26">
        <v>19.3</v>
      </c>
      <c r="K18" s="26">
        <v>0</v>
      </c>
      <c r="L18" s="26">
        <v>0</v>
      </c>
      <c r="M18" s="135">
        <v>0</v>
      </c>
      <c r="N18" s="26">
        <v>0</v>
      </c>
      <c r="O18" s="26">
        <v>0</v>
      </c>
      <c r="P18" s="26"/>
      <c r="Q18" s="26">
        <f t="shared" si="0"/>
        <v>19.3</v>
      </c>
      <c r="R18" s="27"/>
    </row>
    <row r="19" spans="1:18" ht="160.5" customHeight="1" x14ac:dyDescent="0.2">
      <c r="A19" s="23" t="s">
        <v>295</v>
      </c>
      <c r="B19" s="62" t="s">
        <v>311</v>
      </c>
      <c r="C19" s="44" t="s">
        <v>66</v>
      </c>
      <c r="D19" s="23" t="s">
        <v>14</v>
      </c>
      <c r="E19" s="23" t="s">
        <v>269</v>
      </c>
      <c r="F19" s="933" t="s">
        <v>296</v>
      </c>
      <c r="G19" s="934"/>
      <c r="H19" s="23"/>
      <c r="I19" s="23" t="s">
        <v>67</v>
      </c>
      <c r="J19" s="26"/>
      <c r="K19" s="26"/>
      <c r="L19" s="26"/>
      <c r="M19" s="135">
        <v>710.5</v>
      </c>
      <c r="N19" s="26"/>
      <c r="O19" s="26"/>
      <c r="P19" s="26"/>
      <c r="Q19" s="26">
        <f t="shared" si="0"/>
        <v>710.5</v>
      </c>
      <c r="R19" s="27"/>
    </row>
    <row r="20" spans="1:18" ht="33.75" customHeight="1" x14ac:dyDescent="0.2">
      <c r="A20" s="23"/>
      <c r="B20" s="24" t="s">
        <v>71</v>
      </c>
      <c r="C20" s="24"/>
      <c r="D20" s="23"/>
      <c r="E20" s="23"/>
      <c r="F20" s="935"/>
      <c r="G20" s="935"/>
      <c r="H20" s="935"/>
      <c r="I20" s="44"/>
      <c r="J20" s="26">
        <f t="shared" ref="J20:P20" si="1">SUM(J8:J18)</f>
        <v>17767.3</v>
      </c>
      <c r="K20" s="26">
        <f t="shared" si="1"/>
        <v>21903.899999999998</v>
      </c>
      <c r="L20" s="26">
        <f t="shared" si="1"/>
        <v>19742.3</v>
      </c>
      <c r="M20" s="135">
        <f>SUM(M8:M19)</f>
        <v>20098.800000000003</v>
      </c>
      <c r="N20" s="26">
        <f t="shared" si="1"/>
        <v>17095.8</v>
      </c>
      <c r="O20" s="26">
        <f t="shared" si="1"/>
        <v>17095.8</v>
      </c>
      <c r="P20" s="26">
        <f t="shared" si="1"/>
        <v>17095.8</v>
      </c>
      <c r="Q20" s="26">
        <f>SUM(Q8:Q19)</f>
        <v>130799.70000000001</v>
      </c>
      <c r="R20" s="45"/>
    </row>
    <row r="21" spans="1:18" ht="33" customHeight="1" x14ac:dyDescent="0.2">
      <c r="A21" s="28"/>
      <c r="B21" s="29" t="s">
        <v>91</v>
      </c>
      <c r="C21" s="29"/>
      <c r="D21" s="29"/>
      <c r="E21" s="29"/>
      <c r="F21" s="936"/>
      <c r="G21" s="936"/>
      <c r="H21" s="936"/>
      <c r="I21" s="29"/>
      <c r="J21" s="43">
        <f t="shared" ref="J21:P21" si="2">J20</f>
        <v>17767.3</v>
      </c>
      <c r="K21" s="43">
        <f t="shared" si="2"/>
        <v>21903.899999999998</v>
      </c>
      <c r="L21" s="43">
        <f t="shared" si="2"/>
        <v>19742.3</v>
      </c>
      <c r="M21" s="136">
        <f t="shared" si="2"/>
        <v>20098.800000000003</v>
      </c>
      <c r="N21" s="43">
        <f t="shared" si="2"/>
        <v>17095.8</v>
      </c>
      <c r="O21" s="43">
        <f t="shared" si="2"/>
        <v>17095.8</v>
      </c>
      <c r="P21" s="43">
        <f t="shared" si="2"/>
        <v>17095.8</v>
      </c>
      <c r="Q21" s="26">
        <f t="shared" si="0"/>
        <v>130799.70000000001</v>
      </c>
      <c r="R21" s="29"/>
    </row>
    <row r="22" spans="1:18" ht="33" customHeight="1" x14ac:dyDescent="0.2">
      <c r="A22" s="30"/>
      <c r="B22" s="31"/>
      <c r="C22" s="31"/>
      <c r="D22" s="31"/>
      <c r="E22" s="31"/>
      <c r="F22" s="30"/>
      <c r="G22" s="30"/>
      <c r="H22" s="30"/>
      <c r="I22" s="31"/>
      <c r="J22" s="32"/>
      <c r="K22" s="32"/>
      <c r="L22" s="32"/>
      <c r="M22" s="137"/>
      <c r="N22" s="32"/>
      <c r="O22" s="32"/>
      <c r="P22" s="32"/>
      <c r="Q22" s="33"/>
      <c r="R22" s="31"/>
    </row>
    <row r="23" spans="1:18" ht="16.5" customHeight="1" x14ac:dyDescent="0.2">
      <c r="A23" s="30"/>
      <c r="B23" s="31"/>
      <c r="C23" s="31"/>
      <c r="D23" s="31"/>
      <c r="E23" s="31"/>
      <c r="F23" s="30"/>
      <c r="G23" s="30"/>
      <c r="H23" s="30"/>
      <c r="I23" s="31"/>
      <c r="J23" s="32"/>
      <c r="K23" s="32"/>
      <c r="L23" s="232">
        <v>611</v>
      </c>
      <c r="M23" s="137">
        <f>M21-M10</f>
        <v>20068.800000000003</v>
      </c>
      <c r="N23" s="137">
        <f>N21-N10</f>
        <v>17095.8</v>
      </c>
      <c r="O23" s="137">
        <f>O21-O10</f>
        <v>17095.8</v>
      </c>
      <c r="P23" s="137">
        <f>P21-P10</f>
        <v>17095.8</v>
      </c>
      <c r="Q23" s="33"/>
      <c r="R23" s="31"/>
    </row>
    <row r="24" spans="1:18" ht="16.5" customHeight="1" x14ac:dyDescent="0.2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>
        <v>612</v>
      </c>
      <c r="M24" s="138"/>
      <c r="N24" s="35"/>
      <c r="O24" s="35"/>
      <c r="P24" s="35"/>
      <c r="Q24" s="35"/>
      <c r="R24" s="35"/>
    </row>
    <row r="25" spans="1:18" ht="16.5" customHeight="1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38"/>
      <c r="N25" s="35"/>
      <c r="O25" s="35"/>
      <c r="P25" s="35"/>
      <c r="Q25" s="35"/>
      <c r="R25" s="35"/>
    </row>
    <row r="26" spans="1:18" ht="15.75" customHeight="1" x14ac:dyDescent="0.2">
      <c r="A26" s="880" t="s">
        <v>263</v>
      </c>
      <c r="B26" s="880"/>
      <c r="C26" s="880"/>
      <c r="D26" s="880"/>
      <c r="E26" s="880"/>
      <c r="F26" s="880"/>
      <c r="G26" s="880"/>
      <c r="H26" s="880"/>
      <c r="I26" s="880"/>
      <c r="J26" s="107"/>
      <c r="K26" s="881"/>
      <c r="L26" s="881"/>
      <c r="M26" s="139"/>
      <c r="N26" s="107"/>
      <c r="O26" s="107"/>
      <c r="P26" s="882" t="s">
        <v>325</v>
      </c>
      <c r="Q26" s="932"/>
      <c r="R26" s="932"/>
    </row>
    <row r="27" spans="1:18" x14ac:dyDescent="0.2">
      <c r="A27" s="34"/>
      <c r="B27" s="35"/>
      <c r="C27" s="35"/>
      <c r="D27" s="35"/>
      <c r="E27" s="35"/>
      <c r="F27" s="35"/>
      <c r="G27" s="35"/>
      <c r="H27" s="35"/>
      <c r="I27" s="35"/>
      <c r="J27" s="51"/>
      <c r="K27" s="51"/>
      <c r="L27" s="58"/>
      <c r="M27" s="140"/>
      <c r="N27" s="58"/>
      <c r="O27" s="58"/>
      <c r="P27" s="58"/>
      <c r="Q27" s="58"/>
      <c r="R27" s="58"/>
    </row>
    <row r="28" spans="1:18" ht="15.75" x14ac:dyDescent="0.2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  <c r="L28" s="59"/>
      <c r="M28" s="141"/>
      <c r="N28" s="59"/>
      <c r="O28" s="59"/>
      <c r="P28" s="59"/>
      <c r="Q28" s="59"/>
      <c r="R28" s="59"/>
    </row>
    <row r="29" spans="1:18" ht="15.75" x14ac:dyDescent="0.2">
      <c r="A29" s="7"/>
      <c r="B29" s="4"/>
      <c r="C29" s="4"/>
      <c r="D29" s="4"/>
      <c r="E29" s="4"/>
      <c r="F29" s="4"/>
      <c r="G29" s="4"/>
      <c r="H29" s="4"/>
      <c r="I29" s="4"/>
      <c r="J29" s="3"/>
      <c r="K29" s="3"/>
    </row>
    <row r="30" spans="1:18" ht="15.75" x14ac:dyDescent="0.2">
      <c r="A30" s="7"/>
      <c r="B30" s="4"/>
      <c r="C30" s="4"/>
      <c r="D30" s="4"/>
      <c r="E30" s="4"/>
      <c r="F30" s="4"/>
      <c r="G30" s="4"/>
      <c r="H30" s="4"/>
      <c r="I30" s="4"/>
      <c r="J30" s="3"/>
      <c r="K30" s="3"/>
    </row>
    <row r="31" spans="1:18" ht="15.75" x14ac:dyDescent="0.2">
      <c r="A31" s="7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8" ht="15.75" x14ac:dyDescent="0.2">
      <c r="A32" s="7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.75" x14ac:dyDescent="0.2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.75" x14ac:dyDescent="0.2">
      <c r="A34" s="7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.75" x14ac:dyDescent="0.2">
      <c r="A35" s="7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5.75" x14ac:dyDescent="0.2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5.75" x14ac:dyDescent="0.2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5.75" x14ac:dyDescent="0.2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5.75" x14ac:dyDescent="0.2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5.75" x14ac:dyDescent="0.2">
      <c r="A40" s="7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5.75" x14ac:dyDescent="0.2">
      <c r="A41" s="7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.75" x14ac:dyDescent="0.2">
      <c r="A42" s="7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5.75" x14ac:dyDescent="0.2">
      <c r="A43" s="7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5.75" x14ac:dyDescent="0.2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5.75" x14ac:dyDescent="0.2">
      <c r="A45" s="7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5.75" x14ac:dyDescent="0.2">
      <c r="A46" s="7"/>
      <c r="B46" s="4"/>
      <c r="C46" s="4"/>
      <c r="D46" s="4"/>
      <c r="E46" s="4"/>
      <c r="F46" s="4"/>
      <c r="G46" s="4"/>
      <c r="H46" s="4"/>
      <c r="I46" s="4"/>
      <c r="J46" s="4"/>
      <c r="K46" s="4"/>
    </row>
  </sheetData>
  <mergeCells count="42">
    <mergeCell ref="E1:G1"/>
    <mergeCell ref="L1:R1"/>
    <mergeCell ref="A2:R2"/>
    <mergeCell ref="A4:A5"/>
    <mergeCell ref="B4:B5"/>
    <mergeCell ref="C4:C5"/>
    <mergeCell ref="D4:I4"/>
    <mergeCell ref="J4:Q4"/>
    <mergeCell ref="R4:R5"/>
    <mergeCell ref="F5:H5"/>
    <mergeCell ref="B6:Q6"/>
    <mergeCell ref="B7:Q7"/>
    <mergeCell ref="A8:A9"/>
    <mergeCell ref="B8:B9"/>
    <mergeCell ref="C8:C9"/>
    <mergeCell ref="F8:H8"/>
    <mergeCell ref="R8:R14"/>
    <mergeCell ref="F9:H9"/>
    <mergeCell ref="A10:A11"/>
    <mergeCell ref="B10:B11"/>
    <mergeCell ref="C10:C11"/>
    <mergeCell ref="F10:H10"/>
    <mergeCell ref="F11:H11"/>
    <mergeCell ref="A12:A13"/>
    <mergeCell ref="B12:B13"/>
    <mergeCell ref="C12:C13"/>
    <mergeCell ref="F12:H12"/>
    <mergeCell ref="F13:H13"/>
    <mergeCell ref="A14:A15"/>
    <mergeCell ref="B14:B15"/>
    <mergeCell ref="C14:C15"/>
    <mergeCell ref="F14:H14"/>
    <mergeCell ref="F15:H15"/>
    <mergeCell ref="A26:I26"/>
    <mergeCell ref="K26:L26"/>
    <mergeCell ref="P26:R26"/>
    <mergeCell ref="F16:G16"/>
    <mergeCell ref="F17:G17"/>
    <mergeCell ref="F18:G18"/>
    <mergeCell ref="F19:G19"/>
    <mergeCell ref="F20:H20"/>
    <mergeCell ref="F21:H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5"/>
  <sheetViews>
    <sheetView workbookViewId="0">
      <selection activeCell="B1" sqref="B1"/>
    </sheetView>
  </sheetViews>
  <sheetFormatPr defaultRowHeight="15.75" x14ac:dyDescent="0.2"/>
  <cols>
    <col min="1" max="1" width="6.42578125" style="7" customWidth="1"/>
    <col min="2" max="2" width="53.7109375" style="4" customWidth="1"/>
    <col min="3" max="3" width="17.28515625" style="4" customWidth="1"/>
    <col min="4" max="5" width="9.140625" style="4"/>
    <col min="6" max="6" width="4.5703125" style="4" customWidth="1"/>
    <col min="7" max="7" width="2.42578125" style="4" customWidth="1"/>
    <col min="8" max="8" width="6.85546875" style="4" customWidth="1"/>
    <col min="9" max="9" width="7" style="4" customWidth="1"/>
    <col min="10" max="10" width="11.7109375" style="4" customWidth="1"/>
    <col min="11" max="11" width="12.28515625" style="4" customWidth="1"/>
    <col min="12" max="12" width="11.5703125" style="4" customWidth="1"/>
    <col min="13" max="13" width="11.140625" style="202" customWidth="1"/>
    <col min="14" max="14" width="12.5703125" style="4" customWidth="1"/>
    <col min="15" max="16" width="12.28515625" style="4" customWidth="1"/>
    <col min="17" max="17" width="12.85546875" style="4" customWidth="1"/>
    <col min="18" max="18" width="22.42578125" style="4" customWidth="1"/>
    <col min="19" max="19" width="15.42578125" style="4" customWidth="1"/>
    <col min="20" max="16384" width="9.140625" style="4"/>
  </cols>
  <sheetData>
    <row r="1" spans="1:20" ht="104.25" customHeight="1" x14ac:dyDescent="0.2">
      <c r="B1" s="228" t="s">
        <v>363</v>
      </c>
      <c r="E1" s="922"/>
      <c r="F1" s="922"/>
      <c r="G1" s="922"/>
      <c r="L1" s="922" t="s">
        <v>312</v>
      </c>
      <c r="M1" s="922"/>
      <c r="N1" s="922"/>
      <c r="O1" s="922"/>
      <c r="P1" s="922"/>
      <c r="Q1" s="922"/>
      <c r="R1" s="922"/>
      <c r="S1" s="6"/>
    </row>
    <row r="2" spans="1:20" ht="45.75" customHeight="1" x14ac:dyDescent="0.2">
      <c r="A2" s="923" t="s">
        <v>159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  <c r="R2" s="923"/>
    </row>
    <row r="3" spans="1:20" ht="1.5" hidden="1" customHeight="1" x14ac:dyDescent="0.2">
      <c r="E3" s="8"/>
      <c r="F3" s="9" t="s">
        <v>57</v>
      </c>
      <c r="G3" s="8">
        <v>1</v>
      </c>
      <c r="H3" s="8"/>
    </row>
    <row r="4" spans="1:20" s="76" customFormat="1" ht="18" customHeight="1" x14ac:dyDescent="0.2">
      <c r="A4" s="884" t="s">
        <v>58</v>
      </c>
      <c r="B4" s="919" t="s">
        <v>1</v>
      </c>
      <c r="C4" s="919" t="s">
        <v>139</v>
      </c>
      <c r="D4" s="919" t="s">
        <v>59</v>
      </c>
      <c r="E4" s="919"/>
      <c r="F4" s="919"/>
      <c r="G4" s="919"/>
      <c r="H4" s="919"/>
      <c r="I4" s="919"/>
      <c r="J4" s="919" t="s">
        <v>3</v>
      </c>
      <c r="K4" s="919"/>
      <c r="L4" s="919"/>
      <c r="M4" s="919"/>
      <c r="N4" s="919"/>
      <c r="O4" s="919"/>
      <c r="P4" s="919"/>
      <c r="Q4" s="919"/>
      <c r="R4" s="919" t="s">
        <v>60</v>
      </c>
    </row>
    <row r="5" spans="1:20" s="76" customFormat="1" ht="93" customHeight="1" x14ac:dyDescent="0.2">
      <c r="A5" s="884"/>
      <c r="B5" s="919"/>
      <c r="C5" s="919"/>
      <c r="D5" s="75" t="s">
        <v>138</v>
      </c>
      <c r="E5" s="75" t="s">
        <v>4</v>
      </c>
      <c r="F5" s="919" t="s">
        <v>5</v>
      </c>
      <c r="G5" s="919"/>
      <c r="H5" s="919"/>
      <c r="I5" s="75" t="s">
        <v>6</v>
      </c>
      <c r="J5" s="75" t="s">
        <v>7</v>
      </c>
      <c r="K5" s="75" t="s">
        <v>8</v>
      </c>
      <c r="L5" s="75" t="s">
        <v>9</v>
      </c>
      <c r="M5" s="203" t="s">
        <v>122</v>
      </c>
      <c r="N5" s="75" t="s">
        <v>160</v>
      </c>
      <c r="O5" s="75" t="s">
        <v>163</v>
      </c>
      <c r="P5" s="75" t="s">
        <v>164</v>
      </c>
      <c r="Q5" s="75" t="s">
        <v>316</v>
      </c>
      <c r="R5" s="919"/>
    </row>
    <row r="6" spans="1:20" s="76" customFormat="1" ht="30" customHeight="1" x14ac:dyDescent="0.2">
      <c r="A6" s="74"/>
      <c r="B6" s="910" t="s">
        <v>61</v>
      </c>
      <c r="C6" s="910"/>
      <c r="D6" s="910"/>
      <c r="E6" s="910"/>
      <c r="F6" s="910"/>
      <c r="G6" s="910"/>
      <c r="H6" s="910"/>
      <c r="I6" s="910"/>
      <c r="J6" s="910"/>
      <c r="K6" s="910"/>
      <c r="L6" s="910"/>
      <c r="M6" s="910"/>
      <c r="N6" s="910"/>
      <c r="O6" s="910"/>
      <c r="P6" s="910"/>
      <c r="Q6" s="910"/>
      <c r="R6" s="75"/>
    </row>
    <row r="7" spans="1:20" s="76" customFormat="1" ht="24" customHeight="1" x14ac:dyDescent="0.2">
      <c r="A7" s="74" t="s">
        <v>62</v>
      </c>
      <c r="B7" s="910" t="s">
        <v>63</v>
      </c>
      <c r="C7" s="910"/>
      <c r="D7" s="910"/>
      <c r="E7" s="910"/>
      <c r="F7" s="910"/>
      <c r="G7" s="910"/>
      <c r="H7" s="910"/>
      <c r="I7" s="910"/>
      <c r="J7" s="910"/>
      <c r="K7" s="910"/>
      <c r="L7" s="910"/>
      <c r="M7" s="910"/>
      <c r="N7" s="910"/>
      <c r="O7" s="910"/>
      <c r="P7" s="910"/>
      <c r="Q7" s="910"/>
      <c r="R7" s="77"/>
      <c r="S7" s="81">
        <f>M8+M20+M23+M26+M29+M30+M33</f>
        <v>33783.1</v>
      </c>
      <c r="T7" s="81">
        <f>S7-'[13]ГПприл6-ГЗ'!AE4</f>
        <v>-0.20000000000436557</v>
      </c>
    </row>
    <row r="8" spans="1:20" s="76" customFormat="1" ht="49.5" customHeight="1" x14ac:dyDescent="0.2">
      <c r="A8" s="890" t="s">
        <v>64</v>
      </c>
      <c r="B8" s="894" t="s">
        <v>65</v>
      </c>
      <c r="C8" s="894" t="s">
        <v>66</v>
      </c>
      <c r="D8" s="74" t="s">
        <v>14</v>
      </c>
      <c r="E8" s="74" t="s">
        <v>18</v>
      </c>
      <c r="F8" s="884" t="s">
        <v>191</v>
      </c>
      <c r="G8" s="884"/>
      <c r="H8" s="884"/>
      <c r="I8" s="74" t="s">
        <v>67</v>
      </c>
      <c r="J8" s="79">
        <v>0</v>
      </c>
      <c r="K8" s="79">
        <v>0</v>
      </c>
      <c r="L8" s="79">
        <f>19977.7+136.6</f>
        <v>20114.3</v>
      </c>
      <c r="M8" s="204">
        <v>17346.3</v>
      </c>
      <c r="N8" s="79">
        <v>17631.599999999999</v>
      </c>
      <c r="O8" s="79">
        <v>17631.599999999999</v>
      </c>
      <c r="P8" s="79">
        <v>17631.599999999999</v>
      </c>
      <c r="Q8" s="79">
        <f>SUM(J8:P8)</f>
        <v>90355.4</v>
      </c>
      <c r="R8" s="902" t="s">
        <v>319</v>
      </c>
      <c r="S8" s="81"/>
    </row>
    <row r="9" spans="1:20" s="76" customFormat="1" ht="21" customHeight="1" x14ac:dyDescent="0.2">
      <c r="A9" s="920"/>
      <c r="B9" s="921"/>
      <c r="C9" s="921"/>
      <c r="D9" s="74" t="s">
        <v>14</v>
      </c>
      <c r="E9" s="74" t="s">
        <v>18</v>
      </c>
      <c r="F9" s="884" t="s">
        <v>233</v>
      </c>
      <c r="G9" s="884"/>
      <c r="H9" s="884"/>
      <c r="I9" s="74" t="s">
        <v>67</v>
      </c>
      <c r="J9" s="79">
        <v>18962.7</v>
      </c>
      <c r="K9" s="79">
        <v>20021.099999999999</v>
      </c>
      <c r="L9" s="79"/>
      <c r="M9" s="204"/>
      <c r="N9" s="79"/>
      <c r="O9" s="79"/>
      <c r="P9" s="79"/>
      <c r="Q9" s="79">
        <f t="shared" ref="Q9:Q31" si="0">SUM(J9:P9)</f>
        <v>38983.800000000003</v>
      </c>
      <c r="R9" s="902"/>
      <c r="S9" s="81"/>
    </row>
    <row r="10" spans="1:20" s="76" customFormat="1" ht="50.25" customHeight="1" x14ac:dyDescent="0.2">
      <c r="A10" s="903" t="s">
        <v>69</v>
      </c>
      <c r="B10" s="899" t="s">
        <v>106</v>
      </c>
      <c r="C10" s="899" t="s">
        <v>66</v>
      </c>
      <c r="D10" s="83" t="s">
        <v>14</v>
      </c>
      <c r="E10" s="74" t="s">
        <v>18</v>
      </c>
      <c r="F10" s="884" t="s">
        <v>191</v>
      </c>
      <c r="G10" s="884"/>
      <c r="H10" s="884"/>
      <c r="I10" s="74" t="s">
        <v>68</v>
      </c>
      <c r="J10" s="79">
        <v>0</v>
      </c>
      <c r="K10" s="79">
        <v>0</v>
      </c>
      <c r="L10" s="79">
        <v>900.6</v>
      </c>
      <c r="M10" s="204">
        <v>30.9</v>
      </c>
      <c r="N10" s="79">
        <v>0</v>
      </c>
      <c r="O10" s="79">
        <v>0</v>
      </c>
      <c r="P10" s="79"/>
      <c r="Q10" s="79">
        <f t="shared" si="0"/>
        <v>931.5</v>
      </c>
      <c r="R10" s="902"/>
      <c r="S10" s="81"/>
    </row>
    <row r="11" spans="1:20" s="76" customFormat="1" ht="21" customHeight="1" x14ac:dyDescent="0.2">
      <c r="A11" s="903"/>
      <c r="B11" s="899"/>
      <c r="C11" s="899"/>
      <c r="D11" s="83" t="s">
        <v>14</v>
      </c>
      <c r="E11" s="74" t="s">
        <v>18</v>
      </c>
      <c r="F11" s="884" t="s">
        <v>233</v>
      </c>
      <c r="G11" s="884"/>
      <c r="H11" s="884"/>
      <c r="I11" s="74" t="s">
        <v>68</v>
      </c>
      <c r="J11" s="79">
        <v>344.4</v>
      </c>
      <c r="K11" s="79">
        <v>669.9</v>
      </c>
      <c r="L11" s="79"/>
      <c r="M11" s="204"/>
      <c r="N11" s="79"/>
      <c r="O11" s="79"/>
      <c r="P11" s="79"/>
      <c r="Q11" s="79">
        <f t="shared" si="0"/>
        <v>1014.3</v>
      </c>
      <c r="R11" s="902"/>
      <c r="S11" s="81"/>
    </row>
    <row r="12" spans="1:20" s="76" customFormat="1" ht="75.75" customHeight="1" x14ac:dyDescent="0.2">
      <c r="A12" s="897" t="s">
        <v>70</v>
      </c>
      <c r="B12" s="899" t="s">
        <v>211</v>
      </c>
      <c r="C12" s="899" t="s">
        <v>66</v>
      </c>
      <c r="D12" s="83" t="s">
        <v>14</v>
      </c>
      <c r="E12" s="74" t="s">
        <v>18</v>
      </c>
      <c r="F12" s="885" t="s">
        <v>227</v>
      </c>
      <c r="G12" s="886"/>
      <c r="H12" s="887"/>
      <c r="I12" s="74" t="s">
        <v>68</v>
      </c>
      <c r="J12" s="79">
        <v>0</v>
      </c>
      <c r="K12" s="79">
        <v>0</v>
      </c>
      <c r="L12" s="79">
        <v>1868.4</v>
      </c>
      <c r="M12" s="204">
        <v>0</v>
      </c>
      <c r="N12" s="79">
        <v>0</v>
      </c>
      <c r="O12" s="79">
        <v>0</v>
      </c>
      <c r="P12" s="79"/>
      <c r="Q12" s="79">
        <f t="shared" si="0"/>
        <v>1868.4</v>
      </c>
      <c r="R12" s="902"/>
    </row>
    <row r="13" spans="1:20" s="76" customFormat="1" ht="49.5" hidden="1" customHeight="1" x14ac:dyDescent="0.2">
      <c r="A13" s="918"/>
      <c r="B13" s="899"/>
      <c r="C13" s="899"/>
      <c r="D13" s="83" t="s">
        <v>14</v>
      </c>
      <c r="E13" s="74" t="s">
        <v>18</v>
      </c>
      <c r="F13" s="885" t="s">
        <v>112</v>
      </c>
      <c r="G13" s="886"/>
      <c r="H13" s="887"/>
      <c r="I13" s="74" t="s">
        <v>68</v>
      </c>
      <c r="J13" s="79">
        <v>0</v>
      </c>
      <c r="K13" s="79" t="s">
        <v>111</v>
      </c>
      <c r="L13" s="79" t="s">
        <v>111</v>
      </c>
      <c r="M13" s="204" t="s">
        <v>111</v>
      </c>
      <c r="N13" s="79" t="s">
        <v>111</v>
      </c>
      <c r="O13" s="79" t="s">
        <v>111</v>
      </c>
      <c r="P13" s="79"/>
      <c r="Q13" s="79">
        <f t="shared" si="0"/>
        <v>0</v>
      </c>
      <c r="R13" s="902"/>
    </row>
    <row r="14" spans="1:20" s="76" customFormat="1" ht="49.5" hidden="1" customHeight="1" x14ac:dyDescent="0.2">
      <c r="A14" s="918"/>
      <c r="B14" s="899"/>
      <c r="C14" s="899"/>
      <c r="D14" s="83" t="s">
        <v>14</v>
      </c>
      <c r="E14" s="74" t="s">
        <v>18</v>
      </c>
      <c r="F14" s="885" t="s">
        <v>116</v>
      </c>
      <c r="G14" s="886"/>
      <c r="H14" s="887"/>
      <c r="I14" s="74" t="s">
        <v>68</v>
      </c>
      <c r="J14" s="79">
        <v>0</v>
      </c>
      <c r="K14" s="79" t="s">
        <v>111</v>
      </c>
      <c r="L14" s="79" t="s">
        <v>111</v>
      </c>
      <c r="M14" s="204" t="s">
        <v>111</v>
      </c>
      <c r="N14" s="79" t="s">
        <v>111</v>
      </c>
      <c r="O14" s="79" t="s">
        <v>111</v>
      </c>
      <c r="P14" s="79"/>
      <c r="Q14" s="79">
        <f t="shared" si="0"/>
        <v>0</v>
      </c>
      <c r="R14" s="902"/>
    </row>
    <row r="15" spans="1:20" s="76" customFormat="1" ht="82.5" customHeight="1" x14ac:dyDescent="0.2">
      <c r="A15" s="898"/>
      <c r="B15" s="899"/>
      <c r="C15" s="899"/>
      <c r="D15" s="83" t="s">
        <v>14</v>
      </c>
      <c r="E15" s="74" t="s">
        <v>18</v>
      </c>
      <c r="F15" s="885" t="s">
        <v>234</v>
      </c>
      <c r="G15" s="886"/>
      <c r="H15" s="887"/>
      <c r="I15" s="74" t="s">
        <v>68</v>
      </c>
      <c r="J15" s="79">
        <v>5551.3</v>
      </c>
      <c r="K15" s="79">
        <v>6225</v>
      </c>
      <c r="L15" s="79">
        <v>0</v>
      </c>
      <c r="M15" s="204">
        <v>0</v>
      </c>
      <c r="N15" s="79">
        <v>0</v>
      </c>
      <c r="O15" s="79">
        <v>0</v>
      </c>
      <c r="P15" s="79"/>
      <c r="Q15" s="79">
        <f t="shared" si="0"/>
        <v>11776.3</v>
      </c>
      <c r="R15" s="902"/>
      <c r="S15" s="81"/>
    </row>
    <row r="16" spans="1:20" s="76" customFormat="1" ht="45" customHeight="1" x14ac:dyDescent="0.2">
      <c r="A16" s="903" t="s">
        <v>107</v>
      </c>
      <c r="B16" s="899" t="s">
        <v>113</v>
      </c>
      <c r="C16" s="899" t="s">
        <v>66</v>
      </c>
      <c r="D16" s="83" t="s">
        <v>14</v>
      </c>
      <c r="E16" s="74" t="s">
        <v>18</v>
      </c>
      <c r="F16" s="885" t="s">
        <v>210</v>
      </c>
      <c r="G16" s="886"/>
      <c r="H16" s="887"/>
      <c r="I16" s="74" t="s">
        <v>68</v>
      </c>
      <c r="J16" s="79">
        <v>0</v>
      </c>
      <c r="K16" s="79">
        <v>0</v>
      </c>
      <c r="L16" s="79">
        <v>130</v>
      </c>
      <c r="M16" s="204">
        <v>0</v>
      </c>
      <c r="N16" s="79">
        <v>0</v>
      </c>
      <c r="O16" s="79">
        <v>0</v>
      </c>
      <c r="P16" s="79"/>
      <c r="Q16" s="79">
        <f t="shared" si="0"/>
        <v>130</v>
      </c>
      <c r="R16" s="902"/>
    </row>
    <row r="17" spans="1:19" s="76" customFormat="1" ht="30.75" customHeight="1" x14ac:dyDescent="0.2">
      <c r="A17" s="903"/>
      <c r="B17" s="899"/>
      <c r="C17" s="899"/>
      <c r="D17" s="83" t="s">
        <v>14</v>
      </c>
      <c r="E17" s="74" t="s">
        <v>18</v>
      </c>
      <c r="F17" s="885" t="s">
        <v>235</v>
      </c>
      <c r="G17" s="886"/>
      <c r="H17" s="887"/>
      <c r="I17" s="74" t="s">
        <v>68</v>
      </c>
      <c r="J17" s="79">
        <v>55.5</v>
      </c>
      <c r="K17" s="79">
        <v>63</v>
      </c>
      <c r="L17" s="79">
        <v>0</v>
      </c>
      <c r="M17" s="204">
        <v>0</v>
      </c>
      <c r="N17" s="79">
        <v>0</v>
      </c>
      <c r="O17" s="79">
        <v>0</v>
      </c>
      <c r="P17" s="79"/>
      <c r="Q17" s="79">
        <f t="shared" si="0"/>
        <v>118.5</v>
      </c>
      <c r="R17" s="902"/>
      <c r="S17" s="81"/>
    </row>
    <row r="18" spans="1:19" s="76" customFormat="1" ht="57.75" customHeight="1" x14ac:dyDescent="0.2">
      <c r="A18" s="909" t="s">
        <v>114</v>
      </c>
      <c r="B18" s="916" t="s">
        <v>145</v>
      </c>
      <c r="C18" s="916" t="s">
        <v>66</v>
      </c>
      <c r="D18" s="82" t="s">
        <v>14</v>
      </c>
      <c r="E18" s="82" t="s">
        <v>18</v>
      </c>
      <c r="F18" s="903" t="s">
        <v>192</v>
      </c>
      <c r="G18" s="903"/>
      <c r="H18" s="903"/>
      <c r="I18" s="82" t="s">
        <v>68</v>
      </c>
      <c r="J18" s="85">
        <v>0</v>
      </c>
      <c r="K18" s="85">
        <v>0</v>
      </c>
      <c r="L18" s="85">
        <v>0.6</v>
      </c>
      <c r="M18" s="205">
        <v>0</v>
      </c>
      <c r="N18" s="85">
        <v>0</v>
      </c>
      <c r="O18" s="85">
        <v>0</v>
      </c>
      <c r="P18" s="86"/>
      <c r="Q18" s="79">
        <f t="shared" si="0"/>
        <v>0.6</v>
      </c>
      <c r="R18" s="902"/>
      <c r="S18" s="81"/>
    </row>
    <row r="19" spans="1:19" s="76" customFormat="1" ht="30.75" customHeight="1" x14ac:dyDescent="0.2">
      <c r="A19" s="915"/>
      <c r="B19" s="917"/>
      <c r="C19" s="917"/>
      <c r="D19" s="83" t="s">
        <v>14</v>
      </c>
      <c r="E19" s="74" t="s">
        <v>18</v>
      </c>
      <c r="F19" s="885" t="s">
        <v>236</v>
      </c>
      <c r="G19" s="886"/>
      <c r="H19" s="887"/>
      <c r="I19" s="74" t="s">
        <v>68</v>
      </c>
      <c r="J19" s="79">
        <v>0</v>
      </c>
      <c r="K19" s="79">
        <v>0.1</v>
      </c>
      <c r="L19" s="79">
        <v>0</v>
      </c>
      <c r="M19" s="204">
        <v>0</v>
      </c>
      <c r="N19" s="79">
        <v>0</v>
      </c>
      <c r="O19" s="79">
        <v>0</v>
      </c>
      <c r="P19" s="79"/>
      <c r="Q19" s="79">
        <f t="shared" si="0"/>
        <v>0.1</v>
      </c>
      <c r="R19" s="902"/>
      <c r="S19" s="81"/>
    </row>
    <row r="20" spans="1:19" s="76" customFormat="1" ht="68.25" customHeight="1" x14ac:dyDescent="0.2">
      <c r="A20" s="903" t="s">
        <v>115</v>
      </c>
      <c r="B20" s="899" t="s">
        <v>238</v>
      </c>
      <c r="C20" s="899" t="s">
        <v>66</v>
      </c>
      <c r="D20" s="83" t="s">
        <v>14</v>
      </c>
      <c r="E20" s="74" t="s">
        <v>18</v>
      </c>
      <c r="F20" s="884" t="s">
        <v>193</v>
      </c>
      <c r="G20" s="884"/>
      <c r="H20" s="884"/>
      <c r="I20" s="74" t="s">
        <v>67</v>
      </c>
      <c r="J20" s="79">
        <v>0</v>
      </c>
      <c r="K20" s="79">
        <v>0</v>
      </c>
      <c r="L20" s="79">
        <v>4290.5</v>
      </c>
      <c r="M20" s="204">
        <f>4314.4-718.2-353.3-51</f>
        <v>3191.8999999999996</v>
      </c>
      <c r="N20" s="79">
        <v>3217.9</v>
      </c>
      <c r="O20" s="79">
        <v>3217.9</v>
      </c>
      <c r="P20" s="79">
        <v>3217.9</v>
      </c>
      <c r="Q20" s="79">
        <f>SUM(J20:P20)</f>
        <v>17136.099999999999</v>
      </c>
      <c r="R20" s="902"/>
    </row>
    <row r="21" spans="1:19" s="76" customFormat="1" ht="21" customHeight="1" x14ac:dyDescent="0.2">
      <c r="A21" s="903"/>
      <c r="B21" s="899"/>
      <c r="C21" s="899"/>
      <c r="D21" s="83" t="s">
        <v>14</v>
      </c>
      <c r="E21" s="74" t="s">
        <v>18</v>
      </c>
      <c r="F21" s="885" t="s">
        <v>239</v>
      </c>
      <c r="G21" s="886"/>
      <c r="H21" s="887"/>
      <c r="I21" s="74" t="s">
        <v>67</v>
      </c>
      <c r="J21" s="79">
        <v>438.7</v>
      </c>
      <c r="K21" s="79">
        <v>889.3</v>
      </c>
      <c r="L21" s="79">
        <v>0</v>
      </c>
      <c r="M21" s="204">
        <v>0</v>
      </c>
      <c r="N21" s="79">
        <v>0</v>
      </c>
      <c r="O21" s="79">
        <v>0</v>
      </c>
      <c r="P21" s="79"/>
      <c r="Q21" s="79">
        <f t="shared" si="0"/>
        <v>1328</v>
      </c>
      <c r="R21" s="902"/>
      <c r="S21" s="81"/>
    </row>
    <row r="22" spans="1:19" s="76" customFormat="1" ht="21" customHeight="1" x14ac:dyDescent="0.2">
      <c r="A22" s="903"/>
      <c r="B22" s="899"/>
      <c r="C22" s="899"/>
      <c r="D22" s="83" t="s">
        <v>14</v>
      </c>
      <c r="E22" s="74" t="s">
        <v>18</v>
      </c>
      <c r="F22" s="885" t="s">
        <v>237</v>
      </c>
      <c r="G22" s="886"/>
      <c r="H22" s="887"/>
      <c r="I22" s="74" t="s">
        <v>67</v>
      </c>
      <c r="J22" s="79">
        <v>1290.2</v>
      </c>
      <c r="K22" s="79">
        <v>1885.5</v>
      </c>
      <c r="L22" s="79">
        <v>0</v>
      </c>
      <c r="M22" s="204">
        <v>0</v>
      </c>
      <c r="N22" s="79">
        <v>0</v>
      </c>
      <c r="O22" s="79">
        <v>0</v>
      </c>
      <c r="P22" s="79"/>
      <c r="Q22" s="79">
        <f t="shared" si="0"/>
        <v>3175.7</v>
      </c>
      <c r="R22" s="902"/>
      <c r="S22" s="81"/>
    </row>
    <row r="23" spans="1:19" s="76" customFormat="1" ht="66.75" customHeight="1" x14ac:dyDescent="0.2">
      <c r="A23" s="911" t="s">
        <v>142</v>
      </c>
      <c r="B23" s="913" t="s">
        <v>240</v>
      </c>
      <c r="C23" s="87" t="s">
        <v>66</v>
      </c>
      <c r="D23" s="74" t="s">
        <v>14</v>
      </c>
      <c r="E23" s="74" t="s">
        <v>18</v>
      </c>
      <c r="F23" s="884" t="s">
        <v>194</v>
      </c>
      <c r="G23" s="884"/>
      <c r="H23" s="884"/>
      <c r="I23" s="74" t="s">
        <v>67</v>
      </c>
      <c r="J23" s="79">
        <v>0</v>
      </c>
      <c r="K23" s="79">
        <v>0</v>
      </c>
      <c r="L23" s="79">
        <v>370.5</v>
      </c>
      <c r="M23" s="204">
        <f>342.3+33+33.9+61.1</f>
        <v>470.3</v>
      </c>
      <c r="N23" s="79">
        <v>305.10000000000002</v>
      </c>
      <c r="O23" s="79">
        <v>305.10000000000002</v>
      </c>
      <c r="P23" s="79">
        <v>305.10000000000002</v>
      </c>
      <c r="Q23" s="79">
        <f t="shared" si="0"/>
        <v>1756.1</v>
      </c>
      <c r="R23" s="902"/>
    </row>
    <row r="24" spans="1:19" s="76" customFormat="1" ht="21" customHeight="1" x14ac:dyDescent="0.2">
      <c r="A24" s="912"/>
      <c r="B24" s="914"/>
      <c r="C24" s="225"/>
      <c r="D24" s="83" t="s">
        <v>14</v>
      </c>
      <c r="E24" s="74" t="s">
        <v>18</v>
      </c>
      <c r="F24" s="885" t="s">
        <v>241</v>
      </c>
      <c r="G24" s="886"/>
      <c r="H24" s="887"/>
      <c r="I24" s="74" t="s">
        <v>67</v>
      </c>
      <c r="J24" s="79">
        <v>99.5</v>
      </c>
      <c r="K24" s="79">
        <v>99.7</v>
      </c>
      <c r="L24" s="79">
        <v>0</v>
      </c>
      <c r="M24" s="204">
        <v>0</v>
      </c>
      <c r="N24" s="79">
        <v>0</v>
      </c>
      <c r="O24" s="79">
        <v>0</v>
      </c>
      <c r="P24" s="79"/>
      <c r="Q24" s="79">
        <f t="shared" si="0"/>
        <v>199.2</v>
      </c>
      <c r="R24" s="80"/>
      <c r="S24" s="81"/>
    </row>
    <row r="25" spans="1:19" s="76" customFormat="1" ht="21" customHeight="1" x14ac:dyDescent="0.2">
      <c r="A25" s="891"/>
      <c r="B25" s="895"/>
      <c r="C25" s="225"/>
      <c r="D25" s="83" t="s">
        <v>14</v>
      </c>
      <c r="E25" s="74" t="s">
        <v>18</v>
      </c>
      <c r="F25" s="885" t="s">
        <v>242</v>
      </c>
      <c r="G25" s="886"/>
      <c r="H25" s="887"/>
      <c r="I25" s="74" t="s">
        <v>67</v>
      </c>
      <c r="J25" s="79">
        <v>302.3</v>
      </c>
      <c r="K25" s="79">
        <v>331.8</v>
      </c>
      <c r="L25" s="79">
        <v>0</v>
      </c>
      <c r="M25" s="204">
        <v>0</v>
      </c>
      <c r="N25" s="79">
        <v>0</v>
      </c>
      <c r="O25" s="79">
        <v>0</v>
      </c>
      <c r="P25" s="79"/>
      <c r="Q25" s="79">
        <f t="shared" si="0"/>
        <v>634.1</v>
      </c>
      <c r="R25" s="80"/>
      <c r="S25" s="81"/>
    </row>
    <row r="26" spans="1:19" s="76" customFormat="1" ht="141" customHeight="1" x14ac:dyDescent="0.2">
      <c r="A26" s="74" t="s">
        <v>212</v>
      </c>
      <c r="B26" s="89" t="s">
        <v>195</v>
      </c>
      <c r="C26" s="75" t="s">
        <v>66</v>
      </c>
      <c r="D26" s="74" t="s">
        <v>14</v>
      </c>
      <c r="E26" s="74" t="s">
        <v>18</v>
      </c>
      <c r="F26" s="884" t="s">
        <v>196</v>
      </c>
      <c r="G26" s="884"/>
      <c r="H26" s="884"/>
      <c r="I26" s="74" t="s">
        <v>67</v>
      </c>
      <c r="J26" s="79">
        <v>0</v>
      </c>
      <c r="K26" s="79">
        <v>0</v>
      </c>
      <c r="L26" s="79">
        <v>33.299999999999997</v>
      </c>
      <c r="M26" s="204">
        <f>37+9</f>
        <v>46</v>
      </c>
      <c r="N26" s="79">
        <v>33.299999999999997</v>
      </c>
      <c r="O26" s="79">
        <v>33.299999999999997</v>
      </c>
      <c r="P26" s="79">
        <v>33.299999999999997</v>
      </c>
      <c r="Q26" s="79">
        <f t="shared" si="0"/>
        <v>179.2</v>
      </c>
      <c r="R26" s="80"/>
    </row>
    <row r="27" spans="1:19" s="76" customFormat="1" ht="138" customHeight="1" x14ac:dyDescent="0.2">
      <c r="A27" s="74" t="s">
        <v>246</v>
      </c>
      <c r="B27" s="89" t="s">
        <v>143</v>
      </c>
      <c r="C27" s="75" t="s">
        <v>66</v>
      </c>
      <c r="D27" s="74" t="s">
        <v>14</v>
      </c>
      <c r="E27" s="74" t="s">
        <v>18</v>
      </c>
      <c r="F27" s="884" t="s">
        <v>144</v>
      </c>
      <c r="G27" s="884"/>
      <c r="H27" s="884"/>
      <c r="I27" s="74" t="s">
        <v>67</v>
      </c>
      <c r="J27" s="79">
        <f>34.7</f>
        <v>34.700000000000003</v>
      </c>
      <c r="K27" s="79">
        <v>0</v>
      </c>
      <c r="L27" s="79">
        <v>0</v>
      </c>
      <c r="M27" s="204">
        <v>0</v>
      </c>
      <c r="N27" s="79">
        <v>0</v>
      </c>
      <c r="O27" s="79">
        <v>0</v>
      </c>
      <c r="P27" s="79"/>
      <c r="Q27" s="79">
        <f t="shared" si="0"/>
        <v>34.700000000000003</v>
      </c>
      <c r="R27" s="80"/>
    </row>
    <row r="28" spans="1:19" s="76" customFormat="1" ht="90" x14ac:dyDescent="0.2">
      <c r="A28" s="90" t="s">
        <v>270</v>
      </c>
      <c r="B28" s="91" t="s">
        <v>271</v>
      </c>
      <c r="C28" s="92" t="s">
        <v>66</v>
      </c>
      <c r="D28" s="84" t="s">
        <v>14</v>
      </c>
      <c r="E28" s="84" t="s">
        <v>18</v>
      </c>
      <c r="F28" s="897" t="s">
        <v>272</v>
      </c>
      <c r="G28" s="897"/>
      <c r="H28" s="897"/>
      <c r="I28" s="84" t="s">
        <v>68</v>
      </c>
      <c r="J28" s="93">
        <v>0</v>
      </c>
      <c r="K28" s="93">
        <v>0</v>
      </c>
      <c r="L28" s="93">
        <v>0</v>
      </c>
      <c r="M28" s="206">
        <v>32.799999999999997</v>
      </c>
      <c r="N28" s="93">
        <v>0.7</v>
      </c>
      <c r="O28" s="93">
        <v>0.7</v>
      </c>
      <c r="P28" s="93">
        <v>0.7</v>
      </c>
      <c r="Q28" s="79">
        <f t="shared" si="0"/>
        <v>34.900000000000006</v>
      </c>
      <c r="R28" s="94"/>
      <c r="S28" s="81"/>
    </row>
    <row r="29" spans="1:19" s="98" customFormat="1" ht="92.25" customHeight="1" x14ac:dyDescent="0.25">
      <c r="A29" s="95" t="s">
        <v>276</v>
      </c>
      <c r="B29" s="96" t="s">
        <v>277</v>
      </c>
      <c r="C29" s="92" t="s">
        <v>66</v>
      </c>
      <c r="D29" s="84" t="s">
        <v>14</v>
      </c>
      <c r="E29" s="84" t="s">
        <v>18</v>
      </c>
      <c r="F29" s="907" t="s">
        <v>278</v>
      </c>
      <c r="G29" s="908"/>
      <c r="H29" s="909"/>
      <c r="I29" s="84" t="s">
        <v>67</v>
      </c>
      <c r="J29" s="93">
        <v>0</v>
      </c>
      <c r="K29" s="93">
        <v>0</v>
      </c>
      <c r="L29" s="93">
        <v>0</v>
      </c>
      <c r="M29" s="206">
        <v>1181</v>
      </c>
      <c r="N29" s="93">
        <v>0</v>
      </c>
      <c r="O29" s="93">
        <v>0</v>
      </c>
      <c r="P29" s="93"/>
      <c r="Q29" s="79">
        <f t="shared" si="0"/>
        <v>1181</v>
      </c>
      <c r="R29" s="97"/>
      <c r="S29" s="227"/>
    </row>
    <row r="30" spans="1:19" s="103" customFormat="1" ht="90" x14ac:dyDescent="0.25">
      <c r="A30" s="99" t="s">
        <v>302</v>
      </c>
      <c r="B30" s="100" t="s">
        <v>310</v>
      </c>
      <c r="C30" s="98" t="s">
        <v>66</v>
      </c>
      <c r="D30" s="82" t="s">
        <v>14</v>
      </c>
      <c r="E30" s="82" t="s">
        <v>18</v>
      </c>
      <c r="F30" s="903" t="s">
        <v>303</v>
      </c>
      <c r="G30" s="903"/>
      <c r="H30" s="903"/>
      <c r="I30" s="82" t="s">
        <v>67</v>
      </c>
      <c r="J30" s="85"/>
      <c r="K30" s="85"/>
      <c r="L30" s="85"/>
      <c r="M30" s="205">
        <f>1719.9+154.1+12.6+2433.5</f>
        <v>4320.1000000000004</v>
      </c>
      <c r="N30" s="85"/>
      <c r="O30" s="85"/>
      <c r="P30" s="85"/>
      <c r="Q30" s="79">
        <f t="shared" si="0"/>
        <v>4320.1000000000004</v>
      </c>
      <c r="R30" s="101"/>
      <c r="S30" s="102"/>
    </row>
    <row r="31" spans="1:19" s="76" customFormat="1" ht="31.5" customHeight="1" x14ac:dyDescent="0.2">
      <c r="A31" s="88"/>
      <c r="B31" s="104" t="s">
        <v>71</v>
      </c>
      <c r="C31" s="225"/>
      <c r="D31" s="104"/>
      <c r="E31" s="104"/>
      <c r="F31" s="891"/>
      <c r="G31" s="891"/>
      <c r="H31" s="891"/>
      <c r="I31" s="104"/>
      <c r="J31" s="105">
        <f t="shared" ref="J31:O31" si="1">SUM(J8:J29)</f>
        <v>27079.300000000003</v>
      </c>
      <c r="K31" s="105">
        <f t="shared" si="1"/>
        <v>30185.399999999998</v>
      </c>
      <c r="L31" s="105">
        <f t="shared" si="1"/>
        <v>27708.199999999997</v>
      </c>
      <c r="M31" s="207">
        <f>SUM(M8:M30)</f>
        <v>26619.299999999996</v>
      </c>
      <c r="N31" s="105">
        <f t="shared" si="1"/>
        <v>21188.6</v>
      </c>
      <c r="O31" s="105">
        <f t="shared" si="1"/>
        <v>21188.6</v>
      </c>
      <c r="P31" s="105">
        <f>SUM(P8:P29)</f>
        <v>21188.6</v>
      </c>
      <c r="Q31" s="79">
        <f t="shared" si="0"/>
        <v>175158</v>
      </c>
      <c r="R31" s="106"/>
      <c r="S31" s="107"/>
    </row>
    <row r="32" spans="1:19" s="76" customFormat="1" ht="31.5" customHeight="1" x14ac:dyDescent="0.2">
      <c r="A32" s="78" t="s">
        <v>72</v>
      </c>
      <c r="B32" s="892" t="s">
        <v>73</v>
      </c>
      <c r="C32" s="910"/>
      <c r="D32" s="910"/>
      <c r="E32" s="910"/>
      <c r="F32" s="910"/>
      <c r="G32" s="910"/>
      <c r="H32" s="910"/>
      <c r="I32" s="910"/>
      <c r="J32" s="910"/>
      <c r="K32" s="910"/>
      <c r="L32" s="910"/>
      <c r="M32" s="910"/>
      <c r="N32" s="910"/>
      <c r="O32" s="910"/>
      <c r="P32" s="910"/>
      <c r="Q32" s="910"/>
      <c r="R32" s="109"/>
    </row>
    <row r="33" spans="1:19" s="76" customFormat="1" ht="44.25" customHeight="1" x14ac:dyDescent="0.2">
      <c r="A33" s="897" t="s">
        <v>74</v>
      </c>
      <c r="B33" s="899" t="s">
        <v>75</v>
      </c>
      <c r="C33" s="900" t="s">
        <v>66</v>
      </c>
      <c r="D33" s="74" t="s">
        <v>14</v>
      </c>
      <c r="E33" s="74" t="s">
        <v>18</v>
      </c>
      <c r="F33" s="884" t="s">
        <v>197</v>
      </c>
      <c r="G33" s="884"/>
      <c r="H33" s="884"/>
      <c r="I33" s="74" t="s">
        <v>67</v>
      </c>
      <c r="J33" s="79">
        <v>0</v>
      </c>
      <c r="K33" s="79">
        <v>0</v>
      </c>
      <c r="L33" s="79">
        <v>8152</v>
      </c>
      <c r="M33" s="204">
        <f>7787.3-605.7+45.9</f>
        <v>7227.5</v>
      </c>
      <c r="N33" s="79">
        <v>7286.8</v>
      </c>
      <c r="O33" s="79">
        <v>7286.8</v>
      </c>
      <c r="P33" s="79">
        <v>7286.8</v>
      </c>
      <c r="Q33" s="79">
        <f t="shared" ref="Q33:Q40" si="2">SUM(J33:P33)</f>
        <v>37239.9</v>
      </c>
      <c r="R33" s="902" t="s">
        <v>318</v>
      </c>
      <c r="S33" s="81"/>
    </row>
    <row r="34" spans="1:19" s="76" customFormat="1" ht="21" customHeight="1" x14ac:dyDescent="0.2">
      <c r="A34" s="898"/>
      <c r="B34" s="899"/>
      <c r="C34" s="901"/>
      <c r="D34" s="74" t="s">
        <v>14</v>
      </c>
      <c r="E34" s="74" t="s">
        <v>18</v>
      </c>
      <c r="F34" s="884" t="s">
        <v>243</v>
      </c>
      <c r="G34" s="884"/>
      <c r="H34" s="884"/>
      <c r="I34" s="74" t="s">
        <v>67</v>
      </c>
      <c r="J34" s="79">
        <v>7867.55</v>
      </c>
      <c r="K34" s="79">
        <v>8239.9</v>
      </c>
      <c r="L34" s="79">
        <v>0</v>
      </c>
      <c r="M34" s="204">
        <v>0</v>
      </c>
      <c r="N34" s="79">
        <v>0</v>
      </c>
      <c r="O34" s="79">
        <v>0</v>
      </c>
      <c r="P34" s="79"/>
      <c r="Q34" s="79">
        <f t="shared" si="2"/>
        <v>16107.45</v>
      </c>
      <c r="R34" s="902"/>
      <c r="S34" s="81"/>
    </row>
    <row r="35" spans="1:19" s="76" customFormat="1" ht="29.25" customHeight="1" x14ac:dyDescent="0.2">
      <c r="A35" s="903" t="s">
        <v>76</v>
      </c>
      <c r="B35" s="904" t="s">
        <v>106</v>
      </c>
      <c r="C35" s="899" t="s">
        <v>66</v>
      </c>
      <c r="D35" s="83" t="s">
        <v>14</v>
      </c>
      <c r="E35" s="74" t="s">
        <v>18</v>
      </c>
      <c r="F35" s="884" t="s">
        <v>197</v>
      </c>
      <c r="G35" s="884"/>
      <c r="H35" s="884"/>
      <c r="I35" s="74" t="s">
        <v>68</v>
      </c>
      <c r="J35" s="79">
        <v>0</v>
      </c>
      <c r="K35" s="79">
        <v>0</v>
      </c>
      <c r="L35" s="110">
        <v>115.4</v>
      </c>
      <c r="M35" s="208">
        <v>232.6</v>
      </c>
      <c r="N35" s="110">
        <v>0</v>
      </c>
      <c r="O35" s="110">
        <v>0</v>
      </c>
      <c r="P35" s="110"/>
      <c r="Q35" s="79">
        <f t="shared" si="2"/>
        <v>348</v>
      </c>
      <c r="R35" s="902"/>
    </row>
    <row r="36" spans="1:19" s="76" customFormat="1" ht="23.25" customHeight="1" x14ac:dyDescent="0.2">
      <c r="A36" s="903"/>
      <c r="B36" s="905"/>
      <c r="C36" s="899"/>
      <c r="D36" s="83" t="s">
        <v>14</v>
      </c>
      <c r="E36" s="74" t="s">
        <v>18</v>
      </c>
      <c r="F36" s="884" t="s">
        <v>243</v>
      </c>
      <c r="G36" s="884"/>
      <c r="H36" s="884"/>
      <c r="I36" s="74" t="s">
        <v>68</v>
      </c>
      <c r="J36" s="79">
        <v>24.15</v>
      </c>
      <c r="K36" s="79">
        <v>1230.0999999999999</v>
      </c>
      <c r="L36" s="110">
        <v>0</v>
      </c>
      <c r="M36" s="208">
        <v>0</v>
      </c>
      <c r="N36" s="110">
        <v>0</v>
      </c>
      <c r="O36" s="110">
        <v>0</v>
      </c>
      <c r="P36" s="110"/>
      <c r="Q36" s="79">
        <f t="shared" si="2"/>
        <v>1254.25</v>
      </c>
      <c r="R36" s="902"/>
    </row>
    <row r="37" spans="1:19" s="76" customFormat="1" ht="27" customHeight="1" x14ac:dyDescent="0.2">
      <c r="A37" s="903"/>
      <c r="B37" s="906"/>
      <c r="C37" s="899"/>
      <c r="D37" s="83" t="s">
        <v>14</v>
      </c>
      <c r="E37" s="74" t="s">
        <v>18</v>
      </c>
      <c r="F37" s="885" t="s">
        <v>244</v>
      </c>
      <c r="G37" s="886"/>
      <c r="H37" s="887"/>
      <c r="I37" s="74" t="s">
        <v>68</v>
      </c>
      <c r="J37" s="79">
        <v>580</v>
      </c>
      <c r="K37" s="79">
        <v>130.19999999999999</v>
      </c>
      <c r="L37" s="79">
        <v>0</v>
      </c>
      <c r="M37" s="204">
        <v>0</v>
      </c>
      <c r="N37" s="79">
        <v>0</v>
      </c>
      <c r="O37" s="79">
        <v>0</v>
      </c>
      <c r="P37" s="79"/>
      <c r="Q37" s="79">
        <f t="shared" si="2"/>
        <v>710.2</v>
      </c>
      <c r="R37" s="902"/>
      <c r="S37" s="81"/>
    </row>
    <row r="38" spans="1:19" s="76" customFormat="1" ht="144" customHeight="1" x14ac:dyDescent="0.2">
      <c r="A38" s="111" t="s">
        <v>245</v>
      </c>
      <c r="B38" s="112" t="s">
        <v>143</v>
      </c>
      <c r="C38" s="121" t="s">
        <v>66</v>
      </c>
      <c r="D38" s="74" t="s">
        <v>14</v>
      </c>
      <c r="E38" s="74" t="s">
        <v>18</v>
      </c>
      <c r="F38" s="884" t="s">
        <v>144</v>
      </c>
      <c r="G38" s="884"/>
      <c r="H38" s="884"/>
      <c r="I38" s="74" t="s">
        <v>67</v>
      </c>
      <c r="J38" s="79">
        <v>11.4</v>
      </c>
      <c r="K38" s="79">
        <v>0</v>
      </c>
      <c r="L38" s="79">
        <v>0</v>
      </c>
      <c r="M38" s="204">
        <v>0</v>
      </c>
      <c r="N38" s="79">
        <v>0</v>
      </c>
      <c r="O38" s="79">
        <v>0</v>
      </c>
      <c r="P38" s="79"/>
      <c r="Q38" s="79">
        <f t="shared" si="2"/>
        <v>11.4</v>
      </c>
      <c r="R38" s="80"/>
    </row>
    <row r="39" spans="1:19" s="76" customFormat="1" ht="105" x14ac:dyDescent="0.25">
      <c r="A39" s="78" t="s">
        <v>304</v>
      </c>
      <c r="B39" s="113" t="s">
        <v>300</v>
      </c>
      <c r="C39" s="75" t="s">
        <v>66</v>
      </c>
      <c r="D39" s="74" t="s">
        <v>14</v>
      </c>
      <c r="E39" s="74" t="s">
        <v>18</v>
      </c>
      <c r="F39" s="885" t="s">
        <v>279</v>
      </c>
      <c r="G39" s="886"/>
      <c r="H39" s="887"/>
      <c r="I39" s="74" t="s">
        <v>68</v>
      </c>
      <c r="J39" s="79"/>
      <c r="K39" s="79"/>
      <c r="L39" s="79"/>
      <c r="M39" s="204">
        <v>280</v>
      </c>
      <c r="N39" s="79"/>
      <c r="O39" s="79"/>
      <c r="P39" s="79"/>
      <c r="Q39" s="79">
        <f t="shared" si="2"/>
        <v>280</v>
      </c>
      <c r="R39" s="80"/>
    </row>
    <row r="40" spans="1:19" s="76" customFormat="1" ht="19.5" customHeight="1" x14ac:dyDescent="0.2">
      <c r="A40" s="74"/>
      <c r="B40" s="77" t="s">
        <v>77</v>
      </c>
      <c r="C40" s="226"/>
      <c r="D40" s="77"/>
      <c r="E40" s="77"/>
      <c r="F40" s="884"/>
      <c r="G40" s="884"/>
      <c r="H40" s="884"/>
      <c r="I40" s="77"/>
      <c r="J40" s="79">
        <f t="shared" ref="J40:P40" si="3">SUM(J33:J38)</f>
        <v>8483.1</v>
      </c>
      <c r="K40" s="79">
        <f t="shared" si="3"/>
        <v>9600.2000000000007</v>
      </c>
      <c r="L40" s="79">
        <f t="shared" si="3"/>
        <v>8267.4</v>
      </c>
      <c r="M40" s="204">
        <f>SUM(M33:M39)</f>
        <v>7740.1</v>
      </c>
      <c r="N40" s="79">
        <f t="shared" si="3"/>
        <v>7286.8</v>
      </c>
      <c r="O40" s="79">
        <f t="shared" si="3"/>
        <v>7286.8</v>
      </c>
      <c r="P40" s="79">
        <f t="shared" si="3"/>
        <v>7286.8</v>
      </c>
      <c r="Q40" s="79">
        <f t="shared" si="2"/>
        <v>55951.200000000012</v>
      </c>
      <c r="R40" s="114"/>
      <c r="S40" s="107"/>
    </row>
    <row r="41" spans="1:19" s="76" customFormat="1" ht="21" customHeight="1" x14ac:dyDescent="0.2">
      <c r="A41" s="74" t="s">
        <v>78</v>
      </c>
      <c r="B41" s="896" t="s">
        <v>79</v>
      </c>
      <c r="C41" s="896"/>
      <c r="D41" s="896"/>
      <c r="E41" s="896"/>
      <c r="F41" s="896"/>
      <c r="G41" s="896"/>
      <c r="H41" s="896"/>
      <c r="I41" s="896"/>
      <c r="J41" s="896"/>
      <c r="K41" s="896"/>
      <c r="L41" s="896"/>
      <c r="M41" s="896"/>
      <c r="N41" s="896"/>
      <c r="O41" s="896"/>
      <c r="P41" s="896"/>
      <c r="Q41" s="896"/>
      <c r="R41" s="108"/>
      <c r="S41" s="107"/>
    </row>
    <row r="42" spans="1:19" s="76" customFormat="1" ht="69" customHeight="1" x14ac:dyDescent="0.2">
      <c r="A42" s="74" t="s">
        <v>80</v>
      </c>
      <c r="B42" s="77" t="s">
        <v>81</v>
      </c>
      <c r="C42" s="75" t="s">
        <v>66</v>
      </c>
      <c r="D42" s="74" t="s">
        <v>14</v>
      </c>
      <c r="E42" s="74" t="s">
        <v>18</v>
      </c>
      <c r="F42" s="884" t="s">
        <v>82</v>
      </c>
      <c r="G42" s="884"/>
      <c r="H42" s="884"/>
      <c r="I42" s="77">
        <v>612</v>
      </c>
      <c r="J42" s="79">
        <v>235.5</v>
      </c>
      <c r="K42" s="79">
        <v>0</v>
      </c>
      <c r="L42" s="79">
        <v>0</v>
      </c>
      <c r="M42" s="204" t="s">
        <v>111</v>
      </c>
      <c r="N42" s="79"/>
      <c r="O42" s="79" t="s">
        <v>111</v>
      </c>
      <c r="P42" s="115"/>
      <c r="Q42" s="115">
        <f>SUM(J42:P42)</f>
        <v>235.5</v>
      </c>
      <c r="R42" s="98"/>
      <c r="S42" s="107"/>
    </row>
    <row r="43" spans="1:19" s="76" customFormat="1" ht="69.75" customHeight="1" x14ac:dyDescent="0.2">
      <c r="A43" s="74" t="s">
        <v>83</v>
      </c>
      <c r="B43" s="77" t="s">
        <v>84</v>
      </c>
      <c r="C43" s="75" t="s">
        <v>66</v>
      </c>
      <c r="D43" s="74" t="s">
        <v>14</v>
      </c>
      <c r="E43" s="74" t="s">
        <v>18</v>
      </c>
      <c r="F43" s="884" t="s">
        <v>85</v>
      </c>
      <c r="G43" s="884"/>
      <c r="H43" s="884"/>
      <c r="I43" s="77">
        <v>612</v>
      </c>
      <c r="J43" s="79">
        <v>58.9</v>
      </c>
      <c r="K43" s="79">
        <v>0</v>
      </c>
      <c r="L43" s="79">
        <v>0</v>
      </c>
      <c r="M43" s="204" t="s">
        <v>111</v>
      </c>
      <c r="N43" s="79"/>
      <c r="O43" s="79" t="s">
        <v>111</v>
      </c>
      <c r="P43" s="115"/>
      <c r="Q43" s="115">
        <f t="shared" ref="Q43:Q55" si="4">SUM(J43:P43)</f>
        <v>58.9</v>
      </c>
      <c r="R43" s="98"/>
      <c r="S43" s="107"/>
    </row>
    <row r="44" spans="1:19" s="76" customFormat="1" ht="36.75" customHeight="1" x14ac:dyDescent="0.2">
      <c r="A44" s="890" t="s">
        <v>86</v>
      </c>
      <c r="B44" s="892" t="s">
        <v>121</v>
      </c>
      <c r="C44" s="894" t="s">
        <v>66</v>
      </c>
      <c r="D44" s="74" t="s">
        <v>14</v>
      </c>
      <c r="E44" s="74" t="s">
        <v>18</v>
      </c>
      <c r="F44" s="885" t="s">
        <v>268</v>
      </c>
      <c r="G44" s="886"/>
      <c r="H44" s="887"/>
      <c r="I44" s="77">
        <v>612</v>
      </c>
      <c r="J44" s="79">
        <v>0</v>
      </c>
      <c r="K44" s="79">
        <v>0</v>
      </c>
      <c r="L44" s="79">
        <v>5.2</v>
      </c>
      <c r="M44" s="204">
        <v>0</v>
      </c>
      <c r="N44" s="79">
        <v>0</v>
      </c>
      <c r="O44" s="79">
        <v>0</v>
      </c>
      <c r="P44" s="79"/>
      <c r="Q44" s="115">
        <f t="shared" si="4"/>
        <v>5.2</v>
      </c>
      <c r="R44" s="87"/>
      <c r="S44" s="107"/>
    </row>
    <row r="45" spans="1:19" s="76" customFormat="1" ht="27" customHeight="1" x14ac:dyDescent="0.2">
      <c r="A45" s="891"/>
      <c r="B45" s="893"/>
      <c r="C45" s="895"/>
      <c r="D45" s="83" t="s">
        <v>14</v>
      </c>
      <c r="E45" s="74" t="s">
        <v>18</v>
      </c>
      <c r="F45" s="885" t="s">
        <v>247</v>
      </c>
      <c r="G45" s="886"/>
      <c r="H45" s="887"/>
      <c r="I45" s="116" t="s">
        <v>68</v>
      </c>
      <c r="J45" s="79">
        <v>0</v>
      </c>
      <c r="K45" s="79">
        <v>5.3</v>
      </c>
      <c r="L45" s="79">
        <v>0</v>
      </c>
      <c r="M45" s="204">
        <v>0</v>
      </c>
      <c r="N45" s="79">
        <v>0</v>
      </c>
      <c r="O45" s="79">
        <v>0</v>
      </c>
      <c r="P45" s="79"/>
      <c r="Q45" s="115">
        <f t="shared" si="4"/>
        <v>5.3</v>
      </c>
      <c r="R45" s="75"/>
      <c r="S45" s="81"/>
    </row>
    <row r="46" spans="1:19" s="76" customFormat="1" ht="66.75" customHeight="1" x14ac:dyDescent="0.2">
      <c r="A46" s="74" t="s">
        <v>88</v>
      </c>
      <c r="B46" s="77" t="s">
        <v>87</v>
      </c>
      <c r="C46" s="75" t="s">
        <v>66</v>
      </c>
      <c r="D46" s="74" t="s">
        <v>14</v>
      </c>
      <c r="E46" s="74" t="s">
        <v>18</v>
      </c>
      <c r="F46" s="884" t="s">
        <v>226</v>
      </c>
      <c r="G46" s="884"/>
      <c r="H46" s="884"/>
      <c r="I46" s="77">
        <v>612</v>
      </c>
      <c r="J46" s="79">
        <v>0</v>
      </c>
      <c r="K46" s="79">
        <v>0</v>
      </c>
      <c r="L46" s="79">
        <v>95.9</v>
      </c>
      <c r="M46" s="204">
        <v>0</v>
      </c>
      <c r="N46" s="79">
        <v>0</v>
      </c>
      <c r="O46" s="79">
        <v>0</v>
      </c>
      <c r="P46" s="79"/>
      <c r="Q46" s="115">
        <f t="shared" si="4"/>
        <v>95.9</v>
      </c>
      <c r="R46" s="75"/>
      <c r="S46" s="107"/>
    </row>
    <row r="47" spans="1:19" s="76" customFormat="1" ht="27" customHeight="1" x14ac:dyDescent="0.2">
      <c r="A47" s="74"/>
      <c r="B47" s="77"/>
      <c r="C47" s="226"/>
      <c r="D47" s="83" t="s">
        <v>14</v>
      </c>
      <c r="E47" s="74" t="s">
        <v>18</v>
      </c>
      <c r="F47" s="884" t="s">
        <v>248</v>
      </c>
      <c r="G47" s="884"/>
      <c r="H47" s="884"/>
      <c r="I47" s="116" t="s">
        <v>68</v>
      </c>
      <c r="J47" s="79">
        <v>36.6</v>
      </c>
      <c r="K47" s="79">
        <v>87.8</v>
      </c>
      <c r="L47" s="79">
        <v>0</v>
      </c>
      <c r="M47" s="204">
        <v>0</v>
      </c>
      <c r="N47" s="79">
        <v>0</v>
      </c>
      <c r="O47" s="79">
        <v>0</v>
      </c>
      <c r="P47" s="79"/>
      <c r="Q47" s="115">
        <f t="shared" si="4"/>
        <v>124.4</v>
      </c>
      <c r="R47" s="75"/>
      <c r="S47" s="81"/>
    </row>
    <row r="48" spans="1:19" s="76" customFormat="1" ht="48" customHeight="1" x14ac:dyDescent="0.2">
      <c r="A48" s="890" t="s">
        <v>104</v>
      </c>
      <c r="B48" s="892" t="s">
        <v>89</v>
      </c>
      <c r="C48" s="894" t="s">
        <v>66</v>
      </c>
      <c r="D48" s="74" t="s">
        <v>14</v>
      </c>
      <c r="E48" s="74" t="s">
        <v>18</v>
      </c>
      <c r="F48" s="884" t="s">
        <v>225</v>
      </c>
      <c r="G48" s="884"/>
      <c r="H48" s="884"/>
      <c r="I48" s="77">
        <v>612</v>
      </c>
      <c r="J48" s="79">
        <v>0</v>
      </c>
      <c r="K48" s="79">
        <v>0</v>
      </c>
      <c r="L48" s="79">
        <v>32</v>
      </c>
      <c r="M48" s="204">
        <v>0</v>
      </c>
      <c r="N48" s="79">
        <v>0</v>
      </c>
      <c r="O48" s="79">
        <v>0</v>
      </c>
      <c r="P48" s="79"/>
      <c r="Q48" s="115">
        <f t="shared" si="4"/>
        <v>32</v>
      </c>
      <c r="R48" s="75"/>
      <c r="S48" s="107"/>
    </row>
    <row r="49" spans="1:19" s="76" customFormat="1" ht="27" customHeight="1" x14ac:dyDescent="0.2">
      <c r="A49" s="891"/>
      <c r="B49" s="893"/>
      <c r="C49" s="895"/>
      <c r="D49" s="83" t="s">
        <v>14</v>
      </c>
      <c r="E49" s="74" t="s">
        <v>18</v>
      </c>
      <c r="F49" s="884" t="s">
        <v>249</v>
      </c>
      <c r="G49" s="884"/>
      <c r="H49" s="884"/>
      <c r="I49" s="116" t="s">
        <v>68</v>
      </c>
      <c r="J49" s="79">
        <v>12.2</v>
      </c>
      <c r="K49" s="79">
        <v>25.3</v>
      </c>
      <c r="L49" s="79">
        <v>0</v>
      </c>
      <c r="M49" s="204">
        <v>0</v>
      </c>
      <c r="N49" s="79">
        <v>0</v>
      </c>
      <c r="O49" s="79">
        <v>0</v>
      </c>
      <c r="P49" s="79"/>
      <c r="Q49" s="115">
        <f t="shared" si="4"/>
        <v>37.5</v>
      </c>
      <c r="R49" s="75"/>
      <c r="S49" s="81"/>
    </row>
    <row r="50" spans="1:19" s="76" customFormat="1" ht="66.75" customHeight="1" x14ac:dyDescent="0.2">
      <c r="A50" s="890" t="s">
        <v>120</v>
      </c>
      <c r="B50" s="892" t="s">
        <v>105</v>
      </c>
      <c r="C50" s="894" t="s">
        <v>66</v>
      </c>
      <c r="D50" s="74" t="s">
        <v>14</v>
      </c>
      <c r="E50" s="74" t="s">
        <v>18</v>
      </c>
      <c r="F50" s="884" t="s">
        <v>250</v>
      </c>
      <c r="G50" s="884"/>
      <c r="H50" s="884"/>
      <c r="I50" s="77">
        <v>612</v>
      </c>
      <c r="J50" s="79">
        <v>17.3</v>
      </c>
      <c r="K50" s="79">
        <v>1.6</v>
      </c>
      <c r="L50" s="79">
        <v>0</v>
      </c>
      <c r="M50" s="204">
        <v>0</v>
      </c>
      <c r="N50" s="79">
        <v>0</v>
      </c>
      <c r="O50" s="79">
        <v>0</v>
      </c>
      <c r="P50" s="79"/>
      <c r="Q50" s="115">
        <f t="shared" si="4"/>
        <v>18.900000000000002</v>
      </c>
      <c r="R50" s="75"/>
      <c r="S50" s="107"/>
    </row>
    <row r="51" spans="1:19" s="76" customFormat="1" ht="66.75" customHeight="1" x14ac:dyDescent="0.2">
      <c r="A51" s="891"/>
      <c r="B51" s="893"/>
      <c r="C51" s="895"/>
      <c r="D51" s="74" t="s">
        <v>14</v>
      </c>
      <c r="E51" s="74" t="s">
        <v>18</v>
      </c>
      <c r="F51" s="885" t="s">
        <v>280</v>
      </c>
      <c r="G51" s="886"/>
      <c r="H51" s="887"/>
      <c r="I51" s="77">
        <v>612</v>
      </c>
      <c r="J51" s="79">
        <v>0</v>
      </c>
      <c r="K51" s="79">
        <v>0</v>
      </c>
      <c r="L51" s="79">
        <v>0</v>
      </c>
      <c r="M51" s="204">
        <v>7</v>
      </c>
      <c r="N51" s="79">
        <v>0</v>
      </c>
      <c r="O51" s="79">
        <v>0</v>
      </c>
      <c r="P51" s="79"/>
      <c r="Q51" s="115">
        <f t="shared" si="4"/>
        <v>7</v>
      </c>
      <c r="R51" s="75"/>
      <c r="S51" s="107"/>
    </row>
    <row r="52" spans="1:19" s="76" customFormat="1" ht="165" customHeight="1" x14ac:dyDescent="0.2">
      <c r="A52" s="74" t="s">
        <v>213</v>
      </c>
      <c r="B52" s="77" t="s">
        <v>232</v>
      </c>
      <c r="C52" s="75" t="s">
        <v>66</v>
      </c>
      <c r="D52" s="74" t="s">
        <v>14</v>
      </c>
      <c r="E52" s="74" t="s">
        <v>18</v>
      </c>
      <c r="F52" s="884" t="s">
        <v>279</v>
      </c>
      <c r="G52" s="884"/>
      <c r="H52" s="884"/>
      <c r="I52" s="77">
        <v>612</v>
      </c>
      <c r="J52" s="79"/>
      <c r="K52" s="79">
        <v>0</v>
      </c>
      <c r="L52" s="79">
        <v>280</v>
      </c>
      <c r="M52" s="204">
        <v>0</v>
      </c>
      <c r="N52" s="79">
        <v>0</v>
      </c>
      <c r="O52" s="79">
        <v>0</v>
      </c>
      <c r="P52" s="79"/>
      <c r="Q52" s="115">
        <f t="shared" si="4"/>
        <v>280</v>
      </c>
      <c r="R52" s="75" t="s">
        <v>322</v>
      </c>
      <c r="S52" s="107"/>
    </row>
    <row r="53" spans="1:19" s="76" customFormat="1" ht="82.5" customHeight="1" x14ac:dyDescent="0.2">
      <c r="A53" s="74" t="s">
        <v>231</v>
      </c>
      <c r="B53" s="77" t="s">
        <v>309</v>
      </c>
      <c r="C53" s="75" t="s">
        <v>66</v>
      </c>
      <c r="D53" s="74" t="s">
        <v>14</v>
      </c>
      <c r="E53" s="74" t="s">
        <v>18</v>
      </c>
      <c r="F53" s="884" t="s">
        <v>280</v>
      </c>
      <c r="G53" s="884"/>
      <c r="H53" s="884"/>
      <c r="I53" s="77">
        <v>612</v>
      </c>
      <c r="J53" s="79"/>
      <c r="K53" s="79">
        <v>0</v>
      </c>
      <c r="L53" s="79">
        <v>10.8</v>
      </c>
      <c r="M53" s="204">
        <v>0</v>
      </c>
      <c r="N53" s="79">
        <v>0</v>
      </c>
      <c r="O53" s="79">
        <v>0</v>
      </c>
      <c r="P53" s="79"/>
      <c r="Q53" s="115">
        <f t="shared" si="4"/>
        <v>10.8</v>
      </c>
      <c r="R53" s="75"/>
      <c r="S53" s="107"/>
    </row>
    <row r="54" spans="1:19" s="76" customFormat="1" ht="99" customHeight="1" x14ac:dyDescent="0.2">
      <c r="A54" s="74" t="s">
        <v>273</v>
      </c>
      <c r="B54" s="77" t="s">
        <v>274</v>
      </c>
      <c r="C54" s="75" t="s">
        <v>66</v>
      </c>
      <c r="D54" s="74" t="s">
        <v>14</v>
      </c>
      <c r="E54" s="74" t="s">
        <v>18</v>
      </c>
      <c r="F54" s="884" t="s">
        <v>275</v>
      </c>
      <c r="G54" s="884"/>
      <c r="H54" s="884"/>
      <c r="I54" s="77">
        <v>612</v>
      </c>
      <c r="J54" s="79"/>
      <c r="K54" s="79">
        <v>0</v>
      </c>
      <c r="L54" s="79">
        <v>0</v>
      </c>
      <c r="M54" s="204">
        <v>4.9000000000000004</v>
      </c>
      <c r="N54" s="79">
        <v>0</v>
      </c>
      <c r="O54" s="79">
        <v>0</v>
      </c>
      <c r="P54" s="79"/>
      <c r="Q54" s="115">
        <f t="shared" si="4"/>
        <v>4.9000000000000004</v>
      </c>
      <c r="R54" s="75"/>
      <c r="S54" s="107"/>
    </row>
    <row r="55" spans="1:19" s="76" customFormat="1" ht="93" customHeight="1" x14ac:dyDescent="0.2">
      <c r="A55" s="74" t="s">
        <v>273</v>
      </c>
      <c r="B55" s="77" t="s">
        <v>274</v>
      </c>
      <c r="C55" s="75" t="s">
        <v>66</v>
      </c>
      <c r="D55" s="74" t="s">
        <v>14</v>
      </c>
      <c r="E55" s="74" t="s">
        <v>18</v>
      </c>
      <c r="F55" s="884" t="s">
        <v>275</v>
      </c>
      <c r="G55" s="884"/>
      <c r="H55" s="884"/>
      <c r="I55" s="77">
        <v>612</v>
      </c>
      <c r="J55" s="79"/>
      <c r="K55" s="79">
        <v>0</v>
      </c>
      <c r="L55" s="79">
        <v>0</v>
      </c>
      <c r="M55" s="204">
        <v>96.4</v>
      </c>
      <c r="N55" s="79">
        <v>0</v>
      </c>
      <c r="O55" s="79">
        <v>0</v>
      </c>
      <c r="P55" s="79"/>
      <c r="Q55" s="115">
        <f t="shared" si="4"/>
        <v>96.4</v>
      </c>
      <c r="R55" s="75"/>
      <c r="S55" s="107"/>
    </row>
    <row r="56" spans="1:19" s="76" customFormat="1" ht="18.75" customHeight="1" x14ac:dyDescent="0.2">
      <c r="A56" s="74"/>
      <c r="B56" s="77" t="s">
        <v>90</v>
      </c>
      <c r="C56" s="226"/>
      <c r="D56" s="77"/>
      <c r="E56" s="77"/>
      <c r="F56" s="885"/>
      <c r="G56" s="886"/>
      <c r="H56" s="887"/>
      <c r="I56" s="77"/>
      <c r="J56" s="79">
        <f>SUM(J42:J54)</f>
        <v>360.5</v>
      </c>
      <c r="K56" s="79">
        <f>SUM(K42:K54)</f>
        <v>119.99999999999999</v>
      </c>
      <c r="L56" s="79">
        <f>SUM(L42:L54)</f>
        <v>423.90000000000003</v>
      </c>
      <c r="M56" s="204">
        <f>SUM(M42:M55)</f>
        <v>108.30000000000001</v>
      </c>
      <c r="N56" s="79">
        <f>SUM(N42:N55)</f>
        <v>0</v>
      </c>
      <c r="O56" s="79">
        <f>SUM(O42:O55)</f>
        <v>0</v>
      </c>
      <c r="P56" s="79">
        <f>SUM(P42:P55)</f>
        <v>0</v>
      </c>
      <c r="Q56" s="79">
        <f>SUM(Q42:Q55)</f>
        <v>1012.6999999999998</v>
      </c>
      <c r="R56" s="75"/>
      <c r="S56" s="107"/>
    </row>
    <row r="57" spans="1:19" s="76" customFormat="1" ht="18.75" customHeight="1" x14ac:dyDescent="0.2">
      <c r="A57" s="74"/>
      <c r="B57" s="77" t="s">
        <v>91</v>
      </c>
      <c r="C57" s="77"/>
      <c r="D57" s="77"/>
      <c r="E57" s="77"/>
      <c r="F57" s="888"/>
      <c r="G57" s="888"/>
      <c r="H57" s="888"/>
      <c r="I57" s="77"/>
      <c r="J57" s="79">
        <f t="shared" ref="J57:R57" si="5">J31+J40+J56</f>
        <v>35922.9</v>
      </c>
      <c r="K57" s="79">
        <f t="shared" si="5"/>
        <v>39905.599999999999</v>
      </c>
      <c r="L57" s="79">
        <f t="shared" si="5"/>
        <v>36399.5</v>
      </c>
      <c r="M57" s="204">
        <f>M31+M40+M56</f>
        <v>34467.699999999997</v>
      </c>
      <c r="N57" s="79">
        <f t="shared" si="5"/>
        <v>28475.399999999998</v>
      </c>
      <c r="O57" s="79">
        <f t="shared" si="5"/>
        <v>28475.399999999998</v>
      </c>
      <c r="P57" s="79">
        <f t="shared" si="5"/>
        <v>28475.399999999998</v>
      </c>
      <c r="Q57" s="79">
        <f>SUM(J57:P57)</f>
        <v>232121.9</v>
      </c>
      <c r="R57" s="79">
        <f t="shared" si="5"/>
        <v>0</v>
      </c>
      <c r="S57" s="107"/>
    </row>
    <row r="58" spans="1:19" s="76" customFormat="1" ht="18.75" customHeight="1" x14ac:dyDescent="0.2">
      <c r="A58" s="117"/>
      <c r="B58" s="103"/>
      <c r="C58" s="103"/>
      <c r="D58" s="103"/>
      <c r="E58" s="103"/>
      <c r="F58" s="117"/>
      <c r="G58" s="117"/>
      <c r="H58" s="117"/>
      <c r="I58" s="103"/>
      <c r="J58" s="86"/>
      <c r="K58" s="86"/>
      <c r="L58" s="86"/>
      <c r="M58" s="209"/>
      <c r="N58" s="86"/>
      <c r="O58" s="86"/>
      <c r="P58" s="86"/>
      <c r="Q58" s="86"/>
      <c r="R58" s="103"/>
      <c r="S58" s="107"/>
    </row>
    <row r="59" spans="1:19" s="76" customFormat="1" ht="18.75" customHeight="1" x14ac:dyDescent="0.2">
      <c r="A59" s="117"/>
      <c r="B59" s="103"/>
      <c r="C59" s="103"/>
      <c r="D59" s="103"/>
      <c r="E59" s="103"/>
      <c r="F59" s="117"/>
      <c r="G59" s="117"/>
      <c r="H59" s="117"/>
      <c r="I59" s="103"/>
      <c r="J59" s="86"/>
      <c r="K59" s="86"/>
      <c r="L59" s="86"/>
      <c r="M59" s="209"/>
      <c r="N59" s="86"/>
      <c r="O59" s="86"/>
      <c r="P59" s="86"/>
      <c r="Q59" s="86"/>
      <c r="R59" s="103"/>
      <c r="S59" s="107"/>
    </row>
    <row r="60" spans="1:19" s="76" customFormat="1" ht="15.75" customHeight="1" x14ac:dyDescent="0.2">
      <c r="A60" s="117"/>
      <c r="B60" s="103"/>
      <c r="C60" s="103"/>
      <c r="D60" s="103"/>
      <c r="E60" s="103"/>
      <c r="F60" s="889"/>
      <c r="G60" s="889"/>
      <c r="H60" s="889"/>
      <c r="I60" s="103"/>
      <c r="J60" s="86"/>
      <c r="K60" s="86"/>
      <c r="L60" s="86"/>
      <c r="M60" s="209"/>
      <c r="N60" s="86"/>
      <c r="O60" s="86"/>
      <c r="P60" s="86"/>
      <c r="Q60" s="86"/>
      <c r="R60" s="103"/>
      <c r="S60" s="107"/>
    </row>
    <row r="61" spans="1:19" s="76" customFormat="1" ht="35.25" customHeight="1" x14ac:dyDescent="0.2">
      <c r="A61" s="880" t="s">
        <v>263</v>
      </c>
      <c r="B61" s="880"/>
      <c r="C61" s="880"/>
      <c r="D61" s="880"/>
      <c r="E61" s="880"/>
      <c r="F61" s="880"/>
      <c r="G61" s="880"/>
      <c r="H61" s="880"/>
      <c r="I61" s="880"/>
      <c r="J61" s="881"/>
      <c r="K61" s="881"/>
      <c r="L61" s="107"/>
      <c r="M61" s="139"/>
      <c r="N61" s="107"/>
      <c r="O61" s="107"/>
      <c r="P61" s="882" t="s">
        <v>323</v>
      </c>
      <c r="Q61" s="883"/>
      <c r="R61" s="883"/>
    </row>
    <row r="62" spans="1:19" x14ac:dyDescent="0.2">
      <c r="A62" s="34"/>
      <c r="B62" s="35"/>
      <c r="C62" s="35"/>
      <c r="D62" s="35"/>
      <c r="E62" s="35"/>
      <c r="F62" s="35"/>
      <c r="G62" s="35"/>
      <c r="H62" s="35"/>
      <c r="I62" s="35"/>
      <c r="J62" s="51"/>
      <c r="K62" s="51"/>
      <c r="L62" s="51"/>
      <c r="M62" s="210"/>
      <c r="N62" s="51"/>
      <c r="O62" s="51"/>
      <c r="P62" s="51"/>
      <c r="Q62" s="51"/>
      <c r="R62" s="35"/>
    </row>
    <row r="63" spans="1:19" x14ac:dyDescent="0.2">
      <c r="L63" s="11"/>
      <c r="M63" s="211"/>
      <c r="N63" s="11"/>
      <c r="O63" s="11"/>
      <c r="P63" s="11"/>
    </row>
    <row r="64" spans="1:19" x14ac:dyDescent="0.2">
      <c r="J64" s="3"/>
      <c r="K64" s="3"/>
      <c r="L64" s="3"/>
      <c r="M64" s="122"/>
      <c r="N64" s="3"/>
      <c r="O64" s="3"/>
      <c r="P64" s="3"/>
      <c r="Q64" s="3"/>
    </row>
    <row r="65" spans="10:19" x14ac:dyDescent="0.2">
      <c r="J65" s="3"/>
      <c r="K65" s="3"/>
      <c r="L65" s="3"/>
      <c r="M65" s="122"/>
      <c r="N65" s="3"/>
      <c r="O65" s="3"/>
      <c r="P65" s="3"/>
      <c r="Q65" s="3"/>
      <c r="S65" s="3"/>
    </row>
  </sheetData>
  <mergeCells count="103">
    <mergeCell ref="E1:G1"/>
    <mergeCell ref="L1:R1"/>
    <mergeCell ref="A2:R2"/>
    <mergeCell ref="A4:A5"/>
    <mergeCell ref="B4:B5"/>
    <mergeCell ref="C4:C5"/>
    <mergeCell ref="D4:I4"/>
    <mergeCell ref="J4:Q4"/>
    <mergeCell ref="R4:R5"/>
    <mergeCell ref="F5:H5"/>
    <mergeCell ref="B6:Q6"/>
    <mergeCell ref="B7:Q7"/>
    <mergeCell ref="A8:A9"/>
    <mergeCell ref="B8:B9"/>
    <mergeCell ref="C8:C9"/>
    <mergeCell ref="F8:H8"/>
    <mergeCell ref="R8:R23"/>
    <mergeCell ref="F9:H9"/>
    <mergeCell ref="A10:A11"/>
    <mergeCell ref="B10:B11"/>
    <mergeCell ref="C10:C11"/>
    <mergeCell ref="F10:H10"/>
    <mergeCell ref="F11:H11"/>
    <mergeCell ref="A12:A15"/>
    <mergeCell ref="B12:B15"/>
    <mergeCell ref="C12:C15"/>
    <mergeCell ref="F12:H12"/>
    <mergeCell ref="F13:H13"/>
    <mergeCell ref="F14:H14"/>
    <mergeCell ref="F15:H15"/>
    <mergeCell ref="A16:A17"/>
    <mergeCell ref="B16:B17"/>
    <mergeCell ref="C16:C17"/>
    <mergeCell ref="F16:H16"/>
    <mergeCell ref="F17:H17"/>
    <mergeCell ref="A18:A19"/>
    <mergeCell ref="B18:B19"/>
    <mergeCell ref="C18:C19"/>
    <mergeCell ref="F18:H18"/>
    <mergeCell ref="F19:H19"/>
    <mergeCell ref="A20:A22"/>
    <mergeCell ref="B20:B22"/>
    <mergeCell ref="C20:C22"/>
    <mergeCell ref="F20:H20"/>
    <mergeCell ref="F21:H21"/>
    <mergeCell ref="F22:H22"/>
    <mergeCell ref="A23:A25"/>
    <mergeCell ref="B23:B25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B32:Q32"/>
    <mergeCell ref="A33:A34"/>
    <mergeCell ref="B33:B34"/>
    <mergeCell ref="C33:C34"/>
    <mergeCell ref="F33:H33"/>
    <mergeCell ref="R33:R37"/>
    <mergeCell ref="F34:H34"/>
    <mergeCell ref="A35:A37"/>
    <mergeCell ref="B35:B37"/>
    <mergeCell ref="C35:C37"/>
    <mergeCell ref="F35:H35"/>
    <mergeCell ref="F36:H36"/>
    <mergeCell ref="F37:H37"/>
    <mergeCell ref="F38:H38"/>
    <mergeCell ref="F39:H39"/>
    <mergeCell ref="F40:H40"/>
    <mergeCell ref="B41:Q41"/>
    <mergeCell ref="F42:H42"/>
    <mergeCell ref="F43:H43"/>
    <mergeCell ref="A44:A45"/>
    <mergeCell ref="B44:B45"/>
    <mergeCell ref="C44:C45"/>
    <mergeCell ref="F44:H44"/>
    <mergeCell ref="F45:H45"/>
    <mergeCell ref="F46:H46"/>
    <mergeCell ref="F47:H47"/>
    <mergeCell ref="A48:A49"/>
    <mergeCell ref="B48:B49"/>
    <mergeCell ref="C48:C49"/>
    <mergeCell ref="F48:H48"/>
    <mergeCell ref="F49:H49"/>
    <mergeCell ref="A50:A51"/>
    <mergeCell ref="B50:B51"/>
    <mergeCell ref="C50:C51"/>
    <mergeCell ref="F50:H50"/>
    <mergeCell ref="F51:H51"/>
    <mergeCell ref="F52:H52"/>
    <mergeCell ref="A61:I61"/>
    <mergeCell ref="J61:K61"/>
    <mergeCell ref="P61:R61"/>
    <mergeCell ref="F53:H53"/>
    <mergeCell ref="F54:H54"/>
    <mergeCell ref="F55:H55"/>
    <mergeCell ref="F56:H56"/>
    <mergeCell ref="F57:H57"/>
    <mergeCell ref="F60:H60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1"/>
  <sheetViews>
    <sheetView topLeftCell="A84" zoomScale="75" zoomScaleNormal="75" zoomScaleSheetLayoutView="100" workbookViewId="0">
      <selection activeCell="H91" sqref="H91:I91"/>
    </sheetView>
  </sheetViews>
  <sheetFormatPr defaultRowHeight="18.75" outlineLevelRow="1" x14ac:dyDescent="0.2"/>
  <cols>
    <col min="1" max="1" width="43.28515625" style="148" customWidth="1"/>
    <col min="2" max="2" width="13.28515625" style="126" hidden="1" customWidth="1"/>
    <col min="3" max="3" width="11.140625" style="126" customWidth="1"/>
    <col min="4" max="4" width="10.7109375" style="126" customWidth="1"/>
    <col min="5" max="5" width="11.28515625" style="126" customWidth="1"/>
    <col min="6" max="8" width="10.28515625" style="126" customWidth="1"/>
    <col min="9" max="9" width="11.5703125" style="126" customWidth="1"/>
    <col min="10" max="10" width="11.140625" style="126" hidden="1" customWidth="1"/>
    <col min="11" max="11" width="10.7109375" style="126" customWidth="1"/>
    <col min="12" max="12" width="11" style="126" customWidth="1"/>
    <col min="13" max="13" width="10.140625" style="196" customWidth="1"/>
    <col min="14" max="14" width="12.7109375" style="126" customWidth="1"/>
    <col min="15" max="16" width="10.5703125" style="126" customWidth="1"/>
    <col min="17" max="17" width="10.85546875" style="126" customWidth="1"/>
    <col min="18" max="18" width="13.5703125" style="149" customWidth="1"/>
    <col min="19" max="19" width="12.7109375" style="149" customWidth="1"/>
    <col min="20" max="20" width="12.140625" style="149" bestFit="1" customWidth="1"/>
    <col min="21" max="21" width="10.5703125" style="218" customWidth="1"/>
    <col min="22" max="22" width="12.42578125" style="149" bestFit="1" customWidth="1"/>
    <col min="23" max="23" width="9.140625" style="150"/>
    <col min="24" max="24" width="9.7109375" style="126" bestFit="1" customWidth="1"/>
    <col min="25" max="16384" width="9.140625" style="126"/>
  </cols>
  <sheetData>
    <row r="1" spans="1:22" ht="60" customHeight="1" x14ac:dyDescent="0.2">
      <c r="E1" s="770" t="s">
        <v>136</v>
      </c>
      <c r="F1" s="770"/>
      <c r="G1" s="770"/>
      <c r="H1" s="770"/>
      <c r="I1" s="770"/>
      <c r="J1" s="771"/>
      <c r="K1" s="771"/>
      <c r="L1" s="771"/>
      <c r="M1" s="771"/>
    </row>
    <row r="2" spans="1:22" ht="39.75" customHeight="1" x14ac:dyDescent="0.2">
      <c r="A2" s="762" t="s">
        <v>40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</row>
    <row r="3" spans="1:22" x14ac:dyDescent="0.2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  <c r="S3" s="948" t="s">
        <v>342</v>
      </c>
      <c r="T3" s="948"/>
    </row>
    <row r="4" spans="1:22" s="150" customFormat="1" ht="39" customHeight="1" x14ac:dyDescent="0.2">
      <c r="A4" s="949" t="s">
        <v>41</v>
      </c>
      <c r="B4" s="774" t="s">
        <v>176</v>
      </c>
      <c r="C4" s="775"/>
      <c r="D4" s="775"/>
      <c r="E4" s="775"/>
      <c r="F4" s="775"/>
      <c r="G4" s="775"/>
      <c r="H4" s="775"/>
      <c r="I4" s="775"/>
      <c r="J4" s="773" t="s">
        <v>42</v>
      </c>
      <c r="K4" s="773"/>
      <c r="L4" s="773"/>
      <c r="M4" s="773"/>
      <c r="N4" s="773"/>
      <c r="O4" s="773"/>
      <c r="P4" s="773"/>
      <c r="Q4" s="774"/>
      <c r="S4" s="224" t="s">
        <v>339</v>
      </c>
      <c r="T4" s="224">
        <f>T9+T13+T17+T21+T54+T58+T62+T66+T72</f>
        <v>33783.300000000003</v>
      </c>
      <c r="U4" s="218"/>
      <c r="V4" s="149"/>
    </row>
    <row r="5" spans="1:22" ht="37.5" x14ac:dyDescent="0.2">
      <c r="A5" s="949"/>
      <c r="B5" s="154" t="s">
        <v>7</v>
      </c>
      <c r="C5" s="155" t="s">
        <v>8</v>
      </c>
      <c r="D5" s="155" t="s">
        <v>9</v>
      </c>
      <c r="E5" s="155" t="s">
        <v>122</v>
      </c>
      <c r="F5" s="156" t="s">
        <v>160</v>
      </c>
      <c r="G5" s="157" t="s">
        <v>163</v>
      </c>
      <c r="H5" s="157" t="s">
        <v>164</v>
      </c>
      <c r="I5" s="157" t="s">
        <v>391</v>
      </c>
      <c r="J5" s="157" t="s">
        <v>392</v>
      </c>
      <c r="K5" s="155" t="s">
        <v>8</v>
      </c>
      <c r="L5" s="155" t="s">
        <v>9</v>
      </c>
      <c r="M5" s="158" t="s">
        <v>122</v>
      </c>
      <c r="N5" s="155" t="s">
        <v>160</v>
      </c>
      <c r="O5" s="155" t="s">
        <v>163</v>
      </c>
      <c r="P5" s="155" t="s">
        <v>164</v>
      </c>
      <c r="Q5" s="155" t="s">
        <v>391</v>
      </c>
      <c r="S5" s="224" t="s">
        <v>340</v>
      </c>
      <c r="T5" s="224">
        <f>T29+T36+T85+T91+T68</f>
        <v>34409.300000000003</v>
      </c>
    </row>
    <row r="6" spans="1:22" ht="42.75" customHeight="1" x14ac:dyDescent="0.2">
      <c r="A6" s="759" t="s">
        <v>198</v>
      </c>
      <c r="B6" s="760"/>
      <c r="C6" s="760"/>
      <c r="D6" s="760"/>
      <c r="E6" s="760"/>
      <c r="F6" s="760"/>
      <c r="G6" s="760"/>
      <c r="H6" s="760"/>
      <c r="I6" s="760"/>
      <c r="J6" s="760"/>
      <c r="K6" s="760"/>
      <c r="L6" s="760"/>
      <c r="M6" s="760"/>
      <c r="N6" s="760"/>
      <c r="O6" s="760"/>
      <c r="P6" s="760"/>
      <c r="Q6" s="761"/>
      <c r="S6" s="224" t="s">
        <v>341</v>
      </c>
      <c r="T6" s="224">
        <f>T43+T87+T50</f>
        <v>20068.600000000002</v>
      </c>
    </row>
    <row r="7" spans="1:22" ht="27" customHeight="1" x14ac:dyDescent="0.2">
      <c r="A7" s="777" t="s">
        <v>43</v>
      </c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9"/>
      <c r="S7" s="224"/>
      <c r="T7" s="224">
        <f>SUM(T4:T6)</f>
        <v>88261.200000000012</v>
      </c>
      <c r="U7" s="218">
        <f>T7-T92</f>
        <v>0</v>
      </c>
    </row>
    <row r="8" spans="1:22" ht="31.5" x14ac:dyDescent="0.2">
      <c r="A8" s="159" t="s">
        <v>44</v>
      </c>
      <c r="B8" s="123"/>
      <c r="C8" s="123"/>
      <c r="D8" s="123"/>
      <c r="E8" s="123"/>
      <c r="F8" s="123"/>
      <c r="G8" s="123"/>
      <c r="H8" s="127"/>
      <c r="I8" s="127"/>
      <c r="J8" s="123"/>
      <c r="K8" s="123"/>
      <c r="L8" s="123"/>
      <c r="M8" s="124"/>
      <c r="N8" s="160"/>
      <c r="O8" s="160"/>
      <c r="P8" s="160"/>
      <c r="Q8" s="160"/>
      <c r="R8" s="149" t="s">
        <v>330</v>
      </c>
      <c r="S8" s="149" t="s">
        <v>331</v>
      </c>
    </row>
    <row r="9" spans="1:22" ht="39.75" customHeight="1" x14ac:dyDescent="0.2">
      <c r="A9" s="161" t="s">
        <v>45</v>
      </c>
      <c r="B9" s="123">
        <v>22815</v>
      </c>
      <c r="C9" s="123">
        <v>22818</v>
      </c>
      <c r="D9" s="123">
        <v>23039</v>
      </c>
      <c r="E9" s="123">
        <v>23041</v>
      </c>
      <c r="F9" s="123">
        <v>23043</v>
      </c>
      <c r="G9" s="162">
        <v>23045</v>
      </c>
      <c r="H9" s="163">
        <v>23047</v>
      </c>
      <c r="I9" s="163">
        <v>23047</v>
      </c>
      <c r="J9" s="164">
        <v>20624.8</v>
      </c>
      <c r="K9" s="165">
        <v>19303</v>
      </c>
      <c r="L9" s="165">
        <f>19876.6+158.7</f>
        <v>20035.3</v>
      </c>
      <c r="M9" s="166">
        <f>SUM(R9:S9)</f>
        <v>19091</v>
      </c>
      <c r="N9" s="167">
        <v>15871.5</v>
      </c>
      <c r="O9" s="167">
        <v>15871.5</v>
      </c>
      <c r="P9" s="165">
        <v>15871.5</v>
      </c>
      <c r="Q9" s="165">
        <v>15871.5</v>
      </c>
      <c r="R9" s="149">
        <v>14220.2</v>
      </c>
      <c r="S9" s="149">
        <v>4870.8</v>
      </c>
      <c r="T9" s="149">
        <f>SUM(R9:S9)</f>
        <v>19091</v>
      </c>
      <c r="U9" s="218">
        <f>T9-M9</f>
        <v>0</v>
      </c>
    </row>
    <row r="10" spans="1:22" ht="42.75" customHeight="1" x14ac:dyDescent="0.2">
      <c r="A10" s="759" t="s">
        <v>199</v>
      </c>
      <c r="B10" s="760"/>
      <c r="C10" s="760"/>
      <c r="D10" s="760"/>
      <c r="E10" s="760"/>
      <c r="F10" s="760"/>
      <c r="G10" s="760"/>
      <c r="H10" s="760"/>
      <c r="I10" s="760"/>
      <c r="J10" s="760"/>
      <c r="K10" s="760"/>
      <c r="L10" s="760"/>
      <c r="M10" s="760"/>
      <c r="N10" s="760"/>
      <c r="O10" s="760"/>
      <c r="P10" s="760"/>
      <c r="Q10" s="761"/>
    </row>
    <row r="11" spans="1:22" ht="27" customHeight="1" x14ac:dyDescent="0.2">
      <c r="A11" s="777" t="s">
        <v>200</v>
      </c>
      <c r="B11" s="778"/>
      <c r="C11" s="778"/>
      <c r="D11" s="778"/>
      <c r="E11" s="778"/>
      <c r="F11" s="778"/>
      <c r="G11" s="778"/>
      <c r="H11" s="778"/>
      <c r="I11" s="778"/>
      <c r="J11" s="778"/>
      <c r="K11" s="778"/>
      <c r="L11" s="778"/>
      <c r="M11" s="778"/>
      <c r="N11" s="778"/>
      <c r="O11" s="778"/>
      <c r="P11" s="778"/>
      <c r="Q11" s="779"/>
    </row>
    <row r="12" spans="1:22" ht="31.5" x14ac:dyDescent="0.2">
      <c r="A12" s="159" t="s">
        <v>44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4"/>
      <c r="N12" s="160"/>
      <c r="O12" s="160"/>
      <c r="P12" s="160"/>
      <c r="Q12" s="160"/>
    </row>
    <row r="13" spans="1:22" ht="35.25" customHeight="1" x14ac:dyDescent="0.2">
      <c r="A13" s="161" t="s">
        <v>45</v>
      </c>
      <c r="B13" s="123">
        <v>0</v>
      </c>
      <c r="C13" s="123">
        <v>325</v>
      </c>
      <c r="D13" s="123">
        <v>330</v>
      </c>
      <c r="E13" s="123">
        <v>335</v>
      </c>
      <c r="F13" s="123">
        <v>340</v>
      </c>
      <c r="G13" s="123">
        <v>345</v>
      </c>
      <c r="H13" s="168">
        <v>350</v>
      </c>
      <c r="I13" s="168">
        <v>350</v>
      </c>
      <c r="J13" s="165">
        <v>0</v>
      </c>
      <c r="K13" s="165">
        <v>689.4</v>
      </c>
      <c r="L13" s="165">
        <v>716.2</v>
      </c>
      <c r="M13" s="166">
        <f>SUM(R13:S13)</f>
        <v>1214.6999999999998</v>
      </c>
      <c r="N13" s="167">
        <v>1041.5999999999999</v>
      </c>
      <c r="O13" s="167">
        <v>1041.5999999999999</v>
      </c>
      <c r="P13" s="165">
        <v>1041.5999999999999</v>
      </c>
      <c r="Q13" s="165">
        <v>1041.5999999999999</v>
      </c>
      <c r="R13" s="149">
        <v>741.3</v>
      </c>
      <c r="S13" s="149">
        <v>473.4</v>
      </c>
      <c r="T13" s="149">
        <f>SUM(R13:S13)</f>
        <v>1214.6999999999998</v>
      </c>
      <c r="U13" s="218">
        <f>T13-M13</f>
        <v>0</v>
      </c>
    </row>
    <row r="14" spans="1:22" ht="21" customHeight="1" x14ac:dyDescent="0.2">
      <c r="A14" s="780" t="s">
        <v>201</v>
      </c>
      <c r="B14" s="781"/>
      <c r="C14" s="781"/>
      <c r="D14" s="781"/>
      <c r="E14" s="781"/>
      <c r="F14" s="781"/>
      <c r="G14" s="781"/>
      <c r="H14" s="781"/>
      <c r="I14" s="781"/>
      <c r="J14" s="781"/>
      <c r="K14" s="781"/>
      <c r="L14" s="781"/>
      <c r="M14" s="781"/>
      <c r="N14" s="781"/>
      <c r="O14" s="781"/>
      <c r="P14" s="781"/>
      <c r="Q14" s="782"/>
    </row>
    <row r="15" spans="1:22" ht="26.25" customHeight="1" x14ac:dyDescent="0.2">
      <c r="A15" s="783" t="s">
        <v>202</v>
      </c>
      <c r="B15" s="784"/>
      <c r="C15" s="784"/>
      <c r="D15" s="784"/>
      <c r="E15" s="784"/>
      <c r="F15" s="784"/>
      <c r="G15" s="784"/>
      <c r="H15" s="784"/>
      <c r="I15" s="784"/>
      <c r="J15" s="784"/>
      <c r="K15" s="784"/>
      <c r="L15" s="784"/>
      <c r="M15" s="784"/>
      <c r="N15" s="784"/>
      <c r="O15" s="784"/>
      <c r="P15" s="784"/>
      <c r="Q15" s="785"/>
    </row>
    <row r="16" spans="1:22" ht="31.5" x14ac:dyDescent="0.2">
      <c r="A16" s="159" t="s">
        <v>44</v>
      </c>
      <c r="B16" s="123"/>
      <c r="C16" s="123"/>
      <c r="D16" s="123"/>
      <c r="E16" s="123"/>
      <c r="F16" s="123"/>
      <c r="G16" s="123"/>
      <c r="H16" s="127"/>
      <c r="I16" s="127"/>
      <c r="J16" s="123"/>
      <c r="K16" s="123"/>
      <c r="L16" s="123"/>
      <c r="M16" s="124"/>
      <c r="N16" s="160"/>
      <c r="O16" s="160"/>
      <c r="P16" s="160"/>
      <c r="Q16" s="160"/>
      <c r="R16" s="149" t="s">
        <v>332</v>
      </c>
      <c r="S16" s="149" t="s">
        <v>333</v>
      </c>
    </row>
    <row r="17" spans="1:21" ht="37.5" customHeight="1" x14ac:dyDescent="0.2">
      <c r="A17" s="161" t="s">
        <v>45</v>
      </c>
      <c r="B17" s="123"/>
      <c r="C17" s="123">
        <v>66</v>
      </c>
      <c r="D17" s="123">
        <v>66</v>
      </c>
      <c r="E17" s="123">
        <v>66</v>
      </c>
      <c r="F17" s="123">
        <v>66</v>
      </c>
      <c r="G17" s="162">
        <v>66</v>
      </c>
      <c r="H17" s="160">
        <v>67</v>
      </c>
      <c r="I17" s="160">
        <v>67</v>
      </c>
      <c r="J17" s="164"/>
      <c r="K17" s="165">
        <v>1956.5</v>
      </c>
      <c r="L17" s="165">
        <v>2133.4</v>
      </c>
      <c r="M17" s="166">
        <f>SUM(R17:S17)</f>
        <v>2953.7</v>
      </c>
      <c r="N17" s="165">
        <v>2574.1999999999998</v>
      </c>
      <c r="O17" s="167">
        <v>2574.1999999999998</v>
      </c>
      <c r="P17" s="167"/>
      <c r="Q17" s="165">
        <v>2574.1999999999998</v>
      </c>
      <c r="R17" s="149">
        <v>1970.4</v>
      </c>
      <c r="S17" s="149">
        <v>983.3</v>
      </c>
      <c r="T17" s="149">
        <f>SUM(R17:S17)</f>
        <v>2953.7</v>
      </c>
      <c r="U17" s="218">
        <f>T17-M17</f>
        <v>0</v>
      </c>
    </row>
    <row r="18" spans="1:21" ht="22.5" customHeight="1" x14ac:dyDescent="0.2">
      <c r="A18" s="780" t="s">
        <v>166</v>
      </c>
      <c r="B18" s="781"/>
      <c r="C18" s="781"/>
      <c r="D18" s="781"/>
      <c r="E18" s="781"/>
      <c r="F18" s="781"/>
      <c r="G18" s="781"/>
      <c r="H18" s="760"/>
      <c r="I18" s="760"/>
      <c r="J18" s="781"/>
      <c r="K18" s="781"/>
      <c r="L18" s="781"/>
      <c r="M18" s="781"/>
      <c r="N18" s="781"/>
      <c r="O18" s="781"/>
      <c r="P18" s="781"/>
      <c r="Q18" s="782"/>
    </row>
    <row r="19" spans="1:21" ht="23.25" customHeight="1" x14ac:dyDescent="0.2">
      <c r="A19" s="783" t="s">
        <v>43</v>
      </c>
      <c r="B19" s="784"/>
      <c r="C19" s="784"/>
      <c r="D19" s="784"/>
      <c r="E19" s="784"/>
      <c r="F19" s="784"/>
      <c r="G19" s="784"/>
      <c r="H19" s="784"/>
      <c r="I19" s="784"/>
      <c r="J19" s="784"/>
      <c r="K19" s="784"/>
      <c r="L19" s="784"/>
      <c r="M19" s="784"/>
      <c r="N19" s="784"/>
      <c r="O19" s="784"/>
      <c r="P19" s="784"/>
      <c r="Q19" s="785"/>
    </row>
    <row r="20" spans="1:21" ht="31.5" x14ac:dyDescent="0.2">
      <c r="A20" s="159" t="s">
        <v>44</v>
      </c>
      <c r="B20" s="123"/>
      <c r="C20" s="123"/>
      <c r="D20" s="123"/>
      <c r="E20" s="123"/>
      <c r="F20" s="123"/>
      <c r="G20" s="123"/>
      <c r="H20" s="127"/>
      <c r="I20" s="127"/>
      <c r="J20" s="123"/>
      <c r="K20" s="123"/>
      <c r="L20" s="123"/>
      <c r="M20" s="124"/>
      <c r="N20" s="160"/>
      <c r="O20" s="160"/>
      <c r="P20" s="160"/>
      <c r="Q20" s="160"/>
    </row>
    <row r="21" spans="1:21" ht="37.5" customHeight="1" x14ac:dyDescent="0.2">
      <c r="A21" s="161" t="s">
        <v>45</v>
      </c>
      <c r="B21" s="123"/>
      <c r="C21" s="123">
        <v>39789</v>
      </c>
      <c r="D21" s="123">
        <v>40460</v>
      </c>
      <c r="E21" s="123">
        <v>41083</v>
      </c>
      <c r="F21" s="123">
        <v>41726</v>
      </c>
      <c r="G21" s="162">
        <v>42356</v>
      </c>
      <c r="H21" s="321">
        <v>42970</v>
      </c>
      <c r="I21" s="321">
        <v>42970</v>
      </c>
      <c r="J21" s="164"/>
      <c r="K21" s="165">
        <v>6718.6</v>
      </c>
      <c r="L21" s="165">
        <v>7372.7</v>
      </c>
      <c r="M21" s="166">
        <f>SUM(R21:S21)</f>
        <v>6210.1</v>
      </c>
      <c r="N21" s="165">
        <v>5429.3</v>
      </c>
      <c r="O21" s="167">
        <v>5429.3</v>
      </c>
      <c r="P21" s="165">
        <v>5429.3</v>
      </c>
      <c r="Q21" s="165">
        <v>5429.3</v>
      </c>
      <c r="R21" s="149">
        <v>1857.4</v>
      </c>
      <c r="S21" s="149">
        <v>4352.7</v>
      </c>
      <c r="T21" s="149">
        <f>SUM(R21:S21)</f>
        <v>6210.1</v>
      </c>
      <c r="U21" s="218">
        <f>T21-M21</f>
        <v>0</v>
      </c>
    </row>
    <row r="22" spans="1:21" ht="18.75" customHeight="1" x14ac:dyDescent="0.2">
      <c r="A22" s="752" t="s">
        <v>167</v>
      </c>
      <c r="B22" s="753"/>
      <c r="C22" s="753"/>
      <c r="D22" s="753"/>
      <c r="E22" s="753"/>
      <c r="F22" s="753"/>
      <c r="G22" s="753"/>
      <c r="H22" s="758"/>
      <c r="I22" s="758"/>
      <c r="J22" s="753"/>
      <c r="K22" s="753"/>
      <c r="L22" s="753"/>
      <c r="M22" s="753"/>
      <c r="N22" s="753"/>
      <c r="O22" s="753"/>
      <c r="P22" s="753"/>
      <c r="Q22" s="754"/>
    </row>
    <row r="23" spans="1:21" ht="25.5" customHeight="1" x14ac:dyDescent="0.2">
      <c r="A23" s="755" t="s">
        <v>46</v>
      </c>
      <c r="B23" s="756"/>
      <c r="C23" s="756"/>
      <c r="D23" s="756"/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7"/>
    </row>
    <row r="24" spans="1:21" ht="36.75" customHeight="1" x14ac:dyDescent="0.2">
      <c r="A24" s="169" t="s">
        <v>47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70"/>
      <c r="N24" s="160"/>
      <c r="Q24" s="171"/>
      <c r="R24" s="149" t="s">
        <v>334</v>
      </c>
      <c r="S24" s="149" t="s">
        <v>335</v>
      </c>
    </row>
    <row r="25" spans="1:21" ht="34.5" customHeight="1" x14ac:dyDescent="0.2">
      <c r="A25" s="161" t="s">
        <v>45</v>
      </c>
      <c r="B25" s="123"/>
      <c r="C25" s="123">
        <v>83625</v>
      </c>
      <c r="D25" s="123">
        <v>87792</v>
      </c>
      <c r="E25" s="123">
        <v>87800</v>
      </c>
      <c r="F25" s="123">
        <v>87820</v>
      </c>
      <c r="G25" s="123">
        <v>87840</v>
      </c>
      <c r="H25" s="123">
        <v>87860</v>
      </c>
      <c r="I25" s="123">
        <v>87860</v>
      </c>
      <c r="J25" s="123"/>
      <c r="K25" s="123">
        <v>33927.4</v>
      </c>
      <c r="L25" s="123">
        <f>36626.3+355.5</f>
        <v>36981.800000000003</v>
      </c>
      <c r="M25" s="124">
        <v>0</v>
      </c>
      <c r="N25" s="125">
        <v>0</v>
      </c>
      <c r="O25" s="123">
        <v>0</v>
      </c>
      <c r="P25" s="123">
        <v>0</v>
      </c>
      <c r="Q25" s="123">
        <v>0</v>
      </c>
      <c r="R25" s="149" t="s">
        <v>334</v>
      </c>
      <c r="S25" s="149" t="s">
        <v>335</v>
      </c>
    </row>
    <row r="26" spans="1:21" ht="18.75" customHeight="1" x14ac:dyDescent="0.2">
      <c r="A26" s="752" t="s">
        <v>293</v>
      </c>
      <c r="B26" s="753"/>
      <c r="C26" s="753"/>
      <c r="D26" s="753"/>
      <c r="E26" s="753"/>
      <c r="F26" s="753"/>
      <c r="G26" s="753"/>
      <c r="H26" s="753"/>
      <c r="I26" s="753"/>
      <c r="J26" s="753"/>
      <c r="K26" s="753"/>
      <c r="L26" s="753"/>
      <c r="M26" s="753"/>
      <c r="N26" s="753"/>
      <c r="O26" s="753"/>
      <c r="P26" s="753"/>
      <c r="Q26" s="754"/>
      <c r="R26" s="149" t="s">
        <v>334</v>
      </c>
      <c r="S26" s="149" t="s">
        <v>335</v>
      </c>
    </row>
    <row r="27" spans="1:21" ht="25.5" customHeight="1" x14ac:dyDescent="0.2">
      <c r="A27" s="755" t="s">
        <v>267</v>
      </c>
      <c r="B27" s="756"/>
      <c r="C27" s="756"/>
      <c r="D27" s="756"/>
      <c r="E27" s="756"/>
      <c r="F27" s="756"/>
      <c r="G27" s="756"/>
      <c r="H27" s="756"/>
      <c r="I27" s="756"/>
      <c r="J27" s="756"/>
      <c r="K27" s="756"/>
      <c r="L27" s="756"/>
      <c r="M27" s="756"/>
      <c r="N27" s="756"/>
      <c r="O27" s="756"/>
      <c r="P27" s="756"/>
      <c r="Q27" s="757"/>
      <c r="R27" s="149" t="s">
        <v>334</v>
      </c>
      <c r="S27" s="149" t="s">
        <v>335</v>
      </c>
    </row>
    <row r="28" spans="1:21" ht="36.75" customHeight="1" x14ac:dyDescent="0.2">
      <c r="A28" s="169" t="s">
        <v>47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70"/>
      <c r="N28" s="160"/>
      <c r="Q28" s="171"/>
      <c r="R28" s="149" t="s">
        <v>334</v>
      </c>
      <c r="S28" s="149" t="s">
        <v>335</v>
      </c>
    </row>
    <row r="29" spans="1:21" ht="34.5" customHeight="1" x14ac:dyDescent="0.2">
      <c r="A29" s="161" t="s">
        <v>45</v>
      </c>
      <c r="B29" s="123"/>
      <c r="C29" s="123">
        <v>899</v>
      </c>
      <c r="D29" s="123">
        <v>924</v>
      </c>
      <c r="E29" s="123">
        <v>924</v>
      </c>
      <c r="F29" s="123">
        <v>924</v>
      </c>
      <c r="G29" s="123">
        <v>924</v>
      </c>
      <c r="H29" s="123">
        <v>924</v>
      </c>
      <c r="I29" s="123">
        <v>924</v>
      </c>
      <c r="J29" s="123"/>
      <c r="K29" s="123">
        <v>0</v>
      </c>
      <c r="L29" s="123">
        <v>0</v>
      </c>
      <c r="M29" s="124">
        <f>SUM(R29:S29)</f>
        <v>29654</v>
      </c>
      <c r="N29" s="125">
        <v>28465.200000000001</v>
      </c>
      <c r="O29" s="123">
        <v>28465.200000000001</v>
      </c>
      <c r="P29" s="123">
        <v>28465.200000000001</v>
      </c>
      <c r="Q29" s="123">
        <v>28465.200000000001</v>
      </c>
      <c r="R29" s="149">
        <v>22121.9</v>
      </c>
      <c r="S29" s="149">
        <v>7532.1</v>
      </c>
      <c r="T29" s="149">
        <f>SUM(R29:S29)</f>
        <v>29654</v>
      </c>
      <c r="U29" s="218">
        <f>T29-M29</f>
        <v>0</v>
      </c>
    </row>
    <row r="30" spans="1:21" ht="18.75" customHeight="1" x14ac:dyDescent="0.2">
      <c r="A30" s="752" t="s">
        <v>203</v>
      </c>
      <c r="B30" s="753"/>
      <c r="C30" s="753"/>
      <c r="D30" s="753"/>
      <c r="E30" s="753"/>
      <c r="F30" s="753"/>
      <c r="G30" s="753"/>
      <c r="H30" s="753"/>
      <c r="I30" s="753"/>
      <c r="J30" s="753"/>
      <c r="K30" s="753"/>
      <c r="L30" s="753"/>
      <c r="M30" s="753"/>
      <c r="N30" s="753"/>
      <c r="O30" s="753"/>
      <c r="P30" s="753"/>
      <c r="Q30" s="754"/>
    </row>
    <row r="31" spans="1:21" ht="21" customHeight="1" x14ac:dyDescent="0.2">
      <c r="A31" s="755" t="s">
        <v>46</v>
      </c>
      <c r="B31" s="756"/>
      <c r="C31" s="756"/>
      <c r="D31" s="756"/>
      <c r="E31" s="756"/>
      <c r="F31" s="756"/>
      <c r="G31" s="756"/>
      <c r="H31" s="756"/>
      <c r="I31" s="756"/>
      <c r="J31" s="756"/>
      <c r="K31" s="756"/>
      <c r="L31" s="756"/>
      <c r="M31" s="756"/>
      <c r="N31" s="756"/>
      <c r="O31" s="756"/>
      <c r="P31" s="756"/>
      <c r="Q31" s="757"/>
    </row>
    <row r="32" spans="1:21" ht="36.75" customHeight="1" x14ac:dyDescent="0.2">
      <c r="A32" s="169" t="s">
        <v>47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70"/>
      <c r="N32" s="160"/>
      <c r="Q32" s="171"/>
    </row>
    <row r="33" spans="1:21" ht="34.5" customHeight="1" x14ac:dyDescent="0.2">
      <c r="A33" s="161" t="s">
        <v>45</v>
      </c>
      <c r="B33" s="123"/>
      <c r="C33" s="123">
        <v>2646</v>
      </c>
      <c r="D33" s="123">
        <v>2804</v>
      </c>
      <c r="E33" s="123">
        <v>3960</v>
      </c>
      <c r="F33" s="123">
        <v>13040</v>
      </c>
      <c r="G33" s="123">
        <v>13100</v>
      </c>
      <c r="H33" s="123">
        <v>13130</v>
      </c>
      <c r="I33" s="123">
        <v>13130</v>
      </c>
      <c r="J33" s="123"/>
      <c r="K33" s="123">
        <v>497.9</v>
      </c>
      <c r="L33" s="123">
        <v>551.20000000000005</v>
      </c>
      <c r="M33" s="124">
        <v>0</v>
      </c>
      <c r="N33" s="125">
        <v>0</v>
      </c>
      <c r="O33" s="123">
        <v>0</v>
      </c>
      <c r="P33" s="123">
        <v>0</v>
      </c>
      <c r="Q33" s="123">
        <v>0</v>
      </c>
    </row>
    <row r="34" spans="1:21" ht="21" customHeight="1" x14ac:dyDescent="0.2">
      <c r="A34" s="755" t="s">
        <v>267</v>
      </c>
      <c r="B34" s="756"/>
      <c r="C34" s="756"/>
      <c r="D34" s="756"/>
      <c r="E34" s="756"/>
      <c r="F34" s="756"/>
      <c r="G34" s="756"/>
      <c r="H34" s="756"/>
      <c r="I34" s="756"/>
      <c r="J34" s="756"/>
      <c r="K34" s="756"/>
      <c r="L34" s="756"/>
      <c r="M34" s="756"/>
      <c r="N34" s="756"/>
      <c r="O34" s="756"/>
      <c r="P34" s="756"/>
      <c r="Q34" s="757"/>
    </row>
    <row r="35" spans="1:21" ht="36.75" customHeight="1" x14ac:dyDescent="0.2">
      <c r="A35" s="169" t="s">
        <v>47</v>
      </c>
      <c r="B35" s="125"/>
      <c r="C35" s="125"/>
      <c r="D35" s="125"/>
      <c r="E35" s="125"/>
      <c r="F35" s="125"/>
      <c r="G35" s="125"/>
      <c r="H35" s="184"/>
      <c r="I35" s="184"/>
      <c r="J35" s="125"/>
      <c r="K35" s="125"/>
      <c r="L35" s="125"/>
      <c r="M35" s="170"/>
      <c r="N35" s="160"/>
      <c r="Q35" s="171"/>
    </row>
    <row r="36" spans="1:21" ht="34.5" customHeight="1" x14ac:dyDescent="0.2">
      <c r="A36" s="161" t="s">
        <v>45</v>
      </c>
      <c r="B36" s="123"/>
      <c r="C36" s="123">
        <v>43</v>
      </c>
      <c r="D36" s="123">
        <v>47</v>
      </c>
      <c r="E36" s="123">
        <v>91</v>
      </c>
      <c r="F36" s="123">
        <v>636</v>
      </c>
      <c r="G36" s="162">
        <v>637</v>
      </c>
      <c r="H36" s="321">
        <v>638</v>
      </c>
      <c r="I36" s="321">
        <v>638</v>
      </c>
      <c r="J36" s="185"/>
      <c r="K36" s="123">
        <v>0</v>
      </c>
      <c r="L36" s="123">
        <v>0</v>
      </c>
      <c r="M36" s="124">
        <f>R36</f>
        <v>1397.7</v>
      </c>
      <c r="N36" s="125">
        <v>1263.7</v>
      </c>
      <c r="O36" s="127">
        <v>1263.7</v>
      </c>
      <c r="P36" s="123">
        <v>1263.7</v>
      </c>
      <c r="Q36" s="123">
        <v>1263.7</v>
      </c>
      <c r="R36" s="149">
        <v>1397.7</v>
      </c>
      <c r="T36" s="149">
        <f>SUM(R36:S36)</f>
        <v>1397.7</v>
      </c>
      <c r="U36" s="218">
        <f>T36-M36</f>
        <v>0</v>
      </c>
    </row>
    <row r="37" spans="1:21" ht="38.25" customHeight="1" x14ac:dyDescent="0.2">
      <c r="A37" s="776" t="s">
        <v>168</v>
      </c>
      <c r="B37" s="776"/>
      <c r="C37" s="776"/>
      <c r="D37" s="776"/>
      <c r="E37" s="776"/>
      <c r="F37" s="776"/>
      <c r="G37" s="776"/>
      <c r="H37" s="790"/>
      <c r="I37" s="790"/>
      <c r="J37" s="776"/>
      <c r="K37" s="776"/>
      <c r="L37" s="776"/>
      <c r="M37" s="776"/>
      <c r="O37" s="160"/>
      <c r="P37" s="160"/>
      <c r="Q37" s="160"/>
    </row>
    <row r="38" spans="1:21" ht="18.75" customHeight="1" x14ac:dyDescent="0.2">
      <c r="A38" s="776" t="s">
        <v>134</v>
      </c>
      <c r="B38" s="776"/>
      <c r="C38" s="776"/>
      <c r="D38" s="776"/>
      <c r="E38" s="776"/>
      <c r="F38" s="776"/>
      <c r="G38" s="776"/>
      <c r="H38" s="776"/>
      <c r="I38" s="776"/>
      <c r="J38" s="776"/>
      <c r="K38" s="776"/>
      <c r="L38" s="776"/>
      <c r="M38" s="776"/>
      <c r="N38" s="160"/>
      <c r="O38" s="160"/>
      <c r="P38" s="160"/>
      <c r="Q38" s="160"/>
    </row>
    <row r="39" spans="1:21" ht="47.25" x14ac:dyDescent="0.2">
      <c r="A39" s="172" t="s">
        <v>135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4"/>
      <c r="N39" s="160"/>
      <c r="O39" s="160"/>
      <c r="P39" s="160"/>
      <c r="Q39" s="160"/>
      <c r="R39" s="149" t="s">
        <v>336</v>
      </c>
      <c r="S39" s="149" t="s">
        <v>337</v>
      </c>
    </row>
    <row r="40" spans="1:21" ht="31.5" x14ac:dyDescent="0.2">
      <c r="A40" s="173" t="s">
        <v>45</v>
      </c>
      <c r="B40" s="128"/>
      <c r="C40" s="143">
        <v>167</v>
      </c>
      <c r="D40" s="143">
        <v>174</v>
      </c>
      <c r="E40" s="144">
        <v>0</v>
      </c>
      <c r="F40" s="144">
        <v>0</v>
      </c>
      <c r="G40" s="144">
        <v>0</v>
      </c>
      <c r="H40" s="144">
        <v>0</v>
      </c>
      <c r="I40" s="144">
        <v>0</v>
      </c>
      <c r="J40" s="144"/>
      <c r="K40" s="144">
        <v>7033.7</v>
      </c>
      <c r="L40" s="144">
        <f>7425.9+306.4+20</f>
        <v>7752.2999999999993</v>
      </c>
      <c r="M40" s="145">
        <v>0</v>
      </c>
      <c r="N40" s="144">
        <v>0</v>
      </c>
      <c r="O40" s="146">
        <v>0</v>
      </c>
      <c r="P40" s="147">
        <v>0</v>
      </c>
      <c r="Q40" s="147">
        <v>0</v>
      </c>
      <c r="R40" s="149" t="s">
        <v>336</v>
      </c>
      <c r="S40" s="149" t="s">
        <v>337</v>
      </c>
    </row>
    <row r="41" spans="1:21" ht="18.75" customHeight="1" x14ac:dyDescent="0.2">
      <c r="A41" s="776" t="s">
        <v>294</v>
      </c>
      <c r="B41" s="776"/>
      <c r="C41" s="776"/>
      <c r="D41" s="776"/>
      <c r="E41" s="776"/>
      <c r="F41" s="776"/>
      <c r="G41" s="776"/>
      <c r="H41" s="776"/>
      <c r="I41" s="776"/>
      <c r="J41" s="776"/>
      <c r="K41" s="776"/>
      <c r="L41" s="776"/>
      <c r="M41" s="776"/>
      <c r="N41" s="160"/>
      <c r="O41" s="160"/>
      <c r="P41" s="174"/>
      <c r="Q41" s="174"/>
      <c r="R41" s="149" t="s">
        <v>336</v>
      </c>
      <c r="S41" s="149" t="s">
        <v>337</v>
      </c>
    </row>
    <row r="42" spans="1:21" ht="47.25" x14ac:dyDescent="0.2">
      <c r="A42" s="159" t="s">
        <v>135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4"/>
      <c r="N42" s="160"/>
      <c r="O42" s="160"/>
      <c r="P42" s="174"/>
      <c r="Q42" s="174"/>
    </row>
    <row r="43" spans="1:21" ht="31.5" x14ac:dyDescent="0.2">
      <c r="A43" s="173" t="s">
        <v>45</v>
      </c>
      <c r="B43" s="128"/>
      <c r="C43" s="143">
        <v>0</v>
      </c>
      <c r="D43" s="143">
        <v>0</v>
      </c>
      <c r="E43" s="144">
        <v>29459</v>
      </c>
      <c r="F43" s="144">
        <v>38357</v>
      </c>
      <c r="G43" s="144">
        <v>46474</v>
      </c>
      <c r="H43" s="144">
        <v>46474</v>
      </c>
      <c r="I43" s="144">
        <v>46474</v>
      </c>
      <c r="J43" s="144"/>
      <c r="K43" s="144">
        <v>0</v>
      </c>
      <c r="L43" s="144">
        <v>0</v>
      </c>
      <c r="M43" s="145">
        <f>SUM(R43:S43)</f>
        <v>11520.7</v>
      </c>
      <c r="N43" s="144">
        <v>10332.299999999999</v>
      </c>
      <c r="O43" s="146">
        <v>10332.299999999999</v>
      </c>
      <c r="P43" s="147">
        <v>10332.299999999999</v>
      </c>
      <c r="Q43" s="147">
        <v>10332.299999999999</v>
      </c>
      <c r="R43" s="149">
        <v>6690.2</v>
      </c>
      <c r="S43" s="149">
        <v>4830.5</v>
      </c>
      <c r="T43" s="149">
        <f>SUM(R43:S43)</f>
        <v>11520.7</v>
      </c>
      <c r="U43" s="218">
        <f>T43-M43</f>
        <v>0</v>
      </c>
    </row>
    <row r="44" spans="1:21" ht="36" customHeight="1" x14ac:dyDescent="0.2">
      <c r="A44" s="776" t="s">
        <v>169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N44" s="160"/>
      <c r="O44" s="160"/>
      <c r="P44" s="174"/>
      <c r="Q44" s="174"/>
    </row>
    <row r="45" spans="1:21" ht="18.75" customHeight="1" x14ac:dyDescent="0.2">
      <c r="A45" s="776" t="s">
        <v>134</v>
      </c>
      <c r="B45" s="776"/>
      <c r="C45" s="776"/>
      <c r="D45" s="776"/>
      <c r="E45" s="776"/>
      <c r="F45" s="776"/>
      <c r="G45" s="776"/>
      <c r="H45" s="776"/>
      <c r="I45" s="776"/>
      <c r="J45" s="776"/>
      <c r="K45" s="776"/>
      <c r="L45" s="776"/>
      <c r="M45" s="776"/>
      <c r="O45" s="160"/>
      <c r="P45" s="174"/>
      <c r="Q45" s="174"/>
    </row>
    <row r="46" spans="1:21" ht="47.25" x14ac:dyDescent="0.2">
      <c r="A46" s="159" t="s">
        <v>135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4"/>
      <c r="N46" s="160"/>
      <c r="O46" s="160"/>
      <c r="P46" s="174"/>
      <c r="Q46" s="174"/>
    </row>
    <row r="47" spans="1:21" ht="31.5" x14ac:dyDescent="0.2">
      <c r="A47" s="173" t="s">
        <v>45</v>
      </c>
      <c r="B47" s="128"/>
      <c r="C47" s="128">
        <v>370</v>
      </c>
      <c r="D47" s="128">
        <v>355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/>
      <c r="K47" s="129">
        <v>11455.4</v>
      </c>
      <c r="L47" s="129">
        <v>12120.9</v>
      </c>
      <c r="M47" s="130">
        <v>0</v>
      </c>
      <c r="N47" s="129">
        <v>0</v>
      </c>
      <c r="O47" s="131">
        <v>0</v>
      </c>
      <c r="P47" s="132">
        <v>0</v>
      </c>
      <c r="Q47" s="132">
        <v>0</v>
      </c>
    </row>
    <row r="48" spans="1:21" ht="18.75" customHeight="1" x14ac:dyDescent="0.2">
      <c r="A48" s="776" t="s">
        <v>294</v>
      </c>
      <c r="B48" s="776"/>
      <c r="C48" s="776"/>
      <c r="D48" s="776"/>
      <c r="E48" s="776"/>
      <c r="F48" s="776"/>
      <c r="G48" s="776"/>
      <c r="H48" s="776"/>
      <c r="I48" s="776"/>
      <c r="J48" s="776"/>
      <c r="K48" s="776"/>
      <c r="L48" s="776"/>
      <c r="M48" s="776"/>
      <c r="N48" s="160"/>
      <c r="O48" s="160"/>
      <c r="P48" s="174"/>
      <c r="Q48" s="174"/>
    </row>
    <row r="49" spans="1:21" ht="47.25" x14ac:dyDescent="0.2">
      <c r="A49" s="159" t="s">
        <v>135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4"/>
      <c r="N49" s="160"/>
      <c r="Q49" s="160"/>
    </row>
    <row r="50" spans="1:21" ht="31.5" x14ac:dyDescent="0.2">
      <c r="A50" s="173" t="s">
        <v>45</v>
      </c>
      <c r="B50" s="128"/>
      <c r="C50" s="143">
        <v>0</v>
      </c>
      <c r="D50" s="143">
        <v>0</v>
      </c>
      <c r="E50" s="144">
        <v>61071</v>
      </c>
      <c r="F50" s="144">
        <v>44526</v>
      </c>
      <c r="G50" s="144">
        <v>34551</v>
      </c>
      <c r="H50" s="144">
        <v>34551</v>
      </c>
      <c r="I50" s="144">
        <v>34551</v>
      </c>
      <c r="J50" s="144"/>
      <c r="K50" s="144">
        <v>0</v>
      </c>
      <c r="L50" s="144">
        <v>0</v>
      </c>
      <c r="M50" s="145">
        <f>SUM(R50:S50)</f>
        <v>8001.7</v>
      </c>
      <c r="N50" s="144">
        <v>7256.4</v>
      </c>
      <c r="O50" s="144">
        <v>7256.4</v>
      </c>
      <c r="P50" s="144">
        <v>7256.4</v>
      </c>
      <c r="Q50" s="144">
        <v>7256.4</v>
      </c>
      <c r="R50" s="149">
        <v>7558.9</v>
      </c>
      <c r="S50" s="149">
        <v>442.8</v>
      </c>
      <c r="T50" s="149">
        <f>SUM(R50:S50)</f>
        <v>8001.7</v>
      </c>
      <c r="U50" s="218">
        <f>T50-M50</f>
        <v>0</v>
      </c>
    </row>
    <row r="51" spans="1:21" ht="30.75" customHeight="1" x14ac:dyDescent="0.2">
      <c r="A51" s="789" t="s">
        <v>170</v>
      </c>
      <c r="B51" s="789"/>
      <c r="C51" s="789"/>
      <c r="D51" s="789"/>
      <c r="E51" s="789"/>
      <c r="F51" s="789"/>
      <c r="G51" s="789"/>
      <c r="H51" s="789"/>
      <c r="I51" s="789"/>
      <c r="J51" s="789"/>
      <c r="K51" s="789"/>
      <c r="L51" s="789"/>
      <c r="M51" s="789"/>
      <c r="N51" s="789"/>
      <c r="O51" s="789"/>
      <c r="P51" s="789"/>
      <c r="Q51" s="789"/>
    </row>
    <row r="52" spans="1:21" ht="22.5" customHeight="1" x14ac:dyDescent="0.2">
      <c r="A52" s="777" t="s">
        <v>205</v>
      </c>
      <c r="B52" s="778"/>
      <c r="C52" s="778"/>
      <c r="D52" s="778"/>
      <c r="E52" s="778"/>
      <c r="F52" s="778"/>
      <c r="G52" s="778"/>
      <c r="H52" s="778"/>
      <c r="I52" s="778"/>
      <c r="J52" s="778"/>
      <c r="K52" s="778"/>
      <c r="L52" s="778"/>
      <c r="M52" s="778"/>
      <c r="N52" s="778"/>
      <c r="O52" s="778"/>
      <c r="P52" s="778"/>
      <c r="Q52" s="779"/>
      <c r="R52" s="149" t="s">
        <v>330</v>
      </c>
      <c r="S52" s="149" t="s">
        <v>331</v>
      </c>
    </row>
    <row r="53" spans="1:21" ht="31.5" x14ac:dyDescent="0.2">
      <c r="A53" s="172" t="s">
        <v>44</v>
      </c>
      <c r="B53" s="123"/>
      <c r="C53" s="123"/>
      <c r="D53" s="123"/>
      <c r="E53" s="123"/>
      <c r="F53" s="123"/>
      <c r="G53" s="123"/>
      <c r="H53" s="127"/>
      <c r="I53" s="127"/>
      <c r="J53" s="123"/>
      <c r="K53" s="123"/>
      <c r="L53" s="123"/>
      <c r="M53" s="124"/>
      <c r="N53" s="160"/>
      <c r="O53" s="160"/>
      <c r="P53" s="160"/>
      <c r="Q53" s="160"/>
    </row>
    <row r="54" spans="1:21" ht="36" customHeight="1" x14ac:dyDescent="0.2">
      <c r="A54" s="161" t="s">
        <v>45</v>
      </c>
      <c r="B54" s="123"/>
      <c r="C54" s="175">
        <v>280674</v>
      </c>
      <c r="D54" s="175">
        <v>280791</v>
      </c>
      <c r="E54" s="175">
        <v>281350</v>
      </c>
      <c r="F54" s="175">
        <v>281500</v>
      </c>
      <c r="G54" s="325">
        <v>282000</v>
      </c>
      <c r="H54" s="323">
        <v>282500</v>
      </c>
      <c r="I54" s="323">
        <v>282500</v>
      </c>
      <c r="J54" s="322"/>
      <c r="K54" s="176">
        <v>1178.5999999999999</v>
      </c>
      <c r="L54" s="177">
        <v>1232.0999999999999</v>
      </c>
      <c r="M54" s="145">
        <f>SUM(R54:S54)</f>
        <v>1753.4</v>
      </c>
      <c r="N54" s="177">
        <v>1498.5</v>
      </c>
      <c r="O54" s="178">
        <v>1498.5</v>
      </c>
      <c r="P54" s="177">
        <v>1498.5</v>
      </c>
      <c r="Q54" s="177">
        <v>1498.5</v>
      </c>
      <c r="R54" s="149">
        <v>1245.3</v>
      </c>
      <c r="S54" s="149">
        <v>508.1</v>
      </c>
      <c r="T54" s="149">
        <f>SUM(R54:S54)</f>
        <v>1753.4</v>
      </c>
      <c r="U54" s="218">
        <f>T54-M54</f>
        <v>0</v>
      </c>
    </row>
    <row r="55" spans="1:21" ht="23.25" customHeight="1" x14ac:dyDescent="0.2">
      <c r="A55" s="789" t="s">
        <v>204</v>
      </c>
      <c r="B55" s="789"/>
      <c r="C55" s="789"/>
      <c r="D55" s="789"/>
      <c r="E55" s="789"/>
      <c r="F55" s="789"/>
      <c r="G55" s="789"/>
      <c r="H55" s="789"/>
      <c r="I55" s="789"/>
      <c r="J55" s="789"/>
      <c r="K55" s="789"/>
      <c r="L55" s="789"/>
      <c r="M55" s="789"/>
      <c r="N55" s="789"/>
      <c r="O55" s="789"/>
      <c r="P55" s="789"/>
      <c r="Q55" s="789"/>
    </row>
    <row r="56" spans="1:21" ht="22.5" customHeight="1" x14ac:dyDescent="0.2">
      <c r="A56" s="777" t="s">
        <v>205</v>
      </c>
      <c r="B56" s="778"/>
      <c r="C56" s="778"/>
      <c r="D56" s="778"/>
      <c r="E56" s="778"/>
      <c r="F56" s="778"/>
      <c r="G56" s="778"/>
      <c r="H56" s="778"/>
      <c r="I56" s="778"/>
      <c r="J56" s="778"/>
      <c r="K56" s="778"/>
      <c r="L56" s="778"/>
      <c r="M56" s="778"/>
      <c r="N56" s="778"/>
      <c r="O56" s="778"/>
      <c r="P56" s="778"/>
      <c r="Q56" s="779"/>
      <c r="R56" s="149" t="s">
        <v>330</v>
      </c>
      <c r="S56" s="149" t="s">
        <v>331</v>
      </c>
    </row>
    <row r="57" spans="1:21" ht="31.5" x14ac:dyDescent="0.2">
      <c r="A57" s="172" t="s">
        <v>44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4"/>
      <c r="N57" s="160"/>
      <c r="O57" s="160"/>
      <c r="P57" s="160"/>
      <c r="Q57" s="160"/>
    </row>
    <row r="58" spans="1:21" ht="36.75" customHeight="1" x14ac:dyDescent="0.2">
      <c r="A58" s="161" t="s">
        <v>45</v>
      </c>
      <c r="B58" s="123"/>
      <c r="C58" s="47">
        <v>6914</v>
      </c>
      <c r="D58" s="47">
        <v>7000</v>
      </c>
      <c r="E58" s="47">
        <v>7000</v>
      </c>
      <c r="F58" s="47">
        <v>7000</v>
      </c>
      <c r="G58" s="47">
        <v>7000</v>
      </c>
      <c r="H58" s="319"/>
      <c r="I58" s="149">
        <v>7100</v>
      </c>
      <c r="J58" s="179"/>
      <c r="K58" s="179">
        <v>1067.4000000000001</v>
      </c>
      <c r="L58" s="179">
        <v>1125.7</v>
      </c>
      <c r="M58" s="145">
        <f>SUM(R58:S58)</f>
        <v>1614</v>
      </c>
      <c r="N58" s="179">
        <v>1373.5</v>
      </c>
      <c r="O58" s="179">
        <v>1373.5</v>
      </c>
      <c r="P58" s="179">
        <v>1373.5</v>
      </c>
      <c r="Q58" s="179">
        <v>1373.5</v>
      </c>
      <c r="R58" s="149">
        <v>1358.6</v>
      </c>
      <c r="S58" s="149">
        <v>255.4</v>
      </c>
      <c r="T58" s="149">
        <f>SUM(R58:S58)</f>
        <v>1614</v>
      </c>
      <c r="U58" s="218">
        <f>T58-M58</f>
        <v>0</v>
      </c>
    </row>
    <row r="59" spans="1:21" ht="34.5" customHeight="1" x14ac:dyDescent="0.2">
      <c r="A59" s="786" t="s">
        <v>171</v>
      </c>
      <c r="B59" s="787"/>
      <c r="C59" s="787"/>
      <c r="D59" s="787"/>
      <c r="E59" s="787"/>
      <c r="F59" s="787"/>
      <c r="G59" s="787"/>
      <c r="H59" s="787"/>
      <c r="I59" s="787"/>
      <c r="J59" s="787"/>
      <c r="K59" s="787"/>
      <c r="L59" s="787"/>
      <c r="M59" s="787"/>
      <c r="N59" s="787"/>
      <c r="O59" s="787"/>
      <c r="P59" s="787"/>
      <c r="Q59" s="788"/>
      <c r="R59" s="149" t="s">
        <v>332</v>
      </c>
      <c r="S59" s="149" t="s">
        <v>333</v>
      </c>
    </row>
    <row r="60" spans="1:21" ht="24" customHeight="1" x14ac:dyDescent="0.2">
      <c r="A60" s="791" t="s">
        <v>173</v>
      </c>
      <c r="B60" s="791"/>
      <c r="C60" s="791"/>
      <c r="D60" s="791"/>
      <c r="E60" s="791"/>
      <c r="F60" s="791"/>
      <c r="G60" s="791"/>
      <c r="H60" s="791"/>
      <c r="I60" s="791"/>
      <c r="J60" s="791"/>
      <c r="K60" s="791"/>
      <c r="L60" s="791"/>
      <c r="M60" s="791"/>
      <c r="N60" s="791"/>
      <c r="O60" s="791"/>
      <c r="P60" s="791"/>
      <c r="Q60" s="791"/>
    </row>
    <row r="61" spans="1:21" ht="31.5" x14ac:dyDescent="0.2">
      <c r="A61" s="180" t="s">
        <v>44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70"/>
      <c r="N61" s="160"/>
      <c r="Q61" s="171"/>
    </row>
    <row r="62" spans="1:21" ht="39.75" customHeight="1" x14ac:dyDescent="0.2">
      <c r="A62" s="161" t="s">
        <v>45</v>
      </c>
      <c r="B62" s="123"/>
      <c r="C62" s="47">
        <v>14644</v>
      </c>
      <c r="D62" s="47">
        <v>14858</v>
      </c>
      <c r="E62" s="47">
        <v>15066</v>
      </c>
      <c r="F62" s="47">
        <v>15272</v>
      </c>
      <c r="G62" s="47">
        <v>15400</v>
      </c>
      <c r="H62" s="313">
        <v>15523</v>
      </c>
      <c r="I62" s="313">
        <v>15523</v>
      </c>
      <c r="J62" s="179"/>
      <c r="K62" s="179">
        <v>350.7</v>
      </c>
      <c r="L62" s="179">
        <v>387.3</v>
      </c>
      <c r="M62" s="145">
        <f>SUM(R62:S62)</f>
        <v>659.8</v>
      </c>
      <c r="N62" s="63">
        <v>579.5</v>
      </c>
      <c r="O62" s="47">
        <v>579.5</v>
      </c>
      <c r="P62" s="47">
        <v>579.5</v>
      </c>
      <c r="Q62" s="47">
        <v>579.5</v>
      </c>
      <c r="R62" s="181">
        <v>324.7</v>
      </c>
      <c r="S62" s="181">
        <v>335.1</v>
      </c>
      <c r="T62" s="149">
        <f>SUM(R62:S62)</f>
        <v>659.8</v>
      </c>
      <c r="U62" s="218">
        <f>T62-M62</f>
        <v>0</v>
      </c>
    </row>
    <row r="63" spans="1:21" ht="30.75" customHeight="1" x14ac:dyDescent="0.2">
      <c r="A63" s="759" t="s">
        <v>172</v>
      </c>
      <c r="B63" s="760"/>
      <c r="C63" s="760"/>
      <c r="D63" s="760"/>
      <c r="E63" s="760"/>
      <c r="F63" s="760"/>
      <c r="G63" s="760"/>
      <c r="H63" s="760"/>
      <c r="I63" s="760"/>
      <c r="J63" s="760"/>
      <c r="K63" s="760"/>
      <c r="L63" s="760"/>
      <c r="M63" s="760"/>
      <c r="N63" s="760"/>
      <c r="O63" s="760"/>
      <c r="P63" s="760"/>
      <c r="Q63" s="761"/>
      <c r="R63" s="181"/>
      <c r="S63" s="181"/>
      <c r="T63" s="181"/>
    </row>
    <row r="64" spans="1:21" ht="24" customHeight="1" x14ac:dyDescent="0.2">
      <c r="A64" s="755" t="s">
        <v>208</v>
      </c>
      <c r="B64" s="756"/>
      <c r="C64" s="756"/>
      <c r="D64" s="756"/>
      <c r="E64" s="756"/>
      <c r="F64" s="756"/>
      <c r="G64" s="756"/>
      <c r="H64" s="756"/>
      <c r="I64" s="756"/>
      <c r="J64" s="756"/>
      <c r="K64" s="756"/>
      <c r="L64" s="756"/>
      <c r="M64" s="756"/>
      <c r="N64" s="756"/>
      <c r="O64" s="756"/>
      <c r="P64" s="756"/>
      <c r="Q64" s="757"/>
      <c r="R64" s="181"/>
      <c r="S64" s="181"/>
      <c r="T64" s="181"/>
    </row>
    <row r="65" spans="1:21" ht="31.5" x14ac:dyDescent="0.2">
      <c r="A65" s="169" t="s">
        <v>44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70"/>
      <c r="N65" s="160"/>
      <c r="Q65" s="171"/>
      <c r="R65" s="149" t="s">
        <v>332</v>
      </c>
      <c r="S65" s="149" t="s">
        <v>333</v>
      </c>
      <c r="T65" s="181"/>
    </row>
    <row r="66" spans="1:21" ht="35.25" customHeight="1" x14ac:dyDescent="0.2">
      <c r="A66" s="161" t="s">
        <v>45</v>
      </c>
      <c r="B66" s="123"/>
      <c r="C66" s="123">
        <v>68</v>
      </c>
      <c r="D66" s="123">
        <v>68</v>
      </c>
      <c r="E66" s="123">
        <v>68</v>
      </c>
      <c r="F66" s="123">
        <v>68</v>
      </c>
      <c r="G66" s="162">
        <v>38</v>
      </c>
      <c r="H66" s="162">
        <v>38</v>
      </c>
      <c r="I66" s="162">
        <v>38</v>
      </c>
      <c r="J66" s="165"/>
      <c r="K66" s="165">
        <v>27.7</v>
      </c>
      <c r="L66" s="165">
        <v>190.7</v>
      </c>
      <c r="M66" s="145">
        <f>SUM(R66:S66)</f>
        <v>46.699999999999996</v>
      </c>
      <c r="N66" s="125">
        <v>41.4</v>
      </c>
      <c r="O66" s="123">
        <v>41.4</v>
      </c>
      <c r="P66" s="123">
        <v>41.4</v>
      </c>
      <c r="Q66" s="123">
        <v>41.4</v>
      </c>
      <c r="R66" s="149">
        <v>13.4</v>
      </c>
      <c r="S66" s="149">
        <v>33.299999999999997</v>
      </c>
      <c r="T66" s="149">
        <f>SUM(R66:S66)</f>
        <v>46.699999999999996</v>
      </c>
      <c r="U66" s="218">
        <f>T66-M66</f>
        <v>0</v>
      </c>
    </row>
    <row r="67" spans="1:21" ht="38.25" customHeight="1" collapsed="1" x14ac:dyDescent="0.2">
      <c r="A67" s="197" t="s">
        <v>47</v>
      </c>
      <c r="B67" s="123"/>
      <c r="C67" s="123"/>
      <c r="D67" s="123"/>
      <c r="E67" s="123"/>
      <c r="F67" s="123"/>
      <c r="G67" s="123"/>
      <c r="H67" s="127"/>
      <c r="I67" s="127"/>
      <c r="J67" s="123"/>
      <c r="K67" s="123"/>
      <c r="L67" s="123"/>
      <c r="M67" s="127"/>
      <c r="N67" s="123"/>
      <c r="O67" s="182"/>
      <c r="P67" s="160"/>
      <c r="Q67" s="160"/>
      <c r="R67" s="149" t="s">
        <v>334</v>
      </c>
      <c r="S67" s="149" t="s">
        <v>335</v>
      </c>
    </row>
    <row r="68" spans="1:21" ht="40.5" customHeight="1" x14ac:dyDescent="0.2">
      <c r="A68" s="161" t="s">
        <v>45</v>
      </c>
      <c r="B68" s="123"/>
      <c r="C68" s="123">
        <v>38</v>
      </c>
      <c r="D68" s="123">
        <v>38</v>
      </c>
      <c r="E68" s="123">
        <v>38</v>
      </c>
      <c r="F68" s="123">
        <v>38</v>
      </c>
      <c r="G68" s="162">
        <v>38</v>
      </c>
      <c r="H68" s="162">
        <v>38</v>
      </c>
      <c r="I68" s="162">
        <v>38</v>
      </c>
      <c r="J68" s="164"/>
      <c r="K68" s="165">
        <v>71.099999999999994</v>
      </c>
      <c r="L68" s="198">
        <v>44.2</v>
      </c>
      <c r="M68" s="199">
        <f>SUM(R68:S68)</f>
        <v>189.89999999999998</v>
      </c>
      <c r="N68" s="123">
        <v>155.80000000000001</v>
      </c>
      <c r="O68" s="123">
        <v>155.80000000000001</v>
      </c>
      <c r="P68" s="123">
        <v>155.80000000000001</v>
      </c>
      <c r="Q68" s="123">
        <v>155.80000000000001</v>
      </c>
      <c r="R68" s="149">
        <v>167.7</v>
      </c>
      <c r="S68" s="149">
        <v>22.2</v>
      </c>
      <c r="T68" s="149">
        <f>SUM(R68:S68)</f>
        <v>189.89999999999998</v>
      </c>
      <c r="U68" s="218">
        <f>T68-M68</f>
        <v>0</v>
      </c>
    </row>
    <row r="69" spans="1:21" ht="22.5" customHeight="1" x14ac:dyDescent="0.2">
      <c r="A69" s="759" t="s">
        <v>206</v>
      </c>
      <c r="B69" s="760"/>
      <c r="C69" s="760"/>
      <c r="D69" s="760"/>
      <c r="E69" s="760"/>
      <c r="F69" s="760"/>
      <c r="G69" s="760"/>
      <c r="H69" s="760"/>
      <c r="I69" s="760"/>
      <c r="J69" s="760"/>
      <c r="K69" s="760"/>
      <c r="L69" s="760"/>
      <c r="M69" s="760"/>
      <c r="N69" s="760"/>
      <c r="O69" s="760"/>
      <c r="P69" s="760"/>
      <c r="Q69" s="761"/>
      <c r="R69" s="181"/>
      <c r="S69" s="181"/>
      <c r="T69" s="181"/>
    </row>
    <row r="70" spans="1:21" ht="24" customHeight="1" x14ac:dyDescent="0.2">
      <c r="A70" s="755" t="s">
        <v>209</v>
      </c>
      <c r="B70" s="756"/>
      <c r="C70" s="756"/>
      <c r="D70" s="756"/>
      <c r="E70" s="756"/>
      <c r="F70" s="756"/>
      <c r="G70" s="756"/>
      <c r="H70" s="756"/>
      <c r="I70" s="756"/>
      <c r="J70" s="756"/>
      <c r="K70" s="756"/>
      <c r="L70" s="756"/>
      <c r="M70" s="756"/>
      <c r="N70" s="756"/>
      <c r="O70" s="756"/>
      <c r="P70" s="756"/>
      <c r="Q70" s="757"/>
      <c r="R70" s="181"/>
      <c r="S70" s="181"/>
      <c r="T70" s="181"/>
    </row>
    <row r="71" spans="1:21" ht="31.5" x14ac:dyDescent="0.2">
      <c r="A71" s="169" t="s">
        <v>44</v>
      </c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70"/>
      <c r="N71" s="160"/>
      <c r="Q71" s="171"/>
      <c r="R71" s="149" t="s">
        <v>332</v>
      </c>
      <c r="S71" s="149" t="s">
        <v>333</v>
      </c>
      <c r="T71" s="181"/>
    </row>
    <row r="72" spans="1:21" ht="39" customHeight="1" x14ac:dyDescent="0.2">
      <c r="A72" s="161" t="s">
        <v>45</v>
      </c>
      <c r="B72" s="123"/>
      <c r="C72" s="123">
        <v>558</v>
      </c>
      <c r="D72" s="123">
        <v>559</v>
      </c>
      <c r="E72" s="123">
        <v>559</v>
      </c>
      <c r="F72" s="123">
        <v>560</v>
      </c>
      <c r="G72" s="123">
        <v>560</v>
      </c>
      <c r="H72" s="152">
        <v>561</v>
      </c>
      <c r="I72" s="152">
        <v>561</v>
      </c>
      <c r="J72" s="165"/>
      <c r="K72" s="165">
        <v>175.3</v>
      </c>
      <c r="L72" s="165">
        <v>35.1</v>
      </c>
      <c r="M72" s="145">
        <f>SUM(R72:S72)</f>
        <v>239.9</v>
      </c>
      <c r="N72" s="125">
        <v>214.7</v>
      </c>
      <c r="O72" s="123">
        <v>214.7</v>
      </c>
      <c r="P72" s="123">
        <v>214.7</v>
      </c>
      <c r="Q72" s="123">
        <v>214.7</v>
      </c>
      <c r="R72" s="149">
        <v>13.5</v>
      </c>
      <c r="S72" s="149">
        <v>226.4</v>
      </c>
      <c r="T72" s="149">
        <f>SUM(R72:S72)</f>
        <v>239.9</v>
      </c>
      <c r="U72" s="218">
        <f>T72-M72</f>
        <v>0</v>
      </c>
    </row>
    <row r="73" spans="1:21" ht="28.5" customHeight="1" x14ac:dyDescent="0.2">
      <c r="A73" s="796" t="s">
        <v>207</v>
      </c>
      <c r="B73" s="781"/>
      <c r="C73" s="781"/>
      <c r="D73" s="781"/>
      <c r="E73" s="781"/>
      <c r="F73" s="781"/>
      <c r="G73" s="781"/>
      <c r="H73" s="781"/>
      <c r="I73" s="781"/>
      <c r="J73" s="781"/>
      <c r="K73" s="781"/>
      <c r="L73" s="781"/>
      <c r="M73" s="781"/>
      <c r="N73" s="781"/>
      <c r="O73" s="781"/>
      <c r="P73" s="781"/>
      <c r="Q73" s="782"/>
    </row>
    <row r="74" spans="1:21" ht="30.75" customHeight="1" x14ac:dyDescent="0.2">
      <c r="A74" s="767" t="s">
        <v>174</v>
      </c>
      <c r="B74" s="767"/>
      <c r="C74" s="767"/>
      <c r="D74" s="767"/>
      <c r="E74" s="767"/>
      <c r="F74" s="767"/>
      <c r="G74" s="767"/>
      <c r="H74" s="767"/>
      <c r="I74" s="767"/>
      <c r="J74" s="767"/>
      <c r="K74" s="767"/>
      <c r="L74" s="767"/>
      <c r="M74" s="767"/>
      <c r="N74" s="767"/>
      <c r="O74" s="767"/>
      <c r="P74" s="767"/>
      <c r="Q74" s="767"/>
    </row>
    <row r="75" spans="1:21" ht="63" hidden="1" outlineLevel="1" x14ac:dyDescent="0.2">
      <c r="A75" s="183" t="s">
        <v>48</v>
      </c>
      <c r="B75" s="123">
        <v>503</v>
      </c>
      <c r="C75" s="123"/>
      <c r="D75" s="123">
        <v>500</v>
      </c>
      <c r="E75" s="123">
        <v>500</v>
      </c>
      <c r="F75" s="123"/>
      <c r="G75" s="123"/>
      <c r="H75" s="123"/>
      <c r="I75" s="123"/>
      <c r="J75" s="165">
        <f>1659.9-76.9</f>
        <v>1583</v>
      </c>
      <c r="K75" s="165"/>
      <c r="L75" s="165">
        <f>1664.9-83.2</f>
        <v>1581.7</v>
      </c>
      <c r="M75" s="124">
        <f>L75</f>
        <v>1581.7</v>
      </c>
      <c r="Q75" s="160"/>
    </row>
    <row r="76" spans="1:21" ht="78.75" hidden="1" outlineLevel="1" x14ac:dyDescent="0.2">
      <c r="A76" s="183" t="s">
        <v>49</v>
      </c>
      <c r="B76" s="123">
        <v>209</v>
      </c>
      <c r="C76" s="123"/>
      <c r="D76" s="123">
        <v>209</v>
      </c>
      <c r="E76" s="123">
        <v>209</v>
      </c>
      <c r="F76" s="123"/>
      <c r="G76" s="123"/>
      <c r="H76" s="123"/>
      <c r="I76" s="123"/>
      <c r="J76" s="165">
        <f>2891.6-15.4</f>
        <v>2876.2</v>
      </c>
      <c r="K76" s="165"/>
      <c r="L76" s="165">
        <f>2893.6-15.4</f>
        <v>2878.2</v>
      </c>
      <c r="M76" s="166">
        <f>2893.6-15.4</f>
        <v>2878.2</v>
      </c>
      <c r="Q76" s="160"/>
    </row>
    <row r="77" spans="1:21" ht="47.25" hidden="1" outlineLevel="1" x14ac:dyDescent="0.2">
      <c r="A77" s="183" t="s">
        <v>50</v>
      </c>
      <c r="B77" s="123">
        <v>383</v>
      </c>
      <c r="C77" s="123"/>
      <c r="D77" s="123">
        <v>383</v>
      </c>
      <c r="E77" s="123">
        <v>383</v>
      </c>
      <c r="F77" s="123"/>
      <c r="G77" s="123"/>
      <c r="H77" s="123"/>
      <c r="I77" s="123"/>
      <c r="J77" s="165">
        <v>783</v>
      </c>
      <c r="K77" s="165"/>
      <c r="L77" s="165">
        <v>800.4</v>
      </c>
      <c r="M77" s="124">
        <f t="shared" ref="M77:M83" si="0">L77</f>
        <v>800.4</v>
      </c>
      <c r="Q77" s="160"/>
    </row>
    <row r="78" spans="1:21" ht="47.25" hidden="1" outlineLevel="1" x14ac:dyDescent="0.2">
      <c r="A78" s="183" t="s">
        <v>51</v>
      </c>
      <c r="B78" s="123">
        <v>572</v>
      </c>
      <c r="C78" s="123"/>
      <c r="D78" s="123">
        <v>572</v>
      </c>
      <c r="E78" s="123">
        <v>572</v>
      </c>
      <c r="F78" s="123"/>
      <c r="G78" s="123"/>
      <c r="H78" s="123"/>
      <c r="I78" s="123"/>
      <c r="J78" s="165">
        <v>1101.7</v>
      </c>
      <c r="K78" s="165"/>
      <c r="L78" s="165">
        <v>922.5</v>
      </c>
      <c r="M78" s="124">
        <f t="shared" si="0"/>
        <v>922.5</v>
      </c>
      <c r="Q78" s="160"/>
    </row>
    <row r="79" spans="1:21" ht="63" hidden="1" outlineLevel="1" x14ac:dyDescent="0.2">
      <c r="A79" s="183" t="s">
        <v>52</v>
      </c>
      <c r="B79" s="123">
        <v>589</v>
      </c>
      <c r="C79" s="123"/>
      <c r="D79" s="123">
        <v>590</v>
      </c>
      <c r="E79" s="123">
        <v>590</v>
      </c>
      <c r="F79" s="123"/>
      <c r="G79" s="123"/>
      <c r="H79" s="123"/>
      <c r="I79" s="123"/>
      <c r="J79" s="165">
        <v>6877.9</v>
      </c>
      <c r="K79" s="165"/>
      <c r="L79" s="165">
        <v>6902.2</v>
      </c>
      <c r="M79" s="124">
        <f t="shared" si="0"/>
        <v>6902.2</v>
      </c>
      <c r="Q79" s="160"/>
    </row>
    <row r="80" spans="1:21" ht="47.25" hidden="1" outlineLevel="1" x14ac:dyDescent="0.2">
      <c r="A80" s="183" t="s">
        <v>53</v>
      </c>
      <c r="B80" s="123">
        <v>167</v>
      </c>
      <c r="C80" s="123"/>
      <c r="D80" s="123">
        <v>169</v>
      </c>
      <c r="E80" s="123">
        <v>169</v>
      </c>
      <c r="F80" s="123"/>
      <c r="G80" s="123"/>
      <c r="H80" s="123"/>
      <c r="I80" s="123"/>
      <c r="J80" s="165">
        <v>2745.7</v>
      </c>
      <c r="K80" s="165"/>
      <c r="L80" s="165">
        <v>2664.8</v>
      </c>
      <c r="M80" s="124">
        <f t="shared" si="0"/>
        <v>2664.8</v>
      </c>
      <c r="Q80" s="160"/>
    </row>
    <row r="81" spans="1:23" ht="63" hidden="1" outlineLevel="1" x14ac:dyDescent="0.2">
      <c r="A81" s="183" t="s">
        <v>54</v>
      </c>
      <c r="B81" s="123">
        <v>290</v>
      </c>
      <c r="C81" s="123"/>
      <c r="D81" s="123">
        <v>290</v>
      </c>
      <c r="E81" s="123">
        <v>290</v>
      </c>
      <c r="F81" s="123"/>
      <c r="G81" s="123"/>
      <c r="H81" s="123"/>
      <c r="I81" s="123"/>
      <c r="J81" s="165">
        <v>3065.9</v>
      </c>
      <c r="K81" s="165"/>
      <c r="L81" s="165">
        <v>3834.3</v>
      </c>
      <c r="M81" s="124">
        <f t="shared" si="0"/>
        <v>3834.3</v>
      </c>
      <c r="Q81" s="160"/>
    </row>
    <row r="82" spans="1:23" ht="47.25" hidden="1" outlineLevel="1" x14ac:dyDescent="0.2">
      <c r="A82" s="183" t="s">
        <v>55</v>
      </c>
      <c r="B82" s="123">
        <v>220</v>
      </c>
      <c r="C82" s="123"/>
      <c r="D82" s="123">
        <v>220</v>
      </c>
      <c r="E82" s="123">
        <v>220</v>
      </c>
      <c r="F82" s="123"/>
      <c r="G82" s="123"/>
      <c r="H82" s="123"/>
      <c r="I82" s="123"/>
      <c r="J82" s="165">
        <v>600</v>
      </c>
      <c r="K82" s="165"/>
      <c r="L82" s="165">
        <v>700</v>
      </c>
      <c r="M82" s="124">
        <f t="shared" si="0"/>
        <v>700</v>
      </c>
      <c r="Q82" s="160"/>
    </row>
    <row r="83" spans="1:23" ht="63" hidden="1" outlineLevel="1" x14ac:dyDescent="0.2">
      <c r="A83" s="183" t="s">
        <v>56</v>
      </c>
      <c r="B83" s="123">
        <v>102</v>
      </c>
      <c r="C83" s="123"/>
      <c r="D83" s="123">
        <v>102</v>
      </c>
      <c r="E83" s="123">
        <v>102</v>
      </c>
      <c r="F83" s="123"/>
      <c r="G83" s="123"/>
      <c r="H83" s="123"/>
      <c r="I83" s="123"/>
      <c r="J83" s="165">
        <v>1799.2</v>
      </c>
      <c r="K83" s="165"/>
      <c r="L83" s="165">
        <v>1911</v>
      </c>
      <c r="M83" s="124">
        <f t="shared" si="0"/>
        <v>1911</v>
      </c>
      <c r="Q83" s="160"/>
    </row>
    <row r="84" spans="1:23" ht="38.25" customHeight="1" collapsed="1" x14ac:dyDescent="0.2">
      <c r="A84" s="197" t="s">
        <v>47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4"/>
      <c r="N84" s="160"/>
      <c r="Q84" s="160"/>
      <c r="R84" s="149" t="s">
        <v>334</v>
      </c>
      <c r="S84" s="149" t="s">
        <v>335</v>
      </c>
    </row>
    <row r="85" spans="1:23" ht="40.5" customHeight="1" x14ac:dyDescent="0.2">
      <c r="A85" s="161" t="s">
        <v>45</v>
      </c>
      <c r="B85" s="123"/>
      <c r="C85" s="123">
        <v>188</v>
      </c>
      <c r="D85" s="123">
        <v>188</v>
      </c>
      <c r="E85" s="123">
        <v>188</v>
      </c>
      <c r="F85" s="123">
        <v>188</v>
      </c>
      <c r="G85" s="123">
        <v>188</v>
      </c>
      <c r="H85" s="123">
        <v>188</v>
      </c>
      <c r="I85" s="123">
        <v>188</v>
      </c>
      <c r="J85" s="165"/>
      <c r="K85" s="165">
        <v>640.1</v>
      </c>
      <c r="L85" s="165">
        <v>714.7</v>
      </c>
      <c r="M85" s="145">
        <f>SUM(R85:S85)</f>
        <v>1821.1999999999998</v>
      </c>
      <c r="N85" s="125">
        <v>1621.3</v>
      </c>
      <c r="O85" s="123">
        <v>1621.3</v>
      </c>
      <c r="P85" s="123">
        <v>1621.3</v>
      </c>
      <c r="Q85" s="123">
        <v>1621.3</v>
      </c>
      <c r="R85" s="149">
        <v>1784.1</v>
      </c>
      <c r="S85" s="149">
        <v>37.1</v>
      </c>
      <c r="T85" s="149">
        <f>SUM(R85:S85)</f>
        <v>1821.1999999999998</v>
      </c>
      <c r="U85" s="218">
        <f>T85-M85</f>
        <v>0</v>
      </c>
    </row>
    <row r="86" spans="1:23" ht="53.25" customHeight="1" collapsed="1" x14ac:dyDescent="0.2">
      <c r="A86" s="197" t="s">
        <v>135</v>
      </c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4"/>
      <c r="N86" s="123"/>
      <c r="P86" s="160"/>
      <c r="Q86" s="160"/>
      <c r="R86" s="149" t="s">
        <v>336</v>
      </c>
      <c r="S86" s="149" t="s">
        <v>337</v>
      </c>
    </row>
    <row r="87" spans="1:23" ht="40.5" customHeight="1" x14ac:dyDescent="0.2">
      <c r="A87" s="161" t="s">
        <v>45</v>
      </c>
      <c r="B87" s="123"/>
      <c r="C87" s="123">
        <v>38</v>
      </c>
      <c r="D87" s="123">
        <v>38</v>
      </c>
      <c r="E87" s="123">
        <v>38</v>
      </c>
      <c r="F87" s="123">
        <v>38</v>
      </c>
      <c r="G87" s="123">
        <v>38</v>
      </c>
      <c r="H87" s="123">
        <v>38</v>
      </c>
      <c r="I87" s="123">
        <v>38</v>
      </c>
      <c r="J87" s="165"/>
      <c r="K87" s="165">
        <v>167.9</v>
      </c>
      <c r="L87" s="165">
        <f>170.8-50</f>
        <v>120.80000000000001</v>
      </c>
      <c r="M87" s="124">
        <f>SUM(R87:S87)</f>
        <v>546.20000000000005</v>
      </c>
      <c r="N87" s="123">
        <v>143.69999999999999</v>
      </c>
      <c r="O87" s="123">
        <v>143.69999999999999</v>
      </c>
      <c r="P87" s="123">
        <v>143.69999999999999</v>
      </c>
      <c r="Q87" s="123">
        <v>143.69999999999999</v>
      </c>
      <c r="R87" s="149">
        <v>546.20000000000005</v>
      </c>
      <c r="T87" s="149">
        <f>SUM(R87:S87)</f>
        <v>546.20000000000005</v>
      </c>
      <c r="U87" s="218">
        <f>T87-M87</f>
        <v>0</v>
      </c>
    </row>
    <row r="88" spans="1:23" ht="33.75" customHeight="1" x14ac:dyDescent="0.2">
      <c r="A88" s="793" t="s">
        <v>175</v>
      </c>
      <c r="B88" s="794"/>
      <c r="C88" s="794"/>
      <c r="D88" s="794"/>
      <c r="E88" s="794"/>
      <c r="F88" s="794"/>
      <c r="G88" s="794"/>
      <c r="H88" s="794"/>
      <c r="I88" s="794"/>
      <c r="J88" s="794"/>
      <c r="K88" s="794"/>
      <c r="L88" s="794"/>
      <c r="M88" s="794"/>
      <c r="N88" s="794"/>
      <c r="O88" s="794"/>
      <c r="P88" s="794"/>
      <c r="Q88" s="795"/>
    </row>
    <row r="89" spans="1:23" ht="18.75" customHeight="1" x14ac:dyDescent="0.2">
      <c r="A89" s="792" t="s">
        <v>177</v>
      </c>
      <c r="B89" s="792"/>
      <c r="C89" s="792"/>
      <c r="D89" s="792"/>
      <c r="E89" s="792"/>
      <c r="F89" s="792"/>
      <c r="G89" s="792"/>
      <c r="H89" s="792"/>
      <c r="I89" s="792"/>
      <c r="J89" s="792"/>
      <c r="K89" s="792"/>
      <c r="L89" s="792"/>
      <c r="M89" s="792"/>
      <c r="N89" s="792"/>
      <c r="O89" s="792"/>
      <c r="P89" s="792"/>
      <c r="Q89" s="792"/>
    </row>
    <row r="90" spans="1:23" ht="35.25" customHeight="1" x14ac:dyDescent="0.2">
      <c r="A90" s="180" t="s">
        <v>47</v>
      </c>
      <c r="B90" s="125"/>
      <c r="C90" s="125"/>
      <c r="D90" s="125"/>
      <c r="E90" s="125"/>
      <c r="F90" s="125"/>
      <c r="G90" s="125"/>
      <c r="H90" s="184"/>
      <c r="I90" s="184"/>
      <c r="J90" s="125"/>
      <c r="K90" s="125"/>
      <c r="L90" s="125"/>
      <c r="M90" s="200"/>
      <c r="N90" s="160"/>
      <c r="Q90" s="171"/>
      <c r="R90" s="149" t="s">
        <v>334</v>
      </c>
      <c r="S90" s="149" t="s">
        <v>335</v>
      </c>
    </row>
    <row r="91" spans="1:23" ht="37.5" customHeight="1" x14ac:dyDescent="0.2">
      <c r="A91" s="161" t="s">
        <v>45</v>
      </c>
      <c r="B91" s="123"/>
      <c r="C91" s="123">
        <v>89</v>
      </c>
      <c r="D91" s="123">
        <v>89</v>
      </c>
      <c r="E91" s="123">
        <v>89</v>
      </c>
      <c r="F91" s="123">
        <v>89</v>
      </c>
      <c r="G91" s="162">
        <v>90</v>
      </c>
      <c r="H91" s="321">
        <v>91</v>
      </c>
      <c r="I91" s="321">
        <v>91</v>
      </c>
      <c r="J91" s="185"/>
      <c r="K91" s="123">
        <v>426.8</v>
      </c>
      <c r="L91" s="162">
        <v>481.9</v>
      </c>
      <c r="M91" s="199">
        <f>SUM(R91:S91)</f>
        <v>1346.5</v>
      </c>
      <c r="N91" s="125">
        <v>1192.0999999999999</v>
      </c>
      <c r="O91" s="123">
        <v>1192.0999999999999</v>
      </c>
      <c r="P91" s="123">
        <v>1192.0999999999999</v>
      </c>
      <c r="Q91" s="123">
        <v>1192.0999999999999</v>
      </c>
      <c r="R91" s="149">
        <v>1309.4000000000001</v>
      </c>
      <c r="S91" s="149">
        <v>37.1</v>
      </c>
      <c r="T91" s="149">
        <f>SUM(R91:S91)</f>
        <v>1346.5</v>
      </c>
      <c r="U91" s="218">
        <f>T91-M91</f>
        <v>0</v>
      </c>
    </row>
    <row r="92" spans="1:23" outlineLevel="1" x14ac:dyDescent="0.2">
      <c r="A92" s="186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7"/>
      <c r="T92" s="149">
        <f>SUM(T9:T91)</f>
        <v>88261.199999999968</v>
      </c>
    </row>
    <row r="93" spans="1:23" s="190" customFormat="1" ht="19.5" customHeight="1" x14ac:dyDescent="0.2">
      <c r="A93" s="188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9"/>
      <c r="R93" s="191"/>
      <c r="S93" s="191"/>
      <c r="T93" s="191"/>
      <c r="U93" s="219"/>
      <c r="V93" s="191"/>
      <c r="W93" s="192"/>
    </row>
    <row r="94" spans="1:23" ht="19.5" customHeight="1" x14ac:dyDescent="0.2">
      <c r="A94" s="193" t="s">
        <v>263</v>
      </c>
      <c r="B94" s="765"/>
      <c r="C94" s="765"/>
      <c r="D94" s="765"/>
      <c r="E94" s="768"/>
      <c r="F94" s="768"/>
      <c r="G94" s="768"/>
      <c r="H94" s="768"/>
      <c r="I94" s="768"/>
      <c r="J94" s="766"/>
      <c r="K94" s="766"/>
      <c r="L94" s="766"/>
      <c r="M94" s="766"/>
      <c r="N94" s="769" t="s">
        <v>338</v>
      </c>
      <c r="O94" s="769"/>
      <c r="P94" s="769"/>
      <c r="Q94" s="769"/>
    </row>
    <row r="95" spans="1:23" ht="37.5" customHeight="1" x14ac:dyDescent="0.2">
      <c r="A95" s="763"/>
      <c r="B95" s="763"/>
      <c r="C95" s="194"/>
      <c r="D95" s="764"/>
      <c r="E95" s="764"/>
      <c r="F95" s="764"/>
      <c r="G95" s="764"/>
      <c r="H95" s="764"/>
      <c r="I95" s="764"/>
      <c r="J95" s="764"/>
      <c r="K95" s="195"/>
      <c r="L95" s="188"/>
      <c r="M95" s="189"/>
    </row>
    <row r="96" spans="1:23" ht="37.5" customHeight="1" x14ac:dyDescent="0.2"/>
    <row r="97" ht="37.5" customHeight="1" x14ac:dyDescent="0.2"/>
    <row r="98" ht="37.5" customHeight="1" x14ac:dyDescent="0.2"/>
    <row r="99" ht="37.5" customHeight="1" x14ac:dyDescent="0.2"/>
    <row r="100" ht="37.5" customHeight="1" x14ac:dyDescent="0.2"/>
    <row r="101" ht="37.5" customHeight="1" x14ac:dyDescent="0.2"/>
  </sheetData>
  <sheetProtection selectLockedCells="1" selectUnlockedCells="1"/>
  <mergeCells count="47">
    <mergeCell ref="E1:M1"/>
    <mergeCell ref="A2:Q2"/>
    <mergeCell ref="S3:T3"/>
    <mergeCell ref="A4:A5"/>
    <mergeCell ref="B4:I4"/>
    <mergeCell ref="J4:Q4"/>
    <mergeCell ref="A6:Q6"/>
    <mergeCell ref="A7:Q7"/>
    <mergeCell ref="A10:Q10"/>
    <mergeCell ref="A11:Q11"/>
    <mergeCell ref="A14:Q14"/>
    <mergeCell ref="A15:Q15"/>
    <mergeCell ref="A18:Q18"/>
    <mergeCell ref="A19:Q19"/>
    <mergeCell ref="A22:Q22"/>
    <mergeCell ref="A23:Q23"/>
    <mergeCell ref="A26:Q26"/>
    <mergeCell ref="A27:Q27"/>
    <mergeCell ref="A30:Q30"/>
    <mergeCell ref="A31:Q31"/>
    <mergeCell ref="A34:Q34"/>
    <mergeCell ref="A37:M37"/>
    <mergeCell ref="A38:M38"/>
    <mergeCell ref="A41:M41"/>
    <mergeCell ref="A44:M44"/>
    <mergeCell ref="A45:M45"/>
    <mergeCell ref="A48:M48"/>
    <mergeCell ref="A51:Q51"/>
    <mergeCell ref="A52:Q52"/>
    <mergeCell ref="A55:Q55"/>
    <mergeCell ref="N94:Q94"/>
    <mergeCell ref="A56:Q56"/>
    <mergeCell ref="A59:Q59"/>
    <mergeCell ref="A60:Q60"/>
    <mergeCell ref="A63:Q63"/>
    <mergeCell ref="A64:Q64"/>
    <mergeCell ref="A69:Q69"/>
    <mergeCell ref="A95:B95"/>
    <mergeCell ref="D95:J95"/>
    <mergeCell ref="A70:Q70"/>
    <mergeCell ref="A73:Q73"/>
    <mergeCell ref="A74:Q74"/>
    <mergeCell ref="A88:Q88"/>
    <mergeCell ref="A89:Q89"/>
    <mergeCell ref="B94:D94"/>
    <mergeCell ref="E94:I94"/>
    <mergeCell ref="J94:M94"/>
  </mergeCells>
  <pageMargins left="0.68979166666666669" right="0.25" top="0.75" bottom="0.75" header="0.51180555555555551" footer="0.51180555555555551"/>
  <pageSetup paperSize="9" scale="62" firstPageNumber="0" orientation="landscape" horizontalDpi="300" verticalDpi="300" r:id="rId1"/>
  <headerFooter alignWithMargins="0"/>
  <rowBreaks count="3" manualBreakCount="3">
    <brk id="15" max="18" man="1"/>
    <brk id="39" max="18" man="1"/>
    <brk id="62" max="18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59"/>
  <sheetViews>
    <sheetView topLeftCell="A25" zoomScaleNormal="100" zoomScaleSheetLayoutView="100" zoomScalePageLayoutView="75" workbookViewId="0">
      <selection activeCell="H32" sqref="H32"/>
    </sheetView>
  </sheetViews>
  <sheetFormatPr defaultRowHeight="12.75" x14ac:dyDescent="0.2"/>
  <cols>
    <col min="1" max="1" width="19.7109375" style="16" customWidth="1"/>
    <col min="2" max="2" width="17.42578125" style="16" customWidth="1"/>
    <col min="3" max="3" width="33" style="16" customWidth="1"/>
    <col min="4" max="4" width="11.42578125" style="16" customWidth="1"/>
    <col min="5" max="5" width="12.28515625" style="16" customWidth="1"/>
    <col min="6" max="6" width="12.140625" style="16" customWidth="1"/>
    <col min="7" max="7" width="13.140625" style="16" customWidth="1"/>
    <col min="8" max="8" width="12.7109375" style="286" customWidth="1"/>
    <col min="9" max="10" width="12.28515625" style="16" customWidth="1"/>
    <col min="11" max="11" width="14.42578125" style="16" customWidth="1"/>
    <col min="12" max="13" width="10.85546875" style="16" bestFit="1" customWidth="1"/>
    <col min="14" max="15" width="9.85546875" style="16" bestFit="1" customWidth="1"/>
    <col min="16" max="16384" width="9.140625" style="16"/>
  </cols>
  <sheetData>
    <row r="1" spans="1:13" ht="81" customHeight="1" x14ac:dyDescent="0.25">
      <c r="A1" s="15"/>
      <c r="B1" s="15"/>
      <c r="C1" s="15"/>
      <c r="D1" s="950" t="s">
        <v>375</v>
      </c>
      <c r="E1" s="950"/>
      <c r="F1" s="950"/>
      <c r="G1" s="950"/>
      <c r="H1" s="950"/>
      <c r="I1" s="950"/>
      <c r="J1" s="950"/>
      <c r="K1" s="950"/>
    </row>
    <row r="2" spans="1:13" ht="60.75" customHeight="1" x14ac:dyDescent="0.25">
      <c r="A2" s="951" t="s">
        <v>329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</row>
    <row r="3" spans="1:13" ht="18" customHeight="1" x14ac:dyDescent="0.25">
      <c r="A3" s="217"/>
      <c r="B3" s="217"/>
      <c r="C3" s="217"/>
      <c r="D3" s="217"/>
      <c r="E3" s="217"/>
      <c r="F3" s="217"/>
      <c r="G3" s="217"/>
      <c r="H3" s="280"/>
      <c r="I3" s="217"/>
      <c r="J3" s="279">
        <f>I4-J4</f>
        <v>7260.4999999999709</v>
      </c>
      <c r="K3" s="217"/>
      <c r="L3" s="16">
        <v>97192</v>
      </c>
    </row>
    <row r="4" spans="1:13" s="222" customFormat="1" ht="15.75" x14ac:dyDescent="0.25">
      <c r="A4" s="220"/>
      <c r="B4" s="220"/>
      <c r="C4" s="220"/>
      <c r="D4" s="220"/>
      <c r="E4" s="220"/>
      <c r="F4" s="220" t="s">
        <v>362</v>
      </c>
      <c r="G4" s="221">
        <f>G7-G11</f>
        <v>116499.90000000001</v>
      </c>
      <c r="H4" s="241">
        <f>H7-H11</f>
        <v>119284.75000000001</v>
      </c>
      <c r="I4" s="221">
        <f>I7-I11</f>
        <v>137358.34999999998</v>
      </c>
      <c r="J4" s="221">
        <f>J7-J11</f>
        <v>130097.85</v>
      </c>
      <c r="K4" s="221">
        <f>K7-K11</f>
        <v>804204.85000000009</v>
      </c>
      <c r="L4" s="298">
        <f>H4-L3</f>
        <v>22092.750000000015</v>
      </c>
    </row>
    <row r="5" spans="1:13" ht="24.75" customHeight="1" x14ac:dyDescent="0.2">
      <c r="A5" s="952" t="s">
        <v>29</v>
      </c>
      <c r="B5" s="952" t="s">
        <v>140</v>
      </c>
      <c r="C5" s="952" t="s">
        <v>30</v>
      </c>
      <c r="D5" s="952" t="s">
        <v>31</v>
      </c>
      <c r="E5" s="952"/>
      <c r="F5" s="952"/>
      <c r="G5" s="952"/>
      <c r="H5" s="952"/>
      <c r="I5" s="952"/>
      <c r="J5" s="952"/>
      <c r="K5" s="952"/>
    </row>
    <row r="6" spans="1:13" ht="57.75" customHeight="1" x14ac:dyDescent="0.2">
      <c r="A6" s="952"/>
      <c r="B6" s="952"/>
      <c r="C6" s="952"/>
      <c r="D6" s="5" t="s">
        <v>7</v>
      </c>
      <c r="E6" s="5" t="s">
        <v>8</v>
      </c>
      <c r="F6" s="5" t="s">
        <v>9</v>
      </c>
      <c r="G6" s="5" t="s">
        <v>122</v>
      </c>
      <c r="H6" s="281" t="s">
        <v>160</v>
      </c>
      <c r="I6" s="5" t="s">
        <v>163</v>
      </c>
      <c r="J6" s="5" t="s">
        <v>164</v>
      </c>
      <c r="K6" s="5" t="s">
        <v>315</v>
      </c>
    </row>
    <row r="7" spans="1:13" ht="15.75" customHeight="1" x14ac:dyDescent="0.2">
      <c r="A7" s="953" t="s">
        <v>10</v>
      </c>
      <c r="B7" s="953" t="s">
        <v>141</v>
      </c>
      <c r="C7" s="2" t="s">
        <v>32</v>
      </c>
      <c r="D7" s="1">
        <f>D9+D10+D11+D12</f>
        <v>93430.3</v>
      </c>
      <c r="E7" s="1">
        <f>E9+E10+E11+E12</f>
        <v>106187.6</v>
      </c>
      <c r="F7" s="1">
        <f>F9+F10+F11+F12</f>
        <v>114336.4</v>
      </c>
      <c r="G7" s="1">
        <f>G9+G10+G11+G12</f>
        <v>124877.90000000001</v>
      </c>
      <c r="H7" s="282">
        <f>H9+H10+H11+H12+0.05</f>
        <v>121778.65000000001</v>
      </c>
      <c r="I7" s="1">
        <f>I9+I10+I11+I12+0.05</f>
        <v>139852.24999999997</v>
      </c>
      <c r="J7" s="1">
        <f>J9+J10+J11+J12+0.05</f>
        <v>132591.75</v>
      </c>
      <c r="K7" s="1">
        <f>SUM(D7:J7)</f>
        <v>833054.85000000009</v>
      </c>
    </row>
    <row r="8" spans="1:13" ht="15.75" x14ac:dyDescent="0.2">
      <c r="A8" s="953"/>
      <c r="B8" s="953"/>
      <c r="C8" s="2" t="s">
        <v>33</v>
      </c>
      <c r="D8" s="1"/>
      <c r="E8" s="1"/>
      <c r="F8" s="1"/>
      <c r="G8" s="1"/>
      <c r="H8" s="282"/>
      <c r="I8" s="1"/>
      <c r="J8" s="1"/>
      <c r="K8" s="1">
        <f t="shared" ref="K8:K52" si="0">SUM(D8:J8)</f>
        <v>0</v>
      </c>
      <c r="L8" s="18"/>
    </row>
    <row r="9" spans="1:13" ht="15.75" x14ac:dyDescent="0.2">
      <c r="A9" s="953"/>
      <c r="B9" s="953"/>
      <c r="C9" s="52" t="s">
        <v>34</v>
      </c>
      <c r="D9" s="1">
        <f t="shared" ref="D9:J9" si="1">D17+D25+D41+D34</f>
        <v>0</v>
      </c>
      <c r="E9" s="1">
        <f t="shared" si="1"/>
        <v>5.3</v>
      </c>
      <c r="F9" s="1">
        <f t="shared" si="1"/>
        <v>105.2</v>
      </c>
      <c r="G9" s="1">
        <f t="shared" si="1"/>
        <v>101.3</v>
      </c>
      <c r="H9" s="282">
        <f t="shared" si="1"/>
        <v>2398</v>
      </c>
      <c r="I9" s="1">
        <f t="shared" si="1"/>
        <v>-82.8</v>
      </c>
      <c r="J9" s="1">
        <f t="shared" si="1"/>
        <v>3892.1</v>
      </c>
      <c r="K9" s="1">
        <f t="shared" si="0"/>
        <v>6419.1</v>
      </c>
    </row>
    <row r="10" spans="1:13" ht="15.75" x14ac:dyDescent="0.2">
      <c r="A10" s="953"/>
      <c r="B10" s="953"/>
      <c r="C10" s="52" t="s">
        <v>35</v>
      </c>
      <c r="D10" s="1">
        <f>D18+D26+D42+D35</f>
        <v>6480.5</v>
      </c>
      <c r="E10" s="1">
        <f>E18+E26+E42+E35+E49</f>
        <v>9282.6</v>
      </c>
      <c r="F10" s="1">
        <f t="shared" ref="F10:J12" si="2">F18+F26+F42+F35</f>
        <v>3754.5</v>
      </c>
      <c r="G10" s="1">
        <f t="shared" si="2"/>
        <v>18512.699999999997</v>
      </c>
      <c r="H10" s="282">
        <f t="shared" si="2"/>
        <v>17864.599999999999</v>
      </c>
      <c r="I10" s="1">
        <f t="shared" si="2"/>
        <v>19491.900000000001</v>
      </c>
      <c r="J10" s="1">
        <f t="shared" si="2"/>
        <v>-3678.4999999999995</v>
      </c>
      <c r="K10" s="1">
        <f t="shared" si="0"/>
        <v>71708.299999999988</v>
      </c>
    </row>
    <row r="11" spans="1:13" ht="15.75" x14ac:dyDescent="0.2">
      <c r="A11" s="953"/>
      <c r="B11" s="953"/>
      <c r="C11" s="52" t="s">
        <v>36</v>
      </c>
      <c r="D11" s="1">
        <f>D19+D27+D43+D36</f>
        <v>2383.6999999999998</v>
      </c>
      <c r="E11" s="1">
        <f>E19+E27+E43+E36</f>
        <v>2858.4</v>
      </c>
      <c r="F11" s="1">
        <f t="shared" si="2"/>
        <v>7748.2000000000007</v>
      </c>
      <c r="G11" s="1">
        <f t="shared" si="2"/>
        <v>8378</v>
      </c>
      <c r="H11" s="282">
        <f t="shared" si="2"/>
        <v>2493.9</v>
      </c>
      <c r="I11" s="1">
        <f t="shared" si="2"/>
        <v>2493.9</v>
      </c>
      <c r="J11" s="1">
        <f t="shared" si="2"/>
        <v>2493.9</v>
      </c>
      <c r="K11" s="1">
        <f t="shared" si="0"/>
        <v>28850.000000000007</v>
      </c>
    </row>
    <row r="12" spans="1:13" ht="31.5" x14ac:dyDescent="0.2">
      <c r="A12" s="953"/>
      <c r="B12" s="953"/>
      <c r="C12" s="52" t="s">
        <v>37</v>
      </c>
      <c r="D12" s="1">
        <f>D20+D28+D44+D37</f>
        <v>84566.1</v>
      </c>
      <c r="E12" s="1">
        <f>E20+E28+E44+E37+E51</f>
        <v>94041.3</v>
      </c>
      <c r="F12" s="1">
        <f t="shared" si="2"/>
        <v>102728.5</v>
      </c>
      <c r="G12" s="1">
        <f t="shared" si="2"/>
        <v>97885.900000000009</v>
      </c>
      <c r="H12" s="282">
        <f t="shared" si="2"/>
        <v>99022.1</v>
      </c>
      <c r="I12" s="1">
        <f t="shared" si="2"/>
        <v>117949.19999999998</v>
      </c>
      <c r="J12" s="1">
        <f t="shared" si="2"/>
        <v>129884.20000000001</v>
      </c>
      <c r="K12" s="1">
        <f t="shared" si="0"/>
        <v>726077.3</v>
      </c>
    </row>
    <row r="13" spans="1:13" ht="15.75" x14ac:dyDescent="0.2">
      <c r="A13" s="953"/>
      <c r="B13" s="953"/>
      <c r="C13" s="52" t="s">
        <v>38</v>
      </c>
      <c r="D13" s="1">
        <v>0</v>
      </c>
      <c r="E13" s="1">
        <v>0</v>
      </c>
      <c r="F13" s="1">
        <f>F21+F29+F45</f>
        <v>0</v>
      </c>
      <c r="G13" s="1">
        <f>G21+G29+G45</f>
        <v>0</v>
      </c>
      <c r="H13" s="282">
        <f>H21+H29+H45</f>
        <v>0</v>
      </c>
      <c r="I13" s="1">
        <f>I21+I29+I45</f>
        <v>0</v>
      </c>
      <c r="J13" s="1"/>
      <c r="K13" s="1">
        <f t="shared" si="0"/>
        <v>0</v>
      </c>
    </row>
    <row r="14" spans="1:13" ht="15.75" customHeight="1" x14ac:dyDescent="0.2">
      <c r="A14" s="953" t="s">
        <v>15</v>
      </c>
      <c r="B14" s="741" t="s">
        <v>16</v>
      </c>
      <c r="C14" s="2" t="s">
        <v>32</v>
      </c>
      <c r="D14" s="1">
        <f t="shared" ref="D14:J14" si="3">D17+D18+D19+D20+D21</f>
        <v>36752.700000000004</v>
      </c>
      <c r="E14" s="1">
        <f t="shared" si="3"/>
        <v>41070.6</v>
      </c>
      <c r="F14" s="1">
        <f t="shared" si="3"/>
        <v>36917.300000000003</v>
      </c>
      <c r="G14" s="1">
        <f>G17+G18+G19+G20+G21</f>
        <v>33818</v>
      </c>
      <c r="H14" s="282">
        <f t="shared" si="3"/>
        <v>32115.4</v>
      </c>
      <c r="I14" s="1">
        <f t="shared" si="3"/>
        <v>36515.699999999997</v>
      </c>
      <c r="J14" s="1">
        <f t="shared" si="3"/>
        <v>36186.300000000003</v>
      </c>
      <c r="K14" s="1">
        <f t="shared" si="0"/>
        <v>253376</v>
      </c>
      <c r="L14" s="223">
        <f>H14-H19</f>
        <v>31617.4</v>
      </c>
      <c r="M14" s="300">
        <v>32461.5</v>
      </c>
    </row>
    <row r="15" spans="1:13" ht="15.75" x14ac:dyDescent="0.2">
      <c r="A15" s="953"/>
      <c r="B15" s="741"/>
      <c r="C15" s="2" t="s">
        <v>33</v>
      </c>
      <c r="D15" s="1"/>
      <c r="E15" s="1"/>
      <c r="F15" s="1"/>
      <c r="G15" s="1"/>
      <c r="H15" s="282"/>
      <c r="I15" s="1"/>
      <c r="J15" s="1"/>
      <c r="K15" s="1">
        <f t="shared" si="0"/>
        <v>0</v>
      </c>
      <c r="L15" s="18"/>
      <c r="M15" s="242">
        <f>L14-M14</f>
        <v>-844.09999999999854</v>
      </c>
    </row>
    <row r="16" spans="1:13" ht="31.5" x14ac:dyDescent="0.2">
      <c r="A16" s="953"/>
      <c r="B16" s="741"/>
      <c r="C16" s="2" t="s">
        <v>39</v>
      </c>
      <c r="D16" s="1">
        <f>D17+D18+D19+D20+D21</f>
        <v>36752.700000000004</v>
      </c>
      <c r="E16" s="1">
        <f>E17+E18+E19+E20+E21</f>
        <v>41070.6</v>
      </c>
      <c r="F16" s="1">
        <f>F17+F18+F19+F20+F21</f>
        <v>36917.300000000003</v>
      </c>
      <c r="G16" s="1"/>
      <c r="H16" s="282"/>
      <c r="I16" s="1"/>
      <c r="J16" s="1"/>
      <c r="K16" s="1">
        <f t="shared" si="0"/>
        <v>114740.6</v>
      </c>
    </row>
    <row r="17" spans="1:13" ht="15.75" x14ac:dyDescent="0.2">
      <c r="A17" s="953"/>
      <c r="B17" s="741"/>
      <c r="C17" s="52" t="s">
        <v>34</v>
      </c>
      <c r="D17" s="1">
        <v>0</v>
      </c>
      <c r="E17" s="1">
        <v>5.3</v>
      </c>
      <c r="F17" s="1">
        <v>5.2</v>
      </c>
      <c r="G17" s="1">
        <v>101.3</v>
      </c>
      <c r="H17" s="120">
        <v>4.7000000000000028</v>
      </c>
      <c r="I17" s="120">
        <v>-82.8</v>
      </c>
      <c r="J17" s="120">
        <v>3892.1</v>
      </c>
      <c r="K17" s="1">
        <f t="shared" si="0"/>
        <v>3925.7999999999997</v>
      </c>
      <c r="L17" s="18"/>
    </row>
    <row r="18" spans="1:13" ht="15.75" x14ac:dyDescent="0.2">
      <c r="A18" s="953"/>
      <c r="B18" s="741"/>
      <c r="C18" s="52" t="s">
        <v>35</v>
      </c>
      <c r="D18" s="1">
        <v>6412.9</v>
      </c>
      <c r="E18" s="1">
        <v>6355.3</v>
      </c>
      <c r="F18" s="1">
        <v>2244.3000000000002</v>
      </c>
      <c r="G18" s="1">
        <v>4600</v>
      </c>
      <c r="H18" s="282">
        <v>8118.4000000000005</v>
      </c>
      <c r="I18" s="240">
        <v>10174.899999999998</v>
      </c>
      <c r="J18" s="240">
        <v>-3807.7999999999997</v>
      </c>
      <c r="K18" s="1">
        <f>SUM(D18:J18)</f>
        <v>34098</v>
      </c>
    </row>
    <row r="19" spans="1:13" ht="15.75" x14ac:dyDescent="0.2">
      <c r="A19" s="953"/>
      <c r="B19" s="741"/>
      <c r="C19" s="52" t="s">
        <v>36</v>
      </c>
      <c r="D19" s="1">
        <v>414.9</v>
      </c>
      <c r="E19" s="1">
        <v>582.5</v>
      </c>
      <c r="F19" s="1">
        <v>517.79999999999995</v>
      </c>
      <c r="G19" s="1">
        <v>531</v>
      </c>
      <c r="H19" s="282">
        <v>498</v>
      </c>
      <c r="I19" s="1">
        <v>498</v>
      </c>
      <c r="J19" s="1">
        <v>498</v>
      </c>
      <c r="K19" s="1">
        <f t="shared" si="0"/>
        <v>3540.2</v>
      </c>
    </row>
    <row r="20" spans="1:13" ht="31.5" customHeight="1" x14ac:dyDescent="0.2">
      <c r="A20" s="953"/>
      <c r="B20" s="741"/>
      <c r="C20" s="52" t="s">
        <v>37</v>
      </c>
      <c r="D20" s="1">
        <v>29924.900000000005</v>
      </c>
      <c r="E20" s="1">
        <v>34127.5</v>
      </c>
      <c r="F20" s="1">
        <v>34150</v>
      </c>
      <c r="G20" s="1">
        <v>28585.7</v>
      </c>
      <c r="H20" s="282">
        <v>23494.3</v>
      </c>
      <c r="I20" s="1">
        <v>25925.599999999995</v>
      </c>
      <c r="J20" s="1">
        <v>35604</v>
      </c>
      <c r="K20" s="1">
        <f t="shared" si="0"/>
        <v>211812</v>
      </c>
    </row>
    <row r="21" spans="1:13" ht="15.75" x14ac:dyDescent="0.2">
      <c r="A21" s="953"/>
      <c r="B21" s="741"/>
      <c r="C21" s="52" t="s">
        <v>38</v>
      </c>
      <c r="D21" s="1">
        <v>0</v>
      </c>
      <c r="E21" s="1">
        <v>0</v>
      </c>
      <c r="F21" s="1">
        <v>0</v>
      </c>
      <c r="G21" s="1"/>
      <c r="H21" s="282"/>
      <c r="I21" s="1"/>
      <c r="J21" s="1"/>
      <c r="K21" s="1">
        <f t="shared" si="0"/>
        <v>0</v>
      </c>
    </row>
    <row r="22" spans="1:13" ht="15.75" customHeight="1" x14ac:dyDescent="0.2">
      <c r="A22" s="931" t="s">
        <v>21</v>
      </c>
      <c r="B22" s="745" t="s">
        <v>22</v>
      </c>
      <c r="C22" s="53" t="s">
        <v>32</v>
      </c>
      <c r="D22" s="1">
        <f t="shared" ref="D22:J22" si="4">D27+D28+D26</f>
        <v>36362.400000000001</v>
      </c>
      <c r="E22" s="1">
        <f t="shared" si="4"/>
        <v>39003.30000000001</v>
      </c>
      <c r="F22" s="50">
        <f>F28+F27+F26+F25</f>
        <v>53675.600000000006</v>
      </c>
      <c r="G22" s="1">
        <f>SUM(G25:G28)</f>
        <v>59291.8</v>
      </c>
      <c r="H22" s="282">
        <f>H27+H28+H26+H25</f>
        <v>38542.000000000015</v>
      </c>
      <c r="I22" s="1">
        <f t="shared" si="4"/>
        <v>46043.500000000007</v>
      </c>
      <c r="J22" s="1">
        <f t="shared" si="4"/>
        <v>40797.700000000004</v>
      </c>
      <c r="K22" s="1">
        <f t="shared" si="0"/>
        <v>313716.30000000005</v>
      </c>
      <c r="L22" s="223">
        <f>H22-H27</f>
        <v>37242.000000000015</v>
      </c>
      <c r="M22" s="300">
        <v>37242.000000000007</v>
      </c>
    </row>
    <row r="23" spans="1:13" ht="15.75" x14ac:dyDescent="0.2">
      <c r="A23" s="931"/>
      <c r="B23" s="745"/>
      <c r="C23" s="53" t="s">
        <v>33</v>
      </c>
      <c r="D23" s="1"/>
      <c r="E23" s="1"/>
      <c r="F23" s="1">
        <v>0</v>
      </c>
      <c r="G23" s="1"/>
      <c r="H23" s="282"/>
      <c r="I23" s="1"/>
      <c r="J23" s="1"/>
      <c r="K23" s="1">
        <f t="shared" si="0"/>
        <v>0</v>
      </c>
      <c r="M23" s="299">
        <f>L22-M22</f>
        <v>0</v>
      </c>
    </row>
    <row r="24" spans="1:13" ht="31.5" x14ac:dyDescent="0.2">
      <c r="A24" s="931"/>
      <c r="B24" s="745"/>
      <c r="C24" s="53" t="s">
        <v>39</v>
      </c>
      <c r="D24" s="1">
        <f>D25+D26+D27+D28+D29</f>
        <v>36362.400000000001</v>
      </c>
      <c r="E24" s="1">
        <f>E25+E26+E27+E28+E29</f>
        <v>39003.300000000003</v>
      </c>
      <c r="F24" s="1">
        <f>F25+F26+F27+F28+F29</f>
        <v>53675.600000000006</v>
      </c>
      <c r="G24" s="1"/>
      <c r="H24" s="282"/>
      <c r="I24" s="1"/>
      <c r="J24" s="1"/>
      <c r="K24" s="1">
        <f t="shared" si="0"/>
        <v>129041.30000000002</v>
      </c>
    </row>
    <row r="25" spans="1:13" ht="17.25" customHeight="1" x14ac:dyDescent="0.2">
      <c r="A25" s="931"/>
      <c r="B25" s="745"/>
      <c r="C25" s="54" t="s">
        <v>34</v>
      </c>
      <c r="D25" s="1">
        <v>0</v>
      </c>
      <c r="E25" s="1">
        <v>0</v>
      </c>
      <c r="F25" s="1">
        <v>100</v>
      </c>
      <c r="G25" s="1"/>
      <c r="H25" s="282">
        <f>2393.3</f>
        <v>2393.3000000000002</v>
      </c>
      <c r="I25" s="1"/>
      <c r="J25" s="1"/>
      <c r="K25" s="1">
        <f t="shared" si="0"/>
        <v>2493.3000000000002</v>
      </c>
    </row>
    <row r="26" spans="1:13" ht="16.5" customHeight="1" x14ac:dyDescent="0.2">
      <c r="A26" s="931"/>
      <c r="B26" s="745"/>
      <c r="C26" s="54" t="s">
        <v>35</v>
      </c>
      <c r="D26" s="1">
        <v>40</v>
      </c>
      <c r="E26" s="1">
        <v>130.30000000000001</v>
      </c>
      <c r="F26" s="1">
        <v>1410</v>
      </c>
      <c r="G26" s="1">
        <v>13091.099999999999</v>
      </c>
      <c r="H26" s="282">
        <v>6772.5999999999995</v>
      </c>
      <c r="I26" s="1">
        <v>7333.1</v>
      </c>
      <c r="J26" s="1">
        <v>0</v>
      </c>
      <c r="K26" s="1">
        <f t="shared" si="0"/>
        <v>28777.1</v>
      </c>
      <c r="L26" s="18"/>
    </row>
    <row r="27" spans="1:13" ht="15.75" x14ac:dyDescent="0.2">
      <c r="A27" s="931"/>
      <c r="B27" s="745"/>
      <c r="C27" s="54" t="s">
        <v>36</v>
      </c>
      <c r="D27" s="1">
        <v>1541.1</v>
      </c>
      <c r="E27" s="1">
        <v>1423.3</v>
      </c>
      <c r="F27" s="1">
        <f>6493.3-10</f>
        <v>6483.3</v>
      </c>
      <c r="G27" s="1">
        <v>6959</v>
      </c>
      <c r="H27" s="282">
        <v>1300</v>
      </c>
      <c r="I27" s="1">
        <v>1300</v>
      </c>
      <c r="J27" s="1">
        <v>1300</v>
      </c>
      <c r="K27" s="1">
        <f t="shared" si="0"/>
        <v>20306.7</v>
      </c>
    </row>
    <row r="28" spans="1:13" ht="32.25" customHeight="1" x14ac:dyDescent="0.2">
      <c r="A28" s="931"/>
      <c r="B28" s="745"/>
      <c r="C28" s="54" t="s">
        <v>37</v>
      </c>
      <c r="D28" s="1">
        <v>34781.300000000003</v>
      </c>
      <c r="E28" s="1">
        <v>37449.700000000004</v>
      </c>
      <c r="F28" s="1">
        <v>45682.3</v>
      </c>
      <c r="G28" s="1">
        <v>39241.700000000004</v>
      </c>
      <c r="H28" s="282">
        <v>28076.100000000009</v>
      </c>
      <c r="I28" s="1">
        <v>37410.400000000009</v>
      </c>
      <c r="J28" s="1">
        <v>39497.700000000004</v>
      </c>
      <c r="K28" s="1">
        <f t="shared" si="0"/>
        <v>262139.2</v>
      </c>
      <c r="L28" s="16">
        <f>21978.7-70</f>
        <v>21908.7</v>
      </c>
      <c r="M28" s="242">
        <f>H28-L28</f>
        <v>6167.4000000000087</v>
      </c>
    </row>
    <row r="29" spans="1:13" ht="17.25" customHeight="1" x14ac:dyDescent="0.2">
      <c r="A29" s="931"/>
      <c r="B29" s="745"/>
      <c r="C29" s="54" t="s">
        <v>38</v>
      </c>
      <c r="D29" s="1">
        <v>0</v>
      </c>
      <c r="E29" s="1">
        <v>0</v>
      </c>
      <c r="F29" s="1">
        <v>0</v>
      </c>
      <c r="G29" s="1"/>
      <c r="H29" s="282"/>
      <c r="I29" s="1"/>
      <c r="J29" s="1"/>
      <c r="K29" s="1">
        <f t="shared" si="0"/>
        <v>0</v>
      </c>
    </row>
    <row r="30" spans="1:13" ht="15.75" customHeight="1" x14ac:dyDescent="0.2">
      <c r="A30" s="957" t="s">
        <v>25</v>
      </c>
      <c r="B30" s="957" t="s">
        <v>131</v>
      </c>
      <c r="C30" s="305" t="s">
        <v>32</v>
      </c>
      <c r="D30" s="287">
        <f>D34+D35+D36+D37+D38</f>
        <v>18622.7</v>
      </c>
      <c r="E30" s="287">
        <f>E34+E35+E36+E37+E38</f>
        <v>23609.1</v>
      </c>
      <c r="F30" s="287">
        <f>F34+F35+F36+F37+F38</f>
        <v>21236.499999999996</v>
      </c>
      <c r="G30" s="288">
        <f>G31+G34+G35+G36+G37+G38</f>
        <v>21874.600000000002</v>
      </c>
      <c r="H30" s="306">
        <f>H31+H34+H35+H36+H37+H38</f>
        <v>23995.599999999999</v>
      </c>
      <c r="I30" s="288">
        <f>I31+I34+I35+I36+I37+I38</f>
        <v>26574.699999999997</v>
      </c>
      <c r="J30" s="288">
        <f>J31+J34+J35+J36+J37+J38</f>
        <v>26622.9</v>
      </c>
      <c r="K30" s="287">
        <f t="shared" si="0"/>
        <v>162536.1</v>
      </c>
      <c r="L30" s="223">
        <f>H30-H36</f>
        <v>23299.699999999997</v>
      </c>
      <c r="M30" s="300">
        <v>23299.699999999997</v>
      </c>
    </row>
    <row r="31" spans="1:13" ht="15.75" x14ac:dyDescent="0.2">
      <c r="A31" s="958"/>
      <c r="B31" s="958"/>
      <c r="C31" s="305" t="s">
        <v>33</v>
      </c>
      <c r="D31" s="287"/>
      <c r="E31" s="287"/>
      <c r="F31" s="287"/>
      <c r="G31" s="288"/>
      <c r="H31" s="306"/>
      <c r="I31" s="288"/>
      <c r="J31" s="288"/>
      <c r="K31" s="287">
        <f t="shared" si="0"/>
        <v>0</v>
      </c>
      <c r="M31" s="242">
        <f>L30-M30</f>
        <v>0</v>
      </c>
    </row>
    <row r="32" spans="1:13" s="311" customFormat="1" ht="15.75" x14ac:dyDescent="0.2">
      <c r="A32" s="958"/>
      <c r="B32" s="958"/>
      <c r="C32" s="309" t="s">
        <v>390</v>
      </c>
      <c r="D32" s="310"/>
      <c r="E32" s="310"/>
      <c r="F32" s="310"/>
      <c r="G32" s="310"/>
      <c r="H32" s="310">
        <f>H30-H36</f>
        <v>23299.699999999997</v>
      </c>
      <c r="I32" s="310">
        <f>I30-I36</f>
        <v>25878.799999999996</v>
      </c>
      <c r="J32" s="310">
        <f>J30-J36</f>
        <v>25927</v>
      </c>
      <c r="K32" s="310">
        <f>K30-K36</f>
        <v>157533</v>
      </c>
      <c r="M32" s="312"/>
    </row>
    <row r="33" spans="1:15" ht="31.5" x14ac:dyDescent="0.2">
      <c r="A33" s="958"/>
      <c r="B33" s="958"/>
      <c r="C33" s="305" t="s">
        <v>39</v>
      </c>
      <c r="D33" s="287">
        <f t="shared" ref="D33:J33" si="5">D34+D35+D36+D37</f>
        <v>18622.7</v>
      </c>
      <c r="E33" s="287">
        <f t="shared" si="5"/>
        <v>23609.1</v>
      </c>
      <c r="F33" s="287">
        <f t="shared" si="5"/>
        <v>21236.499999999996</v>
      </c>
      <c r="G33" s="287">
        <f t="shared" si="5"/>
        <v>21874.600000000002</v>
      </c>
      <c r="H33" s="307">
        <f t="shared" si="5"/>
        <v>23995.599999999999</v>
      </c>
      <c r="I33" s="287">
        <f t="shared" si="5"/>
        <v>26574.699999999997</v>
      </c>
      <c r="J33" s="287">
        <f t="shared" si="5"/>
        <v>26622.9</v>
      </c>
      <c r="K33" s="287">
        <f t="shared" si="0"/>
        <v>162536.1</v>
      </c>
    </row>
    <row r="34" spans="1:15" ht="15.75" x14ac:dyDescent="0.2">
      <c r="A34" s="958"/>
      <c r="B34" s="958"/>
      <c r="C34" s="308" t="s">
        <v>34</v>
      </c>
      <c r="D34" s="287"/>
      <c r="E34" s="287">
        <v>0</v>
      </c>
      <c r="F34" s="287">
        <v>0</v>
      </c>
      <c r="G34" s="288">
        <f>SUM(D34:F34)</f>
        <v>0</v>
      </c>
      <c r="H34" s="306">
        <f>SUM(D34:F34)</f>
        <v>0</v>
      </c>
      <c r="I34" s="288">
        <f>SUM(E34:G34)</f>
        <v>0</v>
      </c>
      <c r="J34" s="288"/>
      <c r="K34" s="287">
        <f t="shared" si="0"/>
        <v>0</v>
      </c>
      <c r="L34" s="18"/>
    </row>
    <row r="35" spans="1:15" ht="15.75" x14ac:dyDescent="0.2">
      <c r="A35" s="958"/>
      <c r="B35" s="958"/>
      <c r="C35" s="308" t="s">
        <v>35</v>
      </c>
      <c r="D35" s="287">
        <v>19.3</v>
      </c>
      <c r="E35" s="287">
        <v>2662.3</v>
      </c>
      <c r="F35" s="287">
        <v>0</v>
      </c>
      <c r="G35" s="287">
        <v>710.5</v>
      </c>
      <c r="H35" s="307">
        <v>2266</v>
      </c>
      <c r="I35" s="287">
        <v>1865.2</v>
      </c>
      <c r="J35" s="287">
        <v>0</v>
      </c>
      <c r="K35" s="287">
        <f t="shared" si="0"/>
        <v>7523.3</v>
      </c>
    </row>
    <row r="36" spans="1:15" ht="15.75" x14ac:dyDescent="0.2">
      <c r="A36" s="958"/>
      <c r="B36" s="958"/>
      <c r="C36" s="308" t="s">
        <v>36</v>
      </c>
      <c r="D36" s="287">
        <v>427.7</v>
      </c>
      <c r="E36" s="287">
        <v>852.6</v>
      </c>
      <c r="F36" s="287">
        <v>747.1</v>
      </c>
      <c r="G36" s="287">
        <v>888</v>
      </c>
      <c r="H36" s="307">
        <v>695.9</v>
      </c>
      <c r="I36" s="287">
        <v>695.9</v>
      </c>
      <c r="J36" s="287">
        <v>695.9</v>
      </c>
      <c r="K36" s="287">
        <f t="shared" si="0"/>
        <v>5003.0999999999995</v>
      </c>
    </row>
    <row r="37" spans="1:15" ht="33" customHeight="1" x14ac:dyDescent="0.2">
      <c r="A37" s="958"/>
      <c r="B37" s="958"/>
      <c r="C37" s="308" t="s">
        <v>37</v>
      </c>
      <c r="D37" s="287">
        <v>18175.7</v>
      </c>
      <c r="E37" s="287">
        <v>20094.199999999997</v>
      </c>
      <c r="F37" s="287">
        <v>20489.399999999998</v>
      </c>
      <c r="G37" s="287">
        <v>20276.100000000002</v>
      </c>
      <c r="H37" s="307">
        <v>21033.699999999997</v>
      </c>
      <c r="I37" s="287">
        <v>24013.599999999999</v>
      </c>
      <c r="J37" s="287">
        <v>25927</v>
      </c>
      <c r="K37" s="287">
        <f t="shared" si="0"/>
        <v>150009.69999999998</v>
      </c>
    </row>
    <row r="38" spans="1:15" ht="15.75" x14ac:dyDescent="0.2">
      <c r="A38" s="958"/>
      <c r="B38" s="958"/>
      <c r="C38" s="308" t="s">
        <v>38</v>
      </c>
      <c r="D38" s="287">
        <v>0</v>
      </c>
      <c r="E38" s="287">
        <v>0</v>
      </c>
      <c r="F38" s="287">
        <v>0</v>
      </c>
      <c r="G38" s="288">
        <f>SUM(D38:F38)</f>
        <v>0</v>
      </c>
      <c r="H38" s="306">
        <f>SUM(D38:F38)</f>
        <v>0</v>
      </c>
      <c r="I38" s="288">
        <f>SUM(E38:G38)</f>
        <v>0</v>
      </c>
      <c r="J38" s="288"/>
      <c r="K38" s="287">
        <f t="shared" si="0"/>
        <v>0</v>
      </c>
    </row>
    <row r="39" spans="1:15" ht="15.75" customHeight="1" x14ac:dyDescent="0.2">
      <c r="A39" s="959" t="s">
        <v>133</v>
      </c>
      <c r="B39" s="959" t="s">
        <v>26</v>
      </c>
      <c r="C39" s="2" t="s">
        <v>32</v>
      </c>
      <c r="D39" s="1">
        <f t="shared" ref="D39:J39" si="6">D41+D42+D43+D44</f>
        <v>1692.5</v>
      </c>
      <c r="E39" s="1">
        <f t="shared" si="6"/>
        <v>2465.6999999999998</v>
      </c>
      <c r="F39" s="1">
        <f t="shared" si="6"/>
        <v>2506.9999999999995</v>
      </c>
      <c r="G39" s="1">
        <f>SUM(G41:G44)</f>
        <v>9893.5</v>
      </c>
      <c r="H39" s="282">
        <f t="shared" si="6"/>
        <v>27125.599999999999</v>
      </c>
      <c r="I39" s="1">
        <f t="shared" si="6"/>
        <v>30718.299999999996</v>
      </c>
      <c r="J39" s="1">
        <f t="shared" si="6"/>
        <v>28984.799999999992</v>
      </c>
      <c r="K39" s="1">
        <f t="shared" si="0"/>
        <v>103387.39999999998</v>
      </c>
      <c r="L39" s="223">
        <f>H39-H43</f>
        <v>27125.599999999999</v>
      </c>
      <c r="M39" s="300">
        <v>27125.599999999995</v>
      </c>
    </row>
    <row r="40" spans="1:15" ht="15.75" x14ac:dyDescent="0.2">
      <c r="A40" s="959"/>
      <c r="B40" s="959"/>
      <c r="C40" s="2" t="s">
        <v>33</v>
      </c>
      <c r="D40" s="1"/>
      <c r="E40" s="1"/>
      <c r="F40" s="1"/>
      <c r="G40" s="1"/>
      <c r="H40" s="282"/>
      <c r="I40" s="1"/>
      <c r="J40" s="1"/>
      <c r="K40" s="1">
        <f t="shared" si="0"/>
        <v>0</v>
      </c>
      <c r="M40" s="242">
        <f>L39-M39</f>
        <v>0</v>
      </c>
    </row>
    <row r="41" spans="1:15" ht="15.75" x14ac:dyDescent="0.2">
      <c r="A41" s="959"/>
      <c r="B41" s="959"/>
      <c r="C41" s="52" t="s">
        <v>34</v>
      </c>
      <c r="D41" s="1">
        <v>0</v>
      </c>
      <c r="E41" s="1">
        <v>0</v>
      </c>
      <c r="F41" s="1">
        <v>0</v>
      </c>
      <c r="G41" s="1"/>
      <c r="H41" s="282"/>
      <c r="I41" s="1"/>
      <c r="J41" s="1"/>
      <c r="K41" s="1">
        <f t="shared" si="0"/>
        <v>0</v>
      </c>
      <c r="M41" s="18"/>
      <c r="N41" s="18"/>
      <c r="O41" s="18"/>
    </row>
    <row r="42" spans="1:15" ht="15.75" x14ac:dyDescent="0.2">
      <c r="A42" s="959"/>
      <c r="B42" s="959"/>
      <c r="C42" s="52" t="s">
        <v>35</v>
      </c>
      <c r="D42" s="119">
        <v>8.3000000000000007</v>
      </c>
      <c r="E42" s="1">
        <v>99.7</v>
      </c>
      <c r="F42" s="119">
        <v>100.2</v>
      </c>
      <c r="G42" s="119">
        <v>111.1</v>
      </c>
      <c r="H42" s="283">
        <v>707.6</v>
      </c>
      <c r="I42" s="119">
        <v>118.7</v>
      </c>
      <c r="J42" s="119">
        <v>129.30000000000001</v>
      </c>
      <c r="K42" s="1">
        <f t="shared" si="0"/>
        <v>1274.9000000000001</v>
      </c>
    </row>
    <row r="43" spans="1:15" ht="15.75" x14ac:dyDescent="0.2">
      <c r="A43" s="959"/>
      <c r="B43" s="959"/>
      <c r="C43" s="52" t="s">
        <v>36</v>
      </c>
      <c r="D43" s="1">
        <v>0</v>
      </c>
      <c r="E43" s="1">
        <v>0</v>
      </c>
      <c r="F43" s="1">
        <v>0</v>
      </c>
      <c r="G43" s="1"/>
      <c r="H43" s="282"/>
      <c r="I43" s="1"/>
      <c r="J43" s="1"/>
      <c r="K43" s="1">
        <f t="shared" si="0"/>
        <v>0</v>
      </c>
    </row>
    <row r="44" spans="1:15" ht="33.75" customHeight="1" x14ac:dyDescent="0.2">
      <c r="A44" s="959"/>
      <c r="B44" s="959"/>
      <c r="C44" s="52" t="s">
        <v>37</v>
      </c>
      <c r="D44" s="1">
        <v>1684.2</v>
      </c>
      <c r="E44" s="1">
        <v>2366</v>
      </c>
      <c r="F44" s="1">
        <v>2406.7999999999997</v>
      </c>
      <c r="G44" s="1">
        <v>9782.4</v>
      </c>
      <c r="H44" s="282">
        <v>26418</v>
      </c>
      <c r="I44" s="1">
        <v>30599.599999999995</v>
      </c>
      <c r="J44" s="1">
        <v>28855.499999999993</v>
      </c>
      <c r="K44" s="1">
        <f>SUM(D44:J44)</f>
        <v>102112.5</v>
      </c>
    </row>
    <row r="45" spans="1:15" ht="15.75" x14ac:dyDescent="0.2">
      <c r="A45" s="953"/>
      <c r="B45" s="953"/>
      <c r="C45" s="55" t="s">
        <v>38</v>
      </c>
      <c r="D45" s="38">
        <v>0</v>
      </c>
      <c r="E45" s="38">
        <v>0</v>
      </c>
      <c r="F45" s="38">
        <v>0</v>
      </c>
      <c r="G45" s="1">
        <v>0</v>
      </c>
      <c r="H45" s="282">
        <v>0</v>
      </c>
      <c r="I45" s="1">
        <v>0</v>
      </c>
      <c r="J45" s="1"/>
      <c r="K45" s="1">
        <f t="shared" si="0"/>
        <v>0</v>
      </c>
      <c r="M45" s="18"/>
      <c r="N45" s="18"/>
      <c r="O45" s="18"/>
    </row>
    <row r="46" spans="1:15" ht="15.75" x14ac:dyDescent="0.2">
      <c r="A46" s="931" t="s">
        <v>152</v>
      </c>
      <c r="B46" s="931" t="s">
        <v>151</v>
      </c>
      <c r="C46" s="49" t="s">
        <v>32</v>
      </c>
      <c r="D46" s="39">
        <v>0</v>
      </c>
      <c r="E46" s="39">
        <v>38.9</v>
      </c>
      <c r="F46" s="39">
        <v>0</v>
      </c>
      <c r="G46" s="1"/>
      <c r="H46" s="282"/>
      <c r="I46" s="1"/>
      <c r="J46" s="1"/>
      <c r="K46" s="1">
        <f t="shared" si="0"/>
        <v>38.9</v>
      </c>
      <c r="M46" s="18"/>
      <c r="N46" s="18"/>
      <c r="O46" s="18"/>
    </row>
    <row r="47" spans="1:15" ht="15.75" x14ac:dyDescent="0.2">
      <c r="A47" s="931"/>
      <c r="B47" s="931"/>
      <c r="C47" s="49" t="s">
        <v>33</v>
      </c>
      <c r="D47" s="39"/>
      <c r="E47" s="39"/>
      <c r="F47" s="39"/>
      <c r="G47" s="1">
        <f t="shared" ref="G47:I50" si="7">G55+G63+G78+G71</f>
        <v>0</v>
      </c>
      <c r="H47" s="282">
        <f>H55+H63+H78+H71</f>
        <v>0</v>
      </c>
      <c r="I47" s="1">
        <f t="shared" si="7"/>
        <v>0</v>
      </c>
      <c r="J47" s="1"/>
      <c r="K47" s="1">
        <f t="shared" si="0"/>
        <v>0</v>
      </c>
      <c r="M47" s="18"/>
      <c r="N47" s="18"/>
      <c r="O47" s="18"/>
    </row>
    <row r="48" spans="1:15" ht="15.75" x14ac:dyDescent="0.2">
      <c r="A48" s="931"/>
      <c r="B48" s="931"/>
      <c r="C48" s="49" t="s">
        <v>34</v>
      </c>
      <c r="D48" s="39">
        <v>0</v>
      </c>
      <c r="E48" s="39">
        <v>0</v>
      </c>
      <c r="F48" s="39">
        <v>0</v>
      </c>
      <c r="G48" s="1">
        <f t="shared" si="7"/>
        <v>0</v>
      </c>
      <c r="H48" s="282">
        <f>H56+H64+H79+H72</f>
        <v>0</v>
      </c>
      <c r="I48" s="1">
        <f t="shared" si="7"/>
        <v>0</v>
      </c>
      <c r="J48" s="1"/>
      <c r="K48" s="1">
        <f t="shared" si="0"/>
        <v>0</v>
      </c>
      <c r="M48" s="18"/>
      <c r="N48" s="18"/>
      <c r="O48" s="18"/>
    </row>
    <row r="49" spans="1:15" ht="15.75" x14ac:dyDescent="0.2">
      <c r="A49" s="931"/>
      <c r="B49" s="931"/>
      <c r="C49" s="49" t="s">
        <v>35</v>
      </c>
      <c r="D49" s="39">
        <v>0</v>
      </c>
      <c r="E49" s="39">
        <v>35</v>
      </c>
      <c r="F49" s="39">
        <v>0</v>
      </c>
      <c r="G49" s="1">
        <f t="shared" si="7"/>
        <v>0</v>
      </c>
      <c r="H49" s="282">
        <f>H57+H65+H80+H73</f>
        <v>0</v>
      </c>
      <c r="I49" s="1">
        <f t="shared" si="7"/>
        <v>0</v>
      </c>
      <c r="J49" s="1"/>
      <c r="K49" s="1">
        <f t="shared" si="0"/>
        <v>35</v>
      </c>
      <c r="M49" s="18"/>
      <c r="N49" s="18"/>
      <c r="O49" s="18"/>
    </row>
    <row r="50" spans="1:15" ht="15.75" x14ac:dyDescent="0.2">
      <c r="A50" s="931"/>
      <c r="B50" s="931"/>
      <c r="C50" s="49" t="s">
        <v>36</v>
      </c>
      <c r="D50" s="39">
        <v>0</v>
      </c>
      <c r="E50" s="39">
        <v>0</v>
      </c>
      <c r="F50" s="39">
        <v>0</v>
      </c>
      <c r="G50" s="1">
        <f t="shared" si="7"/>
        <v>0</v>
      </c>
      <c r="H50" s="282">
        <f>H58+H66+H81+H74</f>
        <v>0</v>
      </c>
      <c r="I50" s="1">
        <f t="shared" si="7"/>
        <v>0</v>
      </c>
      <c r="J50" s="1"/>
      <c r="K50" s="1">
        <f t="shared" si="0"/>
        <v>0</v>
      </c>
      <c r="M50" s="18"/>
      <c r="N50" s="18"/>
      <c r="O50" s="18"/>
    </row>
    <row r="51" spans="1:15" ht="31.5" x14ac:dyDescent="0.2">
      <c r="A51" s="931"/>
      <c r="B51" s="931"/>
      <c r="C51" s="49" t="s">
        <v>37</v>
      </c>
      <c r="D51" s="39">
        <v>0</v>
      </c>
      <c r="E51" s="39">
        <v>3.9</v>
      </c>
      <c r="F51" s="39"/>
      <c r="G51" s="1">
        <f>G59+G67+G82</f>
        <v>0</v>
      </c>
      <c r="H51" s="282">
        <f>H59+H67+H82</f>
        <v>0</v>
      </c>
      <c r="I51" s="1">
        <f>I59+I67+I82</f>
        <v>0</v>
      </c>
      <c r="J51" s="1"/>
      <c r="K51" s="1">
        <f t="shared" si="0"/>
        <v>3.9</v>
      </c>
      <c r="M51" s="18"/>
      <c r="N51" s="18"/>
      <c r="O51" s="18"/>
    </row>
    <row r="52" spans="1:15" ht="15.75" x14ac:dyDescent="0.2">
      <c r="A52" s="931"/>
      <c r="B52" s="931"/>
      <c r="C52" s="49" t="s">
        <v>38</v>
      </c>
      <c r="D52" s="39">
        <v>0</v>
      </c>
      <c r="E52" s="39">
        <v>0</v>
      </c>
      <c r="F52" s="39">
        <v>0</v>
      </c>
      <c r="G52" s="1">
        <f>G55+G56+G57+G58+G59</f>
        <v>0</v>
      </c>
      <c r="H52" s="282">
        <f>H55+H56+H57+H58+H59</f>
        <v>0</v>
      </c>
      <c r="I52" s="1">
        <f>I55+I56+I57+I58+I59</f>
        <v>0</v>
      </c>
      <c r="J52" s="1"/>
      <c r="K52" s="1">
        <f t="shared" si="0"/>
        <v>0</v>
      </c>
      <c r="M52" s="18"/>
      <c r="N52" s="18"/>
      <c r="O52" s="18"/>
    </row>
    <row r="53" spans="1:15" ht="15.75" x14ac:dyDescent="0.2">
      <c r="A53" s="6"/>
      <c r="B53" s="6"/>
      <c r="C53" s="41"/>
      <c r="D53" s="42"/>
      <c r="E53" s="42"/>
      <c r="F53" s="42"/>
      <c r="G53" s="42"/>
      <c r="H53" s="284">
        <v>97192</v>
      </c>
      <c r="I53" s="42"/>
      <c r="J53" s="42"/>
      <c r="K53" s="42"/>
    </row>
    <row r="54" spans="1:15" x14ac:dyDescent="0.2">
      <c r="C54" s="56"/>
      <c r="D54" s="18"/>
      <c r="E54" s="18"/>
      <c r="H54" s="285">
        <f>H53-H4</f>
        <v>-22092.750000000015</v>
      </c>
    </row>
    <row r="55" spans="1:15" ht="56.25" customHeight="1" x14ac:dyDescent="0.2">
      <c r="A55" s="954" t="s">
        <v>263</v>
      </c>
      <c r="B55" s="954"/>
      <c r="C55" s="10"/>
      <c r="D55" s="954"/>
      <c r="E55" s="954"/>
      <c r="F55" s="954"/>
      <c r="J55" s="955" t="s">
        <v>264</v>
      </c>
      <c r="K55" s="956"/>
    </row>
    <row r="56" spans="1:15" x14ac:dyDescent="0.2">
      <c r="C56" s="56"/>
    </row>
    <row r="57" spans="1:15" x14ac:dyDescent="0.2">
      <c r="C57" s="56"/>
    </row>
    <row r="58" spans="1:15" x14ac:dyDescent="0.2">
      <c r="C58" s="56"/>
    </row>
    <row r="59" spans="1:15" x14ac:dyDescent="0.2">
      <c r="C59" s="56"/>
    </row>
  </sheetData>
  <sheetProtection selectLockedCells="1" selectUnlockedCells="1"/>
  <autoFilter ref="A6:K6"/>
  <mergeCells count="21">
    <mergeCell ref="A55:B55"/>
    <mergeCell ref="D55:F55"/>
    <mergeCell ref="J55:K55"/>
    <mergeCell ref="A30:A38"/>
    <mergeCell ref="B30:B38"/>
    <mergeCell ref="A39:A45"/>
    <mergeCell ref="B39:B45"/>
    <mergeCell ref="A46:A52"/>
    <mergeCell ref="B46:B52"/>
    <mergeCell ref="A7:A13"/>
    <mergeCell ref="B7:B13"/>
    <mergeCell ref="A14:A21"/>
    <mergeCell ref="B14:B21"/>
    <mergeCell ref="A22:A29"/>
    <mergeCell ref="B22:B29"/>
    <mergeCell ref="D1:K1"/>
    <mergeCell ref="A2:K2"/>
    <mergeCell ref="A5:A6"/>
    <mergeCell ref="B5:B6"/>
    <mergeCell ref="C5:C6"/>
    <mergeCell ref="D5:K5"/>
  </mergeCells>
  <pageMargins left="0.36" right="0.31496062992125984" top="0.64" bottom="0.35433070866141736" header="0.51181102362204722" footer="0.51181102362204722"/>
  <pageSetup paperSize="9" scale="82" firstPageNumber="0" orientation="landscape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"/>
  <sheetViews>
    <sheetView tabSelected="1" zoomScaleNormal="100" workbookViewId="0">
      <selection activeCell="J1" sqref="J1:Y1"/>
    </sheetView>
  </sheetViews>
  <sheetFormatPr defaultRowHeight="12.75" x14ac:dyDescent="0.2"/>
  <cols>
    <col min="1" max="1" width="3.28515625" customWidth="1"/>
    <col min="2" max="2" width="22" customWidth="1"/>
    <col min="3" max="3" width="7.5703125" customWidth="1"/>
    <col min="4" max="4" width="5.140625" customWidth="1"/>
    <col min="5" max="5" width="5.5703125" customWidth="1"/>
    <col min="6" max="6" width="6.7109375" customWidth="1"/>
    <col min="7" max="7" width="1.85546875" hidden="1" customWidth="1"/>
    <col min="8" max="8" width="9.140625" hidden="1" customWidth="1"/>
    <col min="9" max="9" width="5.140625" customWidth="1"/>
    <col min="10" max="10" width="5.28515625" customWidth="1"/>
    <col min="11" max="11" width="6.28515625" customWidth="1"/>
    <col min="12" max="12" width="5.28515625" customWidth="1"/>
    <col min="13" max="14" width="6.28515625" customWidth="1"/>
    <col min="15" max="16" width="5.7109375" customWidth="1"/>
    <col min="17" max="17" width="5" customWidth="1"/>
    <col min="18" max="19" width="5.42578125" customWidth="1"/>
    <col min="20" max="23" width="5" customWidth="1"/>
    <col min="24" max="24" width="5.85546875" customWidth="1"/>
  </cols>
  <sheetData>
    <row r="1" spans="1:25" ht="27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968" t="s">
        <v>587</v>
      </c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968"/>
      <c r="X1" s="969"/>
      <c r="Y1" s="969"/>
    </row>
    <row r="2" spans="1:25" x14ac:dyDescent="0.2">
      <c r="A2" s="970" t="s">
        <v>459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0"/>
      <c r="P2" s="970"/>
      <c r="Q2" s="970"/>
      <c r="R2" s="970"/>
      <c r="S2" s="970"/>
      <c r="T2" s="970"/>
      <c r="U2" s="970"/>
      <c r="V2" s="970"/>
      <c r="W2" s="970"/>
      <c r="X2" s="970"/>
      <c r="Y2" s="970"/>
    </row>
    <row r="3" spans="1:25" x14ac:dyDescent="0.2">
      <c r="A3" s="971" t="s">
        <v>58</v>
      </c>
      <c r="B3" s="973" t="s">
        <v>1</v>
      </c>
      <c r="C3" s="973" t="s">
        <v>139</v>
      </c>
      <c r="D3" s="975" t="s">
        <v>59</v>
      </c>
      <c r="E3" s="976"/>
      <c r="F3" s="976"/>
      <c r="G3" s="976"/>
      <c r="H3" s="976"/>
      <c r="I3" s="977"/>
      <c r="J3" s="975" t="s">
        <v>3</v>
      </c>
      <c r="K3" s="976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977"/>
      <c r="Y3" s="973" t="s">
        <v>60</v>
      </c>
    </row>
    <row r="4" spans="1:25" ht="56.25" x14ac:dyDescent="0.2">
      <c r="A4" s="972"/>
      <c r="B4" s="974"/>
      <c r="C4" s="974"/>
      <c r="D4" s="592" t="s">
        <v>138</v>
      </c>
      <c r="E4" s="592" t="s">
        <v>4</v>
      </c>
      <c r="F4" s="975" t="s">
        <v>5</v>
      </c>
      <c r="G4" s="976"/>
      <c r="H4" s="977"/>
      <c r="I4" s="592" t="s">
        <v>6</v>
      </c>
      <c r="J4" s="592" t="s">
        <v>7</v>
      </c>
      <c r="K4" s="592" t="s">
        <v>8</v>
      </c>
      <c r="L4" s="592" t="s">
        <v>9</v>
      </c>
      <c r="M4" s="592" t="s">
        <v>122</v>
      </c>
      <c r="N4" s="592" t="s">
        <v>160</v>
      </c>
      <c r="O4" s="592" t="s">
        <v>163</v>
      </c>
      <c r="P4" s="592" t="s">
        <v>164</v>
      </c>
      <c r="Q4" s="592" t="s">
        <v>391</v>
      </c>
      <c r="R4" s="592" t="s">
        <v>392</v>
      </c>
      <c r="S4" s="592" t="s">
        <v>439</v>
      </c>
      <c r="T4" s="592" t="s">
        <v>585</v>
      </c>
      <c r="U4" s="592" t="s">
        <v>620</v>
      </c>
      <c r="V4" s="592" t="s">
        <v>639</v>
      </c>
      <c r="W4" s="592" t="s">
        <v>704</v>
      </c>
      <c r="X4" s="592" t="s">
        <v>703</v>
      </c>
      <c r="Y4" s="974"/>
    </row>
    <row r="5" spans="1:25" ht="23.25" customHeight="1" x14ac:dyDescent="0.2">
      <c r="A5" s="593"/>
      <c r="B5" s="963" t="s">
        <v>465</v>
      </c>
      <c r="C5" s="964"/>
      <c r="D5" s="964"/>
      <c r="E5" s="964"/>
      <c r="F5" s="964"/>
      <c r="G5" s="964"/>
      <c r="H5" s="964"/>
      <c r="I5" s="964"/>
      <c r="J5" s="964"/>
      <c r="K5" s="964"/>
      <c r="L5" s="964"/>
      <c r="M5" s="964"/>
      <c r="N5" s="964"/>
      <c r="O5" s="964"/>
      <c r="P5" s="964"/>
      <c r="Q5" s="964"/>
      <c r="R5" s="964"/>
      <c r="S5" s="964"/>
      <c r="T5" s="964"/>
      <c r="U5" s="964"/>
      <c r="V5" s="964"/>
      <c r="W5" s="964"/>
      <c r="X5" s="964"/>
      <c r="Y5" s="965"/>
    </row>
    <row r="6" spans="1:25" ht="12.75" customHeight="1" x14ac:dyDescent="0.2">
      <c r="A6" s="594" t="s">
        <v>97</v>
      </c>
      <c r="B6" s="963" t="s">
        <v>98</v>
      </c>
      <c r="C6" s="964"/>
      <c r="D6" s="964"/>
      <c r="E6" s="964"/>
      <c r="F6" s="964"/>
      <c r="G6" s="964"/>
      <c r="H6" s="964"/>
      <c r="I6" s="964"/>
      <c r="J6" s="964"/>
      <c r="K6" s="964"/>
      <c r="L6" s="964"/>
      <c r="M6" s="964"/>
      <c r="N6" s="964"/>
      <c r="O6" s="964"/>
      <c r="P6" s="964"/>
      <c r="Q6" s="964"/>
      <c r="R6" s="964"/>
      <c r="S6" s="964"/>
      <c r="T6" s="964"/>
      <c r="U6" s="964"/>
      <c r="V6" s="964"/>
      <c r="W6" s="964"/>
      <c r="X6" s="964"/>
      <c r="Y6" s="965"/>
    </row>
    <row r="7" spans="1:25" ht="136.5" customHeight="1" x14ac:dyDescent="0.2">
      <c r="A7" s="594" t="s">
        <v>64</v>
      </c>
      <c r="B7" s="595" t="s">
        <v>460</v>
      </c>
      <c r="C7" s="596" t="s">
        <v>66</v>
      </c>
      <c r="D7" s="593" t="s">
        <v>14</v>
      </c>
      <c r="E7" s="593" t="s">
        <v>461</v>
      </c>
      <c r="F7" s="960" t="s">
        <v>462</v>
      </c>
      <c r="G7" s="961"/>
      <c r="H7" s="962"/>
      <c r="I7" s="593" t="s">
        <v>103</v>
      </c>
      <c r="J7" s="597">
        <v>0</v>
      </c>
      <c r="K7" s="597">
        <v>35</v>
      </c>
      <c r="L7" s="597" t="s">
        <v>111</v>
      </c>
      <c r="M7" s="597" t="s">
        <v>111</v>
      </c>
      <c r="N7" s="597" t="s">
        <v>111</v>
      </c>
      <c r="O7" s="597" t="s">
        <v>111</v>
      </c>
      <c r="P7" s="597" t="s">
        <v>111</v>
      </c>
      <c r="Q7" s="597" t="s">
        <v>111</v>
      </c>
      <c r="R7" s="597" t="s">
        <v>111</v>
      </c>
      <c r="S7" s="597" t="s">
        <v>111</v>
      </c>
      <c r="T7" s="597" t="s">
        <v>111</v>
      </c>
      <c r="U7" s="597" t="s">
        <v>111</v>
      </c>
      <c r="V7" s="597" t="s">
        <v>111</v>
      </c>
      <c r="W7" s="597" t="s">
        <v>111</v>
      </c>
      <c r="X7" s="597">
        <f>K7</f>
        <v>35</v>
      </c>
      <c r="Y7" s="966" t="s">
        <v>586</v>
      </c>
    </row>
    <row r="8" spans="1:25" ht="147" customHeight="1" x14ac:dyDescent="0.2">
      <c r="A8" s="594" t="s">
        <v>69</v>
      </c>
      <c r="B8" s="598" t="s">
        <v>463</v>
      </c>
      <c r="C8" s="596" t="s">
        <v>66</v>
      </c>
      <c r="D8" s="593" t="s">
        <v>14</v>
      </c>
      <c r="E8" s="593" t="s">
        <v>461</v>
      </c>
      <c r="F8" s="960" t="s">
        <v>464</v>
      </c>
      <c r="G8" s="961"/>
      <c r="H8" s="962"/>
      <c r="I8" s="593" t="s">
        <v>103</v>
      </c>
      <c r="J8" s="597">
        <v>0</v>
      </c>
      <c r="K8" s="597">
        <v>3.9</v>
      </c>
      <c r="L8" s="597" t="s">
        <v>111</v>
      </c>
      <c r="M8" s="597" t="s">
        <v>111</v>
      </c>
      <c r="N8" s="597" t="s">
        <v>111</v>
      </c>
      <c r="O8" s="597" t="s">
        <v>111</v>
      </c>
      <c r="P8" s="597" t="s">
        <v>111</v>
      </c>
      <c r="Q8" s="597" t="s">
        <v>111</v>
      </c>
      <c r="R8" s="597" t="s">
        <v>111</v>
      </c>
      <c r="S8" s="597" t="s">
        <v>111</v>
      </c>
      <c r="T8" s="597" t="s">
        <v>111</v>
      </c>
      <c r="U8" s="597" t="s">
        <v>111</v>
      </c>
      <c r="V8" s="597" t="s">
        <v>111</v>
      </c>
      <c r="W8" s="597" t="s">
        <v>111</v>
      </c>
      <c r="X8" s="597">
        <f>K8</f>
        <v>3.9</v>
      </c>
      <c r="Y8" s="967"/>
    </row>
    <row r="9" spans="1:25" x14ac:dyDescent="0.2">
      <c r="A9" s="593"/>
      <c r="B9" s="599" t="s">
        <v>71</v>
      </c>
      <c r="C9" s="596"/>
      <c r="D9" s="593"/>
      <c r="E9" s="593"/>
      <c r="F9" s="960"/>
      <c r="G9" s="961"/>
      <c r="H9" s="962"/>
      <c r="I9" s="599"/>
      <c r="J9" s="600">
        <f t="shared" ref="J9:T9" si="0">SUM(J7:J8)</f>
        <v>0</v>
      </c>
      <c r="K9" s="600">
        <f t="shared" si="0"/>
        <v>38.9</v>
      </c>
      <c r="L9" s="600">
        <f t="shared" si="0"/>
        <v>0</v>
      </c>
      <c r="M9" s="600">
        <f t="shared" si="0"/>
        <v>0</v>
      </c>
      <c r="N9" s="600">
        <f t="shared" si="0"/>
        <v>0</v>
      </c>
      <c r="O9" s="600">
        <f t="shared" si="0"/>
        <v>0</v>
      </c>
      <c r="P9" s="600">
        <f t="shared" si="0"/>
        <v>0</v>
      </c>
      <c r="Q9" s="600">
        <f t="shared" si="0"/>
        <v>0</v>
      </c>
      <c r="R9" s="600">
        <f t="shared" si="0"/>
        <v>0</v>
      </c>
      <c r="S9" s="600">
        <f t="shared" si="0"/>
        <v>0</v>
      </c>
      <c r="T9" s="600">
        <f t="shared" si="0"/>
        <v>0</v>
      </c>
      <c r="U9" s="600">
        <f>SUM(U7:U8)</f>
        <v>0</v>
      </c>
      <c r="V9" s="600">
        <f>SUM(V7:V8)</f>
        <v>0</v>
      </c>
      <c r="W9" s="600">
        <f>SUM(W7:W8)</f>
        <v>0</v>
      </c>
      <c r="X9" s="600">
        <f>K9</f>
        <v>38.9</v>
      </c>
      <c r="Y9" s="596"/>
    </row>
    <row r="10" spans="1:25" ht="19.5" customHeight="1" x14ac:dyDescent="0.2">
      <c r="A10" s="593"/>
      <c r="B10" s="599" t="s">
        <v>91</v>
      </c>
      <c r="C10" s="599"/>
      <c r="D10" s="599"/>
      <c r="E10" s="599"/>
      <c r="F10" s="960"/>
      <c r="G10" s="961"/>
      <c r="H10" s="962"/>
      <c r="I10" s="599"/>
      <c r="J10" s="601">
        <f t="shared" ref="J10:T10" si="1">J9</f>
        <v>0</v>
      </c>
      <c r="K10" s="601">
        <f t="shared" si="1"/>
        <v>38.9</v>
      </c>
      <c r="L10" s="601">
        <f t="shared" si="1"/>
        <v>0</v>
      </c>
      <c r="M10" s="601">
        <f t="shared" si="1"/>
        <v>0</v>
      </c>
      <c r="N10" s="601">
        <f t="shared" si="1"/>
        <v>0</v>
      </c>
      <c r="O10" s="601">
        <f t="shared" si="1"/>
        <v>0</v>
      </c>
      <c r="P10" s="601">
        <f t="shared" si="1"/>
        <v>0</v>
      </c>
      <c r="Q10" s="601">
        <f t="shared" si="1"/>
        <v>0</v>
      </c>
      <c r="R10" s="601">
        <f t="shared" si="1"/>
        <v>0</v>
      </c>
      <c r="S10" s="601">
        <f t="shared" si="1"/>
        <v>0</v>
      </c>
      <c r="T10" s="601">
        <f t="shared" si="1"/>
        <v>0</v>
      </c>
      <c r="U10" s="601">
        <f>U9</f>
        <v>0</v>
      </c>
      <c r="V10" s="601">
        <f>V9</f>
        <v>0</v>
      </c>
      <c r="W10" s="601">
        <f>W9</f>
        <v>0</v>
      </c>
      <c r="X10" s="600">
        <f>K10</f>
        <v>38.9</v>
      </c>
      <c r="Y10" s="599"/>
    </row>
    <row r="11" spans="1:25" x14ac:dyDescent="0.2">
      <c r="A11" s="602"/>
      <c r="B11" s="603"/>
      <c r="C11" s="603"/>
      <c r="D11" s="603"/>
      <c r="E11" s="603"/>
      <c r="F11" s="603"/>
      <c r="G11" s="603"/>
      <c r="H11" s="603"/>
      <c r="I11" s="603"/>
      <c r="J11" s="603"/>
      <c r="K11" s="603"/>
      <c r="L11" s="604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3"/>
      <c r="Y11" s="603"/>
    </row>
    <row r="12" spans="1:25" ht="18" customHeight="1" x14ac:dyDescent="0.2">
      <c r="A12" s="720" t="s">
        <v>733</v>
      </c>
      <c r="B12" s="720"/>
      <c r="C12" s="720"/>
      <c r="D12" s="720"/>
      <c r="E12" s="720"/>
      <c r="F12" s="720"/>
      <c r="G12" s="720"/>
      <c r="H12" s="720"/>
      <c r="I12" s="720"/>
      <c r="J12" s="370"/>
      <c r="K12" s="728" t="s">
        <v>734</v>
      </c>
      <c r="L12" s="728"/>
      <c r="M12" s="728"/>
      <c r="N12" s="728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3"/>
    </row>
  </sheetData>
  <mergeCells count="18">
    <mergeCell ref="J1:Y1"/>
    <mergeCell ref="A2:Y2"/>
    <mergeCell ref="A3:A4"/>
    <mergeCell ref="B3:B4"/>
    <mergeCell ref="C3:C4"/>
    <mergeCell ref="D3:I3"/>
    <mergeCell ref="J3:X3"/>
    <mergeCell ref="Y3:Y4"/>
    <mergeCell ref="F4:H4"/>
    <mergeCell ref="F10:H10"/>
    <mergeCell ref="A12:I12"/>
    <mergeCell ref="F7:H7"/>
    <mergeCell ref="B5:Y5"/>
    <mergeCell ref="B6:Y6"/>
    <mergeCell ref="Y7:Y8"/>
    <mergeCell ref="F8:H8"/>
    <mergeCell ref="F9:H9"/>
    <mergeCell ref="K12:N12"/>
  </mergeCells>
  <pageMargins left="0.7" right="0.7" top="0.75" bottom="0.75" header="0.3" footer="0.3"/>
  <pageSetup paperSize="9" scale="9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opLeftCell="A10" workbookViewId="0">
      <selection activeCell="L33" sqref="L33"/>
    </sheetView>
  </sheetViews>
  <sheetFormatPr defaultRowHeight="12.75" x14ac:dyDescent="0.2"/>
  <cols>
    <col min="1" max="1" width="3.28515625" customWidth="1"/>
    <col min="2" max="2" width="23.42578125" customWidth="1"/>
    <col min="3" max="3" width="7.5703125" customWidth="1"/>
    <col min="4" max="4" width="5.140625" customWidth="1"/>
    <col min="5" max="5" width="5.5703125" customWidth="1"/>
    <col min="6" max="6" width="6.7109375" customWidth="1"/>
    <col min="7" max="7" width="1.85546875" hidden="1" customWidth="1"/>
    <col min="8" max="8" width="9.140625" hidden="1" customWidth="1"/>
    <col min="9" max="9" width="5.140625" customWidth="1"/>
    <col min="10" max="10" width="5.28515625" customWidth="1"/>
    <col min="11" max="11" width="6.28515625" customWidth="1"/>
    <col min="12" max="12" width="5.28515625" customWidth="1"/>
    <col min="13" max="14" width="6.28515625" customWidth="1"/>
    <col min="15" max="16" width="5.7109375" customWidth="1"/>
    <col min="17" max="17" width="5" customWidth="1"/>
    <col min="18" max="18" width="8.42578125" customWidth="1"/>
    <col min="19" max="19" width="5.42578125" customWidth="1"/>
    <col min="20" max="20" width="7.5703125" customWidth="1"/>
    <col min="21" max="21" width="9" customWidth="1"/>
    <col min="22" max="23" width="6.140625" customWidth="1"/>
    <col min="24" max="24" width="10" customWidth="1"/>
  </cols>
  <sheetData>
    <row r="1" spans="1:25" ht="27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983" t="s">
        <v>742</v>
      </c>
      <c r="K1" s="983"/>
      <c r="L1" s="983"/>
      <c r="M1" s="983"/>
      <c r="N1" s="983"/>
      <c r="O1" s="983"/>
      <c r="P1" s="983"/>
      <c r="Q1" s="983"/>
      <c r="R1" s="983"/>
      <c r="S1" s="983"/>
      <c r="T1" s="983"/>
      <c r="U1" s="983"/>
      <c r="V1" s="983"/>
      <c r="W1" s="983"/>
      <c r="X1" s="969"/>
      <c r="Y1" s="969"/>
    </row>
    <row r="2" spans="1:25" ht="31.5" customHeight="1" x14ac:dyDescent="0.2">
      <c r="A2" s="970" t="s">
        <v>595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0"/>
      <c r="P2" s="970"/>
      <c r="Q2" s="970"/>
      <c r="R2" s="970"/>
      <c r="S2" s="970"/>
      <c r="T2" s="970"/>
      <c r="U2" s="970"/>
      <c r="V2" s="970"/>
      <c r="W2" s="970"/>
      <c r="X2" s="970"/>
      <c r="Y2" s="970"/>
    </row>
    <row r="3" spans="1:25" x14ac:dyDescent="0.2">
      <c r="A3" s="971" t="s">
        <v>58</v>
      </c>
      <c r="B3" s="973" t="s">
        <v>1</v>
      </c>
      <c r="C3" s="973" t="s">
        <v>139</v>
      </c>
      <c r="D3" s="975" t="s">
        <v>59</v>
      </c>
      <c r="E3" s="976"/>
      <c r="F3" s="976"/>
      <c r="G3" s="976"/>
      <c r="H3" s="976"/>
      <c r="I3" s="977"/>
      <c r="J3" s="975" t="s">
        <v>3</v>
      </c>
      <c r="K3" s="976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977"/>
      <c r="Y3" s="973" t="s">
        <v>60</v>
      </c>
    </row>
    <row r="4" spans="1:25" ht="129" customHeight="1" x14ac:dyDescent="0.2">
      <c r="A4" s="972"/>
      <c r="B4" s="974"/>
      <c r="C4" s="974"/>
      <c r="D4" s="592" t="s">
        <v>138</v>
      </c>
      <c r="E4" s="592" t="s">
        <v>4</v>
      </c>
      <c r="F4" s="975" t="s">
        <v>5</v>
      </c>
      <c r="G4" s="976"/>
      <c r="H4" s="977"/>
      <c r="I4" s="592" t="s">
        <v>6</v>
      </c>
      <c r="J4" s="592" t="s">
        <v>7</v>
      </c>
      <c r="K4" s="592" t="s">
        <v>8</v>
      </c>
      <c r="L4" s="592" t="s">
        <v>9</v>
      </c>
      <c r="M4" s="592" t="s">
        <v>122</v>
      </c>
      <c r="N4" s="592" t="s">
        <v>160</v>
      </c>
      <c r="O4" s="592" t="s">
        <v>163</v>
      </c>
      <c r="P4" s="592" t="s">
        <v>164</v>
      </c>
      <c r="Q4" s="592" t="s">
        <v>391</v>
      </c>
      <c r="R4" s="592" t="s">
        <v>392</v>
      </c>
      <c r="S4" s="592" t="s">
        <v>439</v>
      </c>
      <c r="T4" s="592" t="s">
        <v>585</v>
      </c>
      <c r="U4" s="592" t="s">
        <v>620</v>
      </c>
      <c r="V4" s="592" t="s">
        <v>639</v>
      </c>
      <c r="W4" s="592" t="s">
        <v>704</v>
      </c>
      <c r="X4" s="592" t="s">
        <v>703</v>
      </c>
      <c r="Y4" s="974"/>
    </row>
    <row r="5" spans="1:25" ht="23.25" customHeight="1" x14ac:dyDescent="0.2">
      <c r="A5" s="593"/>
      <c r="B5" s="963" t="s">
        <v>596</v>
      </c>
      <c r="C5" s="964"/>
      <c r="D5" s="964"/>
      <c r="E5" s="964"/>
      <c r="F5" s="964"/>
      <c r="G5" s="964"/>
      <c r="H5" s="964"/>
      <c r="I5" s="964"/>
      <c r="J5" s="964"/>
      <c r="K5" s="964"/>
      <c r="L5" s="964"/>
      <c r="M5" s="964"/>
      <c r="N5" s="964"/>
      <c r="O5" s="964"/>
      <c r="P5" s="964"/>
      <c r="Q5" s="964"/>
      <c r="R5" s="964"/>
      <c r="S5" s="964"/>
      <c r="T5" s="964"/>
      <c r="U5" s="964"/>
      <c r="V5" s="964"/>
      <c r="W5" s="964"/>
      <c r="X5" s="964"/>
      <c r="Y5" s="965"/>
    </row>
    <row r="6" spans="1:25" ht="12.75" customHeight="1" x14ac:dyDescent="0.2">
      <c r="A6" s="607" t="s">
        <v>97</v>
      </c>
      <c r="B6" s="963" t="s">
        <v>597</v>
      </c>
      <c r="C6" s="964"/>
      <c r="D6" s="964"/>
      <c r="E6" s="964"/>
      <c r="F6" s="964"/>
      <c r="G6" s="964"/>
      <c r="H6" s="964"/>
      <c r="I6" s="964"/>
      <c r="J6" s="964"/>
      <c r="K6" s="964"/>
      <c r="L6" s="964"/>
      <c r="M6" s="964"/>
      <c r="N6" s="964"/>
      <c r="O6" s="964"/>
      <c r="P6" s="964"/>
      <c r="Q6" s="964"/>
      <c r="R6" s="964"/>
      <c r="S6" s="964"/>
      <c r="T6" s="964"/>
      <c r="U6" s="964"/>
      <c r="V6" s="964"/>
      <c r="W6" s="964"/>
      <c r="X6" s="964"/>
      <c r="Y6" s="965"/>
    </row>
    <row r="7" spans="1:25" ht="136.5" customHeight="1" x14ac:dyDescent="0.2">
      <c r="A7" s="607" t="s">
        <v>64</v>
      </c>
      <c r="B7" s="595" t="s">
        <v>598</v>
      </c>
      <c r="C7" s="596" t="s">
        <v>687</v>
      </c>
      <c r="D7" s="593" t="s">
        <v>600</v>
      </c>
      <c r="E7" s="593" t="s">
        <v>601</v>
      </c>
      <c r="F7" s="960" t="s">
        <v>602</v>
      </c>
      <c r="G7" s="961"/>
      <c r="H7" s="962"/>
      <c r="I7" s="593" t="s">
        <v>603</v>
      </c>
      <c r="J7" s="597">
        <v>0</v>
      </c>
      <c r="K7" s="597">
        <v>0</v>
      </c>
      <c r="L7" s="597" t="s">
        <v>111</v>
      </c>
      <c r="M7" s="597" t="s">
        <v>111</v>
      </c>
      <c r="N7" s="597" t="s">
        <v>111</v>
      </c>
      <c r="O7" s="597" t="s">
        <v>111</v>
      </c>
      <c r="P7" s="597" t="s">
        <v>111</v>
      </c>
      <c r="Q7" s="597" t="s">
        <v>111</v>
      </c>
      <c r="R7" s="597">
        <v>40000</v>
      </c>
      <c r="S7" s="597" t="s">
        <v>111</v>
      </c>
      <c r="T7" s="597" t="s">
        <v>111</v>
      </c>
      <c r="U7" s="597" t="s">
        <v>111</v>
      </c>
      <c r="V7" s="597" t="s">
        <v>111</v>
      </c>
      <c r="W7" s="597" t="s">
        <v>111</v>
      </c>
      <c r="X7" s="597">
        <f t="shared" ref="X7:X14" si="0">SUM(J7:W7)</f>
        <v>40000</v>
      </c>
      <c r="Y7" s="980" t="s">
        <v>653</v>
      </c>
    </row>
    <row r="8" spans="1:25" ht="141.75" customHeight="1" x14ac:dyDescent="0.2">
      <c r="A8" s="607" t="s">
        <v>69</v>
      </c>
      <c r="B8" s="598" t="s">
        <v>599</v>
      </c>
      <c r="C8" s="596" t="s">
        <v>687</v>
      </c>
      <c r="D8" s="593" t="s">
        <v>600</v>
      </c>
      <c r="E8" s="593" t="s">
        <v>601</v>
      </c>
      <c r="F8" s="960" t="s">
        <v>604</v>
      </c>
      <c r="G8" s="961"/>
      <c r="H8" s="962"/>
      <c r="I8" s="593" t="s">
        <v>603</v>
      </c>
      <c r="J8" s="597">
        <v>0</v>
      </c>
      <c r="K8" s="597">
        <v>0</v>
      </c>
      <c r="L8" s="597" t="s">
        <v>111</v>
      </c>
      <c r="M8" s="597" t="s">
        <v>111</v>
      </c>
      <c r="N8" s="597" t="s">
        <v>111</v>
      </c>
      <c r="O8" s="597" t="s">
        <v>111</v>
      </c>
      <c r="P8" s="597" t="s">
        <v>111</v>
      </c>
      <c r="Q8" s="597" t="s">
        <v>111</v>
      </c>
      <c r="R8" s="597">
        <v>816.3</v>
      </c>
      <c r="S8" s="597" t="s">
        <v>111</v>
      </c>
      <c r="T8" s="597" t="s">
        <v>111</v>
      </c>
      <c r="U8" s="597" t="s">
        <v>111</v>
      </c>
      <c r="V8" s="597" t="s">
        <v>111</v>
      </c>
      <c r="W8" s="597" t="s">
        <v>111</v>
      </c>
      <c r="X8" s="597">
        <f t="shared" si="0"/>
        <v>816.3</v>
      </c>
      <c r="Y8" s="982"/>
    </row>
    <row r="9" spans="1:25" ht="84.75" customHeight="1" x14ac:dyDescent="0.2">
      <c r="A9" s="661" t="s">
        <v>70</v>
      </c>
      <c r="B9" s="595" t="s">
        <v>679</v>
      </c>
      <c r="C9" s="596" t="s">
        <v>688</v>
      </c>
      <c r="D9" s="593" t="s">
        <v>681</v>
      </c>
      <c r="E9" s="593" t="s">
        <v>222</v>
      </c>
      <c r="F9" s="960" t="s">
        <v>602</v>
      </c>
      <c r="G9" s="961"/>
      <c r="H9" s="962"/>
      <c r="I9" s="593" t="s">
        <v>682</v>
      </c>
      <c r="J9" s="597">
        <v>0</v>
      </c>
      <c r="K9" s="597">
        <v>0</v>
      </c>
      <c r="L9" s="597" t="s">
        <v>111</v>
      </c>
      <c r="M9" s="597" t="s">
        <v>111</v>
      </c>
      <c r="N9" s="597" t="s">
        <v>111</v>
      </c>
      <c r="O9" s="597" t="s">
        <v>111</v>
      </c>
      <c r="P9" s="597" t="s">
        <v>111</v>
      </c>
      <c r="Q9" s="597" t="s">
        <v>111</v>
      </c>
      <c r="R9" s="597">
        <v>0</v>
      </c>
      <c r="S9" s="597" t="s">
        <v>111</v>
      </c>
      <c r="T9" s="597">
        <v>4095</v>
      </c>
      <c r="U9" s="597">
        <v>0</v>
      </c>
      <c r="V9" s="597" t="s">
        <v>111</v>
      </c>
      <c r="W9" s="597" t="s">
        <v>111</v>
      </c>
      <c r="X9" s="597">
        <f t="shared" si="0"/>
        <v>4095</v>
      </c>
      <c r="Y9" s="980" t="s">
        <v>718</v>
      </c>
    </row>
    <row r="10" spans="1:25" ht="84.75" customHeight="1" x14ac:dyDescent="0.2">
      <c r="A10" s="713" t="s">
        <v>107</v>
      </c>
      <c r="B10" s="595" t="s">
        <v>679</v>
      </c>
      <c r="C10" s="596" t="s">
        <v>688</v>
      </c>
      <c r="D10" s="593" t="s">
        <v>681</v>
      </c>
      <c r="E10" s="593" t="s">
        <v>222</v>
      </c>
      <c r="F10" s="960" t="s">
        <v>604</v>
      </c>
      <c r="G10" s="961"/>
      <c r="H10" s="962"/>
      <c r="I10" s="593" t="s">
        <v>682</v>
      </c>
      <c r="J10" s="597">
        <v>0</v>
      </c>
      <c r="K10" s="597">
        <v>0</v>
      </c>
      <c r="L10" s="597" t="s">
        <v>111</v>
      </c>
      <c r="M10" s="597" t="s">
        <v>111</v>
      </c>
      <c r="N10" s="597" t="s">
        <v>111</v>
      </c>
      <c r="O10" s="597" t="s">
        <v>111</v>
      </c>
      <c r="P10" s="597" t="s">
        <v>111</v>
      </c>
      <c r="Q10" s="597" t="s">
        <v>111</v>
      </c>
      <c r="R10" s="597">
        <v>0</v>
      </c>
      <c r="S10" s="597" t="s">
        <v>111</v>
      </c>
      <c r="T10" s="597">
        <v>0</v>
      </c>
      <c r="U10" s="597">
        <v>57900</v>
      </c>
      <c r="V10" s="597" t="s">
        <v>111</v>
      </c>
      <c r="W10" s="597" t="s">
        <v>111</v>
      </c>
      <c r="X10" s="597">
        <f>SUM(J10:W10)</f>
        <v>57900</v>
      </c>
      <c r="Y10" s="981"/>
    </row>
    <row r="11" spans="1:25" ht="111.75" customHeight="1" x14ac:dyDescent="0.2">
      <c r="A11" s="661" t="s">
        <v>114</v>
      </c>
      <c r="B11" s="598" t="s">
        <v>680</v>
      </c>
      <c r="C11" s="596" t="s">
        <v>688</v>
      </c>
      <c r="D11" s="593" t="s">
        <v>681</v>
      </c>
      <c r="E11" s="593" t="s">
        <v>222</v>
      </c>
      <c r="F11" s="960" t="s">
        <v>604</v>
      </c>
      <c r="G11" s="961"/>
      <c r="H11" s="962"/>
      <c r="I11" s="593" t="s">
        <v>682</v>
      </c>
      <c r="J11" s="597">
        <v>0</v>
      </c>
      <c r="K11" s="597">
        <v>0</v>
      </c>
      <c r="L11" s="597" t="s">
        <v>111</v>
      </c>
      <c r="M11" s="597" t="s">
        <v>111</v>
      </c>
      <c r="N11" s="597" t="s">
        <v>111</v>
      </c>
      <c r="O11" s="597" t="s">
        <v>111</v>
      </c>
      <c r="P11" s="597" t="s">
        <v>111</v>
      </c>
      <c r="Q11" s="597" t="s">
        <v>111</v>
      </c>
      <c r="R11" s="597">
        <v>0</v>
      </c>
      <c r="S11" s="597" t="s">
        <v>111</v>
      </c>
      <c r="T11" s="597">
        <v>41.4</v>
      </c>
      <c r="U11" s="597">
        <v>584.9</v>
      </c>
      <c r="V11" s="597" t="s">
        <v>111</v>
      </c>
      <c r="W11" s="597" t="s">
        <v>111</v>
      </c>
      <c r="X11" s="597">
        <f t="shared" si="0"/>
        <v>626.29999999999995</v>
      </c>
      <c r="Y11" s="982"/>
    </row>
    <row r="12" spans="1:25" ht="111.75" customHeight="1" x14ac:dyDescent="0.2">
      <c r="A12" s="664" t="s">
        <v>115</v>
      </c>
      <c r="B12" s="598" t="s">
        <v>697</v>
      </c>
      <c r="C12" s="596" t="s">
        <v>698</v>
      </c>
      <c r="D12" s="593" t="s">
        <v>14</v>
      </c>
      <c r="E12" s="593" t="s">
        <v>461</v>
      </c>
      <c r="F12" s="960" t="s">
        <v>696</v>
      </c>
      <c r="G12" s="961"/>
      <c r="H12" s="962"/>
      <c r="I12" s="593" t="s">
        <v>682</v>
      </c>
      <c r="J12" s="597">
        <v>0</v>
      </c>
      <c r="K12" s="597">
        <v>0</v>
      </c>
      <c r="L12" s="597" t="s">
        <v>111</v>
      </c>
      <c r="M12" s="597" t="s">
        <v>111</v>
      </c>
      <c r="N12" s="597" t="s">
        <v>111</v>
      </c>
      <c r="O12" s="597" t="s">
        <v>111</v>
      </c>
      <c r="P12" s="597" t="s">
        <v>111</v>
      </c>
      <c r="Q12" s="597" t="s">
        <v>111</v>
      </c>
      <c r="R12" s="597">
        <v>0</v>
      </c>
      <c r="S12" s="597" t="s">
        <v>111</v>
      </c>
      <c r="T12" s="597">
        <v>117.7</v>
      </c>
      <c r="U12" s="597">
        <v>0</v>
      </c>
      <c r="V12" s="597" t="s">
        <v>111</v>
      </c>
      <c r="W12" s="597" t="s">
        <v>111</v>
      </c>
      <c r="X12" s="597">
        <f>SUM(J12:W12)</f>
        <v>117.7</v>
      </c>
      <c r="Y12" s="665"/>
    </row>
    <row r="13" spans="1:25" x14ac:dyDescent="0.2">
      <c r="A13" s="593"/>
      <c r="B13" s="599" t="s">
        <v>71</v>
      </c>
      <c r="C13" s="596"/>
      <c r="D13" s="593"/>
      <c r="E13" s="593"/>
      <c r="F13" s="960"/>
      <c r="G13" s="961"/>
      <c r="H13" s="962"/>
      <c r="I13" s="599"/>
      <c r="J13" s="600">
        <f t="shared" ref="J13:Q13" si="1">SUM(J7:J8)</f>
        <v>0</v>
      </c>
      <c r="K13" s="600">
        <f t="shared" si="1"/>
        <v>0</v>
      </c>
      <c r="L13" s="600">
        <f t="shared" si="1"/>
        <v>0</v>
      </c>
      <c r="M13" s="600">
        <f t="shared" si="1"/>
        <v>0</v>
      </c>
      <c r="N13" s="600">
        <f t="shared" si="1"/>
        <v>0</v>
      </c>
      <c r="O13" s="600">
        <f t="shared" si="1"/>
        <v>0</v>
      </c>
      <c r="P13" s="600">
        <f t="shared" si="1"/>
        <v>0</v>
      </c>
      <c r="Q13" s="600">
        <f t="shared" si="1"/>
        <v>0</v>
      </c>
      <c r="R13" s="600">
        <f>SUM(R7:R11)</f>
        <v>40816.300000000003</v>
      </c>
      <c r="S13" s="600">
        <f>SUM(S7:S11)</f>
        <v>0</v>
      </c>
      <c r="T13" s="600">
        <f>SUM(T7:T12)</f>
        <v>4254.0999999999995</v>
      </c>
      <c r="U13" s="600">
        <f>SUM(U7:U11)</f>
        <v>58484.9</v>
      </c>
      <c r="V13" s="600">
        <f>SUM(V7:V11)</f>
        <v>0</v>
      </c>
      <c r="W13" s="600">
        <f>SUM(W7:W11)</f>
        <v>0</v>
      </c>
      <c r="X13" s="597">
        <f t="shared" si="0"/>
        <v>103555.3</v>
      </c>
      <c r="Y13" s="596"/>
    </row>
    <row r="14" spans="1:25" ht="19.5" customHeight="1" x14ac:dyDescent="0.2">
      <c r="A14" s="593"/>
      <c r="B14" s="599" t="s">
        <v>91</v>
      </c>
      <c r="C14" s="599"/>
      <c r="D14" s="599"/>
      <c r="E14" s="599"/>
      <c r="F14" s="960"/>
      <c r="G14" s="961"/>
      <c r="H14" s="962"/>
      <c r="I14" s="599"/>
      <c r="J14" s="601">
        <f t="shared" ref="J14:T14" si="2">J13</f>
        <v>0</v>
      </c>
      <c r="K14" s="601">
        <f t="shared" si="2"/>
        <v>0</v>
      </c>
      <c r="L14" s="601">
        <f t="shared" si="2"/>
        <v>0</v>
      </c>
      <c r="M14" s="601">
        <f t="shared" si="2"/>
        <v>0</v>
      </c>
      <c r="N14" s="601">
        <f t="shared" si="2"/>
        <v>0</v>
      </c>
      <c r="O14" s="601">
        <f t="shared" si="2"/>
        <v>0</v>
      </c>
      <c r="P14" s="601">
        <f t="shared" si="2"/>
        <v>0</v>
      </c>
      <c r="Q14" s="601">
        <f t="shared" si="2"/>
        <v>0</v>
      </c>
      <c r="R14" s="601">
        <f t="shared" si="2"/>
        <v>40816.300000000003</v>
      </c>
      <c r="S14" s="601">
        <f t="shared" si="2"/>
        <v>0</v>
      </c>
      <c r="T14" s="601">
        <f t="shared" si="2"/>
        <v>4254.0999999999995</v>
      </c>
      <c r="U14" s="601">
        <f>U13</f>
        <v>58484.9</v>
      </c>
      <c r="V14" s="601">
        <f>V13</f>
        <v>0</v>
      </c>
      <c r="W14" s="601">
        <f>W13</f>
        <v>0</v>
      </c>
      <c r="X14" s="597">
        <f t="shared" si="0"/>
        <v>103555.3</v>
      </c>
      <c r="Y14" s="599"/>
    </row>
    <row r="15" spans="1:25" x14ac:dyDescent="0.2">
      <c r="A15" s="602"/>
      <c r="B15" s="603"/>
      <c r="C15" s="603"/>
      <c r="D15" s="603"/>
      <c r="E15" s="603"/>
      <c r="F15" s="603"/>
      <c r="G15" s="603"/>
      <c r="H15" s="603"/>
      <c r="I15" s="603"/>
      <c r="J15" s="603"/>
      <c r="K15" s="603"/>
      <c r="L15" s="604"/>
      <c r="M15" s="604"/>
      <c r="N15" s="604"/>
      <c r="O15" s="604"/>
      <c r="P15" s="604"/>
      <c r="Q15" s="604"/>
      <c r="R15" s="604"/>
      <c r="S15" s="604"/>
      <c r="T15" s="604"/>
      <c r="U15" s="604"/>
      <c r="V15" s="604"/>
      <c r="W15" s="604"/>
      <c r="X15" s="603"/>
      <c r="Y15" s="603"/>
    </row>
    <row r="16" spans="1:25" x14ac:dyDescent="0.2">
      <c r="A16" s="978" t="s">
        <v>743</v>
      </c>
      <c r="B16" s="978"/>
      <c r="C16" s="978"/>
      <c r="D16" s="978"/>
      <c r="E16" s="978"/>
      <c r="F16" s="978"/>
      <c r="G16" s="978"/>
      <c r="H16" s="978"/>
      <c r="I16" s="978"/>
      <c r="J16" s="605"/>
      <c r="K16" s="979" t="s">
        <v>734</v>
      </c>
      <c r="L16" s="979"/>
      <c r="M16" s="606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6"/>
      <c r="Y16" s="603"/>
    </row>
  </sheetData>
  <mergeCells count="23">
    <mergeCell ref="Y3:Y4"/>
    <mergeCell ref="F11:H11"/>
    <mergeCell ref="F9:H9"/>
    <mergeCell ref="F13:H13"/>
    <mergeCell ref="F14:H14"/>
    <mergeCell ref="F12:H12"/>
    <mergeCell ref="J1:Y1"/>
    <mergeCell ref="A2:Y2"/>
    <mergeCell ref="A3:A4"/>
    <mergeCell ref="B3:B4"/>
    <mergeCell ref="C3:C4"/>
    <mergeCell ref="F8:H8"/>
    <mergeCell ref="Y7:Y8"/>
    <mergeCell ref="J3:X3"/>
    <mergeCell ref="F4:H4"/>
    <mergeCell ref="D3:I3"/>
    <mergeCell ref="A16:I16"/>
    <mergeCell ref="K16:L16"/>
    <mergeCell ref="B5:Y5"/>
    <mergeCell ref="B6:Y6"/>
    <mergeCell ref="F7:H7"/>
    <mergeCell ref="Y9:Y11"/>
    <mergeCell ref="F10:H10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ГПприл.3-объемы</vt:lpstr>
      <vt:lpstr>ГПприл4-объемыОценка</vt:lpstr>
      <vt:lpstr>ГПприл6-ГЗ старый</vt:lpstr>
      <vt:lpstr>ГПприл6-ГЗ ИЗМ</vt:lpstr>
      <vt:lpstr>ПП1</vt:lpstr>
      <vt:lpstr>ПП2</vt:lpstr>
      <vt:lpstr>ПП3</vt:lpstr>
      <vt:lpstr>ПП4 </vt:lpstr>
      <vt:lpstr>1</vt:lpstr>
      <vt:lpstr>2</vt:lpstr>
      <vt:lpstr>3</vt:lpstr>
      <vt:lpstr>4</vt:lpstr>
      <vt:lpstr>ПР6 ДО ИЗМ</vt:lpstr>
      <vt:lpstr>РАСЧЕТ ДЛЯ СЕТИ.ШТАТЫ</vt:lpstr>
      <vt:lpstr>П</vt:lpstr>
      <vt:lpstr>ПП6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Ильяненко Ольга Валерьевна</dc:creator>
  <cp:lastModifiedBy>Процак Александр</cp:lastModifiedBy>
  <cp:lastPrinted>2025-05-20T03:51:37Z</cp:lastPrinted>
  <dcterms:created xsi:type="dcterms:W3CDTF">2014-05-07T02:12:07Z</dcterms:created>
  <dcterms:modified xsi:type="dcterms:W3CDTF">2025-06-30T06:56:33Z</dcterms:modified>
</cp:coreProperties>
</file>