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00" windowHeight="11760" tabRatio="713" firstSheet="7" activeTab="17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  <sheet name="Перечень целевых показателей" sheetId="24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МЗ'!$A$1:$W$25</definedName>
    <definedName name="_xlnm.Print_Area" localSheetId="1">'Информация МЗ+ИЦ+ПД'!$A$1:$Q$44</definedName>
    <definedName name="_xlnm.Print_Area" localSheetId="17">'Перечень целевых показателей'!$A$1:$X$48</definedName>
    <definedName name="_xlnm.Print_Area" localSheetId="8">'ПП 1'!$A$1:$Q$66</definedName>
    <definedName name="_xlnm.Print_Area" localSheetId="9">'ПП 2'!$A$1:$Q$17</definedName>
    <definedName name="_xlnm.Print_Area" localSheetId="10">'ПП 3'!$A$1:$S$15</definedName>
    <definedName name="_xlnm.Print_Area" localSheetId="11">'ПП 4'!$A$1:$Q$11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ПР!$A$1:$AB$183</definedName>
    <definedName name="_xlnm.Print_Area" localSheetId="16">ПР.2ПП4!$A$1:$X$24</definedName>
    <definedName name="_xlnm.Print_Area" localSheetId="13">ПР2ПП1!$A$1:$W$101</definedName>
    <definedName name="_xlnm.Print_Area" localSheetId="14">ПР2ПП2!$A$1:$X$65</definedName>
    <definedName name="_xlnm.Print_Area" localSheetId="15">ПР2ПП3!$A$1:$W$41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N17" i="2" l="1"/>
  <c r="V89" i="9" l="1"/>
  <c r="V88" i="9"/>
  <c r="S169" i="18"/>
  <c r="R165" i="18"/>
  <c r="Q165" i="18"/>
  <c r="S49" i="18"/>
  <c r="R45" i="18"/>
  <c r="Q45" i="18"/>
  <c r="S25" i="18"/>
  <c r="R21" i="18"/>
  <c r="T62" i="10" l="1"/>
  <c r="T9" i="8"/>
  <c r="S32" i="9"/>
  <c r="S26" i="9"/>
  <c r="S31" i="9"/>
  <c r="S20" i="9"/>
  <c r="S29" i="9"/>
  <c r="T33" i="10"/>
  <c r="T34" i="10"/>
  <c r="S11" i="10"/>
  <c r="N19" i="2" l="1"/>
  <c r="V11" i="10"/>
  <c r="U11" i="10"/>
  <c r="T11" i="10"/>
  <c r="W16" i="10"/>
  <c r="D28" i="2" l="1"/>
  <c r="V24" i="12"/>
  <c r="V25" i="12"/>
  <c r="V26" i="12"/>
  <c r="V27" i="12"/>
  <c r="V28" i="12"/>
  <c r="V29" i="12"/>
  <c r="V30" i="12"/>
  <c r="V32" i="12"/>
  <c r="V33" i="12"/>
  <c r="V34" i="12"/>
  <c r="V35" i="12"/>
  <c r="V36" i="12"/>
  <c r="V37" i="12"/>
  <c r="V38" i="12"/>
  <c r="V39" i="12"/>
  <c r="T9" i="9"/>
  <c r="T8" i="9"/>
  <c r="O19" i="2"/>
  <c r="P19" i="2"/>
  <c r="U99" i="9"/>
  <c r="T99" i="9"/>
  <c r="S99" i="9"/>
  <c r="S9" i="9" s="1"/>
  <c r="V62" i="10"/>
  <c r="U62" i="10"/>
  <c r="R99" i="9" l="1"/>
  <c r="V20" i="9"/>
  <c r="V19" i="9"/>
  <c r="S62" i="10" l="1"/>
  <c r="R25" i="9"/>
  <c r="R12" i="9"/>
  <c r="S33" i="10"/>
  <c r="R26" i="9"/>
  <c r="S34" i="10"/>
  <c r="W36" i="10"/>
  <c r="R32" i="9"/>
  <c r="R31" i="9"/>
  <c r="S9" i="8"/>
  <c r="V27" i="9"/>
  <c r="R21" i="9"/>
  <c r="M19" i="2" s="1"/>
  <c r="R29" i="9"/>
  <c r="Q96" i="9"/>
  <c r="V96" i="9" s="1"/>
  <c r="Q8" i="2" l="1"/>
  <c r="Q9" i="2"/>
  <c r="Q13" i="2"/>
  <c r="Q15" i="2"/>
  <c r="Q16" i="2"/>
  <c r="Q20" i="2"/>
  <c r="Q22" i="2"/>
  <c r="Q23" i="2"/>
  <c r="Q27" i="2"/>
  <c r="Q29" i="2"/>
  <c r="Q30" i="2"/>
  <c r="Q32" i="2"/>
  <c r="Q33" i="2"/>
  <c r="Q34" i="2"/>
  <c r="Q36" i="2"/>
  <c r="Q37" i="2"/>
  <c r="Q39" i="2"/>
  <c r="Q41" i="2"/>
  <c r="P40" i="2"/>
  <c r="P35" i="2" s="1"/>
  <c r="V21" i="1" s="1"/>
  <c r="V19" i="1" s="1"/>
  <c r="P38" i="2"/>
  <c r="P28" i="2"/>
  <c r="P25" i="2"/>
  <c r="P24" i="2"/>
  <c r="P18" i="2"/>
  <c r="P17" i="2"/>
  <c r="W8" i="1"/>
  <c r="W11" i="1"/>
  <c r="W14" i="1"/>
  <c r="W17" i="1"/>
  <c r="W20" i="1"/>
  <c r="V16" i="1"/>
  <c r="W11" i="8"/>
  <c r="W12" i="8"/>
  <c r="W13" i="8"/>
  <c r="W14" i="8"/>
  <c r="W15" i="8"/>
  <c r="W16" i="8"/>
  <c r="W17" i="8"/>
  <c r="W18" i="8"/>
  <c r="W19" i="8"/>
  <c r="W20" i="8"/>
  <c r="V21" i="8"/>
  <c r="V22" i="8" s="1"/>
  <c r="V10" i="12"/>
  <c r="V12" i="12"/>
  <c r="V16" i="12"/>
  <c r="V18" i="12"/>
  <c r="V19" i="12"/>
  <c r="V20" i="12"/>
  <c r="V21" i="12"/>
  <c r="V22" i="12"/>
  <c r="V23" i="12"/>
  <c r="V31" i="12"/>
  <c r="U14" i="12"/>
  <c r="U13" i="12" s="1"/>
  <c r="W10" i="10"/>
  <c r="W12" i="10"/>
  <c r="W13" i="10"/>
  <c r="W14" i="10"/>
  <c r="W15" i="10"/>
  <c r="W17" i="10"/>
  <c r="W18" i="10"/>
  <c r="W19" i="10"/>
  <c r="W20" i="10"/>
  <c r="W22" i="10"/>
  <c r="W23" i="10"/>
  <c r="W24" i="10"/>
  <c r="W25" i="10"/>
  <c r="W26" i="10"/>
  <c r="W27" i="10"/>
  <c r="W28" i="10"/>
  <c r="W29" i="10"/>
  <c r="W30" i="10"/>
  <c r="W31" i="10"/>
  <c r="W32" i="10"/>
  <c r="W34" i="10"/>
  <c r="W37" i="10"/>
  <c r="W38" i="10"/>
  <c r="W39" i="10"/>
  <c r="W40" i="10"/>
  <c r="W41" i="10"/>
  <c r="W43" i="10"/>
  <c r="W44" i="10"/>
  <c r="W45" i="10"/>
  <c r="W46" i="10"/>
  <c r="W47" i="10"/>
  <c r="W48" i="10"/>
  <c r="W49" i="10"/>
  <c r="W50" i="10"/>
  <c r="W51" i="10"/>
  <c r="W52" i="10"/>
  <c r="W53" i="10"/>
  <c r="W54" i="10"/>
  <c r="W55" i="10"/>
  <c r="W56" i="10"/>
  <c r="W57" i="10"/>
  <c r="W58" i="10"/>
  <c r="W59" i="10"/>
  <c r="W60" i="10"/>
  <c r="W61" i="10"/>
  <c r="V9" i="10"/>
  <c r="V8" i="10" s="1"/>
  <c r="V12" i="9"/>
  <c r="V13" i="9"/>
  <c r="V14" i="9"/>
  <c r="V16" i="9"/>
  <c r="V17" i="9"/>
  <c r="V21" i="9"/>
  <c r="V24" i="9"/>
  <c r="V31" i="9"/>
  <c r="V32" i="9"/>
  <c r="V33" i="9"/>
  <c r="V34" i="9"/>
  <c r="V35" i="9"/>
  <c r="V36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2" i="9"/>
  <c r="V63" i="9"/>
  <c r="V64" i="9"/>
  <c r="V65" i="9"/>
  <c r="V68" i="9"/>
  <c r="V69" i="9"/>
  <c r="V71" i="9"/>
  <c r="V72" i="9"/>
  <c r="V73" i="9"/>
  <c r="V74" i="9"/>
  <c r="V75" i="9"/>
  <c r="V76" i="9"/>
  <c r="V78" i="9"/>
  <c r="V79" i="9"/>
  <c r="V80" i="9"/>
  <c r="V81" i="9"/>
  <c r="V82" i="9"/>
  <c r="V86" i="9"/>
  <c r="V87" i="9"/>
  <c r="V90" i="9"/>
  <c r="V91" i="9"/>
  <c r="V92" i="9"/>
  <c r="V93" i="9"/>
  <c r="V94" i="9"/>
  <c r="V97" i="9"/>
  <c r="V98" i="9"/>
  <c r="S35" i="10"/>
  <c r="P26" i="2" l="1"/>
  <c r="P12" i="2" s="1"/>
  <c r="U9" i="9"/>
  <c r="U8" i="9" s="1"/>
  <c r="P14" i="2"/>
  <c r="V12" i="1" s="1"/>
  <c r="P11" i="2"/>
  <c r="P10" i="2"/>
  <c r="M24" i="2"/>
  <c r="M17" i="2"/>
  <c r="P21" i="2" l="1"/>
  <c r="V15" i="1" s="1"/>
  <c r="P7" i="2"/>
  <c r="S42" i="10"/>
  <c r="S9" i="10" s="1"/>
  <c r="R85" i="9"/>
  <c r="V85" i="9" s="1"/>
  <c r="R84" i="9"/>
  <c r="W42" i="10" l="1"/>
  <c r="M26" i="2"/>
  <c r="R9" i="9"/>
  <c r="V84" i="9"/>
  <c r="R9" i="8"/>
  <c r="L17" i="2"/>
  <c r="V26" i="9" l="1"/>
  <c r="V25" i="9"/>
  <c r="R11" i="10" l="1"/>
  <c r="L40" i="2"/>
  <c r="Q18" i="9"/>
  <c r="V18" i="9" s="1"/>
  <c r="Q22" i="9"/>
  <c r="V22" i="9" s="1"/>
  <c r="Q29" i="9"/>
  <c r="Q11" i="9"/>
  <c r="T14" i="12" l="1"/>
  <c r="T13" i="12" s="1"/>
  <c r="U16" i="1"/>
  <c r="U9" i="10"/>
  <c r="U8" i="10" s="1"/>
  <c r="N25" i="2"/>
  <c r="O40" i="2"/>
  <c r="O35" i="2" s="1"/>
  <c r="U21" i="1" s="1"/>
  <c r="O38" i="2"/>
  <c r="O28" i="2"/>
  <c r="O25" i="2"/>
  <c r="O24" i="2"/>
  <c r="O18" i="2"/>
  <c r="O17" i="2"/>
  <c r="U21" i="8"/>
  <c r="U22" i="8" s="1"/>
  <c r="T21" i="8"/>
  <c r="L24" i="2"/>
  <c r="Q23" i="9"/>
  <c r="V23" i="9" s="1"/>
  <c r="Q15" i="9"/>
  <c r="V15" i="9" s="1"/>
  <c r="Q70" i="9"/>
  <c r="V70" i="9" s="1"/>
  <c r="Q61" i="9"/>
  <c r="V61" i="9" s="1"/>
  <c r="Q95" i="9"/>
  <c r="V95" i="9" s="1"/>
  <c r="Q77" i="9"/>
  <c r="V77" i="9" s="1"/>
  <c r="L18" i="2"/>
  <c r="Q30" i="9"/>
  <c r="V30" i="9" s="1"/>
  <c r="Q28" i="9"/>
  <c r="V28" i="9" s="1"/>
  <c r="R33" i="10"/>
  <c r="W33" i="10" s="1"/>
  <c r="O10" i="2" l="1"/>
  <c r="O26" i="2"/>
  <c r="O21" i="2" s="1"/>
  <c r="U15" i="1" s="1"/>
  <c r="U13" i="1" s="1"/>
  <c r="U19" i="1"/>
  <c r="Q9" i="9"/>
  <c r="O11" i="2"/>
  <c r="O14" i="2"/>
  <c r="U12" i="1" s="1"/>
  <c r="N24" i="2"/>
  <c r="R35" i="10"/>
  <c r="W35" i="10" s="1"/>
  <c r="M25" i="2"/>
  <c r="K24" i="2"/>
  <c r="K19" i="2"/>
  <c r="K17" i="2"/>
  <c r="T9" i="10"/>
  <c r="Q11" i="10"/>
  <c r="W11" i="10" s="1"/>
  <c r="P99" i="9"/>
  <c r="R9" i="10" l="1"/>
  <c r="O12" i="2"/>
  <c r="O7" i="2" s="1"/>
  <c r="U10" i="1"/>
  <c r="S21" i="8"/>
  <c r="R14" i="12"/>
  <c r="R13" i="12" s="1"/>
  <c r="S16" i="1"/>
  <c r="M38" i="2"/>
  <c r="M10" i="2" s="1"/>
  <c r="M28" i="2"/>
  <c r="M18" i="2"/>
  <c r="M11" i="2" s="1"/>
  <c r="S22" i="8" l="1"/>
  <c r="U7" i="1"/>
  <c r="S8" i="10"/>
  <c r="Z9" i="10"/>
  <c r="M14" i="2"/>
  <c r="K26" i="2"/>
  <c r="M40" i="2" l="1"/>
  <c r="M12" i="2" s="1"/>
  <c r="S12" i="1"/>
  <c r="S10" i="1" s="1"/>
  <c r="U9" i="1"/>
  <c r="R8" i="9"/>
  <c r="Y10" i="9"/>
  <c r="R21" i="8"/>
  <c r="Q21" i="8"/>
  <c r="N21" i="8"/>
  <c r="M21" i="8"/>
  <c r="L21" i="8"/>
  <c r="K21" i="8"/>
  <c r="J21" i="8"/>
  <c r="N10" i="8"/>
  <c r="W10" i="8" s="1"/>
  <c r="P9" i="8"/>
  <c r="P21" i="8" s="1"/>
  <c r="P22" i="8" s="1"/>
  <c r="O9" i="8"/>
  <c r="W9" i="8" s="1"/>
  <c r="L17" i="12"/>
  <c r="V17" i="12" s="1"/>
  <c r="L15" i="12"/>
  <c r="V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K11" i="12"/>
  <c r="K9" i="12" s="1"/>
  <c r="J11" i="12"/>
  <c r="J9" i="12" s="1"/>
  <c r="J8" i="12" s="1"/>
  <c r="I11" i="12"/>
  <c r="P62" i="10"/>
  <c r="O62" i="10"/>
  <c r="W62" i="10" s="1"/>
  <c r="K21" i="10"/>
  <c r="W21" i="10" s="1"/>
  <c r="I9" i="12" l="1"/>
  <c r="V11" i="12"/>
  <c r="K8" i="12"/>
  <c r="M35" i="2"/>
  <c r="P13" i="12"/>
  <c r="S21" i="1"/>
  <c r="S19" i="1"/>
  <c r="M7" i="2"/>
  <c r="O21" i="8"/>
  <c r="O22" i="8" s="1"/>
  <c r="N22" i="8" s="1"/>
  <c r="M21" i="2"/>
  <c r="M22" i="8"/>
  <c r="L22" i="8"/>
  <c r="K22" i="8"/>
  <c r="J22" i="8" s="1"/>
  <c r="L14" i="12"/>
  <c r="V14" i="12" s="1"/>
  <c r="O13" i="12"/>
  <c r="N13" i="12"/>
  <c r="M13" i="12" s="1"/>
  <c r="P9" i="10"/>
  <c r="P8" i="10" s="1"/>
  <c r="O9" i="10"/>
  <c r="N9" i="10"/>
  <c r="M9" i="10"/>
  <c r="M8" i="10" s="1"/>
  <c r="L9" i="10"/>
  <c r="K9" i="10"/>
  <c r="J9" i="10"/>
  <c r="K18" i="2"/>
  <c r="O99" i="9"/>
  <c r="N99" i="9"/>
  <c r="N37" i="9"/>
  <c r="V37" i="9" s="1"/>
  <c r="N83" i="9"/>
  <c r="V83" i="9" s="1"/>
  <c r="W21" i="8" l="1"/>
  <c r="I8" i="12"/>
  <c r="V8" i="12" s="1"/>
  <c r="V9" i="12"/>
  <c r="V99" i="9"/>
  <c r="L8" i="10"/>
  <c r="K8" i="10" s="1"/>
  <c r="J8" i="10" s="1"/>
  <c r="Y9" i="10"/>
  <c r="L13" i="12"/>
  <c r="K13" i="12" s="1"/>
  <c r="V13" i="12" s="1"/>
  <c r="O8" i="10"/>
  <c r="N8" i="10"/>
  <c r="Q9" i="10"/>
  <c r="W9" i="10" s="1"/>
  <c r="O60" i="9"/>
  <c r="V60" i="9" s="1"/>
  <c r="Z61" i="9"/>
  <c r="Z63" i="9"/>
  <c r="Y63" i="9"/>
  <c r="AA59" i="9"/>
  <c r="Z59" i="9"/>
  <c r="AA67" i="9"/>
  <c r="Z67" i="9"/>
  <c r="Y67" i="9"/>
  <c r="N67" i="9"/>
  <c r="V67" i="9" s="1"/>
  <c r="N66" i="9"/>
  <c r="V66" i="9" s="1"/>
  <c r="N29" i="9"/>
  <c r="V29" i="9" s="1"/>
  <c r="M11" i="9"/>
  <c r="V11" i="9" s="1"/>
  <c r="X10" i="9"/>
  <c r="P9" i="9"/>
  <c r="L9" i="9"/>
  <c r="L8" i="9" s="1"/>
  <c r="K9" i="9"/>
  <c r="K8" i="9" s="1"/>
  <c r="J9" i="9"/>
  <c r="I9" i="9"/>
  <c r="N79" i="3"/>
  <c r="M75" i="3"/>
  <c r="L75" i="3"/>
  <c r="N50" i="3"/>
  <c r="M46" i="3"/>
  <c r="L46" i="3"/>
  <c r="L41" i="3"/>
  <c r="N27" i="3"/>
  <c r="M20" i="3"/>
  <c r="N40" i="2"/>
  <c r="K40" i="2"/>
  <c r="J40" i="2" s="1"/>
  <c r="I40" i="2"/>
  <c r="H40" i="2"/>
  <c r="E40" i="2"/>
  <c r="E35" i="2" s="1"/>
  <c r="N38" i="2"/>
  <c r="N10" i="2" s="1"/>
  <c r="L38" i="2"/>
  <c r="L10" i="2" s="1"/>
  <c r="K38" i="2"/>
  <c r="J38" i="2"/>
  <c r="I38" i="2"/>
  <c r="H38" i="2"/>
  <c r="G35" i="2"/>
  <c r="F35" i="2"/>
  <c r="D35" i="2"/>
  <c r="G31" i="2"/>
  <c r="Q31" i="2" s="1"/>
  <c r="N28" i="2"/>
  <c r="L28" i="2"/>
  <c r="K28" i="2"/>
  <c r="J28" i="2"/>
  <c r="I28" i="2"/>
  <c r="H28" i="2"/>
  <c r="F28" i="2"/>
  <c r="E28" i="2"/>
  <c r="J26" i="2"/>
  <c r="I26" i="2"/>
  <c r="H26" i="2"/>
  <c r="L25" i="2"/>
  <c r="K25" i="2"/>
  <c r="K21" i="2" s="1"/>
  <c r="J25" i="2"/>
  <c r="I25" i="2"/>
  <c r="G25" i="2"/>
  <c r="J24" i="2"/>
  <c r="I24" i="2"/>
  <c r="H24" i="2"/>
  <c r="G24" i="2"/>
  <c r="F24" i="2"/>
  <c r="Q24" i="2" l="1"/>
  <c r="Q38" i="2"/>
  <c r="Q40" i="2"/>
  <c r="Q25" i="2"/>
  <c r="J35" i="2"/>
  <c r="G28" i="2"/>
  <c r="Q28" i="2" s="1"/>
  <c r="L26" i="2"/>
  <c r="L21" i="2" s="1"/>
  <c r="M9" i="9"/>
  <c r="V9" i="9" s="1"/>
  <c r="N9" i="9"/>
  <c r="L35" i="2"/>
  <c r="I35" i="2"/>
  <c r="H35" i="2"/>
  <c r="S15" i="1"/>
  <c r="J8" i="9"/>
  <c r="I8" i="9" s="1"/>
  <c r="AB63" i="9"/>
  <c r="J21" i="2"/>
  <c r="AB67" i="9"/>
  <c r="K35" i="2"/>
  <c r="O9" i="9"/>
  <c r="O8" i="9" s="1"/>
  <c r="Y59" i="9"/>
  <c r="AB59" i="9" s="1"/>
  <c r="Z70" i="9"/>
  <c r="I21" i="2"/>
  <c r="H21" i="2"/>
  <c r="G21" i="2"/>
  <c r="F21" i="2" s="1"/>
  <c r="E21" i="2"/>
  <c r="D21" i="2"/>
  <c r="J19" i="2"/>
  <c r="I19" i="2"/>
  <c r="H19" i="2"/>
  <c r="H12" i="2" s="1"/>
  <c r="I18" i="2"/>
  <c r="H18" i="2"/>
  <c r="J17" i="2"/>
  <c r="I17" i="2"/>
  <c r="I10" i="2" s="1"/>
  <c r="H17" i="2"/>
  <c r="H10" i="2" s="1"/>
  <c r="G17" i="2"/>
  <c r="F14" i="2"/>
  <c r="E14" i="2"/>
  <c r="D14" i="2"/>
  <c r="G12" i="2"/>
  <c r="F12" i="2"/>
  <c r="E12" i="2"/>
  <c r="D12" i="2"/>
  <c r="G11" i="2"/>
  <c r="F11" i="2"/>
  <c r="E11" i="2"/>
  <c r="D11" i="2"/>
  <c r="K10" i="2"/>
  <c r="F10" i="2"/>
  <c r="E10" i="2"/>
  <c r="D10" i="2"/>
  <c r="G10" i="2" l="1"/>
  <c r="Q17" i="2"/>
  <c r="J12" i="2"/>
  <c r="H11" i="2"/>
  <c r="H7" i="2" s="1"/>
  <c r="G7" i="2" s="1"/>
  <c r="N8" i="9"/>
  <c r="M8" i="9" s="1"/>
  <c r="S13" i="1"/>
  <c r="R21" i="1"/>
  <c r="G14" i="2"/>
  <c r="I12" i="2"/>
  <c r="AA61" i="9"/>
  <c r="AA70" i="9" s="1"/>
  <c r="I14" i="2"/>
  <c r="H14" i="2"/>
  <c r="Y70" i="9"/>
  <c r="K12" i="2"/>
  <c r="J10" i="2"/>
  <c r="Q10" i="2" s="1"/>
  <c r="F7" i="2"/>
  <c r="E7" i="2"/>
  <c r="D7" i="2" s="1"/>
  <c r="S7" i="1" l="1"/>
  <c r="S9" i="1" s="1"/>
  <c r="P21" i="1"/>
  <c r="O21" i="1" s="1"/>
  <c r="N21" i="1" s="1"/>
  <c r="M21" i="1" s="1"/>
  <c r="L21" i="1" s="1"/>
  <c r="K21" i="1"/>
  <c r="J21" i="1" s="1"/>
  <c r="N19" i="1"/>
  <c r="L18" i="1"/>
  <c r="L16" i="1" s="1"/>
  <c r="K18" i="1"/>
  <c r="J18" i="1"/>
  <c r="W18" i="1" s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N12" i="1"/>
  <c r="M12" i="1" s="1"/>
  <c r="L12" i="1" s="1"/>
  <c r="K12" i="1" s="1"/>
  <c r="J12" i="1" s="1"/>
  <c r="J16" i="1" l="1"/>
  <c r="K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O19" i="1"/>
  <c r="W16" i="1" l="1"/>
  <c r="N7" i="1"/>
  <c r="M7" i="1"/>
  <c r="L7" i="1"/>
  <c r="L9" i="1" s="1"/>
  <c r="AA9" i="1" s="1"/>
  <c r="K7" i="1"/>
  <c r="K9" i="1" s="1"/>
  <c r="J7" i="1"/>
  <c r="Y4" i="1"/>
  <c r="J9" i="1" l="1"/>
  <c r="Y9" i="1" s="1"/>
  <c r="Y5" i="1"/>
  <c r="AA5" i="1"/>
  <c r="Z5" i="1" s="1"/>
  <c r="Z9" i="1"/>
  <c r="M9" i="1"/>
  <c r="N9" i="1"/>
  <c r="O13" i="1"/>
  <c r="P13" i="1"/>
  <c r="Q15" i="1"/>
  <c r="R15" i="1"/>
  <c r="R13" i="1" s="1"/>
  <c r="O12" i="1"/>
  <c r="J18" i="2"/>
  <c r="K14" i="2"/>
  <c r="Q12" i="1" s="1"/>
  <c r="Q21" i="1"/>
  <c r="L11" i="2"/>
  <c r="N18" i="2"/>
  <c r="N11" i="2" s="1"/>
  <c r="N35" i="2"/>
  <c r="Q35" i="2" s="1"/>
  <c r="K11" i="2"/>
  <c r="K7" i="2" s="1"/>
  <c r="I11" i="2"/>
  <c r="I7" i="2" s="1"/>
  <c r="T22" i="8"/>
  <c r="R22" i="8"/>
  <c r="Q22" i="8"/>
  <c r="W22" i="8" l="1"/>
  <c r="Q18" i="2"/>
  <c r="O10" i="1"/>
  <c r="Q19" i="1"/>
  <c r="Q13" i="1"/>
  <c r="T21" i="1"/>
  <c r="J14" i="2"/>
  <c r="T19" i="1"/>
  <c r="O7" i="1"/>
  <c r="J11" i="2"/>
  <c r="AA6" i="1"/>
  <c r="Z6" i="1" s="1"/>
  <c r="Y6" i="1" s="1"/>
  <c r="N14" i="2"/>
  <c r="T12" i="1" s="1"/>
  <c r="T10" i="1" s="1"/>
  <c r="R19" i="1"/>
  <c r="Q10" i="1"/>
  <c r="P12" i="1" l="1"/>
  <c r="P10" i="1" s="1"/>
  <c r="P7" i="1" s="1"/>
  <c r="P9" i="1" s="1"/>
  <c r="J7" i="2"/>
  <c r="Q11" i="2"/>
  <c r="W21" i="1"/>
  <c r="W19" i="1"/>
  <c r="O9" i="1"/>
  <c r="Q7" i="1"/>
  <c r="Q9" i="1" l="1"/>
  <c r="P8" i="9"/>
  <c r="S8" i="9"/>
  <c r="Q8" i="9"/>
  <c r="L19" i="2" s="1"/>
  <c r="Q19" i="2" s="1"/>
  <c r="Q8" i="10"/>
  <c r="T8" i="10"/>
  <c r="R8" i="10"/>
  <c r="V8" i="9" l="1"/>
  <c r="W8" i="10"/>
  <c r="N26" i="2"/>
  <c r="N12" i="2" l="1"/>
  <c r="N7" i="2" s="1"/>
  <c r="Q26" i="2"/>
  <c r="N21" i="2"/>
  <c r="L12" i="2"/>
  <c r="L14" i="2"/>
  <c r="Q14" i="2" s="1"/>
  <c r="V13" i="1" l="1"/>
  <c r="Q21" i="2"/>
  <c r="L7" i="2"/>
  <c r="Q7" i="2" s="1"/>
  <c r="Q12" i="2"/>
  <c r="T15" i="1"/>
  <c r="W15" i="1" s="1"/>
  <c r="R12" i="1"/>
  <c r="V10" i="1"/>
  <c r="V7" i="1" s="1"/>
  <c r="V9" i="1" s="1"/>
  <c r="T13" i="1" l="1"/>
  <c r="W13" i="1" s="1"/>
  <c r="W12" i="1"/>
  <c r="R10" i="1"/>
  <c r="W10" i="1" s="1"/>
  <c r="T7" i="1" l="1"/>
  <c r="T9" i="1" s="1"/>
  <c r="R7" i="1"/>
  <c r="W7" i="1" l="1"/>
  <c r="R9" i="1"/>
  <c r="W9" i="1" s="1"/>
</calcChain>
</file>

<file path=xl/sharedStrings.xml><?xml version="1.0" encoding="utf-8"?>
<sst xmlns="http://schemas.openxmlformats.org/spreadsheetml/2006/main" count="2674" uniqueCount="647">
  <si>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</si>
  <si>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</si>
  <si>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</si>
  <si>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</si>
  <si>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</si>
  <si>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</si>
  <si>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</si>
  <si>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</si>
  <si>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</si>
  <si>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</si>
  <si>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</si>
  <si>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</si>
  <si>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</si>
  <si>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</si>
  <si>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</si>
  <si>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</si>
  <si>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</si>
  <si>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</si>
  <si>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</si>
  <si>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</si>
  <si>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</si>
  <si>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</si>
  <si>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</si>
  <si>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</si>
  <si>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</si>
  <si>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</si>
  <si>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</si>
  <si>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</si>
  <si>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</si>
  <si>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</si>
  <si>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</si>
  <si>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</si>
  <si>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</si>
  <si>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</si>
  <si>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</si>
  <si>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</si>
  <si>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</si>
  <si>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</si>
  <si>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</si>
  <si>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</si>
  <si>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</si>
  <si>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</si>
  <si>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</si>
  <si>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</si>
  <si>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</si>
  <si>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</si>
  <si>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</si>
  <si>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</si>
  <si>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</si>
  <si>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</si>
  <si>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</si>
  <si>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</si>
  <si>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</si>
  <si>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</si>
  <si>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</si>
  <si>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</si>
  <si>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</si>
  <si>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</si>
  <si>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</si>
  <si>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</si>
  <si>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</si>
  <si>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</si>
  <si>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</si>
  <si>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</si>
  <si>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</si>
  <si>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</si>
  <si>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</si>
  <si>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</si>
  <si>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</si>
  <si>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</si>
  <si>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</si>
  <si>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</si>
  <si>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</si>
  <si>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</si>
  <si>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</si>
  <si>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</si>
  <si>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</si>
  <si>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</si>
  <si>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</si>
  <si>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</si>
  <si>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</si>
  <si>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</si>
  <si>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</si>
  <si>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</si>
  <si>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</si>
  <si>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</si>
  <si>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</si>
  <si>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</si>
  <si>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</si>
  <si>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</si>
  <si>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</si>
  <si>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</si>
  <si>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</si>
  <si>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</si>
  <si>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</si>
  <si>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</si>
  <si>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</si>
  <si>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</si>
  <si>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</si>
  <si>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</si>
  <si>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</si>
  <si>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</si>
  <si>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</si>
  <si>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</si>
  <si>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</si>
  <si>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тыс. чел.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</si>
  <si>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</si>
  <si>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</si>
  <si>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</si>
  <si>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</si>
  <si>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</si>
  <si>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</si>
  <si>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</si>
  <si>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</si>
  <si>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</si>
  <si>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</si>
  <si>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</si>
  <si>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</si>
  <si>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</si>
  <si>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</si>
  <si>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</si>
  <si>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</si>
  <si>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</si>
  <si>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</si>
  <si>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</si>
  <si>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</si>
  <si>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</si>
  <si>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</si>
  <si>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</si>
  <si>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</si>
  <si>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</si>
  <si>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</si>
  <si>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</si>
  <si>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</si>
  <si>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</si>
  <si>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</si>
  <si>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</si>
  <si>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</si>
  <si>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</si>
  <si>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</si>
  <si>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</si>
  <si>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</si>
  <si>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</si>
  <si>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</si>
  <si>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</si>
  <si>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</si>
  <si>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</si>
  <si>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</si>
  <si>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</si>
  <si>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</si>
  <si>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</si>
  <si>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</si>
  <si>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</si>
  <si>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</si>
  <si>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</si>
  <si>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</si>
  <si>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</si>
  <si>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</si>
  <si>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</si>
  <si>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</si>
  <si>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</si>
  <si>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</si>
  <si>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</si>
  <si>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</si>
  <si>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</si>
  <si>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</si>
  <si>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</si>
  <si>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</si>
  <si>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</si>
  <si>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</si>
  <si>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</si>
  <si>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</si>
  <si>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</si>
  <si>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</si>
  <si>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</si>
  <si>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</si>
  <si>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</si>
  <si>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</si>
  <si>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</si>
  <si>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</si>
  <si>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</si>
  <si>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</si>
  <si>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</si>
  <si>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</si>
  <si>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</si>
  <si>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</si>
  <si>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</si>
  <si>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</si>
  <si>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</si>
  <si>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</si>
  <si>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</si>
  <si>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</si>
  <si>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</si>
  <si>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</si>
  <si>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</si>
  <si>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</si>
  <si>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</si>
  <si>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</si>
  <si>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</si>
  <si>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</si>
  <si>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</si>
  <si>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</si>
  <si>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</si>
  <si>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</si>
  <si>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</si>
  <si>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</si>
  <si>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</si>
  <si>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</si>
  <si>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</si>
  <si>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</si>
  <si>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</si>
  <si>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</si>
  <si>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</si>
  <si>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</si>
  <si>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</si>
  <si>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</si>
  <si>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</si>
  <si>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</si>
  <si>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</si>
  <si>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</si>
  <si>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</si>
  <si>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</si>
  <si>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</si>
  <si>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</si>
  <si>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</si>
  <si>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</si>
  <si>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</si>
  <si>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</si>
  <si>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</si>
  <si>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</si>
  <si>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</si>
  <si>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</si>
  <si>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</si>
  <si>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</si>
  <si>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</si>
  <si>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</si>
  <si>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</si>
  <si>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</si>
  <si>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</si>
  <si>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</si>
  <si>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</si>
  <si>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</si>
  <si>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</si>
  <si>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</si>
  <si>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</si>
  <si>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</si>
  <si>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</si>
  <si>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</si>
  <si>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</si>
  <si>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</si>
  <si>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</si>
  <si>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</si>
  <si>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</si>
  <si>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</si>
  <si>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</si>
  <si>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</si>
  <si>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</si>
  <si>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</si>
  <si>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</si>
  <si>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</si>
  <si>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</si>
  <si>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</si>
  <si>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</si>
  <si>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</si>
  <si>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</si>
  <si>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</si>
  <si>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</si>
  <si>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</si>
  <si>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</si>
  <si>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</si>
  <si>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</si>
  <si>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</si>
  <si>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</si>
  <si>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</si>
  <si>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</si>
  <si>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</si>
  <si>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</si>
  <si>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</si>
  <si>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</si>
  <si>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</si>
  <si>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</si>
  <si>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</si>
  <si>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</si>
  <si>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</si>
  <si>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</si>
  <si>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</si>
  <si>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</si>
  <si>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</si>
  <si>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</si>
  <si>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</si>
  <si>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</si>
  <si>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</si>
  <si>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</si>
  <si>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</si>
  <si>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</si>
  <si>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</si>
  <si>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</si>
  <si>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</si>
  <si>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</si>
  <si>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</si>
  <si>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</si>
  <si>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</si>
  <si>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</si>
  <si>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</si>
  <si>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</si>
  <si>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</si>
  <si>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</si>
  <si>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</si>
  <si>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</si>
  <si>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</si>
  <si>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</si>
  <si>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</si>
  <si>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</si>
  <si>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</si>
  <si>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</si>
  <si>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</si>
  <si>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</si>
  <si>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</si>
  <si>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</si>
  <si>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</si>
  <si>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</si>
  <si>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</si>
  <si>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</si>
  <si>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</si>
  <si>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</si>
  <si>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</si>
  <si>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</si>
  <si>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</si>
  <si>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</si>
  <si>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</si>
  <si>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</si>
  <si>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</si>
  <si>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</si>
  <si>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</si>
  <si>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</si>
  <si>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</si>
  <si>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</si>
  <si>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</si>
  <si>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</si>
  <si>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</si>
  <si>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</si>
  <si>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</si>
  <si>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</si>
  <si>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</si>
  <si>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</si>
  <si>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</si>
  <si>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</si>
  <si>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</si>
  <si>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</si>
  <si>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</si>
  <si>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</si>
  <si>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</si>
  <si>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</si>
  <si>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t>2.1.</t>
  </si>
  <si>
    <t>2.2.</t>
  </si>
  <si>
    <t>2.3.</t>
  </si>
  <si>
    <t>2.4.</t>
  </si>
  <si>
    <t>2.5.</t>
  </si>
  <si>
    <t>2.6.</t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</si>
  <si>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</si>
  <si>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</si>
  <si>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</si>
  <si>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</si>
  <si>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</si>
  <si>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</si>
  <si>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</si>
  <si>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</si>
  <si>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</si>
  <si>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</si>
  <si>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</si>
  <si>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</si>
  <si>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</si>
  <si>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</si>
  <si>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</si>
  <si>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</si>
  <si>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</si>
  <si>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</si>
  <si>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</si>
  <si>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</si>
  <si>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</si>
  <si>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</si>
  <si>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</si>
  <si>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</si>
  <si>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</si>
  <si>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</si>
  <si>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</si>
  <si>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</si>
  <si>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</si>
  <si>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</si>
  <si>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</si>
  <si>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</si>
  <si>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</si>
  <si>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Количество договоров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</si>
  <si>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</si>
  <si>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</si>
  <si>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</si>
  <si>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</si>
  <si>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</si>
  <si>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</si>
  <si>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</si>
  <si>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</si>
  <si>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</si>
  <si>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</si>
  <si>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</si>
  <si>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</si>
  <si>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</si>
  <si>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</si>
  <si>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</si>
  <si>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</si>
  <si>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</si>
  <si>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</si>
  <si>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</si>
  <si>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</si>
  <si>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</si>
  <si>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>2020  год</t>
  </si>
  <si>
    <t>2019  год</t>
  </si>
  <si>
    <t>1.5</t>
  </si>
  <si>
    <t>пп4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</si>
  <si>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</si>
  <si>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</si>
  <si>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</si>
  <si>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</si>
  <si>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</si>
  <si>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</si>
  <si>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</si>
  <si>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</si>
  <si>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</si>
  <si>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</si>
  <si>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</si>
  <si>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</si>
  <si>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</si>
  <si>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</si>
  <si>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</si>
  <si>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</si>
  <si>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</si>
  <si>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</si>
  <si>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</si>
  <si>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</si>
  <si>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</si>
  <si>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</si>
  <si>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</si>
  <si>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</si>
  <si>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</si>
  <si>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</si>
  <si>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</si>
  <si>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</si>
  <si>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t>008061Z(0)</t>
  </si>
  <si>
    <t>43,07</t>
  </si>
  <si>
    <t>45,07</t>
  </si>
  <si>
    <t>25</t>
  </si>
  <si>
    <t>26</t>
  </si>
  <si>
    <t>27</t>
  </si>
  <si>
    <t>0074570</t>
  </si>
  <si>
    <t>00S4570</t>
  </si>
  <si>
    <t>49,01</t>
  </si>
  <si>
    <t>88,5</t>
  </si>
  <si>
    <t>0,77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</si>
  <si>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</si>
  <si>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</si>
  <si>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</si>
  <si>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</si>
  <si>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</si>
  <si>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</si>
  <si>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</si>
  <si>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</si>
  <si>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</si>
  <si>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</si>
  <si>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</si>
  <si>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</si>
  <si>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</si>
  <si>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</si>
  <si>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</si>
  <si>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</si>
  <si>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</si>
  <si>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</si>
  <si>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</si>
  <si>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</si>
  <si>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</si>
  <si>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>Е876620</t>
  </si>
  <si>
    <t xml:space="preserve">Спортивная подготовка по олимпийским видам спорта (Баскетбол этап начальной подготовки)  </t>
  </si>
  <si>
    <t>2023г.</t>
  </si>
  <si>
    <t>2022г.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</si>
  <si>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</si>
  <si>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</si>
  <si>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</si>
  <si>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</si>
  <si>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</si>
  <si>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</si>
  <si>
    <t>0420076630</t>
  </si>
  <si>
    <t>Расходы на развитие экстремальных видов спорта в рамках деятельности муниципальных молодежных центров</t>
  </si>
  <si>
    <t>04200S6630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</si>
  <si>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</si>
  <si>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Развитие экстремальных видов спорта  (изгтовление комплексных фигур)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</si>
  <si>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</si>
  <si>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Капитальный ремонт спортивного зала для занятий боксом МБУ СШ г. Дивногорска, расположенного по адресу ул. Чкалова, д.74, корп.1, пом.3</t>
  </si>
  <si>
    <t>Капитальный ремонт спортивного зала для занятий боксом МБУ СШ г. Дивногорска, расположенного по адресу ул. Чкалова, д.74, корп.1, пом.4</t>
  </si>
  <si>
    <t>0010340</t>
  </si>
  <si>
    <t>Расходы, связанные с увеличением с 1 июня 2022 года региональных выплат, в рамках подпрограммы "Массовая физическая культура и спорт" муниципальой программы города Дивногорска "Физическая культура, спорт и молодежная политика в муниципальном образовании город Дивногорск"</t>
  </si>
  <si>
    <t>0707</t>
  </si>
  <si>
    <t>11 03</t>
  </si>
  <si>
    <t xml:space="preserve">04 </t>
  </si>
  <si>
    <t>008062T</t>
  </si>
  <si>
    <t>Количество участников официальных спортивных и физкультурных (физкультурно-оздоровительных) мероприятий ГО г. Дивногорск</t>
  </si>
  <si>
    <t>51,31</t>
  </si>
  <si>
    <t>58,22</t>
  </si>
  <si>
    <t>Количество занятий физкультурно-спортивной направленности по месту жительства граждан в ГО г. Дивногорск</t>
  </si>
  <si>
    <t>1,65</t>
  </si>
  <si>
    <t>78,69</t>
  </si>
  <si>
    <t>78,70</t>
  </si>
  <si>
    <t>78,71</t>
  </si>
  <si>
    <t>78,72</t>
  </si>
  <si>
    <t>1.7</t>
  </si>
  <si>
    <t>1.8</t>
  </si>
  <si>
    <t>84</t>
  </si>
  <si>
    <t>Муниципальный Слет добровольческих отрядов г. Дивногорска (мероприятие)</t>
  </si>
  <si>
    <t>Проведение тестирования выполнения нормативов испытаний (тестов) Всероссийского физкультурно-спортивного комплекса "Готов к труду и обороне" (ГТО)</t>
  </si>
  <si>
    <t>СШ работа объемный показатель 2 раздел 1102</t>
  </si>
  <si>
    <t>Дельфин</t>
  </si>
  <si>
    <t>Обеспечение доступа к объектам спорта</t>
  </si>
  <si>
    <t>СШ работа объемный показатель 6 раздел 1102</t>
  </si>
  <si>
    <t xml:space="preserve">Организация и проведение официальных спортивных физкультурных (физкультурно-оздоровительных) мероприятий (муниципальные) </t>
  </si>
  <si>
    <t>Проведение занятий физкультурно-спортивной направленности по месту жительства</t>
  </si>
  <si>
    <t>СШ услуга объемный показатель 16 раздел 1103</t>
  </si>
  <si>
    <t>СШ услуга объемный показатель 10 раздел 1103</t>
  </si>
  <si>
    <t xml:space="preserve">Спортивная подготовка по олимпийским видам спорта (Спортивная борьба, начальный этап) </t>
  </si>
  <si>
    <t>СШ услуга объемный показатель 2 раздел 1103</t>
  </si>
  <si>
    <t>СШ услуга объемный показатель 24 раздел 1103</t>
  </si>
  <si>
    <t xml:space="preserve">Спортивная подготовка по неолимпийским видам спорта (Полиатлон, этап начальной подготовки)  </t>
  </si>
  <si>
    <t>СШ услуга объемный показатель 9 раздел 1103</t>
  </si>
  <si>
    <t>СШ услуга объемный показатель 8 раздел 1103</t>
  </si>
  <si>
    <t>Организация мероприятий по подготовке спортивных сборных команд (Спортсмены, находящиеся в трудовых отношениях с организацией)</t>
  </si>
  <si>
    <t>Организация мероприятий в сфере молодежной политики,направленных на вовлечение молодежи в инновационную,предпринимательскую,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</si>
  <si>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подростков и молодежи</t>
  </si>
  <si>
    <t>Размещение материалов с целью гражданско-патриотического воспитания населения</t>
  </si>
  <si>
    <t>Количество материалов</t>
  </si>
  <si>
    <t>1103</t>
  </si>
  <si>
    <t>Спортивная подготовка по олимпийским видам спорта (Бокс, этап начальной подготовки)</t>
  </si>
  <si>
    <t xml:space="preserve">Спортивная подготовка по неолимпийским видам спорта (Полиатлон, этап совершенствования спортивного мастерства)  </t>
  </si>
  <si>
    <t>Расходы на устройство быстровозводимых крытых конструкций</t>
  </si>
  <si>
    <t>2026 год</t>
  </si>
  <si>
    <t>Итого на 2014-2026 годы</t>
  </si>
  <si>
    <t>Итого на                   2014-2026 годы</t>
  </si>
  <si>
    <t>Итого на 2014 -2026 годы</t>
  </si>
  <si>
    <t>Итого на  
2014-2026 годы</t>
  </si>
  <si>
    <t>Расходы на устройство быстровозводимых крытых конструкций за счет средств местного бюджета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</si>
  <si>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0084050</t>
  </si>
  <si>
    <t>60,48</t>
  </si>
  <si>
    <t>79,00</t>
  </si>
  <si>
    <t>3697</t>
  </si>
  <si>
    <t xml:space="preserve">
</t>
  </si>
  <si>
    <t xml:space="preserve">
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</si>
  <si>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городском округе город Дивногорск" с учетом источников финансирования, 
в том числе средств федерального бюджета </t>
  </si>
  <si>
    <t>Информация о распределении планируемых расходов   по отдельным мероприятиям программы, подпрограммам муниципальной программы городского округа г. Дивногорск «Физическая культура,спорт и молодежная политика в городском округе город Дивногорск"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</si>
  <si>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городском округе город Дивногорск»   </t>
  </si>
  <si>
    <t>2027 год</t>
  </si>
  <si>
    <t>2028 год</t>
  </si>
  <si>
    <t>2029 год</t>
  </si>
  <si>
    <t>2030 год</t>
  </si>
  <si>
    <t>Приложение № 2
к паспорту муниципальной программы                      «Физическая культура,спорт и молодежная политика                        в городском округе город Дивногорск»</t>
  </si>
  <si>
    <t xml:space="preserve">Приложение № 1 к паспорту муниципальной программы «Физическая культура,спорт и молодежная политика в городском округе город Дивногорск» </t>
  </si>
  <si>
    <t xml:space="preserve">Перечень целевых показателей и показателей результативности </t>
  </si>
  <si>
    <t xml:space="preserve">Приложение № 1
к 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городском округе город Дивногорск»  </t>
  </si>
  <si>
    <t xml:space="preserve">Приложение № 3 к муниципальной программе «Физическая культура,спорт и молодежная политика в городском округе город Дивногорск» </t>
  </si>
  <si>
    <t>Доля граждан, систематически занимающихся физической  культурой и спортом, в общей численности населения ГО г. Дивногорск</t>
  </si>
  <si>
    <t>Перечень целевых показателей и показателей результативности подпрограммы 4 «Обеспечение реализации муниципальной программы и прочие мероприятия»</t>
  </si>
  <si>
    <t>Цель программы</t>
  </si>
  <si>
    <t xml:space="preserve">                                                                                                                    Приложение № 2
                                                                                                                    к  муниципальной программе   «Физическая культура,спорт и молодежная политика в городском округе город Дивногорск»   </t>
  </si>
  <si>
    <t xml:space="preserve">Приложение № 1 к подпрограмме 1 "Массовая физическая культура и спорт" муниципальной программы «Физическая культура,спорт и молодежная политика в городском округе город Дивногорск» </t>
  </si>
  <si>
    <t>Приложение № 2
к  подпрограмме 1 «Массовая физическая культура и спорт", реализуемой в рамках муниципальной     программы «Физическая культура, спорт и молодежная политика в муниципальном образовании город Дивногорск»</t>
  </si>
  <si>
    <t xml:space="preserve">Приложение № 1 к подпрограмме № 2 "Молодежь Дивногорья" муниципальной программы «Физическая культура,спорт и молодежная политика в городском округе город Дивногорск»  </t>
  </si>
  <si>
    <t>Перечень мероприятий подпрограммы 2  «Молодежь Дивногорья»</t>
  </si>
  <si>
    <t xml:space="preserve">Приложение № 1 к подпрограмме 3 "Дополнительное образование детей в учреждении физкультурно-спортивной направленности" муниципальной программы «Физическая культура,спорт и молодежная политика в городском округе город Дивногорск» </t>
  </si>
  <si>
    <t>Перечень целевых показателей и показателей результативности подрограмма 3 «Дополнительное  образование  детей в учреждении физкультурно-спортивной направленности»</t>
  </si>
  <si>
    <t xml:space="preserve">Приложение № 2  к подпрограмме 2 "Молодежь Дивногорья" муниципальной  программы «Физическая культура, спорт и молодежная политика в муниципальном образовании город Дивногорск»
</t>
  </si>
  <si>
    <t>Приложение № 2
к  подпрограмме 3 «Дополнительное образование детей в учреждении физкультурно-спортивной направленности" муниципальной  программы «Физическая культура, спорт и молодежная политика в муниципальном образовании город Дивногорск»</t>
  </si>
  <si>
    <t>Перечень мероприятий подпрограммы 3 "Дополнительное образование детей в учреждении физкультурно-спортивной направленности"</t>
  </si>
  <si>
    <t xml:space="preserve">Приложение № 1 к подпрограмме 4 "Обеспечение реализации муниципальной программы и прочие мероприятия" муниципальной программы «Физическая культура,спорт и молодежная политика в городском округе город Дивногорск» </t>
  </si>
  <si>
    <t>Перечень мероприятий подпрограммы 4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</si>
  <si>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 Подпрограмма 2 "Молодежь Дивногорья"</t>
  </si>
  <si>
    <t>Подпрограмма 1 "Массовая физическая культура и спорт"</t>
  </si>
  <si>
    <t>Подпрограмма 3 «Дополнительное  образование  детей в учреждении физкультурно-спортивной направленности»</t>
  </si>
  <si>
    <t>Подпрограмма 4 «Обеспечение реализации муниципальной программы и прочие мероприятия»</t>
  </si>
  <si>
    <t>Соревнования по  ролерблейдингу «Back country blading fesт»</t>
  </si>
  <si>
    <t>СШ работа объемный показатель 22 раздел 1102</t>
  </si>
  <si>
    <t>СШ работа объемный показатель 1 раздел 1102</t>
  </si>
  <si>
    <t>СШ работа объемный показатель 14 раздел 1102</t>
  </si>
  <si>
    <t>Обеспечение доступа к  объектам спорта (плавательный бассейн, ул. Б.Полевого, 3)</t>
  </si>
  <si>
    <t>СШ работа объемный показатель 3694 раздел 1102</t>
  </si>
  <si>
    <t>Спортивная подготовка по олимпийским видам спорта (Бокс, тренировочный этап (этап спортивной специализации))</t>
  </si>
  <si>
    <t>СШ услуга объемный показатель 40 раздел 1103</t>
  </si>
  <si>
    <t>СШ услуга объемный показатель 95 раздел 1103</t>
  </si>
  <si>
    <t>Спортивная подготовка по олимпийским видам спорта (Плавание, тренировочный этап (этап спортивной специализации))</t>
  </si>
  <si>
    <t>СШ услуга объемный показатель 64 раздел 1103</t>
  </si>
  <si>
    <t>Спортивная подготовка по олимпийским видам спорта (Лыжные гонки, тренировочный этап (этап спортивной специализации))</t>
  </si>
  <si>
    <t>СШ услуга объемный показатель 12 раздел 1103</t>
  </si>
  <si>
    <t>СШ услуга объемный показатель 55 раздел 1103</t>
  </si>
  <si>
    <t>СШ услуга объемный показатель 70 раздел 1103</t>
  </si>
  <si>
    <t xml:space="preserve">Спортивная подготовка по олимпийским видам спорта (Дзюдо, тренировочный этап (этап спортивной специализации))  </t>
  </si>
  <si>
    <t>СШ услуга объемный показатель 17 раздел 1103</t>
  </si>
  <si>
    <t xml:space="preserve">Спортивная подготовка по олимпийским видам спорта (Конькобежный спорт, тренировочный этап (этап спортивной специализации))  </t>
  </si>
  <si>
    <t>СШ услуга объемный показатель 60 раздел 1103</t>
  </si>
  <si>
    <t xml:space="preserve">Спортивная подготовка по олимпийским видам спорта (Баскетбол тренировочный этап (этап спортивной специализации))  </t>
  </si>
  <si>
    <t>СШ услуга объемный показатель 0 раздел 1103</t>
  </si>
  <si>
    <t>СШ услуга объемный показатель 3 раздел 1103</t>
  </si>
  <si>
    <t>СШ услуга объемный показатель 11 раздел 1103</t>
  </si>
  <si>
    <t xml:space="preserve">Спортивная подготовка по олимпийским видам спорта (Конькобежный спорт, этап начальной подготовки)  </t>
  </si>
  <si>
    <t>СШ слуга объемный показатель 12 раздел 1103</t>
  </si>
  <si>
    <t xml:space="preserve">Спортивная подготовка по олимпийским видам спорта (Триатлон, тренировочный этап (этап спортивной специализации))  </t>
  </si>
  <si>
    <t>СШ услуга объемный показатель 6 раздел 1103</t>
  </si>
  <si>
    <t xml:space="preserve">Спортивная подготовка по неолимпийским видам спорта (Полиатлон, тренировочный этап (этап спортивной специализации))  </t>
  </si>
  <si>
    <t>Спортивная подготовка по адаптивным видам спорта: Спорт лиц с поражением ОДА (этап начальной подготовки)</t>
  </si>
  <si>
    <t>СШ работа в 2024 году выбыла из раздела 1103</t>
  </si>
  <si>
    <t>СШ работа объемный показатель 288 раздел 1103</t>
  </si>
  <si>
    <t>СШ работа объемный показатель 13 раздел 1103</t>
  </si>
  <si>
    <t>Дивный работа объемный показатель 5</t>
  </si>
  <si>
    <t>Дивный работа объемный показатель 10</t>
  </si>
  <si>
    <t>Дивный работа объемный показатель 7</t>
  </si>
  <si>
    <t>Дивный работа объемный показатель 4</t>
  </si>
  <si>
    <t>Дивный работы выбыла в 2024 году</t>
  </si>
  <si>
    <t>СШ работа объемный показатель 8 раздел 1103</t>
  </si>
  <si>
    <t>Расходы на устройство спортивных сооружений в сельской местности</t>
  </si>
  <si>
    <t>0078480</t>
  </si>
  <si>
    <t>00S8480</t>
  </si>
  <si>
    <t>Перечень целевых индикаторов подрограммы 1 "Массовая физическая культура и спорт"</t>
  </si>
  <si>
    <t>54,88</t>
  </si>
  <si>
    <t>1936</t>
  </si>
  <si>
    <t>3276</t>
  </si>
  <si>
    <t>3694</t>
  </si>
  <si>
    <t>2,2</t>
  </si>
  <si>
    <t>523</t>
  </si>
  <si>
    <t>55</t>
  </si>
  <si>
    <t>2031 год</t>
  </si>
  <si>
    <t>Количество реализованных молодыми людьми проектов</t>
  </si>
  <si>
    <t>Количество поданных мололыми людьми заявок на получение поддержки для реализации проектов</t>
  </si>
  <si>
    <t>Перечень целевых индикаторов подпрограммы № 2 "Молодежь Дивногорья"</t>
  </si>
  <si>
    <t>Количество поданных молодыми людьми заявок на получение поддержки для реализации проектов</t>
  </si>
  <si>
    <t>Колличество реализованных молодыми людьми проектов</t>
  </si>
  <si>
    <t xml:space="preserve"> </t>
  </si>
  <si>
    <t>Количество обучающихся по дополнительным образовательным программам спортивной подготовки в МБУ ДО «Спортивная школа «Центр физкультурно-спортивной работы»</t>
  </si>
  <si>
    <r>
      <rPr>
        <b/>
        <sz val="12"/>
        <rFont val="Arial"/>
        <family val="2"/>
        <charset val="204"/>
      </rPr>
      <t>Цели программы:</t>
    </r>
    <r>
      <rPr>
        <sz val="12"/>
        <rFont val="Arial"/>
        <family val="2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rFont val="Arial"/>
        <family val="2"/>
        <charset val="204"/>
      </rPr>
      <t>Задачи:</t>
    </r>
    <r>
      <rPr>
        <sz val="12"/>
        <rFont val="Arial"/>
        <family val="2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
</t>
    </r>
  </si>
  <si>
    <r>
      <rPr>
        <b/>
        <sz val="12"/>
        <rFont val="Arial"/>
        <family val="2"/>
        <charset val="204"/>
      </rPr>
      <t xml:space="preserve">Цели программы: </t>
    </r>
    <r>
      <rPr>
        <sz val="12"/>
        <rFont val="Arial"/>
        <family val="2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04"/>
      </rPr>
      <t>Задачи:</t>
    </r>
    <r>
      <rPr>
        <sz val="12"/>
        <rFont val="Arial"/>
        <family val="2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
</t>
    </r>
  </si>
  <si>
    <r>
      <rPr>
        <b/>
        <sz val="12"/>
        <rFont val="Arial"/>
        <family val="2"/>
        <charset val="204"/>
      </rPr>
      <t>Цели программы:</t>
    </r>
    <r>
      <rPr>
        <sz val="12"/>
        <rFont val="Arial"/>
        <family val="2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04"/>
      </rPr>
      <t>Задачи:</t>
    </r>
    <r>
      <rPr>
        <sz val="12"/>
        <rFont val="Arial"/>
        <family val="2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</si>
  <si>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r>
      <rPr>
        <b/>
        <sz val="12"/>
        <rFont val="Arial"/>
        <family val="2"/>
        <charset val="204"/>
      </rPr>
      <t>Цели программы:</t>
    </r>
    <r>
      <rPr>
        <sz val="12"/>
        <rFont val="Arial"/>
        <family val="2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                                                          </t>
    </r>
    <r>
      <rPr>
        <b/>
        <sz val="12"/>
        <rFont val="Arial"/>
        <family val="2"/>
        <charset val="204"/>
      </rPr>
      <t>Задачи:</t>
    </r>
    <r>
      <rPr>
        <sz val="12"/>
        <rFont val="Arial"/>
        <family val="2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</si>
  <si>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Arial"/>
        <family val="2"/>
        <charset val="204"/>
      </rPr>
      <t xml:space="preserve"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4. Осуществление воспитания и физического развития личности, формирование у обучающихся знаний, умений и навыков в области физической культуры и спорта;
5. Отбор наиболее одаренных детей и подростков, создание условий для прохождения спортивной подготовки;
6. Совершенствование спортивного мастерства обучающихся посредством организации их систематического участия в спортивных мероприятиях.
</t>
    </r>
    <r>
      <rPr>
        <b/>
        <sz val="16"/>
        <rFont val="Arial"/>
        <family val="2"/>
        <charset val="204"/>
      </rPr>
      <t xml:space="preserve">
</t>
    </r>
  </si>
  <si>
    <r>
      <t>Задачи:</t>
    </r>
    <r>
      <rPr>
        <sz val="14"/>
        <rFont val="Arial"/>
        <family val="2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Arial"/>
        <family val="2"/>
        <charset val="204"/>
      </rPr>
      <t xml:space="preserve">
</t>
    </r>
  </si>
  <si>
    <r>
      <t>Задачи:</t>
    </r>
    <r>
      <rPr>
        <sz val="12"/>
        <rFont val="Arial"/>
        <family val="2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
</t>
    </r>
    <r>
      <rPr>
        <b/>
        <sz val="12"/>
        <rFont val="Arial"/>
        <family val="2"/>
        <charset val="204"/>
      </rPr>
      <t xml:space="preserve">
</t>
    </r>
  </si>
  <si>
    <r>
      <rPr>
        <b/>
        <sz val="12"/>
        <rFont val="Arial"/>
        <family val="2"/>
        <charset val="204"/>
      </rPr>
      <t>Задачи:</t>
    </r>
    <r>
      <rPr>
        <sz val="12"/>
        <rFont val="Arial"/>
        <family val="2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</si>
</sst>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  <numFmt numFmtId="170" formatCode="#,##0.0_ ;\-#,##0.0\ "/>
  </numFmts>
  <fonts count="5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20"/>
      <name val="Arial"/>
      <family val="2"/>
      <charset val="204"/>
    </font>
    <font>
      <sz val="30"/>
      <name val="Arial"/>
      <family val="2"/>
      <charset val="204"/>
    </font>
    <font>
      <sz val="25"/>
      <name val="Arial"/>
      <family val="2"/>
      <charset val="204"/>
    </font>
    <font>
      <sz val="15"/>
      <name val="Arial"/>
      <family val="2"/>
      <charset val="204"/>
    </font>
    <font>
      <b/>
      <sz val="15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/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10">
    <xf numFmtId="0" fontId="0" fillId="0" borderId="0"/>
    <xf numFmtId="0" fontId="1" fillId="0" borderId="0"/>
    <xf numFmtId="0" fontId="8" fillId="0" borderId="0"/>
    <xf numFmtId="0" fontId="27" fillId="0" borderId="0"/>
    <xf numFmtId="0" fontId="27" fillId="0" borderId="0"/>
    <xf numFmtId="0" fontId="16" fillId="0" borderId="0"/>
    <xf numFmtId="0" fontId="27" fillId="0" borderId="0"/>
    <xf numFmtId="0" fontId="13" fillId="0" borderId="0"/>
    <xf numFmtId="164" fontId="22" fillId="0" borderId="0" applyFont="0" applyFill="0" applyBorder="0" applyAlignment="0" applyProtection="0"/>
    <xf numFmtId="0" fontId="32" fillId="0" borderId="0"/>
  </cellStyleXfs>
  <cellXfs count="1228">
    <xf numFmtId="0" fontId="0" fillId="0" borderId="0" xfId="0"/>
    <xf numFmtId="0" fontId="2" fillId="0" borderId="0" xfId="1" applyFont="1"/>
    <xf numFmtId="0" fontId="3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5" fillId="2" borderId="2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/>
    </xf>
    <xf numFmtId="0" fontId="5" fillId="2" borderId="2" xfId="1" applyFont="1" applyFill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top"/>
    </xf>
    <xf numFmtId="0" fontId="5" fillId="0" borderId="0" xfId="1" applyFont="1" applyAlignment="1">
      <alignment wrapText="1"/>
    </xf>
    <xf numFmtId="0" fontId="5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vertical="top" wrapText="1"/>
    </xf>
    <xf numFmtId="0" fontId="5" fillId="0" borderId="0" xfId="1" applyFont="1"/>
    <xf numFmtId="0" fontId="5" fillId="0" borderId="2" xfId="1" applyFont="1" applyBorder="1" applyAlignment="1">
      <alignment horizontal="left" vertical="top" wrapText="1"/>
    </xf>
    <xf numFmtId="0" fontId="5" fillId="2" borderId="2" xfId="1" applyFont="1" applyFill="1" applyBorder="1" applyAlignment="1">
      <alignment horizontal="center" vertical="top"/>
    </xf>
    <xf numFmtId="0" fontId="5" fillId="0" borderId="2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top"/>
    </xf>
    <xf numFmtId="0" fontId="2" fillId="0" borderId="0" xfId="1" applyFont="1" applyAlignment="1">
      <alignment wrapText="1"/>
    </xf>
    <xf numFmtId="0" fontId="8" fillId="2" borderId="0" xfId="2" applyFill="1"/>
    <xf numFmtId="165" fontId="8" fillId="2" borderId="0" xfId="2" applyNumberFormat="1" applyFont="1" applyFill="1"/>
    <xf numFmtId="0" fontId="9" fillId="2" borderId="0" xfId="2" applyFont="1" applyFill="1"/>
    <xf numFmtId="165" fontId="9" fillId="2" borderId="0" xfId="2" applyNumberFormat="1" applyFont="1" applyFill="1"/>
    <xf numFmtId="3" fontId="9" fillId="2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2" applyFont="1" applyFill="1" applyBorder="1" applyAlignment="1">
      <alignment vertical="top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vertical="center" wrapText="1"/>
    </xf>
    <xf numFmtId="0" fontId="8" fillId="2" borderId="0" xfId="2" applyFill="1" applyAlignment="1">
      <alignment horizontal="center" vertical="center" wrapText="1"/>
    </xf>
    <xf numFmtId="165" fontId="10" fillId="2" borderId="2" xfId="2" applyNumberFormat="1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8" fillId="2" borderId="2" xfId="2" applyFill="1" applyBorder="1" applyAlignment="1">
      <alignment horizontal="center" vertical="center" wrapText="1"/>
    </xf>
    <xf numFmtId="0" fontId="9" fillId="2" borderId="0" xfId="2" applyFont="1" applyFill="1" applyAlignment="1">
      <alignment vertical="top"/>
    </xf>
    <xf numFmtId="0" fontId="9" fillId="2" borderId="0" xfId="2" applyFont="1" applyFill="1" applyBorder="1" applyAlignment="1">
      <alignment horizontal="left" vertical="top" wrapText="1"/>
    </xf>
    <xf numFmtId="0" fontId="12" fillId="0" borderId="0" xfId="4" applyFont="1" applyAlignment="1">
      <alignment vertical="top" wrapText="1"/>
    </xf>
    <xf numFmtId="0" fontId="12" fillId="0" borderId="0" xfId="4" applyFont="1" applyFill="1" applyAlignment="1">
      <alignment vertical="top" wrapText="1"/>
    </xf>
    <xf numFmtId="166" fontId="12" fillId="0" borderId="0" xfId="4" applyNumberFormat="1" applyFont="1" applyFill="1" applyAlignment="1">
      <alignment vertical="top" wrapText="1"/>
    </xf>
    <xf numFmtId="1" fontId="12" fillId="0" borderId="0" xfId="4" applyNumberFormat="1" applyFont="1" applyFill="1" applyBorder="1" applyAlignment="1">
      <alignment horizontal="right" vertical="top" wrapText="1"/>
    </xf>
    <xf numFmtId="2" fontId="12" fillId="0" borderId="0" xfId="4" applyNumberFormat="1" applyFont="1" applyFill="1" applyBorder="1" applyAlignment="1">
      <alignment horizontal="center" vertical="top" wrapText="1"/>
    </xf>
    <xf numFmtId="0" fontId="12" fillId="0" borderId="0" xfId="4" applyFont="1" applyBorder="1" applyAlignment="1">
      <alignment horizontal="center" vertical="top" wrapText="1"/>
    </xf>
    <xf numFmtId="0" fontId="12" fillId="0" borderId="0" xfId="4" applyFont="1" applyBorder="1" applyAlignment="1">
      <alignment vertical="top" wrapText="1"/>
    </xf>
    <xf numFmtId="1" fontId="12" fillId="0" borderId="2" xfId="4" applyNumberFormat="1" applyFont="1" applyFill="1" applyBorder="1" applyAlignment="1">
      <alignment horizontal="right" vertical="top" wrapText="1"/>
    </xf>
    <xf numFmtId="2" fontId="12" fillId="0" borderId="2" xfId="4" applyNumberFormat="1" applyFont="1" applyFill="1" applyBorder="1" applyAlignment="1">
      <alignment horizontal="center" vertical="top" wrapText="1"/>
    </xf>
    <xf numFmtId="0" fontId="12" fillId="0" borderId="2" xfId="4" applyFont="1" applyBorder="1" applyAlignment="1">
      <alignment horizontal="center" vertical="top" wrapText="1"/>
    </xf>
    <xf numFmtId="0" fontId="12" fillId="0" borderId="2" xfId="4" applyFont="1" applyFill="1" applyBorder="1" applyAlignment="1">
      <alignment vertical="top" wrapText="1"/>
    </xf>
    <xf numFmtId="0" fontId="12" fillId="0" borderId="2" xfId="4" applyFont="1" applyFill="1" applyBorder="1" applyAlignment="1">
      <alignment horizontal="center" vertical="top" wrapText="1"/>
    </xf>
    <xf numFmtId="166" fontId="5" fillId="0" borderId="2" xfId="1" applyNumberFormat="1" applyFont="1" applyBorder="1" applyAlignment="1">
      <alignment horizontal="center" vertical="top"/>
    </xf>
    <xf numFmtId="3" fontId="5" fillId="0" borderId="2" xfId="1" applyNumberFormat="1" applyFont="1" applyFill="1" applyBorder="1" applyAlignment="1">
      <alignment horizontal="center" vertical="top"/>
    </xf>
    <xf numFmtId="0" fontId="2" fillId="0" borderId="0" xfId="3" applyFont="1" applyFill="1"/>
    <xf numFmtId="0" fontId="5" fillId="0" borderId="0" xfId="3" applyFont="1" applyFill="1"/>
    <xf numFmtId="0" fontId="5" fillId="0" borderId="0" xfId="3" applyFont="1" applyFill="1" applyAlignment="1">
      <alignment vertical="center" wrapText="1"/>
    </xf>
    <xf numFmtId="0" fontId="5" fillId="0" borderId="0" xfId="3" applyFont="1" applyFill="1" applyAlignment="1">
      <alignment horizontal="left" vertical="top"/>
    </xf>
    <xf numFmtId="0" fontId="20" fillId="0" borderId="2" xfId="3" applyFont="1" applyFill="1" applyBorder="1" applyAlignment="1">
      <alignment horizontal="left" vertical="center" wrapText="1"/>
    </xf>
    <xf numFmtId="0" fontId="21" fillId="0" borderId="0" xfId="3" applyFont="1" applyFill="1"/>
    <xf numFmtId="0" fontId="20" fillId="0" borderId="2" xfId="3" applyFont="1" applyFill="1" applyBorder="1" applyAlignment="1">
      <alignment horizontal="left" vertical="top" wrapText="1"/>
    </xf>
    <xf numFmtId="0" fontId="7" fillId="0" borderId="0" xfId="3" applyFont="1" applyFill="1"/>
    <xf numFmtId="3" fontId="5" fillId="0" borderId="3" xfId="3" applyNumberFormat="1" applyFont="1" applyFill="1" applyBorder="1" applyAlignment="1">
      <alignment horizontal="center" vertical="top" wrapText="1"/>
    </xf>
    <xf numFmtId="4" fontId="5" fillId="0" borderId="0" xfId="3" applyNumberFormat="1" applyFont="1" applyFill="1"/>
    <xf numFmtId="4" fontId="21" fillId="0" borderId="0" xfId="3" applyNumberFormat="1" applyFont="1" applyFill="1"/>
    <xf numFmtId="0" fontId="23" fillId="0" borderId="0" xfId="0" applyFont="1" applyAlignment="1">
      <alignment vertical="top" wrapText="1"/>
    </xf>
    <xf numFmtId="165" fontId="8" fillId="2" borderId="0" xfId="2" applyNumberFormat="1" applyFont="1" applyFill="1" applyAlignment="1"/>
    <xf numFmtId="0" fontId="14" fillId="0" borderId="0" xfId="0" applyFont="1" applyAlignment="1">
      <alignment vertical="top" wrapText="1"/>
    </xf>
    <xf numFmtId="0" fontId="12" fillId="0" borderId="0" xfId="7" applyFont="1" applyFill="1" applyAlignment="1">
      <alignment vertical="top" wrapText="1"/>
    </xf>
    <xf numFmtId="4" fontId="2" fillId="0" borderId="0" xfId="3" applyNumberFormat="1" applyFont="1" applyFill="1"/>
    <xf numFmtId="165" fontId="9" fillId="2" borderId="2" xfId="2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2" fontId="5" fillId="0" borderId="0" xfId="3" applyNumberFormat="1" applyFont="1" applyFill="1"/>
    <xf numFmtId="165" fontId="10" fillId="2" borderId="4" xfId="2" applyNumberFormat="1" applyFont="1" applyFill="1" applyBorder="1" applyAlignment="1">
      <alignment horizontal="left" vertical="center" wrapText="1"/>
    </xf>
    <xf numFmtId="4" fontId="5" fillId="0" borderId="2" xfId="3" applyNumberFormat="1" applyFont="1" applyFill="1" applyBorder="1" applyAlignment="1">
      <alignment horizontal="center" vertical="center"/>
    </xf>
    <xf numFmtId="3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top"/>
    </xf>
    <xf numFmtId="4" fontId="5" fillId="0" borderId="0" xfId="3" applyNumberFormat="1" applyFont="1" applyFill="1" applyBorder="1" applyAlignment="1">
      <alignment horizontal="center" vertical="center"/>
    </xf>
    <xf numFmtId="3" fontId="5" fillId="0" borderId="2" xfId="3" applyNumberFormat="1" applyFont="1" applyFill="1" applyBorder="1" applyAlignment="1">
      <alignment horizontal="center" vertical="top" wrapText="1"/>
    </xf>
    <xf numFmtId="4" fontId="5" fillId="0" borderId="6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top"/>
    </xf>
    <xf numFmtId="4" fontId="5" fillId="0" borderId="2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/>
    <xf numFmtId="4" fontId="20" fillId="0" borderId="0" xfId="3" applyNumberFormat="1" applyFont="1" applyFill="1" applyBorder="1" applyAlignment="1">
      <alignment horizontal="left" vertical="top"/>
    </xf>
    <xf numFmtId="0" fontId="5" fillId="0" borderId="2" xfId="1" applyFont="1" applyBorder="1"/>
    <xf numFmtId="165" fontId="5" fillId="0" borderId="2" xfId="1" applyNumberFormat="1" applyFont="1" applyBorder="1" applyAlignment="1">
      <alignment horizontal="center" vertical="top"/>
    </xf>
    <xf numFmtId="165" fontId="10" fillId="2" borderId="7" xfId="2" applyNumberFormat="1" applyFont="1" applyFill="1" applyBorder="1" applyAlignment="1">
      <alignment horizontal="left" vertical="center" wrapText="1"/>
    </xf>
    <xf numFmtId="3" fontId="9" fillId="0" borderId="8" xfId="2" applyNumberFormat="1" applyFont="1" applyFill="1" applyBorder="1" applyAlignment="1">
      <alignment horizontal="center" vertical="center" wrapText="1"/>
    </xf>
    <xf numFmtId="3" fontId="9" fillId="2" borderId="8" xfId="2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28" fillId="0" borderId="0" xfId="0" applyFont="1" applyAlignment="1">
      <alignment vertical="top" wrapText="1"/>
    </xf>
    <xf numFmtId="0" fontId="12" fillId="0" borderId="8" xfId="4" applyFont="1" applyFill="1" applyBorder="1" applyAlignment="1">
      <alignment horizontal="center" vertical="top" wrapText="1"/>
    </xf>
    <xf numFmtId="1" fontId="12" fillId="0" borderId="8" xfId="4" applyNumberFormat="1" applyFont="1" applyFill="1" applyBorder="1" applyAlignment="1">
      <alignment horizontal="right" vertical="top" wrapText="1"/>
    </xf>
    <xf numFmtId="0" fontId="12" fillId="0" borderId="2" xfId="4" applyFont="1" applyBorder="1" applyAlignment="1">
      <alignment vertical="top" wrapText="1"/>
    </xf>
    <xf numFmtId="0" fontId="5" fillId="0" borderId="2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right" vertical="justify" wrapText="1"/>
    </xf>
    <xf numFmtId="0" fontId="5" fillId="0" borderId="2" xfId="3" applyFont="1" applyFill="1" applyBorder="1" applyAlignment="1">
      <alignment horizontal="right" vertical="top"/>
    </xf>
    <xf numFmtId="0" fontId="5" fillId="0" borderId="6" xfId="3" applyFont="1" applyFill="1" applyBorder="1" applyAlignment="1">
      <alignment vertical="top" wrapText="1"/>
    </xf>
    <xf numFmtId="0" fontId="5" fillId="0" borderId="6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right" vertical="top" wrapText="1"/>
    </xf>
    <xf numFmtId="4" fontId="14" fillId="0" borderId="0" xfId="0" applyNumberFormat="1" applyFont="1" applyFill="1" applyAlignment="1">
      <alignment vertical="top" wrapText="1"/>
    </xf>
    <xf numFmtId="0" fontId="14" fillId="0" borderId="0" xfId="4" applyFont="1" applyFill="1" applyAlignment="1">
      <alignment horizontal="left" vertical="center" wrapText="1"/>
    </xf>
    <xf numFmtId="0" fontId="5" fillId="0" borderId="2" xfId="3" applyFont="1" applyFill="1" applyBorder="1" applyAlignment="1">
      <alignment horizontal="center" vertical="top" wrapText="1"/>
    </xf>
    <xf numFmtId="4" fontId="5" fillId="0" borderId="8" xfId="3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29" fillId="0" borderId="0" xfId="3" applyFont="1" applyFill="1"/>
    <xf numFmtId="0" fontId="9" fillId="2" borderId="2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top" wrapText="1"/>
    </xf>
    <xf numFmtId="0" fontId="24" fillId="0" borderId="2" xfId="3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vertical="top" wrapText="1"/>
    </xf>
    <xf numFmtId="0" fontId="1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5" fillId="0" borderId="3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5" fillId="0" borderId="11" xfId="3" applyNumberFormat="1" applyFont="1" applyFill="1" applyBorder="1" applyAlignment="1">
      <alignment horizontal="center" vertical="center"/>
    </xf>
    <xf numFmtId="4" fontId="5" fillId="0" borderId="9" xfId="3" applyNumberFormat="1" applyFont="1" applyFill="1" applyBorder="1" applyAlignment="1">
      <alignment horizontal="center" vertical="center"/>
    </xf>
    <xf numFmtId="0" fontId="14" fillId="3" borderId="2" xfId="6" applyFont="1" applyFill="1" applyBorder="1" applyAlignment="1">
      <alignment vertical="top" wrapText="1"/>
    </xf>
    <xf numFmtId="49" fontId="5" fillId="3" borderId="2" xfId="1" applyNumberFormat="1" applyFont="1" applyFill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0" fontId="6" fillId="3" borderId="2" xfId="1" applyFont="1" applyFill="1" applyBorder="1" applyAlignment="1">
      <alignment vertical="top" wrapText="1"/>
    </xf>
    <xf numFmtId="0" fontId="5" fillId="3" borderId="2" xfId="1" applyFont="1" applyFill="1" applyBorder="1" applyAlignment="1">
      <alignment horizontal="left" vertical="top" wrapText="1"/>
    </xf>
    <xf numFmtId="166" fontId="5" fillId="3" borderId="2" xfId="1" applyNumberFormat="1" applyFont="1" applyFill="1" applyBorder="1" applyAlignment="1">
      <alignment horizontal="center" vertical="top"/>
    </xf>
    <xf numFmtId="0" fontId="28" fillId="3" borderId="2" xfId="0" applyFont="1" applyFill="1" applyBorder="1" applyAlignment="1">
      <alignment horizontal="left" vertical="center" wrapText="1"/>
    </xf>
    <xf numFmtId="2" fontId="5" fillId="0" borderId="2" xfId="1" applyNumberFormat="1" applyFont="1" applyBorder="1" applyAlignment="1">
      <alignment horizontal="center" vertical="top" wrapText="1"/>
    </xf>
    <xf numFmtId="2" fontId="5" fillId="0" borderId="8" xfId="1" applyNumberFormat="1" applyFont="1" applyBorder="1" applyAlignment="1">
      <alignment horizontal="center" vertical="top" wrapText="1"/>
    </xf>
    <xf numFmtId="2" fontId="5" fillId="0" borderId="8" xfId="1" applyNumberFormat="1" applyFont="1" applyFill="1" applyBorder="1" applyAlignment="1">
      <alignment horizontal="center" vertical="top"/>
    </xf>
    <xf numFmtId="0" fontId="2" fillId="2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vertical="top" wrapText="1"/>
    </xf>
    <xf numFmtId="2" fontId="5" fillId="0" borderId="2" xfId="1" applyNumberFormat="1" applyFont="1" applyBorder="1" applyAlignment="1">
      <alignment horizontal="center" vertical="top"/>
    </xf>
    <xf numFmtId="0" fontId="23" fillId="0" borderId="0" xfId="0" applyFont="1" applyAlignment="1">
      <alignment horizontal="left" wrapText="1"/>
    </xf>
    <xf numFmtId="0" fontId="2" fillId="0" borderId="0" xfId="1" applyFont="1" applyFill="1"/>
    <xf numFmtId="0" fontId="5" fillId="0" borderId="0" xfId="1" applyFont="1" applyFill="1"/>
    <xf numFmtId="0" fontId="18" fillId="0" borderId="0" xfId="1" applyFont="1" applyFill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/>
    </xf>
    <xf numFmtId="0" fontId="5" fillId="0" borderId="8" xfId="1" applyFont="1" applyFill="1" applyBorder="1" applyAlignment="1">
      <alignment horizontal="center" vertical="top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 wrapText="1"/>
    </xf>
    <xf numFmtId="0" fontId="5" fillId="0" borderId="11" xfId="3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/>
    <xf numFmtId="0" fontId="5" fillId="0" borderId="1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left" vertical="center" wrapText="1"/>
    </xf>
    <xf numFmtId="0" fontId="20" fillId="0" borderId="15" xfId="3" applyFont="1" applyFill="1" applyBorder="1" applyAlignment="1">
      <alignment horizontal="left" vertical="top" wrapText="1"/>
    </xf>
    <xf numFmtId="0" fontId="5" fillId="0" borderId="16" xfId="3" applyFont="1" applyFill="1" applyBorder="1" applyAlignment="1">
      <alignment horizontal="right" vertical="top"/>
    </xf>
    <xf numFmtId="0" fontId="5" fillId="0" borderId="16" xfId="3" applyFont="1" applyFill="1" applyBorder="1" applyAlignment="1">
      <alignment horizontal="center" vertical="center"/>
    </xf>
    <xf numFmtId="4" fontId="5" fillId="0" borderId="16" xfId="3" applyNumberFormat="1" applyFont="1" applyFill="1" applyBorder="1" applyAlignment="1">
      <alignment horizontal="center" vertical="center"/>
    </xf>
    <xf numFmtId="4" fontId="5" fillId="0" borderId="14" xfId="3" applyNumberFormat="1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vertical="top" wrapText="1"/>
    </xf>
    <xf numFmtId="0" fontId="5" fillId="0" borderId="11" xfId="3" applyFont="1" applyFill="1" applyBorder="1" applyAlignment="1">
      <alignment horizontal="right" vertical="center" wrapText="1"/>
    </xf>
    <xf numFmtId="0" fontId="5" fillId="0" borderId="11" xfId="3" applyFont="1" applyFill="1" applyBorder="1" applyAlignment="1">
      <alignment horizontal="right" vertical="center"/>
    </xf>
    <xf numFmtId="0" fontId="5" fillId="0" borderId="11" xfId="3" applyFont="1" applyFill="1" applyBorder="1" applyAlignment="1">
      <alignment horizontal="center" vertical="center" wrapText="1"/>
    </xf>
    <xf numFmtId="165" fontId="5" fillId="0" borderId="11" xfId="3" applyNumberFormat="1" applyFont="1" applyFill="1" applyBorder="1" applyAlignment="1">
      <alignment horizontal="center" vertical="center" wrapText="1"/>
    </xf>
    <xf numFmtId="165" fontId="5" fillId="0" borderId="9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vertical="top" wrapText="1"/>
    </xf>
    <xf numFmtId="0" fontId="2" fillId="0" borderId="17" xfId="3" applyFont="1" applyFill="1" applyBorder="1" applyAlignment="1">
      <alignment horizontal="left" vertical="center" wrapText="1"/>
    </xf>
    <xf numFmtId="3" fontId="5" fillId="0" borderId="14" xfId="3" applyNumberFormat="1" applyFont="1" applyFill="1" applyBorder="1" applyAlignment="1">
      <alignment horizontal="right" vertical="top" wrapText="1"/>
    </xf>
    <xf numFmtId="3" fontId="5" fillId="0" borderId="14" xfId="3" applyNumberFormat="1" applyFont="1" applyFill="1" applyBorder="1" applyAlignment="1">
      <alignment horizontal="center" vertical="center" wrapText="1"/>
    </xf>
    <xf numFmtId="3" fontId="5" fillId="0" borderId="11" xfId="3" applyNumberFormat="1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horizontal="left" vertical="center" wrapText="1"/>
    </xf>
    <xf numFmtId="0" fontId="5" fillId="0" borderId="18" xfId="3" applyFont="1" applyFill="1" applyBorder="1" applyAlignment="1">
      <alignment horizontal="center" vertical="top"/>
    </xf>
    <xf numFmtId="0" fontId="5" fillId="0" borderId="6" xfId="3" applyFont="1" applyFill="1" applyBorder="1" applyAlignment="1">
      <alignment horizontal="center" vertical="top"/>
    </xf>
    <xf numFmtId="0" fontId="5" fillId="0" borderId="6" xfId="3" applyFont="1" applyFill="1" applyBorder="1" applyAlignment="1">
      <alignment horizontal="center"/>
    </xf>
    <xf numFmtId="0" fontId="5" fillId="0" borderId="2" xfId="3" applyFont="1" applyFill="1" applyBorder="1" applyAlignment="1">
      <alignment vertical="center" wrapText="1"/>
    </xf>
    <xf numFmtId="0" fontId="19" fillId="0" borderId="2" xfId="3" applyFont="1" applyFill="1" applyBorder="1" applyAlignment="1">
      <alignment horizontal="left" vertical="top" wrapText="1"/>
    </xf>
    <xf numFmtId="0" fontId="5" fillId="0" borderId="19" xfId="3" applyFont="1" applyFill="1" applyBorder="1" applyAlignment="1">
      <alignment horizontal="center" vertical="top" wrapText="1"/>
    </xf>
    <xf numFmtId="0" fontId="5" fillId="0" borderId="17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top"/>
    </xf>
    <xf numFmtId="0" fontId="5" fillId="4" borderId="0" xfId="1" applyFont="1" applyFill="1" applyAlignment="1">
      <alignment wrapText="1"/>
    </xf>
    <xf numFmtId="0" fontId="2" fillId="4" borderId="0" xfId="1" applyFont="1" applyFill="1"/>
    <xf numFmtId="0" fontId="5" fillId="3" borderId="2" xfId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30" fillId="3" borderId="2" xfId="0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center" vertical="center"/>
    </xf>
    <xf numFmtId="2" fontId="5" fillId="3" borderId="2" xfId="1" applyNumberFormat="1" applyFont="1" applyFill="1" applyBorder="1" applyAlignment="1">
      <alignment horizontal="center" vertical="top" wrapText="1"/>
    </xf>
    <xf numFmtId="0" fontId="12" fillId="3" borderId="2" xfId="4" applyFont="1" applyFill="1" applyBorder="1" applyAlignment="1">
      <alignment vertical="top" wrapText="1"/>
    </xf>
    <xf numFmtId="0" fontId="12" fillId="3" borderId="2" xfId="4" applyFont="1" applyFill="1" applyBorder="1" applyAlignment="1">
      <alignment horizontal="center" vertical="top" wrapText="1"/>
    </xf>
    <xf numFmtId="2" fontId="12" fillId="3" borderId="2" xfId="4" applyNumberFormat="1" applyFont="1" applyFill="1" applyBorder="1" applyAlignment="1">
      <alignment horizontal="center" vertical="top" wrapText="1"/>
    </xf>
    <xf numFmtId="1" fontId="12" fillId="3" borderId="2" xfId="4" applyNumberFormat="1" applyFont="1" applyFill="1" applyBorder="1" applyAlignment="1">
      <alignment horizontal="right" vertical="top" wrapText="1"/>
    </xf>
    <xf numFmtId="1" fontId="12" fillId="3" borderId="8" xfId="4" applyNumberFormat="1" applyFont="1" applyFill="1" applyBorder="1" applyAlignment="1">
      <alignment horizontal="right" vertical="top" wrapText="1"/>
    </xf>
    <xf numFmtId="0" fontId="12" fillId="3" borderId="0" xfId="4" applyFont="1" applyFill="1" applyAlignment="1">
      <alignment vertical="top" wrapText="1"/>
    </xf>
    <xf numFmtId="0" fontId="5" fillId="3" borderId="6" xfId="3" applyFont="1" applyFill="1" applyBorder="1" applyAlignment="1">
      <alignment horizontal="left" vertical="top" wrapText="1"/>
    </xf>
    <xf numFmtId="0" fontId="20" fillId="3" borderId="2" xfId="3" applyFont="1" applyFill="1" applyBorder="1" applyAlignment="1">
      <alignment horizontal="left" vertical="top" wrapText="1"/>
    </xf>
    <xf numFmtId="0" fontId="5" fillId="3" borderId="2" xfId="3" applyFont="1" applyFill="1" applyBorder="1" applyAlignment="1">
      <alignment horizontal="center" vertical="center"/>
    </xf>
    <xf numFmtId="0" fontId="19" fillId="3" borderId="2" xfId="3" applyFont="1" applyFill="1" applyBorder="1" applyAlignment="1">
      <alignment vertical="top" wrapText="1"/>
    </xf>
    <xf numFmtId="0" fontId="5" fillId="3" borderId="2" xfId="3" applyFont="1" applyFill="1" applyBorder="1" applyAlignment="1">
      <alignment vertical="center" wrapText="1"/>
    </xf>
    <xf numFmtId="0" fontId="5" fillId="3" borderId="0" xfId="3" applyFont="1" applyFill="1"/>
    <xf numFmtId="0" fontId="5" fillId="3" borderId="17" xfId="3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top"/>
    </xf>
    <xf numFmtId="3" fontId="5" fillId="3" borderId="2" xfId="3" applyNumberFormat="1" applyFont="1" applyFill="1" applyBorder="1" applyAlignment="1">
      <alignment horizontal="center" vertical="center" wrapText="1"/>
    </xf>
    <xf numFmtId="166" fontId="5" fillId="3" borderId="2" xfId="3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center" wrapText="1"/>
    </xf>
    <xf numFmtId="166" fontId="5" fillId="3" borderId="1" xfId="3" applyNumberFormat="1" applyFont="1" applyFill="1" applyBorder="1" applyAlignment="1">
      <alignment horizontal="center" vertical="center"/>
    </xf>
    <xf numFmtId="166" fontId="5" fillId="3" borderId="3" xfId="3" applyNumberFormat="1" applyFont="1" applyFill="1" applyBorder="1" applyAlignment="1">
      <alignment horizontal="center" vertical="center"/>
    </xf>
    <xf numFmtId="0" fontId="5" fillId="3" borderId="6" xfId="3" applyFont="1" applyFill="1" applyBorder="1" applyAlignment="1">
      <alignment vertical="top" wrapText="1"/>
    </xf>
    <xf numFmtId="0" fontId="5" fillId="3" borderId="11" xfId="3" applyFont="1" applyFill="1" applyBorder="1" applyAlignment="1">
      <alignment horizontal="right" vertical="center" wrapText="1"/>
    </xf>
    <xf numFmtId="0" fontId="5" fillId="3" borderId="11" xfId="3" applyFont="1" applyFill="1" applyBorder="1" applyAlignment="1">
      <alignment horizontal="right" vertical="center"/>
    </xf>
    <xf numFmtId="0" fontId="5" fillId="3" borderId="11" xfId="3" applyFont="1" applyFill="1" applyBorder="1" applyAlignment="1">
      <alignment horizontal="center" vertical="center" wrapText="1"/>
    </xf>
    <xf numFmtId="165" fontId="5" fillId="3" borderId="11" xfId="3" applyNumberFormat="1" applyFont="1" applyFill="1" applyBorder="1" applyAlignment="1">
      <alignment horizontal="center" vertical="center" wrapText="1"/>
    </xf>
    <xf numFmtId="165" fontId="5" fillId="3" borderId="9" xfId="3" applyNumberFormat="1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vertical="top" wrapText="1"/>
    </xf>
    <xf numFmtId="0" fontId="5" fillId="3" borderId="16" xfId="3" applyFont="1" applyFill="1" applyBorder="1" applyAlignment="1">
      <alignment horizontal="center" vertical="center"/>
    </xf>
    <xf numFmtId="166" fontId="5" fillId="3" borderId="16" xfId="3" applyNumberFormat="1" applyFont="1" applyFill="1" applyBorder="1" applyAlignment="1">
      <alignment horizontal="center" vertical="center"/>
    </xf>
    <xf numFmtId="166" fontId="5" fillId="3" borderId="14" xfId="3" applyNumberFormat="1" applyFont="1" applyFill="1" applyBorder="1" applyAlignment="1">
      <alignment horizontal="center" vertical="center"/>
    </xf>
    <xf numFmtId="166" fontId="5" fillId="3" borderId="9" xfId="3" applyNumberFormat="1" applyFont="1" applyFill="1" applyBorder="1" applyAlignment="1">
      <alignment horizontal="center" vertical="center"/>
    </xf>
    <xf numFmtId="3" fontId="5" fillId="3" borderId="14" xfId="3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6" fontId="5" fillId="3" borderId="24" xfId="3" applyNumberFormat="1" applyFont="1" applyFill="1" applyBorder="1" applyAlignment="1">
      <alignment horizontal="center" vertical="center"/>
    </xf>
    <xf numFmtId="166" fontId="5" fillId="3" borderId="18" xfId="3" applyNumberFormat="1" applyFont="1" applyFill="1" applyBorder="1" applyAlignment="1">
      <alignment horizontal="center" vertical="center"/>
    </xf>
    <xf numFmtId="3" fontId="5" fillId="3" borderId="13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top" wrapText="1"/>
    </xf>
    <xf numFmtId="0" fontId="12" fillId="0" borderId="8" xfId="4" applyFont="1" applyFill="1" applyBorder="1" applyAlignment="1">
      <alignment horizontal="center" vertical="top" wrapText="1"/>
    </xf>
    <xf numFmtId="0" fontId="5" fillId="3" borderId="0" xfId="1" applyFont="1" applyFill="1" applyAlignment="1">
      <alignment wrapText="1"/>
    </xf>
    <xf numFmtId="0" fontId="2" fillId="3" borderId="0" xfId="1" applyFont="1" applyFill="1"/>
    <xf numFmtId="0" fontId="5" fillId="3" borderId="0" xfId="3" applyFont="1" applyFill="1" applyBorder="1"/>
    <xf numFmtId="165" fontId="5" fillId="3" borderId="2" xfId="0" applyNumberFormat="1" applyFont="1" applyFill="1" applyBorder="1" applyAlignment="1">
      <alignment horizontal="center" vertical="center" wrapText="1"/>
    </xf>
    <xf numFmtId="2" fontId="5" fillId="3" borderId="2" xfId="3" applyNumberFormat="1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top"/>
    </xf>
    <xf numFmtId="0" fontId="5" fillId="3" borderId="2" xfId="3" applyFont="1" applyFill="1" applyBorder="1" applyAlignment="1">
      <alignment horizontal="center" vertical="top"/>
    </xf>
    <xf numFmtId="2" fontId="5" fillId="3" borderId="0" xfId="0" applyNumberFormat="1" applyFont="1" applyFill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top"/>
    </xf>
    <xf numFmtId="0" fontId="5" fillId="0" borderId="4" xfId="1" applyFont="1" applyBorder="1" applyAlignment="1">
      <alignment horizontal="center" vertical="top"/>
    </xf>
    <xf numFmtId="0" fontId="5" fillId="0" borderId="4" xfId="1" applyFont="1" applyBorder="1"/>
    <xf numFmtId="0" fontId="5" fillId="0" borderId="7" xfId="1" applyFont="1" applyBorder="1"/>
    <xf numFmtId="0" fontId="19" fillId="3" borderId="2" xfId="3" applyFont="1" applyFill="1" applyBorder="1" applyAlignment="1">
      <alignment horizontal="left" vertical="center" wrapText="1"/>
    </xf>
    <xf numFmtId="0" fontId="20" fillId="3" borderId="2" xfId="3" applyFont="1" applyFill="1" applyBorder="1" applyAlignment="1">
      <alignment horizontal="left" vertical="center" wrapText="1"/>
    </xf>
    <xf numFmtId="0" fontId="20" fillId="3" borderId="2" xfId="3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left" vertical="center" wrapText="1"/>
    </xf>
    <xf numFmtId="0" fontId="5" fillId="3" borderId="9" xfId="3" applyFont="1" applyFill="1" applyBorder="1" applyAlignment="1">
      <alignment horizontal="left" vertical="center" wrapText="1"/>
    </xf>
    <xf numFmtId="0" fontId="5" fillId="3" borderId="2" xfId="3" applyFont="1" applyFill="1" applyBorder="1" applyAlignment="1">
      <alignment horizontal="center"/>
    </xf>
    <xf numFmtId="0" fontId="5" fillId="3" borderId="33" xfId="3" applyFont="1" applyFill="1" applyBorder="1" applyAlignment="1">
      <alignment horizontal="center" vertical="top"/>
    </xf>
    <xf numFmtId="166" fontId="5" fillId="3" borderId="34" xfId="3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/>
    </xf>
    <xf numFmtId="0" fontId="19" fillId="3" borderId="30" xfId="3" applyFont="1" applyFill="1" applyBorder="1" applyAlignment="1">
      <alignment horizontal="left" vertical="center" wrapText="1"/>
    </xf>
    <xf numFmtId="166" fontId="5" fillId="3" borderId="35" xfId="3" applyNumberFormat="1" applyFont="1" applyFill="1" applyBorder="1" applyAlignment="1">
      <alignment horizontal="center" vertical="center"/>
    </xf>
    <xf numFmtId="0" fontId="12" fillId="0" borderId="8" xfId="4" applyFont="1" applyFill="1" applyBorder="1" applyAlignment="1">
      <alignment vertical="top" wrapText="1"/>
    </xf>
    <xf numFmtId="0" fontId="12" fillId="0" borderId="8" xfId="4" applyFont="1" applyBorder="1" applyAlignment="1">
      <alignment vertical="top" wrapText="1"/>
    </xf>
    <xf numFmtId="0" fontId="5" fillId="3" borderId="2" xfId="1" applyFont="1" applyFill="1" applyBorder="1"/>
    <xf numFmtId="3" fontId="5" fillId="3" borderId="2" xfId="1" applyNumberFormat="1" applyFont="1" applyFill="1" applyBorder="1" applyAlignment="1">
      <alignment horizontal="center" vertical="top" wrapText="1"/>
    </xf>
    <xf numFmtId="165" fontId="5" fillId="3" borderId="2" xfId="1" applyNumberFormat="1" applyFont="1" applyFill="1" applyBorder="1" applyAlignment="1">
      <alignment horizontal="center" vertical="top" wrapText="1"/>
    </xf>
    <xf numFmtId="3" fontId="5" fillId="3" borderId="2" xfId="1" applyNumberFormat="1" applyFont="1" applyFill="1" applyBorder="1" applyAlignment="1">
      <alignment horizontal="center" vertical="top"/>
    </xf>
    <xf numFmtId="166" fontId="5" fillId="3" borderId="8" xfId="3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66" fontId="5" fillId="3" borderId="8" xfId="0" applyNumberFormat="1" applyFont="1" applyFill="1" applyBorder="1" applyAlignment="1">
      <alignment horizontal="center" vertical="center" wrapText="1"/>
    </xf>
    <xf numFmtId="166" fontId="5" fillId="3" borderId="4" xfId="0" applyNumberFormat="1" applyFont="1" applyFill="1" applyBorder="1" applyAlignment="1">
      <alignment horizontal="center" vertical="center" wrapText="1"/>
    </xf>
    <xf numFmtId="166" fontId="5" fillId="3" borderId="26" xfId="0" applyNumberFormat="1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165" fontId="5" fillId="3" borderId="8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166" fontId="5" fillId="3" borderId="20" xfId="3" applyNumberFormat="1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center" vertical="center" wrapText="1"/>
    </xf>
    <xf numFmtId="0" fontId="34" fillId="3" borderId="2" xfId="2" applyFont="1" applyFill="1" applyBorder="1" applyAlignment="1">
      <alignment horizontal="center" vertical="center" wrapText="1"/>
    </xf>
    <xf numFmtId="0" fontId="34" fillId="3" borderId="8" xfId="2" applyFont="1" applyFill="1" applyBorder="1" applyAlignment="1">
      <alignment horizontal="center" vertical="center" wrapText="1"/>
    </xf>
    <xf numFmtId="0" fontId="26" fillId="2" borderId="2" xfId="2" applyFont="1" applyFill="1" applyBorder="1" applyAlignment="1">
      <alignment horizontal="center" vertical="center" wrapText="1"/>
    </xf>
    <xf numFmtId="165" fontId="18" fillId="2" borderId="2" xfId="2" applyNumberFormat="1" applyFont="1" applyFill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49" fontId="7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top" wrapText="1"/>
    </xf>
    <xf numFmtId="0" fontId="7" fillId="0" borderId="2" xfId="2" applyFont="1" applyFill="1" applyBorder="1" applyAlignment="1">
      <alignment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20" fillId="3" borderId="6" xfId="3" applyFont="1" applyFill="1" applyBorder="1" applyAlignment="1">
      <alignment horizontal="left" vertical="center" wrapText="1"/>
    </xf>
    <xf numFmtId="166" fontId="5" fillId="3" borderId="11" xfId="3" applyNumberFormat="1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3" fontId="5" fillId="3" borderId="6" xfId="3" applyNumberFormat="1" applyFont="1" applyFill="1" applyBorder="1" applyAlignment="1">
      <alignment horizontal="center" vertical="center" wrapText="1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4" xfId="3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 wrapText="1"/>
    </xf>
    <xf numFmtId="0" fontId="5" fillId="3" borderId="25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left" vertical="center" wrapText="1"/>
    </xf>
    <xf numFmtId="0" fontId="5" fillId="3" borderId="6" xfId="3" applyFont="1" applyFill="1" applyBorder="1" applyAlignment="1">
      <alignment horizontal="left" vertical="center" wrapText="1"/>
    </xf>
    <xf numFmtId="166" fontId="5" fillId="3" borderId="6" xfId="3" applyNumberFormat="1" applyFont="1" applyFill="1" applyBorder="1" applyAlignment="1">
      <alignment horizontal="center" vertical="center"/>
    </xf>
    <xf numFmtId="166" fontId="5" fillId="3" borderId="4" xfId="3" applyNumberFormat="1" applyFont="1" applyFill="1" applyBorder="1" applyAlignment="1">
      <alignment horizontal="center" vertical="center"/>
    </xf>
    <xf numFmtId="166" fontId="5" fillId="3" borderId="26" xfId="3" applyNumberFormat="1" applyFont="1" applyFill="1" applyBorder="1" applyAlignment="1">
      <alignment horizontal="center" vertical="center"/>
    </xf>
    <xf numFmtId="166" fontId="5" fillId="3" borderId="7" xfId="3" applyNumberFormat="1" applyFont="1" applyFill="1" applyBorder="1" applyAlignment="1">
      <alignment horizontal="center" vertical="center"/>
    </xf>
    <xf numFmtId="166" fontId="5" fillId="3" borderId="8" xfId="3" applyNumberFormat="1" applyFont="1" applyFill="1" applyBorder="1" applyAlignment="1">
      <alignment horizontal="center" vertical="center"/>
    </xf>
    <xf numFmtId="166" fontId="5" fillId="3" borderId="2" xfId="3" applyNumberFormat="1" applyFont="1" applyFill="1" applyBorder="1" applyAlignment="1">
      <alignment horizontal="center" vertical="center"/>
    </xf>
    <xf numFmtId="0" fontId="5" fillId="3" borderId="0" xfId="3" applyFont="1" applyFill="1" applyBorder="1" applyAlignment="1">
      <alignment horizontal="left" vertical="center" wrapText="1"/>
    </xf>
    <xf numFmtId="0" fontId="5" fillId="3" borderId="0" xfId="3" applyFont="1" applyFill="1" applyBorder="1" applyAlignment="1">
      <alignment horizontal="center" vertical="center"/>
    </xf>
    <xf numFmtId="0" fontId="19" fillId="5" borderId="2" xfId="3" applyFont="1" applyFill="1" applyBorder="1" applyAlignment="1">
      <alignment vertical="top" wrapText="1"/>
    </xf>
    <xf numFmtId="0" fontId="20" fillId="5" borderId="2" xfId="3" applyFont="1" applyFill="1" applyBorder="1" applyAlignment="1">
      <alignment horizontal="left" vertical="center" wrapText="1"/>
    </xf>
    <xf numFmtId="0" fontId="20" fillId="5" borderId="6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>
      <alignment vertical="center" wrapText="1"/>
    </xf>
    <xf numFmtId="0" fontId="5" fillId="3" borderId="10" xfId="3" applyFont="1" applyFill="1" applyBorder="1" applyAlignment="1">
      <alignment horizontal="left" vertical="center" wrapText="1"/>
    </xf>
    <xf numFmtId="0" fontId="20" fillId="5" borderId="31" xfId="3" applyFont="1" applyFill="1" applyBorder="1" applyAlignment="1">
      <alignment horizontal="left" vertical="center" wrapText="1"/>
    </xf>
    <xf numFmtId="0" fontId="5" fillId="3" borderId="9" xfId="3" applyFont="1" applyFill="1" applyBorder="1" applyAlignment="1">
      <alignment vertical="center" wrapText="1"/>
    </xf>
    <xf numFmtId="0" fontId="20" fillId="5" borderId="31" xfId="3" applyFont="1" applyFill="1" applyBorder="1" applyAlignment="1">
      <alignment vertical="center" wrapText="1"/>
    </xf>
    <xf numFmtId="0" fontId="20" fillId="5" borderId="11" xfId="3" applyFont="1" applyFill="1" applyBorder="1" applyAlignment="1">
      <alignment horizontal="left" vertical="center" wrapText="1"/>
    </xf>
    <xf numFmtId="0" fontId="5" fillId="3" borderId="17" xfId="3" applyFont="1" applyFill="1" applyBorder="1" applyAlignment="1">
      <alignment vertical="center" wrapText="1"/>
    </xf>
    <xf numFmtId="0" fontId="19" fillId="5" borderId="2" xfId="3" applyFont="1" applyFill="1" applyBorder="1" applyAlignment="1">
      <alignment vertical="center" wrapText="1"/>
    </xf>
    <xf numFmtId="0" fontId="19" fillId="5" borderId="2" xfId="3" applyFont="1" applyFill="1" applyBorder="1" applyAlignment="1">
      <alignment horizontal="left" vertical="center" wrapText="1"/>
    </xf>
    <xf numFmtId="0" fontId="5" fillId="3" borderId="32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1" fontId="5" fillId="3" borderId="2" xfId="3" applyNumberFormat="1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33" fillId="3" borderId="0" xfId="0" applyFont="1" applyFill="1"/>
    <xf numFmtId="0" fontId="5" fillId="3" borderId="25" xfId="0" applyFont="1" applyFill="1" applyBorder="1" applyAlignment="1">
      <alignment horizontal="center" vertical="center"/>
    </xf>
    <xf numFmtId="0" fontId="33" fillId="5" borderId="0" xfId="0" applyFont="1" applyFill="1"/>
    <xf numFmtId="0" fontId="35" fillId="3" borderId="0" xfId="0" applyFont="1" applyFill="1"/>
    <xf numFmtId="0" fontId="33" fillId="3" borderId="0" xfId="0" applyFont="1" applyFill="1" applyAlignment="1">
      <alignment horizontal="left"/>
    </xf>
    <xf numFmtId="0" fontId="33" fillId="3" borderId="0" xfId="0" applyFont="1" applyFill="1" applyAlignment="1">
      <alignment horizontal="center"/>
    </xf>
    <xf numFmtId="0" fontId="36" fillId="3" borderId="0" xfId="0" applyFont="1" applyFill="1"/>
    <xf numFmtId="0" fontId="33" fillId="3" borderId="0" xfId="0" applyFont="1" applyFill="1" applyAlignment="1">
      <alignment vertical="center"/>
    </xf>
    <xf numFmtId="0" fontId="33" fillId="5" borderId="0" xfId="0" applyFont="1" applyFill="1" applyAlignment="1">
      <alignment vertical="center"/>
    </xf>
    <xf numFmtId="0" fontId="33" fillId="3" borderId="2" xfId="0" applyFont="1" applyFill="1" applyBorder="1" applyAlignment="1">
      <alignment vertical="center"/>
    </xf>
    <xf numFmtId="0" fontId="33" fillId="4" borderId="0" xfId="0" applyFont="1" applyFill="1"/>
    <xf numFmtId="2" fontId="5" fillId="4" borderId="0" xfId="0" applyNumberFormat="1" applyFont="1" applyFill="1" applyAlignment="1">
      <alignment horizontal="center" vertical="center"/>
    </xf>
    <xf numFmtId="0" fontId="33" fillId="0" borderId="0" xfId="0" applyFont="1" applyFill="1"/>
    <xf numFmtId="0" fontId="5" fillId="0" borderId="2" xfId="3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165" fontId="7" fillId="2" borderId="2" xfId="2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top" wrapText="1"/>
    </xf>
    <xf numFmtId="49" fontId="30" fillId="3" borderId="2" xfId="1" applyNumberFormat="1" applyFont="1" applyFill="1" applyBorder="1" applyAlignment="1">
      <alignment horizontal="center" vertical="top" wrapText="1"/>
    </xf>
    <xf numFmtId="165" fontId="30" fillId="0" borderId="2" xfId="1" applyNumberFormat="1" applyFont="1" applyFill="1" applyBorder="1" applyAlignment="1">
      <alignment horizontal="center" vertical="top"/>
    </xf>
    <xf numFmtId="165" fontId="30" fillId="3" borderId="2" xfId="1" applyNumberFormat="1" applyFont="1" applyFill="1" applyBorder="1" applyAlignment="1">
      <alignment horizontal="center" vertical="top"/>
    </xf>
    <xf numFmtId="49" fontId="30" fillId="0" borderId="2" xfId="1" applyNumberFormat="1" applyFont="1" applyFill="1" applyBorder="1" applyAlignment="1">
      <alignment horizontal="center" vertical="top"/>
    </xf>
    <xf numFmtId="49" fontId="30" fillId="3" borderId="2" xfId="1" applyNumberFormat="1" applyFont="1" applyFill="1" applyBorder="1" applyAlignment="1">
      <alignment horizontal="center" vertical="top"/>
    </xf>
    <xf numFmtId="165" fontId="37" fillId="3" borderId="2" xfId="2" applyNumberFormat="1" applyFont="1" applyFill="1" applyBorder="1" applyAlignment="1">
      <alignment horizontal="left" vertical="center" wrapText="1"/>
    </xf>
    <xf numFmtId="0" fontId="38" fillId="3" borderId="2" xfId="2" applyFont="1" applyFill="1" applyBorder="1" applyAlignment="1">
      <alignment horizontal="center" vertical="center" wrapText="1"/>
    </xf>
    <xf numFmtId="0" fontId="38" fillId="3" borderId="8" xfId="2" applyFont="1" applyFill="1" applyBorder="1" applyAlignment="1">
      <alignment horizontal="center" vertical="center" wrapText="1"/>
    </xf>
    <xf numFmtId="0" fontId="28" fillId="3" borderId="2" xfId="2" applyFont="1" applyFill="1" applyBorder="1" applyAlignment="1">
      <alignment horizontal="center" vertical="center" wrapText="1"/>
    </xf>
    <xf numFmtId="3" fontId="28" fillId="3" borderId="2" xfId="2" applyNumberFormat="1" applyFont="1" applyFill="1" applyBorder="1" applyAlignment="1">
      <alignment horizontal="center" vertical="center" wrapText="1"/>
    </xf>
    <xf numFmtId="0" fontId="28" fillId="3" borderId="2" xfId="2" applyFont="1" applyFill="1" applyBorder="1" applyAlignment="1">
      <alignment horizontal="center" vertical="center"/>
    </xf>
    <xf numFmtId="0" fontId="28" fillId="3" borderId="8" xfId="2" applyFont="1" applyFill="1" applyBorder="1" applyAlignment="1">
      <alignment horizontal="center" vertical="center"/>
    </xf>
    <xf numFmtId="0" fontId="28" fillId="3" borderId="2" xfId="2" applyNumberFormat="1" applyFont="1" applyFill="1" applyBorder="1" applyAlignment="1">
      <alignment horizontal="center" vertical="center" wrapText="1"/>
    </xf>
    <xf numFmtId="49" fontId="25" fillId="0" borderId="2" xfId="5" applyNumberFormat="1" applyFont="1" applyFill="1" applyBorder="1" applyAlignment="1">
      <alignment horizontal="center" vertical="center"/>
    </xf>
    <xf numFmtId="49" fontId="4" fillId="0" borderId="2" xfId="5" applyNumberFormat="1" applyFont="1" applyFill="1" applyBorder="1" applyAlignment="1">
      <alignment horizontal="center" vertical="center"/>
    </xf>
    <xf numFmtId="2" fontId="4" fillId="0" borderId="2" xfId="5" applyNumberFormat="1" applyFont="1" applyFill="1" applyBorder="1" applyAlignment="1">
      <alignment horizontal="center" vertical="center"/>
    </xf>
    <xf numFmtId="2" fontId="4" fillId="0" borderId="6" xfId="5" applyNumberFormat="1" applyFont="1" applyFill="1" applyBorder="1" applyAlignment="1">
      <alignment horizontal="center" vertical="center"/>
    </xf>
    <xf numFmtId="49" fontId="4" fillId="0" borderId="6" xfId="5" applyNumberFormat="1" applyFont="1" applyFill="1" applyBorder="1" applyAlignment="1">
      <alignment horizontal="center" vertical="center"/>
    </xf>
    <xf numFmtId="49" fontId="4" fillId="0" borderId="0" xfId="5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5" fillId="0" borderId="4" xfId="3" applyNumberFormat="1" applyFont="1" applyFill="1" applyBorder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 vertical="center"/>
    </xf>
    <xf numFmtId="166" fontId="5" fillId="0" borderId="4" xfId="3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top" wrapText="1"/>
    </xf>
    <xf numFmtId="0" fontId="20" fillId="0" borderId="6" xfId="3" applyFont="1" applyFill="1" applyBorder="1" applyAlignment="1">
      <alignment horizontal="left" vertical="center" wrapText="1"/>
    </xf>
    <xf numFmtId="0" fontId="20" fillId="0" borderId="4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" fontId="5" fillId="0" borderId="6" xfId="3" applyNumberFormat="1" applyFont="1" applyFill="1" applyBorder="1" applyAlignment="1">
      <alignment horizontal="center" vertical="center"/>
    </xf>
    <xf numFmtId="4" fontId="5" fillId="0" borderId="4" xfId="3" applyNumberFormat="1" applyFont="1" applyFill="1" applyBorder="1" applyAlignment="1">
      <alignment horizontal="center" vertical="center"/>
    </xf>
    <xf numFmtId="0" fontId="19" fillId="0" borderId="8" xfId="3" applyFont="1" applyFill="1" applyBorder="1" applyAlignment="1">
      <alignment horizontal="left" vertical="center" wrapText="1"/>
    </xf>
    <xf numFmtId="0" fontId="19" fillId="0" borderId="25" xfId="3" applyFont="1" applyFill="1" applyBorder="1" applyAlignment="1">
      <alignment horizontal="left" vertical="center" wrapText="1"/>
    </xf>
    <xf numFmtId="0" fontId="19" fillId="0" borderId="20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left" vertical="center" wrapText="1"/>
    </xf>
    <xf numFmtId="0" fontId="5" fillId="0" borderId="25" xfId="3" applyFont="1" applyFill="1" applyBorder="1" applyAlignment="1">
      <alignment horizontal="left" vertical="center" wrapText="1"/>
    </xf>
    <xf numFmtId="0" fontId="5" fillId="0" borderId="20" xfId="3" applyFont="1" applyFill="1" applyBorder="1" applyAlignment="1">
      <alignment horizontal="left" vertical="center" wrapText="1"/>
    </xf>
    <xf numFmtId="0" fontId="19" fillId="0" borderId="2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20" fillId="0" borderId="2" xfId="3" applyFont="1" applyFill="1" applyBorder="1" applyAlignment="1">
      <alignment horizontal="left" vertical="center" wrapText="1"/>
    </xf>
    <xf numFmtId="0" fontId="20" fillId="0" borderId="8" xfId="3" applyFont="1" applyFill="1" applyBorder="1" applyAlignment="1">
      <alignment horizontal="left" vertical="top"/>
    </xf>
    <xf numFmtId="0" fontId="20" fillId="0" borderId="25" xfId="3" applyFont="1" applyFill="1" applyBorder="1" applyAlignment="1">
      <alignment horizontal="left" vertical="top"/>
    </xf>
    <xf numFmtId="0" fontId="20" fillId="0" borderId="20" xfId="3" applyFont="1" applyFill="1" applyBorder="1" applyAlignment="1">
      <alignment horizontal="left" vertical="top"/>
    </xf>
    <xf numFmtId="0" fontId="20" fillId="0" borderId="2" xfId="3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25" xfId="3" applyFont="1" applyFill="1" applyBorder="1" applyAlignment="1">
      <alignment horizontal="center" vertical="center" wrapText="1"/>
    </xf>
    <xf numFmtId="0" fontId="5" fillId="0" borderId="2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left" vertical="center" wrapText="1"/>
    </xf>
    <xf numFmtId="4" fontId="5" fillId="0" borderId="11" xfId="3" applyNumberFormat="1" applyFont="1" applyFill="1" applyBorder="1" applyAlignment="1">
      <alignment horizontal="center" vertical="center"/>
    </xf>
    <xf numFmtId="4" fontId="5" fillId="0" borderId="26" xfId="3" applyNumberFormat="1" applyFont="1" applyFill="1" applyBorder="1" applyAlignment="1">
      <alignment horizontal="center" vertical="center"/>
    </xf>
    <xf numFmtId="4" fontId="5" fillId="0" borderId="9" xfId="3" applyNumberFormat="1" applyFont="1" applyFill="1" applyBorder="1" applyAlignment="1">
      <alignment horizontal="center" vertical="center"/>
    </xf>
    <xf numFmtId="4" fontId="5" fillId="0" borderId="7" xfId="3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20" fillId="0" borderId="8" xfId="3" applyFont="1" applyFill="1" applyBorder="1" applyAlignment="1">
      <alignment horizontal="left" vertical="center" wrapText="1"/>
    </xf>
    <xf numFmtId="0" fontId="20" fillId="0" borderId="25" xfId="3" applyFont="1" applyFill="1" applyBorder="1" applyAlignment="1">
      <alignment horizontal="left" vertical="center" wrapText="1"/>
    </xf>
    <xf numFmtId="0" fontId="20" fillId="0" borderId="20" xfId="3" applyFont="1" applyFill="1" applyBorder="1" applyAlignment="1">
      <alignment horizontal="left" vertical="center" wrapText="1"/>
    </xf>
    <xf numFmtId="0" fontId="19" fillId="0" borderId="8" xfId="3" applyFont="1" applyFill="1" applyBorder="1" applyAlignment="1">
      <alignment horizontal="left" vertical="top" wrapText="1"/>
    </xf>
    <xf numFmtId="0" fontId="19" fillId="0" borderId="25" xfId="3" applyFont="1" applyFill="1" applyBorder="1" applyAlignment="1">
      <alignment horizontal="left" vertical="top" wrapText="1"/>
    </xf>
    <xf numFmtId="0" fontId="19" fillId="0" borderId="20" xfId="3" applyFont="1" applyFill="1" applyBorder="1" applyAlignment="1">
      <alignment horizontal="left" vertical="top" wrapText="1"/>
    </xf>
    <xf numFmtId="0" fontId="5" fillId="0" borderId="8" xfId="3" applyFont="1" applyFill="1" applyBorder="1" applyAlignment="1">
      <alignment horizontal="left" vertical="top"/>
    </xf>
    <xf numFmtId="0" fontId="5" fillId="0" borderId="25" xfId="3" applyFont="1" applyFill="1" applyBorder="1" applyAlignment="1">
      <alignment horizontal="left" vertical="top"/>
    </xf>
    <xf numFmtId="0" fontId="5" fillId="0" borderId="20" xfId="3" applyFont="1" applyFill="1" applyBorder="1" applyAlignment="1">
      <alignment horizontal="left" vertical="top"/>
    </xf>
    <xf numFmtId="0" fontId="20" fillId="0" borderId="26" xfId="3" applyFont="1" applyFill="1" applyBorder="1" applyAlignment="1">
      <alignment horizontal="left" vertical="center" wrapText="1"/>
    </xf>
    <xf numFmtId="0" fontId="20" fillId="0" borderId="29" xfId="3" applyFont="1" applyFill="1" applyBorder="1" applyAlignment="1">
      <alignment horizontal="left" vertical="center" wrapText="1"/>
    </xf>
    <xf numFmtId="0" fontId="20" fillId="0" borderId="21" xfId="3" applyFont="1" applyFill="1" applyBorder="1" applyAlignment="1">
      <alignment horizontal="left" vertical="center" wrapText="1"/>
    </xf>
    <xf numFmtId="0" fontId="20" fillId="0" borderId="7" xfId="3" applyFont="1" applyFill="1" applyBorder="1" applyAlignment="1">
      <alignment horizontal="left" vertical="center" wrapText="1"/>
    </xf>
    <xf numFmtId="0" fontId="20" fillId="0" borderId="27" xfId="3" applyFont="1" applyFill="1" applyBorder="1" applyAlignment="1">
      <alignment horizontal="left" vertical="center" wrapText="1"/>
    </xf>
    <xf numFmtId="0" fontId="20" fillId="0" borderId="28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5" fillId="0" borderId="7" xfId="3" applyFont="1" applyFill="1" applyBorder="1" applyAlignment="1">
      <alignment horizontal="left" vertical="center" wrapText="1"/>
    </xf>
    <xf numFmtId="0" fontId="5" fillId="0" borderId="27" xfId="3" applyFont="1" applyFill="1" applyBorder="1" applyAlignment="1">
      <alignment horizontal="left" vertical="center" wrapText="1"/>
    </xf>
    <xf numFmtId="0" fontId="5" fillId="0" borderId="28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left"/>
    </xf>
    <xf numFmtId="0" fontId="5" fillId="0" borderId="25" xfId="3" applyFont="1" applyFill="1" applyBorder="1" applyAlignment="1">
      <alignment horizontal="left"/>
    </xf>
    <xf numFmtId="0" fontId="5" fillId="0" borderId="20" xfId="3" applyFont="1" applyFill="1" applyBorder="1" applyAlignment="1">
      <alignment horizontal="left"/>
    </xf>
    <xf numFmtId="0" fontId="5" fillId="0" borderId="11" xfId="3" applyFont="1" applyFill="1" applyBorder="1" applyAlignment="1">
      <alignment horizontal="left" vertical="center" wrapText="1"/>
    </xf>
    <xf numFmtId="0" fontId="19" fillId="0" borderId="8" xfId="3" applyFont="1" applyFill="1" applyBorder="1" applyAlignment="1">
      <alignment horizontal="left" vertical="top"/>
    </xf>
    <xf numFmtId="0" fontId="19" fillId="0" borderId="25" xfId="3" applyFont="1" applyFill="1" applyBorder="1" applyAlignment="1">
      <alignment horizontal="left" vertical="top"/>
    </xf>
    <xf numFmtId="0" fontId="19" fillId="0" borderId="20" xfId="3" applyFont="1" applyFill="1" applyBorder="1" applyAlignment="1">
      <alignment horizontal="left" vertical="top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5" fillId="0" borderId="26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0" fillId="0" borderId="29" xfId="0" applyBorder="1" applyAlignment="1"/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3" fillId="0" borderId="29" xfId="0" applyFont="1" applyBorder="1" applyAlignment="1">
      <alignment horizontal="right" wrapText="1"/>
    </xf>
    <xf numFmtId="0" fontId="2" fillId="2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2" borderId="0" xfId="2" applyFont="1" applyFill="1" applyBorder="1" applyAlignment="1">
      <alignment vertical="top" wrapText="1"/>
    </xf>
    <xf numFmtId="0" fontId="31" fillId="0" borderId="0" xfId="0" applyFont="1" applyAlignment="1"/>
    <xf numFmtId="0" fontId="7" fillId="2" borderId="0" xfId="2" applyFont="1" applyFill="1" applyBorder="1" applyAlignment="1">
      <alignment horizontal="left" vertical="top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165" fontId="11" fillId="2" borderId="0" xfId="2" applyNumberFormat="1" applyFont="1" applyFill="1" applyBorder="1" applyAlignment="1">
      <alignment horizontal="center" wrapText="1"/>
    </xf>
    <xf numFmtId="165" fontId="9" fillId="2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9" fillId="2" borderId="26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9" fillId="2" borderId="8" xfId="2" applyNumberFormat="1" applyFont="1" applyFill="1" applyBorder="1" applyAlignment="1">
      <alignment horizontal="center" vertical="center" wrapText="1"/>
    </xf>
    <xf numFmtId="165" fontId="9" fillId="2" borderId="25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23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horizontal="left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/>
    </xf>
    <xf numFmtId="0" fontId="5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14" fillId="0" borderId="0" xfId="4" applyFont="1" applyAlignment="1">
      <alignment vertical="top" wrapText="1"/>
    </xf>
    <xf numFmtId="0" fontId="31" fillId="0" borderId="0" xfId="0" applyFont="1" applyAlignment="1">
      <alignment vertical="top" wrapText="1"/>
    </xf>
    <xf numFmtId="0" fontId="15" fillId="0" borderId="0" xfId="4" applyFont="1" applyFill="1" applyAlignment="1">
      <alignment horizontal="center" vertical="top" wrapText="1"/>
    </xf>
    <xf numFmtId="0" fontId="12" fillId="0" borderId="0" xfId="4" applyFont="1" applyFill="1" applyAlignment="1">
      <alignment horizontal="right" vertical="top" wrapText="1"/>
    </xf>
    <xf numFmtId="0" fontId="12" fillId="0" borderId="0" xfId="7" applyFont="1" applyFill="1" applyAlignment="1">
      <alignment horizontal="left" vertical="top" wrapText="1"/>
    </xf>
    <xf numFmtId="0" fontId="14" fillId="0" borderId="0" xfId="4" applyFont="1" applyFill="1" applyAlignment="1">
      <alignment horizontal="left" vertical="center" wrapText="1"/>
    </xf>
    <xf numFmtId="0" fontId="12" fillId="0" borderId="8" xfId="4" applyFont="1" applyFill="1" applyBorder="1" applyAlignment="1">
      <alignment horizontal="center" vertical="top" wrapText="1"/>
    </xf>
    <xf numFmtId="0" fontId="12" fillId="0" borderId="25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8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5" fillId="0" borderId="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28" fillId="3" borderId="2" xfId="2" applyFont="1" applyFill="1" applyBorder="1" applyAlignment="1">
      <alignment horizontal="center" vertical="center" wrapText="1"/>
    </xf>
    <xf numFmtId="165" fontId="28" fillId="3" borderId="8" xfId="2" applyNumberFormat="1" applyFont="1" applyFill="1" applyBorder="1" applyAlignment="1">
      <alignment horizontal="center" vertical="top" wrapText="1"/>
    </xf>
    <xf numFmtId="165" fontId="28" fillId="3" borderId="25" xfId="2" applyNumberFormat="1" applyFont="1" applyFill="1" applyBorder="1" applyAlignment="1">
      <alignment horizontal="center" vertical="top" wrapText="1"/>
    </xf>
    <xf numFmtId="0" fontId="31" fillId="3" borderId="25" xfId="0" applyFont="1" applyFill="1" applyBorder="1" applyAlignment="1">
      <alignment horizontal="center" vertical="top" wrapText="1"/>
    </xf>
    <xf numFmtId="0" fontId="31" fillId="3" borderId="20" xfId="0" applyFont="1" applyFill="1" applyBorder="1" applyAlignment="1">
      <alignment horizontal="center" vertical="top" wrapText="1"/>
    </xf>
    <xf numFmtId="0" fontId="28" fillId="3" borderId="8" xfId="2" applyFont="1" applyFill="1" applyBorder="1" applyAlignment="1">
      <alignment horizontal="center" vertical="center" wrapText="1"/>
    </xf>
    <xf numFmtId="0" fontId="28" fillId="3" borderId="2" xfId="2" applyNumberFormat="1" applyFont="1" applyFill="1" applyBorder="1" applyAlignment="1">
      <alignment horizontal="center" vertical="center" wrapText="1"/>
    </xf>
    <xf numFmtId="0" fontId="31" fillId="3" borderId="2" xfId="0" applyNumberFormat="1" applyFont="1" applyFill="1" applyBorder="1" applyAlignment="1">
      <alignment horizontal="center" vertical="center" wrapText="1"/>
    </xf>
    <xf numFmtId="165" fontId="7" fillId="2" borderId="0" xfId="2" applyNumberFormat="1" applyFont="1" applyFill="1" applyBorder="1" applyAlignment="1">
      <alignment horizontal="center" wrapText="1"/>
    </xf>
    <xf numFmtId="165" fontId="7" fillId="2" borderId="2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25" xfId="1" applyFont="1" applyFill="1" applyBorder="1" applyAlignment="1">
      <alignment horizontal="center" vertical="center" wrapText="1"/>
    </xf>
    <xf numFmtId="0" fontId="0" fillId="3" borderId="20" xfId="0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0" fillId="0" borderId="0" xfId="0" applyFont="1" applyAlignment="1"/>
    <xf numFmtId="0" fontId="12" fillId="0" borderId="2" xfId="4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9" fillId="5" borderId="26" xfId="3" applyFont="1" applyFill="1" applyBorder="1" applyAlignment="1">
      <alignment horizontal="center" vertical="center" wrapText="1"/>
    </xf>
    <xf numFmtId="0" fontId="19" fillId="5" borderId="29" xfId="3" applyFont="1" applyFill="1" applyBorder="1" applyAlignment="1">
      <alignment horizontal="center" vertical="center" wrapText="1"/>
    </xf>
    <xf numFmtId="0" fontId="19" fillId="5" borderId="21" xfId="3" applyFont="1" applyFill="1" applyBorder="1" applyAlignment="1">
      <alignment horizontal="center" vertical="center" wrapText="1"/>
    </xf>
    <xf numFmtId="0" fontId="20" fillId="3" borderId="7" xfId="3" applyFont="1" applyFill="1" applyBorder="1" applyAlignment="1">
      <alignment horizontal="center" vertical="top"/>
    </xf>
    <xf numFmtId="0" fontId="20" fillId="3" borderId="27" xfId="3" applyFont="1" applyFill="1" applyBorder="1" applyAlignment="1">
      <alignment horizontal="center" vertical="top"/>
    </xf>
    <xf numFmtId="0" fontId="20" fillId="3" borderId="28" xfId="3" applyFont="1" applyFill="1" applyBorder="1" applyAlignment="1">
      <alignment horizontal="center" vertical="top"/>
    </xf>
    <xf numFmtId="0" fontId="5" fillId="3" borderId="2" xfId="3" applyFont="1" applyFill="1" applyBorder="1" applyAlignment="1">
      <alignment horizontal="center" vertical="center" wrapText="1"/>
    </xf>
    <xf numFmtId="0" fontId="5" fillId="3" borderId="26" xfId="3" applyFont="1" applyFill="1" applyBorder="1" applyAlignment="1">
      <alignment horizontal="center" vertical="center" wrapText="1"/>
    </xf>
    <xf numFmtId="0" fontId="5" fillId="3" borderId="29" xfId="3" applyFont="1" applyFill="1" applyBorder="1" applyAlignment="1">
      <alignment horizontal="center" vertical="center" wrapText="1"/>
    </xf>
    <xf numFmtId="0" fontId="5" fillId="3" borderId="21" xfId="3" applyFont="1" applyFill="1" applyBorder="1" applyAlignment="1">
      <alignment horizontal="center" vertical="center" wrapText="1"/>
    </xf>
    <xf numFmtId="0" fontId="19" fillId="3" borderId="8" xfId="3" applyFont="1" applyFill="1" applyBorder="1" applyAlignment="1">
      <alignment horizontal="center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0" xfId="3" applyFont="1" applyFill="1" applyBorder="1" applyAlignment="1">
      <alignment horizontal="center" vertical="center" wrapText="1"/>
    </xf>
    <xf numFmtId="0" fontId="19" fillId="5" borderId="7" xfId="3" applyFont="1" applyFill="1" applyBorder="1" applyAlignment="1">
      <alignment horizontal="center" vertical="center" wrapText="1"/>
    </xf>
    <xf numFmtId="0" fontId="19" fillId="5" borderId="27" xfId="3" applyFont="1" applyFill="1" applyBorder="1" applyAlignment="1">
      <alignment horizontal="center" vertical="center" wrapText="1"/>
    </xf>
    <xf numFmtId="0" fontId="19" fillId="5" borderId="28" xfId="3" applyFont="1" applyFill="1" applyBorder="1" applyAlignment="1">
      <alignment horizontal="center" vertical="center" wrapText="1"/>
    </xf>
    <xf numFmtId="0" fontId="19" fillId="3" borderId="7" xfId="3" applyFont="1" applyFill="1" applyBorder="1" applyAlignment="1">
      <alignment horizontal="center" vertical="center" wrapText="1"/>
    </xf>
    <xf numFmtId="0" fontId="19" fillId="3" borderId="27" xfId="3" applyFont="1" applyFill="1" applyBorder="1" applyAlignment="1">
      <alignment horizontal="center" vertical="center" wrapText="1"/>
    </xf>
    <xf numFmtId="0" fontId="19" fillId="3" borderId="28" xfId="3" applyFont="1" applyFill="1" applyBorder="1" applyAlignment="1">
      <alignment horizontal="center" vertical="center" wrapText="1"/>
    </xf>
    <xf numFmtId="0" fontId="19" fillId="5" borderId="2" xfId="3" applyFont="1" applyFill="1" applyBorder="1" applyAlignment="1">
      <alignment horizontal="center" vertical="center" wrapText="1"/>
    </xf>
    <xf numFmtId="0" fontId="19" fillId="3" borderId="2" xfId="3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 wrapText="1"/>
    </xf>
    <xf numFmtId="0" fontId="5" fillId="3" borderId="25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20" fillId="3" borderId="2" xfId="3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0" fontId="19" fillId="5" borderId="8" xfId="3" applyFont="1" applyFill="1" applyBorder="1" applyAlignment="1">
      <alignment horizontal="center" vertical="center" wrapText="1"/>
    </xf>
    <xf numFmtId="0" fontId="19" fillId="5" borderId="25" xfId="3" applyFont="1" applyFill="1" applyBorder="1" applyAlignment="1">
      <alignment horizontal="center" vertical="center" wrapText="1"/>
    </xf>
    <xf numFmtId="0" fontId="19" fillId="5" borderId="20" xfId="3" applyFont="1" applyFill="1" applyBorder="1" applyAlignment="1">
      <alignment horizontal="center" vertical="center" wrapText="1"/>
    </xf>
    <xf numFmtId="0" fontId="20" fillId="3" borderId="8" xfId="3" applyFont="1" applyFill="1" applyBorder="1" applyAlignment="1">
      <alignment horizontal="center" vertical="center" wrapText="1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0" xfId="3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/>
    </xf>
    <xf numFmtId="0" fontId="5" fillId="3" borderId="25" xfId="3" applyFont="1" applyFill="1" applyBorder="1" applyAlignment="1">
      <alignment horizontal="center" vertical="center"/>
    </xf>
    <xf numFmtId="0" fontId="5" fillId="3" borderId="20" xfId="3" applyFont="1" applyFill="1" applyBorder="1" applyAlignment="1">
      <alignment horizontal="center" vertical="center"/>
    </xf>
    <xf numFmtId="0" fontId="20" fillId="3" borderId="26" xfId="3" applyFont="1" applyFill="1" applyBorder="1" applyAlignment="1">
      <alignment horizontal="center" vertical="center" wrapText="1"/>
    </xf>
    <xf numFmtId="0" fontId="20" fillId="3" borderId="29" xfId="3" applyFont="1" applyFill="1" applyBorder="1" applyAlignment="1">
      <alignment horizontal="center" vertical="center" wrapText="1"/>
    </xf>
    <xf numFmtId="0" fontId="20" fillId="3" borderId="21" xfId="3" applyFont="1" applyFill="1" applyBorder="1" applyAlignment="1">
      <alignment horizontal="center" vertical="center" wrapText="1"/>
    </xf>
    <xf numFmtId="0" fontId="19" fillId="5" borderId="8" xfId="3" applyFont="1" applyFill="1" applyBorder="1" applyAlignment="1">
      <alignment horizontal="center" vertical="center"/>
    </xf>
    <xf numFmtId="0" fontId="19" fillId="5" borderId="25" xfId="3" applyFont="1" applyFill="1" applyBorder="1" applyAlignment="1">
      <alignment horizontal="center" vertical="center"/>
    </xf>
    <xf numFmtId="0" fontId="19" fillId="5" borderId="20" xfId="3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27" xfId="3" applyFont="1" applyFill="1" applyBorder="1" applyAlignment="1">
      <alignment horizontal="center" vertical="center"/>
    </xf>
    <xf numFmtId="0" fontId="5" fillId="3" borderId="28" xfId="3" applyFont="1" applyFill="1" applyBorder="1" applyAlignment="1">
      <alignment horizontal="center" vertical="center"/>
    </xf>
    <xf numFmtId="0" fontId="19" fillId="3" borderId="26" xfId="3" applyFont="1" applyFill="1" applyBorder="1" applyAlignment="1">
      <alignment horizontal="center" vertical="center" wrapText="1"/>
    </xf>
    <xf numFmtId="0" fontId="19" fillId="3" borderId="29" xfId="3" applyFont="1" applyFill="1" applyBorder="1" applyAlignment="1">
      <alignment horizontal="center" vertical="center" wrapText="1"/>
    </xf>
    <xf numFmtId="0" fontId="19" fillId="3" borderId="21" xfId="3" applyFont="1" applyFill="1" applyBorder="1" applyAlignment="1">
      <alignment horizontal="center" vertical="center" wrapText="1"/>
    </xf>
    <xf numFmtId="0" fontId="19" fillId="5" borderId="9" xfId="3" applyFont="1" applyFill="1" applyBorder="1" applyAlignment="1">
      <alignment horizontal="center" vertical="center" wrapText="1"/>
    </xf>
    <xf numFmtId="0" fontId="19" fillId="5" borderId="0" xfId="3" applyFont="1" applyFill="1" applyBorder="1" applyAlignment="1">
      <alignment horizontal="center" vertical="center" wrapText="1"/>
    </xf>
    <xf numFmtId="0" fontId="19" fillId="5" borderId="30" xfId="3" applyFont="1" applyFill="1" applyBorder="1" applyAlignment="1">
      <alignment horizontal="center" vertical="center" wrapText="1"/>
    </xf>
    <xf numFmtId="0" fontId="19" fillId="3" borderId="6" xfId="3" applyFont="1" applyFill="1" applyBorder="1" applyAlignment="1">
      <alignment horizontal="center" vertical="center" wrapText="1"/>
    </xf>
    <xf numFmtId="0" fontId="33" fillId="0" borderId="25" xfId="0" applyFont="1" applyBorder="1"/>
    <xf numFmtId="0" fontId="33" fillId="0" borderId="20" xfId="0" applyFont="1" applyBorder="1"/>
    <xf numFmtId="0" fontId="20" fillId="3" borderId="8" xfId="3" applyFont="1" applyFill="1" applyBorder="1" applyAlignment="1">
      <alignment horizontal="center" vertical="top"/>
    </xf>
    <xf numFmtId="0" fontId="20" fillId="3" borderId="25" xfId="3" applyFont="1" applyFill="1" applyBorder="1" applyAlignment="1">
      <alignment horizontal="center" vertical="top"/>
    </xf>
    <xf numFmtId="0" fontId="20" fillId="3" borderId="20" xfId="3" applyFont="1" applyFill="1" applyBorder="1" applyAlignment="1">
      <alignment horizontal="center" vertical="top"/>
    </xf>
    <xf numFmtId="0" fontId="5" fillId="3" borderId="0" xfId="3" applyFont="1" applyFill="1" applyBorder="1" applyAlignment="1">
      <alignment horizontal="left" vertical="top" wrapText="1"/>
    </xf>
    <xf numFmtId="0" fontId="33" fillId="3" borderId="0" xfId="0" applyFont="1" applyFill="1" applyAlignment="1">
      <alignment horizontal="left" vertical="top" wrapText="1"/>
    </xf>
    <xf numFmtId="0" fontId="5" fillId="3" borderId="0" xfId="3" applyFont="1" applyFill="1" applyBorder="1" applyAlignment="1">
      <alignment horizontal="left" vertical="center" wrapText="1"/>
    </xf>
    <xf numFmtId="0" fontId="33" fillId="3" borderId="0" xfId="0" applyFont="1" applyFill="1" applyAlignment="1">
      <alignment horizontal="left" vertical="center" wrapText="1"/>
    </xf>
    <xf numFmtId="0" fontId="5" fillId="3" borderId="0" xfId="3" applyFont="1" applyFill="1" applyBorder="1" applyAlignment="1">
      <alignment horizontal="center" vertical="center"/>
    </xf>
    <xf numFmtId="0" fontId="5" fillId="3" borderId="0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20" fillId="3" borderId="9" xfId="3" applyFont="1" applyFill="1" applyBorder="1" applyAlignment="1">
      <alignment horizontal="center" vertical="center" wrapText="1"/>
    </xf>
    <xf numFmtId="0" fontId="20" fillId="3" borderId="0" xfId="3" applyFont="1" applyFill="1" applyBorder="1" applyAlignment="1">
      <alignment horizontal="center" vertical="center" wrapText="1"/>
    </xf>
    <xf numFmtId="0" fontId="20" fillId="3" borderId="30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left" vertical="center" wrapText="1"/>
    </xf>
    <xf numFmtId="0" fontId="5" fillId="3" borderId="6" xfId="3" applyFont="1" applyFill="1" applyBorder="1" applyAlignment="1">
      <alignment horizontal="left" vertical="center" wrapText="1"/>
    </xf>
    <xf numFmtId="0" fontId="5" fillId="3" borderId="4" xfId="3" applyFont="1" applyFill="1" applyBorder="1" applyAlignment="1">
      <alignment horizontal="left" vertical="center" wrapText="1"/>
    </xf>
    <xf numFmtId="166" fontId="5" fillId="3" borderId="6" xfId="3" applyNumberFormat="1" applyFont="1" applyFill="1" applyBorder="1" applyAlignment="1">
      <alignment horizontal="center" vertical="center"/>
    </xf>
    <xf numFmtId="166" fontId="5" fillId="3" borderId="4" xfId="3" applyNumberFormat="1" applyFont="1" applyFill="1" applyBorder="1" applyAlignment="1">
      <alignment horizontal="center" vertical="center"/>
    </xf>
    <xf numFmtId="166" fontId="5" fillId="3" borderId="26" xfId="3" applyNumberFormat="1" applyFont="1" applyFill="1" applyBorder="1" applyAlignment="1">
      <alignment horizontal="center" vertical="center"/>
    </xf>
    <xf numFmtId="166" fontId="5" fillId="3" borderId="7" xfId="3" applyNumberFormat="1" applyFont="1" applyFill="1" applyBorder="1" applyAlignment="1">
      <alignment horizontal="center" vertical="center"/>
    </xf>
    <xf numFmtId="166" fontId="5" fillId="3" borderId="8" xfId="3" applyNumberFormat="1" applyFont="1" applyFill="1" applyBorder="1" applyAlignment="1">
      <alignment horizontal="center" vertical="center"/>
    </xf>
    <xf numFmtId="166" fontId="5" fillId="3" borderId="2" xfId="3" applyNumberFormat="1" applyFont="1" applyFill="1" applyBorder="1" applyAlignment="1">
      <alignment horizontal="center" vertical="center"/>
    </xf>
    <xf numFmtId="0" fontId="20" fillId="3" borderId="7" xfId="3" applyFont="1" applyFill="1" applyBorder="1" applyAlignment="1">
      <alignment horizontal="center" vertical="center" wrapText="1"/>
    </xf>
    <xf numFmtId="0" fontId="20" fillId="3" borderId="27" xfId="3" applyFont="1" applyFill="1" applyBorder="1" applyAlignment="1">
      <alignment horizontal="center" vertical="center" wrapText="1"/>
    </xf>
    <xf numFmtId="0" fontId="20" fillId="3" borderId="28" xfId="3" applyFont="1" applyFill="1" applyBorder="1" applyAlignment="1">
      <alignment horizontal="center" vertical="center" wrapText="1"/>
    </xf>
    <xf numFmtId="0" fontId="39" fillId="3" borderId="0" xfId="0" applyFont="1" applyFill="1" applyAlignment="1">
      <alignment wrapText="1"/>
    </xf>
    <xf numFmtId="0" fontId="39" fillId="3" borderId="0" xfId="0" applyFont="1" applyFill="1" applyAlignment="1">
      <alignment horizontal="left" vertical="top" wrapText="1"/>
    </xf>
    <xf numFmtId="0" fontId="39" fillId="3" borderId="0" xfId="0" applyFont="1" applyFill="1" applyAlignment="1">
      <alignment horizontal="left"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wrapText="1"/>
    </xf>
    <xf numFmtId="0" fontId="40" fillId="0" borderId="0" xfId="0" applyFont="1" applyFill="1" applyAlignment="1">
      <alignment wrapText="1"/>
    </xf>
    <xf numFmtId="0" fontId="39" fillId="0" borderId="2" xfId="0" applyFont="1" applyFill="1" applyBorder="1" applyAlignment="1">
      <alignment horizontal="center" vertical="top" wrapText="1"/>
    </xf>
    <xf numFmtId="167" fontId="39" fillId="3" borderId="0" xfId="0" applyNumberFormat="1" applyFont="1" applyFill="1" applyAlignment="1">
      <alignment wrapText="1"/>
    </xf>
    <xf numFmtId="0" fontId="39" fillId="0" borderId="2" xfId="0" applyFont="1" applyFill="1" applyBorder="1" applyAlignment="1">
      <alignment horizontal="center" vertical="top" wrapText="1"/>
    </xf>
    <xf numFmtId="0" fontId="39" fillId="0" borderId="8" xfId="0" applyFont="1" applyFill="1" applyBorder="1" applyAlignment="1">
      <alignment horizontal="center" vertical="top" wrapText="1"/>
    </xf>
    <xf numFmtId="0" fontId="39" fillId="0" borderId="25" xfId="0" applyFont="1" applyFill="1" applyBorder="1" applyAlignment="1">
      <alignment horizontal="center" vertical="top" wrapText="1"/>
    </xf>
    <xf numFmtId="0" fontId="39" fillId="0" borderId="20" xfId="0" applyFont="1" applyFill="1" applyBorder="1" applyAlignment="1">
      <alignment horizontal="center" vertical="top" wrapText="1"/>
    </xf>
    <xf numFmtId="0" fontId="39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vertical="top" wrapText="1"/>
    </xf>
    <xf numFmtId="167" fontId="41" fillId="0" borderId="2" xfId="0" applyNumberFormat="1" applyFont="1" applyFill="1" applyBorder="1" applyAlignment="1">
      <alignment horizontal="right" vertical="top" wrapText="1"/>
    </xf>
    <xf numFmtId="169" fontId="39" fillId="3" borderId="0" xfId="0" applyNumberFormat="1" applyFont="1" applyFill="1" applyAlignment="1">
      <alignment wrapText="1"/>
    </xf>
    <xf numFmtId="167" fontId="39" fillId="0" borderId="2" xfId="0" applyNumberFormat="1" applyFont="1" applyFill="1" applyBorder="1" applyAlignment="1">
      <alignment horizontal="right" vertical="top" wrapText="1"/>
    </xf>
    <xf numFmtId="49" fontId="39" fillId="0" borderId="2" xfId="0" applyNumberFormat="1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vertical="top" wrapText="1"/>
    </xf>
    <xf numFmtId="0" fontId="39" fillId="0" borderId="6" xfId="0" applyFont="1" applyFill="1" applyBorder="1" applyAlignment="1">
      <alignment horizontal="center" vertical="top" wrapText="1"/>
    </xf>
    <xf numFmtId="0" fontId="26" fillId="0" borderId="6" xfId="0" applyFont="1" applyFill="1" applyBorder="1" applyAlignment="1">
      <alignment horizontal="left" vertical="top" wrapText="1"/>
    </xf>
    <xf numFmtId="0" fontId="39" fillId="0" borderId="11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left" vertical="top" wrapText="1"/>
    </xf>
    <xf numFmtId="0" fontId="39" fillId="0" borderId="6" xfId="0" applyFont="1" applyFill="1" applyBorder="1" applyAlignment="1">
      <alignment horizontal="left" vertical="top" wrapText="1"/>
    </xf>
    <xf numFmtId="49" fontId="39" fillId="0" borderId="6" xfId="0" applyNumberFormat="1" applyFont="1" applyFill="1" applyBorder="1" applyAlignment="1">
      <alignment horizontal="center" vertical="top" wrapText="1"/>
    </xf>
    <xf numFmtId="0" fontId="39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vertical="top" wrapText="1"/>
    </xf>
    <xf numFmtId="49" fontId="39" fillId="0" borderId="0" xfId="0" applyNumberFormat="1" applyFont="1" applyFill="1" applyBorder="1" applyAlignment="1">
      <alignment horizontal="center" vertical="top" wrapText="1"/>
    </xf>
    <xf numFmtId="167" fontId="39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vertical="top" wrapText="1"/>
    </xf>
    <xf numFmtId="0" fontId="42" fillId="0" borderId="0" xfId="0" applyFont="1" applyFill="1" applyAlignment="1">
      <alignment horizontal="left" vertical="top" wrapText="1"/>
    </xf>
    <xf numFmtId="0" fontId="42" fillId="0" borderId="0" xfId="0" applyFont="1" applyFill="1" applyAlignment="1">
      <alignment vertical="top" wrapText="1"/>
    </xf>
    <xf numFmtId="166" fontId="42" fillId="0" borderId="0" xfId="0" applyNumberFormat="1" applyFont="1" applyFill="1" applyAlignment="1">
      <alignment vertical="top" wrapText="1"/>
    </xf>
    <xf numFmtId="0" fontId="42" fillId="0" borderId="0" xfId="0" applyFont="1" applyFill="1" applyAlignment="1">
      <alignment horizontal="center" vertical="top" wrapText="1"/>
    </xf>
    <xf numFmtId="0" fontId="43" fillId="0" borderId="0" xfId="0" applyFont="1" applyFill="1" applyAlignment="1">
      <alignment horizontal="center" vertical="top" wrapText="1"/>
    </xf>
    <xf numFmtId="0" fontId="42" fillId="3" borderId="0" xfId="0" applyFont="1" applyFill="1" applyAlignment="1">
      <alignment horizontal="center" vertical="top" wrapText="1"/>
    </xf>
    <xf numFmtId="0" fontId="39" fillId="3" borderId="0" xfId="0" applyFont="1" applyFill="1" applyBorder="1" applyAlignment="1">
      <alignment vertical="top" wrapText="1"/>
    </xf>
    <xf numFmtId="0" fontId="26" fillId="3" borderId="0" xfId="0" applyFont="1" applyFill="1" applyBorder="1" applyAlignment="1">
      <alignment vertical="top" wrapText="1"/>
    </xf>
    <xf numFmtId="49" fontId="39" fillId="3" borderId="0" xfId="0" applyNumberFormat="1" applyFont="1" applyFill="1" applyBorder="1" applyAlignment="1">
      <alignment horizontal="center" vertical="top" wrapText="1"/>
    </xf>
    <xf numFmtId="0" fontId="39" fillId="3" borderId="0" xfId="0" applyFont="1" applyFill="1" applyBorder="1" applyAlignment="1">
      <alignment horizontal="center" vertical="top" wrapText="1"/>
    </xf>
    <xf numFmtId="167" fontId="39" fillId="3" borderId="0" xfId="0" applyNumberFormat="1" applyFont="1" applyFill="1" applyBorder="1" applyAlignment="1">
      <alignment horizontal="right" vertical="top" wrapText="1"/>
    </xf>
    <xf numFmtId="167" fontId="39" fillId="4" borderId="0" xfId="0" applyNumberFormat="1" applyFont="1" applyFill="1" applyBorder="1" applyAlignment="1">
      <alignment horizontal="right" vertical="top" wrapText="1"/>
    </xf>
    <xf numFmtId="49" fontId="39" fillId="3" borderId="0" xfId="0" applyNumberFormat="1" applyFont="1" applyFill="1" applyAlignment="1">
      <alignment wrapText="1"/>
    </xf>
    <xf numFmtId="0" fontId="39" fillId="4" borderId="0" xfId="0" applyFont="1" applyFill="1" applyAlignment="1">
      <alignment wrapText="1"/>
    </xf>
    <xf numFmtId="0" fontId="42" fillId="3" borderId="0" xfId="0" applyFont="1" applyFill="1" applyAlignment="1">
      <alignment horizontal="left" vertical="top" wrapText="1"/>
    </xf>
    <xf numFmtId="0" fontId="42" fillId="3" borderId="0" xfId="0" applyFont="1" applyFill="1" applyAlignment="1">
      <alignment vertical="top" wrapText="1"/>
    </xf>
    <xf numFmtId="0" fontId="42" fillId="3" borderId="0" xfId="0" applyFont="1" applyFill="1" applyAlignment="1">
      <alignment horizontal="right" vertical="top" wrapText="1"/>
    </xf>
    <xf numFmtId="0" fontId="39" fillId="3" borderId="0" xfId="7" applyFont="1" applyFill="1" applyAlignment="1">
      <alignment horizontal="left" vertical="top" wrapText="1"/>
    </xf>
    <xf numFmtId="2" fontId="39" fillId="3" borderId="0" xfId="0" applyNumberFormat="1" applyFont="1" applyFill="1" applyAlignment="1">
      <alignment horizontal="right" vertical="top" wrapText="1"/>
    </xf>
    <xf numFmtId="166" fontId="39" fillId="3" borderId="0" xfId="0" applyNumberFormat="1" applyFont="1" applyFill="1" applyAlignment="1">
      <alignment vertical="top" wrapText="1"/>
    </xf>
    <xf numFmtId="0" fontId="39" fillId="3" borderId="0" xfId="0" applyFont="1" applyFill="1" applyAlignment="1">
      <alignment vertical="top" wrapText="1"/>
    </xf>
    <xf numFmtId="0" fontId="39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26" fillId="0" borderId="0" xfId="0" applyFont="1" applyFill="1" applyAlignment="1">
      <alignment wrapText="1"/>
    </xf>
    <xf numFmtId="0" fontId="26" fillId="0" borderId="2" xfId="0" applyFont="1" applyFill="1" applyBorder="1" applyAlignment="1">
      <alignment horizontal="center" vertical="top" wrapText="1"/>
    </xf>
    <xf numFmtId="167" fontId="44" fillId="0" borderId="2" xfId="0" applyNumberFormat="1" applyFont="1" applyFill="1" applyBorder="1" applyAlignment="1">
      <alignment horizontal="right" vertical="top" wrapText="1"/>
    </xf>
    <xf numFmtId="167" fontId="26" fillId="0" borderId="2" xfId="0" applyNumberFormat="1" applyFont="1" applyFill="1" applyBorder="1" applyAlignment="1">
      <alignment horizontal="right" vertical="top" wrapText="1"/>
    </xf>
    <xf numFmtId="167" fontId="26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/>
    <xf numFmtId="167" fontId="8" fillId="0" borderId="0" xfId="0" applyNumberFormat="1" applyFont="1" applyFill="1"/>
    <xf numFmtId="0" fontId="8" fillId="3" borderId="0" xfId="0" applyFont="1" applyFill="1"/>
    <xf numFmtId="0" fontId="8" fillId="4" borderId="0" xfId="0" applyFont="1" applyFill="1"/>
    <xf numFmtId="0" fontId="26" fillId="3" borderId="0" xfId="0" applyFont="1" applyFill="1" applyAlignment="1">
      <alignment horizontal="left" vertical="top" wrapText="1"/>
    </xf>
    <xf numFmtId="0" fontId="26" fillId="3" borderId="0" xfId="0" applyFont="1" applyFill="1" applyAlignment="1">
      <alignment wrapText="1"/>
    </xf>
    <xf numFmtId="0" fontId="26" fillId="3" borderId="0" xfId="0" applyFont="1" applyFill="1" applyAlignment="1">
      <alignment horizontal="left" wrapText="1"/>
    </xf>
    <xf numFmtId="0" fontId="26" fillId="0" borderId="0" xfId="0" applyFont="1" applyFill="1" applyAlignment="1">
      <alignment horizontal="center" wrapText="1"/>
    </xf>
    <xf numFmtId="0" fontId="26" fillId="0" borderId="2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vertical="top" wrapText="1"/>
    </xf>
    <xf numFmtId="169" fontId="8" fillId="3" borderId="0" xfId="0" applyNumberFormat="1" applyFont="1" applyFill="1"/>
    <xf numFmtId="167" fontId="8" fillId="3" borderId="0" xfId="0" applyNumberFormat="1" applyFont="1" applyFill="1"/>
    <xf numFmtId="0" fontId="26" fillId="0" borderId="2" xfId="0" applyFont="1" applyFill="1" applyBorder="1" applyAlignment="1">
      <alignment horizontal="left" vertical="top" wrapText="1" indent="3"/>
    </xf>
    <xf numFmtId="167" fontId="26" fillId="3" borderId="0" xfId="0" applyNumberFormat="1" applyFont="1" applyFill="1"/>
    <xf numFmtId="164" fontId="8" fillId="3" borderId="0" xfId="0" applyNumberFormat="1" applyFont="1" applyFill="1"/>
    <xf numFmtId="0" fontId="26" fillId="0" borderId="0" xfId="0" applyFont="1" applyFill="1" applyBorder="1" applyAlignment="1">
      <alignment horizontal="left" vertical="top" wrapText="1" indent="3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34" fillId="0" borderId="0" xfId="6" applyFont="1"/>
    <xf numFmtId="0" fontId="4" fillId="0" borderId="0" xfId="6" applyFont="1" applyAlignment="1">
      <alignment wrapText="1"/>
    </xf>
    <xf numFmtId="0" fontId="4" fillId="0" borderId="0" xfId="0" applyFont="1" applyAlignment="1"/>
    <xf numFmtId="0" fontId="4" fillId="0" borderId="0" xfId="6" applyFont="1" applyAlignment="1">
      <alignment vertical="top" wrapText="1"/>
    </xf>
    <xf numFmtId="0" fontId="4" fillId="0" borderId="0" xfId="6" applyFont="1" applyAlignment="1">
      <alignment horizontal="center" vertical="top" wrapText="1"/>
    </xf>
    <xf numFmtId="0" fontId="4" fillId="0" borderId="0" xfId="6" applyFont="1" applyAlignment="1">
      <alignment horizontal="left" vertical="top" wrapText="1"/>
    </xf>
    <xf numFmtId="0" fontId="4" fillId="0" borderId="0" xfId="6" applyFont="1" applyAlignment="1">
      <alignment horizontal="left" wrapText="1"/>
    </xf>
    <xf numFmtId="0" fontId="45" fillId="3" borderId="0" xfId="6" applyFont="1" applyFill="1" applyAlignment="1">
      <alignment horizontal="center" vertical="top" wrapText="1"/>
    </xf>
    <xf numFmtId="0" fontId="34" fillId="3" borderId="0" xfId="6" applyFont="1" applyFill="1"/>
    <xf numFmtId="0" fontId="44" fillId="0" borderId="6" xfId="6" applyFont="1" applyBorder="1" applyAlignment="1">
      <alignment horizontal="center" vertical="top" wrapText="1"/>
    </xf>
    <xf numFmtId="0" fontId="44" fillId="0" borderId="2" xfId="6" applyFont="1" applyBorder="1" applyAlignment="1">
      <alignment horizontal="center" vertical="top" wrapText="1"/>
    </xf>
    <xf numFmtId="0" fontId="44" fillId="0" borderId="8" xfId="6" applyFont="1" applyBorder="1" applyAlignment="1">
      <alignment horizontal="center" vertical="top" wrapText="1"/>
    </xf>
    <xf numFmtId="0" fontId="44" fillId="0" borderId="25" xfId="6" applyFont="1" applyBorder="1" applyAlignment="1">
      <alignment horizontal="center" vertical="top" wrapText="1"/>
    </xf>
    <xf numFmtId="0" fontId="44" fillId="0" borderId="20" xfId="6" applyFont="1" applyBorder="1" applyAlignment="1">
      <alignment horizontal="center" vertical="top" wrapText="1"/>
    </xf>
    <xf numFmtId="0" fontId="34" fillId="0" borderId="25" xfId="0" applyFont="1" applyBorder="1" applyAlignment="1"/>
    <xf numFmtId="0" fontId="34" fillId="0" borderId="20" xfId="0" applyFont="1" applyBorder="1" applyAlignment="1"/>
    <xf numFmtId="0" fontId="44" fillId="0" borderId="4" xfId="6" applyFont="1" applyBorder="1" applyAlignment="1">
      <alignment horizontal="center" vertical="top" wrapText="1"/>
    </xf>
    <xf numFmtId="0" fontId="44" fillId="0" borderId="20" xfId="6" applyFont="1" applyBorder="1" applyAlignment="1">
      <alignment horizontal="center" vertical="top" wrapText="1"/>
    </xf>
    <xf numFmtId="0" fontId="44" fillId="0" borderId="2" xfId="6" applyFont="1" applyBorder="1" applyAlignment="1">
      <alignment horizontal="center" vertical="top" wrapText="1"/>
    </xf>
    <xf numFmtId="0" fontId="26" fillId="0" borderId="2" xfId="6" applyFont="1" applyBorder="1" applyAlignment="1">
      <alignment horizontal="right" vertical="top" wrapText="1"/>
    </xf>
    <xf numFmtId="0" fontId="26" fillId="3" borderId="8" xfId="6" applyFont="1" applyFill="1" applyBorder="1" applyAlignment="1">
      <alignment horizontal="left" vertical="top" wrapText="1"/>
    </xf>
    <xf numFmtId="0" fontId="26" fillId="3" borderId="2" xfId="6" applyFont="1" applyFill="1" applyBorder="1" applyAlignment="1">
      <alignment vertical="top" wrapText="1"/>
    </xf>
    <xf numFmtId="0" fontId="26" fillId="0" borderId="2" xfId="6" applyFont="1" applyBorder="1" applyAlignment="1">
      <alignment horizontal="center" vertical="top" wrapText="1"/>
    </xf>
    <xf numFmtId="0" fontId="34" fillId="0" borderId="2" xfId="1" applyFont="1" applyBorder="1" applyAlignment="1">
      <alignment horizontal="center" vertical="top"/>
    </xf>
    <xf numFmtId="49" fontId="34" fillId="0" borderId="2" xfId="1" applyNumberFormat="1" applyFont="1" applyBorder="1" applyAlignment="1">
      <alignment horizontal="center" vertical="top"/>
    </xf>
    <xf numFmtId="49" fontId="34" fillId="3" borderId="2" xfId="1" applyNumberFormat="1" applyFont="1" applyFill="1" applyBorder="1" applyAlignment="1">
      <alignment horizontal="center" vertical="top"/>
    </xf>
    <xf numFmtId="49" fontId="34" fillId="0" borderId="2" xfId="1" applyNumberFormat="1" applyFont="1" applyBorder="1" applyAlignment="1">
      <alignment horizontal="center" vertical="top" wrapText="1"/>
    </xf>
    <xf numFmtId="49" fontId="34" fillId="0" borderId="8" xfId="1" applyNumberFormat="1" applyFont="1" applyBorder="1" applyAlignment="1">
      <alignment horizontal="center" vertical="top" wrapText="1"/>
    </xf>
    <xf numFmtId="49" fontId="34" fillId="0" borderId="2" xfId="1" applyNumberFormat="1" applyFont="1" applyFill="1" applyBorder="1" applyAlignment="1">
      <alignment horizontal="center" vertical="top" wrapText="1"/>
    </xf>
    <xf numFmtId="49" fontId="34" fillId="0" borderId="20" xfId="1" applyNumberFormat="1" applyFont="1" applyFill="1" applyBorder="1" applyAlignment="1">
      <alignment horizontal="center" vertical="top" wrapText="1"/>
    </xf>
    <xf numFmtId="49" fontId="34" fillId="0" borderId="8" xfId="1" applyNumberFormat="1" applyFont="1" applyFill="1" applyBorder="1" applyAlignment="1">
      <alignment horizontal="center" vertical="top" wrapText="1"/>
    </xf>
    <xf numFmtId="16" fontId="26" fillId="0" borderId="2" xfId="6" applyNumberFormat="1" applyFont="1" applyBorder="1" applyAlignment="1">
      <alignment horizontal="right" vertical="top" wrapText="1"/>
    </xf>
    <xf numFmtId="0" fontId="34" fillId="3" borderId="2" xfId="1" applyFont="1" applyFill="1" applyBorder="1" applyAlignment="1">
      <alignment horizontal="left" vertical="top" wrapText="1"/>
    </xf>
    <xf numFmtId="0" fontId="34" fillId="2" borderId="2" xfId="1" applyFont="1" applyFill="1" applyBorder="1" applyAlignment="1">
      <alignment horizontal="center" vertical="top"/>
    </xf>
    <xf numFmtId="166" fontId="34" fillId="0" borderId="2" xfId="1" applyNumberFormat="1" applyFont="1" applyBorder="1" applyAlignment="1">
      <alignment horizontal="center" vertical="top"/>
    </xf>
    <xf numFmtId="166" fontId="34" fillId="3" borderId="2" xfId="1" applyNumberFormat="1" applyFont="1" applyFill="1" applyBorder="1" applyAlignment="1">
      <alignment horizontal="center" vertical="top"/>
    </xf>
    <xf numFmtId="165" fontId="34" fillId="0" borderId="2" xfId="1" applyNumberFormat="1" applyFont="1" applyBorder="1" applyAlignment="1">
      <alignment horizontal="center" vertical="top"/>
    </xf>
    <xf numFmtId="165" fontId="34" fillId="0" borderId="8" xfId="1" applyNumberFormat="1" applyFont="1" applyBorder="1" applyAlignment="1">
      <alignment horizontal="center" vertical="top"/>
    </xf>
    <xf numFmtId="165" fontId="34" fillId="0" borderId="2" xfId="1" applyNumberFormat="1" applyFont="1" applyFill="1" applyBorder="1" applyAlignment="1">
      <alignment horizontal="center" vertical="top"/>
    </xf>
    <xf numFmtId="165" fontId="34" fillId="0" borderId="20" xfId="1" applyNumberFormat="1" applyFont="1" applyFill="1" applyBorder="1" applyAlignment="1">
      <alignment horizontal="center" vertical="top"/>
    </xf>
    <xf numFmtId="165" fontId="34" fillId="0" borderId="8" xfId="1" applyNumberFormat="1" applyFont="1" applyFill="1" applyBorder="1" applyAlignment="1">
      <alignment horizontal="center" vertical="top"/>
    </xf>
    <xf numFmtId="49" fontId="26" fillId="0" borderId="2" xfId="6" applyNumberFormat="1" applyFont="1" applyBorder="1" applyAlignment="1">
      <alignment horizontal="right" vertical="top" wrapText="1"/>
    </xf>
    <xf numFmtId="49" fontId="34" fillId="2" borderId="2" xfId="1" applyNumberFormat="1" applyFont="1" applyFill="1" applyBorder="1" applyAlignment="1">
      <alignment horizontal="center" vertical="top"/>
    </xf>
    <xf numFmtId="49" fontId="34" fillId="0" borderId="8" xfId="1" applyNumberFormat="1" applyFont="1" applyBorder="1" applyAlignment="1">
      <alignment horizontal="center" vertical="top"/>
    </xf>
    <xf numFmtId="49" fontId="34" fillId="0" borderId="2" xfId="1" applyNumberFormat="1" applyFont="1" applyFill="1" applyBorder="1" applyAlignment="1">
      <alignment horizontal="center" vertical="top"/>
    </xf>
    <xf numFmtId="49" fontId="34" fillId="0" borderId="20" xfId="1" applyNumberFormat="1" applyFont="1" applyFill="1" applyBorder="1" applyAlignment="1">
      <alignment horizontal="center" vertical="top"/>
    </xf>
    <xf numFmtId="49" fontId="34" fillId="0" borderId="8" xfId="1" applyNumberFormat="1" applyFont="1" applyFill="1" applyBorder="1" applyAlignment="1">
      <alignment horizontal="center" vertical="top"/>
    </xf>
    <xf numFmtId="0" fontId="34" fillId="3" borderId="2" xfId="1" applyFont="1" applyFill="1" applyBorder="1" applyAlignment="1">
      <alignment vertical="top" wrapText="1"/>
    </xf>
    <xf numFmtId="0" fontId="26" fillId="3" borderId="2" xfId="0" applyFont="1" applyFill="1" applyBorder="1" applyAlignment="1">
      <alignment horizontal="left" vertical="center" wrapText="1"/>
    </xf>
    <xf numFmtId="0" fontId="26" fillId="3" borderId="8" xfId="1" applyFont="1" applyFill="1" applyBorder="1" applyAlignment="1">
      <alignment horizontal="left" vertical="top" wrapText="1"/>
    </xf>
    <xf numFmtId="0" fontId="26" fillId="0" borderId="2" xfId="6" applyFont="1" applyBorder="1" applyAlignment="1">
      <alignment vertical="top" wrapText="1"/>
    </xf>
    <xf numFmtId="3" fontId="34" fillId="0" borderId="2" xfId="2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" borderId="8" xfId="2" applyFont="1" applyFill="1" applyBorder="1" applyAlignment="1">
      <alignment horizontal="center" vertical="center"/>
    </xf>
    <xf numFmtId="0" fontId="34" fillId="0" borderId="20" xfId="2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center" vertical="center"/>
    </xf>
    <xf numFmtId="0" fontId="34" fillId="0" borderId="8" xfId="2" applyFont="1" applyFill="1" applyBorder="1" applyAlignment="1">
      <alignment horizontal="center" vertical="center"/>
    </xf>
    <xf numFmtId="3" fontId="34" fillId="2" borderId="2" xfId="2" applyNumberFormat="1" applyFont="1" applyFill="1" applyBorder="1" applyAlignment="1">
      <alignment horizontal="center" vertical="center" wrapText="1"/>
    </xf>
    <xf numFmtId="0" fontId="34" fillId="2" borderId="20" xfId="2" applyFont="1" applyFill="1" applyBorder="1" applyAlignment="1">
      <alignment horizontal="center" vertical="center"/>
    </xf>
    <xf numFmtId="0" fontId="4" fillId="0" borderId="0" xfId="6" applyFont="1" applyFill="1" applyAlignment="1">
      <alignment vertical="top" wrapText="1"/>
    </xf>
    <xf numFmtId="0" fontId="26" fillId="2" borderId="2" xfId="6" applyFont="1" applyFill="1" applyBorder="1" applyAlignment="1">
      <alignment horizontal="left" vertical="top" wrapText="1"/>
    </xf>
    <xf numFmtId="0" fontId="34" fillId="2" borderId="2" xfId="2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wrapText="1"/>
    </xf>
    <xf numFmtId="0" fontId="26" fillId="2" borderId="8" xfId="6" applyFont="1" applyFill="1" applyBorder="1" applyAlignment="1">
      <alignment horizontal="left" vertical="top" wrapText="1"/>
    </xf>
    <xf numFmtId="0" fontId="34" fillId="0" borderId="25" xfId="0" applyFont="1" applyBorder="1" applyAlignment="1"/>
    <xf numFmtId="0" fontId="26" fillId="3" borderId="2" xfId="1" applyFont="1" applyFill="1" applyBorder="1" applyAlignment="1">
      <alignment horizontal="left" vertical="top" wrapText="1"/>
    </xf>
    <xf numFmtId="2" fontId="34" fillId="0" borderId="2" xfId="1" applyNumberFormat="1" applyFont="1" applyFill="1" applyBorder="1" applyAlignment="1">
      <alignment horizontal="center" vertical="center"/>
    </xf>
    <xf numFmtId="2" fontId="34" fillId="0" borderId="8" xfId="1" applyNumberFormat="1" applyFont="1" applyFill="1" applyBorder="1" applyAlignment="1">
      <alignment horizontal="center" vertical="center"/>
    </xf>
    <xf numFmtId="2" fontId="34" fillId="0" borderId="25" xfId="1" applyNumberFormat="1" applyFont="1" applyFill="1" applyBorder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3" fontId="26" fillId="0" borderId="2" xfId="1" applyNumberFormat="1" applyFont="1" applyBorder="1" applyAlignment="1">
      <alignment horizontal="center" vertical="center" wrapText="1"/>
    </xf>
    <xf numFmtId="3" fontId="26" fillId="3" borderId="8" xfId="1" applyNumberFormat="1" applyFont="1" applyFill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20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/>
    </xf>
    <xf numFmtId="165" fontId="34" fillId="0" borderId="2" xfId="1" applyNumberFormat="1" applyFont="1" applyBorder="1" applyAlignment="1">
      <alignment horizontal="center" vertical="center" wrapText="1"/>
    </xf>
    <xf numFmtId="0" fontId="34" fillId="0" borderId="2" xfId="6" applyFont="1" applyBorder="1" applyAlignment="1">
      <alignment horizontal="right" vertical="top"/>
    </xf>
    <xf numFmtId="0" fontId="26" fillId="0" borderId="26" xfId="6" applyFont="1" applyFill="1" applyBorder="1" applyAlignment="1">
      <alignment horizontal="left" vertical="top" wrapText="1"/>
    </xf>
    <xf numFmtId="0" fontId="34" fillId="0" borderId="29" xfId="0" applyFont="1" applyBorder="1" applyAlignment="1"/>
    <xf numFmtId="0" fontId="26" fillId="0" borderId="4" xfId="4" applyFont="1" applyFill="1" applyBorder="1" applyAlignment="1">
      <alignment vertical="top" wrapText="1"/>
    </xf>
    <xf numFmtId="0" fontId="26" fillId="0" borderId="4" xfId="6" applyFont="1" applyFill="1" applyBorder="1" applyAlignment="1">
      <alignment horizontal="left" vertical="top" wrapText="1"/>
    </xf>
    <xf numFmtId="0" fontId="34" fillId="0" borderId="4" xfId="6" applyFont="1" applyFill="1" applyBorder="1" applyAlignment="1">
      <alignment horizontal="center" vertical="center" wrapText="1"/>
    </xf>
    <xf numFmtId="0" fontId="34" fillId="0" borderId="7" xfId="6" applyFont="1" applyFill="1" applyBorder="1" applyAlignment="1">
      <alignment horizontal="center" vertical="center" wrapText="1"/>
    </xf>
    <xf numFmtId="0" fontId="34" fillId="0" borderId="28" xfId="6" applyFont="1" applyFill="1" applyBorder="1" applyAlignment="1">
      <alignment horizontal="center" vertical="center" wrapText="1"/>
    </xf>
    <xf numFmtId="0" fontId="34" fillId="0" borderId="7" xfId="6" applyFont="1" applyFill="1" applyBorder="1" applyAlignment="1">
      <alignment horizontal="center" vertical="center"/>
    </xf>
    <xf numFmtId="0" fontId="26" fillId="0" borderId="2" xfId="4" applyFont="1" applyFill="1" applyBorder="1" applyAlignment="1">
      <alignment vertical="top" wrapText="1"/>
    </xf>
    <xf numFmtId="0" fontId="26" fillId="0" borderId="2" xfId="6" applyFont="1" applyFill="1" applyBorder="1" applyAlignment="1">
      <alignment horizontal="left" vertical="top" wrapText="1"/>
    </xf>
    <xf numFmtId="0" fontId="34" fillId="0" borderId="2" xfId="6" applyFont="1" applyFill="1" applyBorder="1" applyAlignment="1">
      <alignment horizontal="center" vertical="center" wrapText="1"/>
    </xf>
    <xf numFmtId="0" fontId="34" fillId="0" borderId="8" xfId="6" applyFont="1" applyFill="1" applyBorder="1" applyAlignment="1">
      <alignment horizontal="center" vertical="center" wrapText="1"/>
    </xf>
    <xf numFmtId="0" fontId="34" fillId="0" borderId="20" xfId="6" applyFont="1" applyFill="1" applyBorder="1" applyAlignment="1">
      <alignment horizontal="center" vertical="center" wrapText="1"/>
    </xf>
    <xf numFmtId="0" fontId="34" fillId="0" borderId="8" xfId="6" applyFont="1" applyFill="1" applyBorder="1" applyAlignment="1">
      <alignment horizontal="center" vertical="center"/>
    </xf>
    <xf numFmtId="0" fontId="34" fillId="0" borderId="0" xfId="6" applyFont="1" applyBorder="1" applyAlignment="1">
      <alignment horizontal="right"/>
    </xf>
    <xf numFmtId="0" fontId="34" fillId="0" borderId="0" xfId="6" applyFont="1" applyBorder="1" applyAlignment="1">
      <alignment horizontal="left"/>
    </xf>
    <xf numFmtId="0" fontId="4" fillId="0" borderId="0" xfId="7" applyFont="1" applyFill="1" applyAlignment="1">
      <alignment horizontal="left" vertical="top" wrapText="1"/>
    </xf>
    <xf numFmtId="166" fontId="4" fillId="0" borderId="0" xfId="6" applyNumberFormat="1" applyFont="1" applyFill="1" applyAlignment="1">
      <alignment vertical="top" wrapText="1"/>
    </xf>
    <xf numFmtId="0" fontId="4" fillId="0" borderId="0" xfId="6" applyFont="1" applyFill="1" applyAlignment="1">
      <alignment horizontal="right" vertical="top" wrapText="1"/>
    </xf>
    <xf numFmtId="0" fontId="26" fillId="3" borderId="0" xfId="5" applyFont="1" applyFill="1"/>
    <xf numFmtId="49" fontId="26" fillId="3" borderId="0" xfId="5" applyNumberFormat="1" applyFont="1" applyFill="1"/>
    <xf numFmtId="0" fontId="26" fillId="3" borderId="0" xfId="5" applyFont="1" applyFill="1" applyAlignment="1">
      <alignment horizontal="left" vertical="top" wrapText="1"/>
    </xf>
    <xf numFmtId="166" fontId="26" fillId="3" borderId="0" xfId="5" applyNumberFormat="1" applyFont="1" applyFill="1" applyBorder="1" applyAlignment="1">
      <alignment horizontal="left" vertical="top" wrapText="1"/>
    </xf>
    <xf numFmtId="0" fontId="26" fillId="3" borderId="0" xfId="5" applyFont="1" applyFill="1" applyBorder="1" applyAlignment="1">
      <alignment horizontal="left" vertical="center" wrapText="1"/>
    </xf>
    <xf numFmtId="0" fontId="46" fillId="3" borderId="0" xfId="5" applyFont="1" applyFill="1" applyBorder="1" applyAlignment="1">
      <alignment horizontal="center" vertical="center" wrapText="1"/>
    </xf>
    <xf numFmtId="0" fontId="4" fillId="3" borderId="0" xfId="5" applyFont="1" applyFill="1" applyAlignment="1">
      <alignment horizontal="center" wrapText="1"/>
    </xf>
    <xf numFmtId="0" fontId="4" fillId="3" borderId="0" xfId="5" applyFont="1" applyFill="1"/>
    <xf numFmtId="49" fontId="4" fillId="3" borderId="0" xfId="5" applyNumberFormat="1" applyFont="1" applyFill="1"/>
    <xf numFmtId="0" fontId="4" fillId="0" borderId="0" xfId="5" applyFont="1" applyFill="1"/>
    <xf numFmtId="0" fontId="26" fillId="0" borderId="0" xfId="5" applyFont="1" applyFill="1"/>
    <xf numFmtId="165" fontId="26" fillId="0" borderId="0" xfId="5" applyNumberFormat="1" applyFont="1" applyFill="1"/>
    <xf numFmtId="0" fontId="25" fillId="3" borderId="6" xfId="5" applyFont="1" applyFill="1" applyBorder="1" applyAlignment="1">
      <alignment horizontal="center" vertical="center" wrapText="1"/>
    </xf>
    <xf numFmtId="0" fontId="25" fillId="3" borderId="8" xfId="5" applyFont="1" applyFill="1" applyBorder="1" applyAlignment="1">
      <alignment horizontal="center" vertical="center" wrapText="1"/>
    </xf>
    <xf numFmtId="0" fontId="25" fillId="3" borderId="25" xfId="5" applyFont="1" applyFill="1" applyBorder="1" applyAlignment="1">
      <alignment horizontal="center" vertical="center" wrapText="1"/>
    </xf>
    <xf numFmtId="0" fontId="25" fillId="3" borderId="20" xfId="5" applyFont="1" applyFill="1" applyBorder="1" applyAlignment="1">
      <alignment horizontal="center" vertical="center" wrapText="1"/>
    </xf>
    <xf numFmtId="0" fontId="25" fillId="0" borderId="8" xfId="5" applyFont="1" applyFill="1" applyBorder="1" applyAlignment="1">
      <alignment horizontal="center" vertical="center" wrapText="1"/>
    </xf>
    <xf numFmtId="0" fontId="25" fillId="0" borderId="25" xfId="5" applyFont="1" applyFill="1" applyBorder="1" applyAlignment="1">
      <alignment horizontal="center" vertical="center" wrapText="1"/>
    </xf>
    <xf numFmtId="0" fontId="25" fillId="0" borderId="20" xfId="5" applyFont="1" applyFill="1" applyBorder="1" applyAlignment="1">
      <alignment horizontal="center" vertical="center" wrapText="1"/>
    </xf>
    <xf numFmtId="0" fontId="26" fillId="3" borderId="0" xfId="5" applyFont="1" applyFill="1" applyAlignment="1">
      <alignment horizontal="center" vertical="center" wrapText="1"/>
    </xf>
    <xf numFmtId="0" fontId="25" fillId="3" borderId="11" xfId="5" applyFont="1" applyFill="1" applyBorder="1" applyAlignment="1">
      <alignment horizontal="center" vertical="center" wrapText="1"/>
    </xf>
    <xf numFmtId="0" fontId="25" fillId="3" borderId="26" xfId="5" applyFont="1" applyFill="1" applyBorder="1" applyAlignment="1">
      <alignment horizontal="center" vertical="center" wrapText="1"/>
    </xf>
    <xf numFmtId="0" fontId="25" fillId="3" borderId="29" xfId="5" applyFont="1" applyFill="1" applyBorder="1" applyAlignment="1">
      <alignment horizontal="center" vertical="center" wrapText="1"/>
    </xf>
    <xf numFmtId="0" fontId="25" fillId="3" borderId="21" xfId="5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165" fontId="25" fillId="0" borderId="6" xfId="5" applyNumberFormat="1" applyFont="1" applyFill="1" applyBorder="1" applyAlignment="1">
      <alignment horizontal="center" vertical="center" wrapText="1"/>
    </xf>
    <xf numFmtId="0" fontId="25" fillId="3" borderId="4" xfId="5" applyFont="1" applyFill="1" applyBorder="1" applyAlignment="1">
      <alignment horizontal="center" vertical="center" wrapText="1"/>
    </xf>
    <xf numFmtId="0" fontId="25" fillId="3" borderId="7" xfId="5" applyFont="1" applyFill="1" applyBorder="1" applyAlignment="1">
      <alignment horizontal="center" vertical="center" wrapText="1"/>
    </xf>
    <xf numFmtId="0" fontId="25" fillId="3" borderId="27" xfId="5" applyFont="1" applyFill="1" applyBorder="1" applyAlignment="1">
      <alignment horizontal="center" vertical="center" wrapText="1"/>
    </xf>
    <xf numFmtId="0" fontId="25" fillId="3" borderId="28" xfId="5" applyFont="1" applyFill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165" fontId="25" fillId="0" borderId="4" xfId="5" applyNumberFormat="1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vertical="center" wrapText="1"/>
    </xf>
    <xf numFmtId="0" fontId="25" fillId="3" borderId="6" xfId="5" applyFont="1" applyFill="1" applyBorder="1" applyAlignment="1">
      <alignment horizontal="center" vertical="top" wrapText="1"/>
    </xf>
    <xf numFmtId="0" fontId="46" fillId="3" borderId="2" xfId="5" applyFont="1" applyFill="1" applyBorder="1" applyAlignment="1">
      <alignment horizontal="center" vertical="center"/>
    </xf>
    <xf numFmtId="49" fontId="46" fillId="3" borderId="2" xfId="5" applyNumberFormat="1" applyFont="1" applyFill="1" applyBorder="1" applyAlignment="1">
      <alignment horizontal="center" vertical="center"/>
    </xf>
    <xf numFmtId="166" fontId="46" fillId="0" borderId="2" xfId="5" applyNumberFormat="1" applyFont="1" applyFill="1" applyBorder="1" applyAlignment="1">
      <alignment vertical="center"/>
    </xf>
    <xf numFmtId="166" fontId="46" fillId="3" borderId="2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/>
    <xf numFmtId="0" fontId="46" fillId="3" borderId="6" xfId="5" applyFont="1" applyFill="1" applyBorder="1" applyAlignment="1">
      <alignment horizontal="left" vertical="top" wrapText="1"/>
    </xf>
    <xf numFmtId="0" fontId="25" fillId="3" borderId="11" xfId="5" applyFont="1" applyFill="1" applyBorder="1" applyAlignment="1">
      <alignment horizontal="center" vertical="top" wrapText="1"/>
    </xf>
    <xf numFmtId="0" fontId="46" fillId="3" borderId="6" xfId="5" applyFont="1" applyFill="1" applyBorder="1" applyAlignment="1">
      <alignment horizontal="center" vertical="center"/>
    </xf>
    <xf numFmtId="49" fontId="46" fillId="3" borderId="6" xfId="5" applyNumberFormat="1" applyFont="1" applyFill="1" applyBorder="1" applyAlignment="1">
      <alignment horizontal="center" vertical="center"/>
    </xf>
    <xf numFmtId="166" fontId="46" fillId="0" borderId="6" xfId="5" applyNumberFormat="1" applyFont="1" applyFill="1" applyBorder="1" applyAlignment="1">
      <alignment vertical="center"/>
    </xf>
    <xf numFmtId="0" fontId="46" fillId="3" borderId="4" xfId="5" applyFont="1" applyFill="1" applyBorder="1" applyAlignment="1">
      <alignment horizontal="left" vertical="top" wrapText="1"/>
    </xf>
    <xf numFmtId="0" fontId="46" fillId="3" borderId="4" xfId="5" applyFont="1" applyFill="1" applyBorder="1" applyAlignment="1">
      <alignment horizontal="center" vertical="center"/>
    </xf>
    <xf numFmtId="49" fontId="46" fillId="3" borderId="4" xfId="5" applyNumberFormat="1" applyFont="1" applyFill="1" applyBorder="1" applyAlignment="1">
      <alignment horizontal="center" vertical="center"/>
    </xf>
    <xf numFmtId="166" fontId="46" fillId="0" borderId="4" xfId="5" applyNumberFormat="1" applyFont="1" applyFill="1" applyBorder="1" applyAlignment="1">
      <alignment vertical="center"/>
    </xf>
    <xf numFmtId="166" fontId="26" fillId="3" borderId="0" xfId="5" applyNumberFormat="1" applyFont="1" applyFill="1" applyAlignment="1">
      <alignment horizontal="left"/>
    </xf>
    <xf numFmtId="0" fontId="25" fillId="3" borderId="6" xfId="0" applyFont="1" applyFill="1" applyBorder="1" applyAlignment="1">
      <alignment horizontal="left" vertical="center" wrapText="1"/>
    </xf>
    <xf numFmtId="3" fontId="25" fillId="3" borderId="20" xfId="5" applyNumberFormat="1" applyFont="1" applyFill="1" applyBorder="1" applyAlignment="1">
      <alignment horizontal="center" vertical="center"/>
    </xf>
    <xf numFmtId="166" fontId="47" fillId="3" borderId="2" xfId="5" applyNumberFormat="1" applyFont="1" applyFill="1" applyBorder="1" applyAlignment="1">
      <alignment horizontal="center" vertical="center"/>
    </xf>
    <xf numFmtId="49" fontId="47" fillId="3" borderId="2" xfId="5" applyNumberFormat="1" applyFont="1" applyFill="1" applyBorder="1" applyAlignment="1">
      <alignment horizontal="center" vertical="center"/>
    </xf>
    <xf numFmtId="166" fontId="47" fillId="0" borderId="2" xfId="5" applyNumberFormat="1" applyFont="1" applyFill="1" applyBorder="1" applyAlignment="1">
      <alignment vertical="center"/>
    </xf>
    <xf numFmtId="166" fontId="48" fillId="0" borderId="2" xfId="5" applyNumberFormat="1" applyFont="1" applyFill="1" applyBorder="1" applyAlignment="1">
      <alignment vertical="center"/>
    </xf>
    <xf numFmtId="0" fontId="49" fillId="3" borderId="0" xfId="5" applyFont="1" applyFill="1"/>
    <xf numFmtId="166" fontId="49" fillId="3" borderId="0" xfId="5" applyNumberFormat="1" applyFont="1" applyFill="1"/>
    <xf numFmtId="2" fontId="49" fillId="3" borderId="0" xfId="5" applyNumberFormat="1" applyFont="1" applyFill="1"/>
    <xf numFmtId="0" fontId="25" fillId="3" borderId="11" xfId="0" applyFont="1" applyFill="1" applyBorder="1" applyAlignment="1">
      <alignment horizontal="left" vertical="center" wrapText="1"/>
    </xf>
    <xf numFmtId="3" fontId="25" fillId="3" borderId="21" xfId="5" applyNumberFormat="1" applyFont="1" applyFill="1" applyBorder="1" applyAlignment="1">
      <alignment horizontal="center" vertical="center"/>
    </xf>
    <xf numFmtId="49" fontId="47" fillId="3" borderId="6" xfId="5" applyNumberFormat="1" applyFont="1" applyFill="1" applyBorder="1" applyAlignment="1">
      <alignment horizontal="center" vertical="center"/>
    </xf>
    <xf numFmtId="166" fontId="47" fillId="0" borderId="6" xfId="5" applyNumberFormat="1" applyFont="1" applyFill="1" applyBorder="1" applyAlignment="1">
      <alignment vertical="center"/>
    </xf>
    <xf numFmtId="0" fontId="25" fillId="3" borderId="4" xfId="0" applyFont="1" applyFill="1" applyBorder="1" applyAlignment="1">
      <alignment horizontal="left" vertical="center" wrapText="1"/>
    </xf>
    <xf numFmtId="166" fontId="47" fillId="3" borderId="6" xfId="5" applyNumberFormat="1" applyFont="1" applyFill="1" applyBorder="1" applyAlignment="1">
      <alignment horizontal="center" vertical="center"/>
    </xf>
    <xf numFmtId="49" fontId="25" fillId="3" borderId="2" xfId="5" applyNumberFormat="1" applyFont="1" applyFill="1" applyBorder="1" applyAlignment="1">
      <alignment horizontal="center" vertical="center"/>
    </xf>
    <xf numFmtId="3" fontId="25" fillId="3" borderId="2" xfId="5" applyNumberFormat="1" applyFont="1" applyFill="1" applyBorder="1" applyAlignment="1">
      <alignment horizontal="center" vertical="center"/>
    </xf>
    <xf numFmtId="0" fontId="50" fillId="3" borderId="0" xfId="5" applyFont="1" applyFill="1" applyAlignment="1">
      <alignment horizontal="center" vertical="center"/>
    </xf>
    <xf numFmtId="0" fontId="50" fillId="3" borderId="0" xfId="5" applyFont="1" applyFill="1"/>
    <xf numFmtId="3" fontId="25" fillId="3" borderId="30" xfId="5" applyNumberFormat="1" applyFont="1" applyFill="1" applyBorder="1" applyAlignment="1">
      <alignment horizontal="center" vertical="center"/>
    </xf>
    <xf numFmtId="49" fontId="47" fillId="3" borderId="11" xfId="5" applyNumberFormat="1" applyFont="1" applyFill="1" applyBorder="1" applyAlignment="1">
      <alignment horizontal="center" vertical="center"/>
    </xf>
    <xf numFmtId="166" fontId="47" fillId="0" borderId="11" xfId="5" applyNumberFormat="1" applyFont="1" applyFill="1" applyBorder="1" applyAlignment="1">
      <alignment vertical="center"/>
    </xf>
    <xf numFmtId="166" fontId="47" fillId="0" borderId="4" xfId="5" applyNumberFormat="1" applyFont="1" applyFill="1" applyBorder="1" applyAlignment="1">
      <alignment vertical="center"/>
    </xf>
    <xf numFmtId="0" fontId="25" fillId="3" borderId="4" xfId="5" applyFont="1" applyFill="1" applyBorder="1" applyAlignment="1">
      <alignment vertical="top" wrapText="1"/>
    </xf>
    <xf numFmtId="0" fontId="25" fillId="3" borderId="11" xfId="5" applyFont="1" applyFill="1" applyBorder="1" applyAlignment="1">
      <alignment vertical="top" wrapText="1"/>
    </xf>
    <xf numFmtId="166" fontId="47" fillId="3" borderId="11" xfId="5" applyNumberFormat="1" applyFont="1" applyFill="1" applyBorder="1" applyAlignment="1">
      <alignment horizontal="center" vertical="center"/>
    </xf>
    <xf numFmtId="166" fontId="48" fillId="0" borderId="4" xfId="5" applyNumberFormat="1" applyFont="1" applyFill="1" applyBorder="1" applyAlignment="1">
      <alignment vertical="center"/>
    </xf>
    <xf numFmtId="0" fontId="25" fillId="3" borderId="2" xfId="5" applyFont="1" applyFill="1" applyBorder="1" applyAlignment="1">
      <alignment vertical="top" wrapText="1"/>
    </xf>
    <xf numFmtId="0" fontId="25" fillId="3" borderId="6" xfId="5" applyFont="1" applyFill="1" applyBorder="1" applyAlignment="1">
      <alignment horizontal="left" vertical="center" wrapText="1"/>
    </xf>
    <xf numFmtId="0" fontId="25" fillId="3" borderId="11" xfId="5" applyFont="1" applyFill="1" applyBorder="1" applyAlignment="1">
      <alignment horizontal="left" vertical="center" wrapText="1"/>
    </xf>
    <xf numFmtId="0" fontId="25" fillId="3" borderId="4" xfId="5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left" vertical="top" wrapText="1"/>
    </xf>
    <xf numFmtId="0" fontId="47" fillId="3" borderId="6" xfId="5" applyNumberFormat="1" applyFont="1" applyFill="1" applyBorder="1" applyAlignment="1">
      <alignment horizontal="center" vertical="center"/>
    </xf>
    <xf numFmtId="165" fontId="26" fillId="3" borderId="0" xfId="5" applyNumberFormat="1" applyFont="1" applyFill="1"/>
    <xf numFmtId="168" fontId="25" fillId="3" borderId="2" xfId="0" applyNumberFormat="1" applyFont="1" applyFill="1" applyBorder="1" applyAlignment="1">
      <alignment horizontal="left" vertical="center" wrapText="1"/>
    </xf>
    <xf numFmtId="168" fontId="25" fillId="3" borderId="6" xfId="0" applyNumberFormat="1" applyFont="1" applyFill="1" applyBorder="1" applyAlignment="1">
      <alignment horizontal="left" vertical="center" wrapText="1"/>
    </xf>
    <xf numFmtId="168" fontId="25" fillId="3" borderId="11" xfId="0" applyNumberFormat="1" applyFont="1" applyFill="1" applyBorder="1" applyAlignment="1">
      <alignment horizontal="left" vertical="center" wrapText="1"/>
    </xf>
    <xf numFmtId="168" fontId="25" fillId="3" borderId="4" xfId="0" applyNumberFormat="1" applyFont="1" applyFill="1" applyBorder="1" applyAlignment="1">
      <alignment horizontal="left" vertical="center" wrapText="1"/>
    </xf>
    <xf numFmtId="168" fontId="25" fillId="3" borderId="11" xfId="0" applyNumberFormat="1" applyFont="1" applyFill="1" applyBorder="1" applyAlignment="1">
      <alignment horizontal="left" vertical="top" wrapText="1"/>
    </xf>
    <xf numFmtId="168" fontId="25" fillId="3" borderId="21" xfId="0" applyNumberFormat="1" applyFont="1" applyFill="1" applyBorder="1" applyAlignment="1">
      <alignment horizontal="center" vertical="center" wrapText="1"/>
    </xf>
    <xf numFmtId="0" fontId="4" fillId="3" borderId="6" xfId="5" applyFont="1" applyFill="1" applyBorder="1" applyAlignment="1">
      <alignment horizontal="center" vertical="top" wrapText="1"/>
    </xf>
    <xf numFmtId="166" fontId="51" fillId="3" borderId="0" xfId="5" applyNumberFormat="1" applyFont="1" applyFill="1"/>
    <xf numFmtId="165" fontId="51" fillId="3" borderId="0" xfId="5" applyNumberFormat="1" applyFont="1" applyFill="1"/>
    <xf numFmtId="168" fontId="25" fillId="3" borderId="30" xfId="0" applyNumberFormat="1" applyFont="1" applyFill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center" vertical="top" wrapText="1"/>
    </xf>
    <xf numFmtId="2" fontId="50" fillId="3" borderId="0" xfId="5" applyNumberFormat="1" applyFont="1" applyFill="1"/>
    <xf numFmtId="165" fontId="50" fillId="3" borderId="0" xfId="5" applyNumberFormat="1" applyFont="1" applyFill="1"/>
    <xf numFmtId="0" fontId="4" fillId="3" borderId="4" xfId="5" applyFont="1" applyFill="1" applyBorder="1" applyAlignment="1">
      <alignment horizontal="center" vertical="top" wrapText="1"/>
    </xf>
    <xf numFmtId="4" fontId="49" fillId="3" borderId="0" xfId="5" applyNumberFormat="1" applyFont="1" applyFill="1"/>
    <xf numFmtId="0" fontId="4" fillId="3" borderId="11" xfId="5" applyFont="1" applyFill="1" applyBorder="1" applyAlignment="1">
      <alignment horizontal="center" vertical="top" wrapText="1"/>
    </xf>
    <xf numFmtId="168" fontId="25" fillId="3" borderId="28" xfId="0" applyNumberFormat="1" applyFont="1" applyFill="1" applyBorder="1" applyAlignment="1">
      <alignment horizontal="center" vertical="center" wrapText="1"/>
    </xf>
    <xf numFmtId="168" fontId="25" fillId="3" borderId="21" xfId="0" applyNumberFormat="1" applyFont="1" applyFill="1" applyBorder="1" applyAlignment="1">
      <alignment horizontal="left" vertical="center" wrapText="1"/>
    </xf>
    <xf numFmtId="0" fontId="4" fillId="3" borderId="6" xfId="5" applyFont="1" applyFill="1" applyBorder="1" applyAlignment="1">
      <alignment horizontal="center" vertical="center" wrapText="1"/>
    </xf>
    <xf numFmtId="168" fontId="25" fillId="3" borderId="28" xfId="0" applyNumberFormat="1" applyFont="1" applyFill="1" applyBorder="1" applyAlignment="1">
      <alignment horizontal="left" vertical="center" wrapText="1"/>
    </xf>
    <xf numFmtId="0" fontId="4" fillId="3" borderId="4" xfId="5" applyFont="1" applyFill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center" vertical="center" wrapText="1"/>
    </xf>
    <xf numFmtId="165" fontId="49" fillId="3" borderId="0" xfId="5" applyNumberFormat="1" applyFont="1" applyFill="1"/>
    <xf numFmtId="0" fontId="25" fillId="3" borderId="21" xfId="0" applyFont="1" applyFill="1" applyBorder="1" applyAlignment="1">
      <alignment horizontal="center" vertical="center" wrapText="1"/>
    </xf>
    <xf numFmtId="0" fontId="25" fillId="3" borderId="30" xfId="0" applyFont="1" applyFill="1" applyBorder="1" applyAlignment="1">
      <alignment horizontal="center" vertical="center" wrapText="1"/>
    </xf>
    <xf numFmtId="0" fontId="25" fillId="3" borderId="28" xfId="0" applyFont="1" applyFill="1" applyBorder="1" applyAlignment="1">
      <alignment horizontal="center" vertical="center" wrapText="1"/>
    </xf>
    <xf numFmtId="168" fontId="25" fillId="3" borderId="4" xfId="0" applyNumberFormat="1" applyFont="1" applyFill="1" applyBorder="1" applyAlignment="1">
      <alignment horizontal="left" vertical="center" wrapText="1"/>
    </xf>
    <xf numFmtId="0" fontId="4" fillId="3" borderId="4" xfId="5" applyFont="1" applyFill="1" applyBorder="1" applyAlignment="1">
      <alignment horizontal="center" vertical="top" wrapText="1"/>
    </xf>
    <xf numFmtId="0" fontId="46" fillId="3" borderId="0" xfId="5" applyFont="1" applyFill="1" applyBorder="1" applyAlignment="1">
      <alignment horizontal="left" vertical="top" wrapText="1"/>
    </xf>
    <xf numFmtId="0" fontId="25" fillId="3" borderId="0" xfId="5" applyFont="1" applyFill="1" applyBorder="1"/>
    <xf numFmtId="49" fontId="25" fillId="3" borderId="0" xfId="5" applyNumberFormat="1" applyFont="1" applyFill="1" applyBorder="1"/>
    <xf numFmtId="166" fontId="25" fillId="0" borderId="0" xfId="5" applyNumberFormat="1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5" fillId="3" borderId="0" xfId="0" applyFont="1" applyFill="1" applyAlignment="1">
      <alignment horizontal="left" vertical="top" wrapText="1"/>
    </xf>
    <xf numFmtId="0" fontId="25" fillId="3" borderId="0" xfId="0" applyFont="1" applyFill="1" applyAlignment="1">
      <alignment vertical="top" wrapText="1"/>
    </xf>
    <xf numFmtId="0" fontId="25" fillId="0" borderId="0" xfId="0" applyFont="1" applyFill="1" applyAlignment="1">
      <alignment vertical="top" wrapText="1"/>
    </xf>
    <xf numFmtId="165" fontId="25" fillId="0" borderId="0" xfId="0" applyNumberFormat="1" applyFont="1" applyFill="1" applyAlignment="1">
      <alignment vertical="top" wrapText="1"/>
    </xf>
    <xf numFmtId="0" fontId="25" fillId="0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  <xf numFmtId="165" fontId="4" fillId="3" borderId="0" xfId="0" applyNumberFormat="1" applyFont="1" applyFill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26" fillId="4" borderId="0" xfId="5" applyFont="1" applyFill="1"/>
    <xf numFmtId="49" fontId="4" fillId="0" borderId="0" xfId="5" applyNumberFormat="1" applyFont="1" applyFill="1" applyAlignment="1">
      <alignment horizontal="center" vertical="center"/>
    </xf>
    <xf numFmtId="0" fontId="26" fillId="0" borderId="0" xfId="5" applyFont="1" applyFill="1" applyAlignment="1">
      <alignment horizontal="center" vertical="center"/>
    </xf>
    <xf numFmtId="49" fontId="26" fillId="0" borderId="0" xfId="5" applyNumberFormat="1" applyFont="1" applyFill="1"/>
    <xf numFmtId="0" fontId="26" fillId="0" borderId="0" xfId="5" applyFont="1" applyFill="1" applyAlignment="1">
      <alignment horizontal="left" vertical="top" wrapText="1"/>
    </xf>
    <xf numFmtId="0" fontId="26" fillId="0" borderId="0" xfId="5" applyFont="1" applyFill="1" applyAlignment="1">
      <alignment vertical="top"/>
    </xf>
    <xf numFmtId="0" fontId="26" fillId="0" borderId="0" xfId="5" applyFont="1" applyFill="1" applyBorder="1" applyAlignment="1">
      <alignment horizontal="left" vertical="top" wrapText="1"/>
    </xf>
    <xf numFmtId="0" fontId="26" fillId="0" borderId="0" xfId="5" applyFont="1" applyFill="1" applyAlignment="1">
      <alignment horizontal="left" vertical="center" wrapText="1"/>
    </xf>
    <xf numFmtId="0" fontId="26" fillId="0" borderId="0" xfId="5" applyFont="1" applyFill="1" applyAlignment="1">
      <alignment horizontal="left" vertical="center"/>
    </xf>
    <xf numFmtId="0" fontId="48" fillId="0" borderId="0" xfId="5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center" wrapText="1"/>
    </xf>
    <xf numFmtId="0" fontId="4" fillId="0" borderId="0" xfId="5" applyFont="1" applyFill="1" applyAlignment="1">
      <alignment horizontal="center" vertical="center"/>
    </xf>
    <xf numFmtId="49" fontId="4" fillId="0" borderId="0" xfId="5" applyNumberFormat="1" applyFont="1" applyFill="1"/>
    <xf numFmtId="49" fontId="4" fillId="0" borderId="2" xfId="5" applyNumberFormat="1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49" fontId="45" fillId="0" borderId="2" xfId="5" applyNumberFormat="1" applyFont="1" applyFill="1" applyBorder="1" applyAlignment="1">
      <alignment horizontal="center" vertical="center"/>
    </xf>
    <xf numFmtId="0" fontId="45" fillId="0" borderId="2" xfId="5" applyFont="1" applyFill="1" applyBorder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 wrapText="1"/>
    </xf>
    <xf numFmtId="3" fontId="25" fillId="0" borderId="2" xfId="5" applyNumberFormat="1" applyFont="1" applyFill="1" applyBorder="1" applyAlignment="1">
      <alignment horizontal="center" vertical="center"/>
    </xf>
    <xf numFmtId="166" fontId="25" fillId="0" borderId="2" xfId="5" applyNumberFormat="1" applyFont="1" applyFill="1" applyBorder="1" applyAlignment="1">
      <alignment horizontal="center" vertical="center"/>
    </xf>
    <xf numFmtId="166" fontId="4" fillId="0" borderId="6" xfId="5" applyNumberFormat="1" applyFont="1" applyFill="1" applyBorder="1" applyAlignment="1">
      <alignment horizontal="center" vertical="center" wrapText="1"/>
    </xf>
    <xf numFmtId="0" fontId="45" fillId="0" borderId="2" xfId="5" applyFont="1" applyFill="1" applyBorder="1" applyAlignment="1">
      <alignment horizontal="left" vertical="top" wrapText="1"/>
    </xf>
    <xf numFmtId="0" fontId="4" fillId="0" borderId="2" xfId="5" applyFont="1" applyFill="1" applyBorder="1" applyAlignment="1">
      <alignment vertical="top" wrapText="1"/>
    </xf>
    <xf numFmtId="166" fontId="25" fillId="0" borderId="2" xfId="5" applyNumberFormat="1" applyFont="1" applyFill="1" applyBorder="1" applyAlignment="1">
      <alignment horizontal="center" vertical="top"/>
    </xf>
    <xf numFmtId="49" fontId="25" fillId="0" borderId="2" xfId="5" applyNumberFormat="1" applyFont="1" applyFill="1" applyBorder="1" applyAlignment="1">
      <alignment horizontal="center" vertical="top"/>
    </xf>
    <xf numFmtId="166" fontId="4" fillId="0" borderId="11" xfId="5" applyNumberFormat="1" applyFont="1" applyFill="1" applyBorder="1" applyAlignment="1">
      <alignment horizontal="center" vertical="center" wrapText="1"/>
    </xf>
    <xf numFmtId="165" fontId="26" fillId="3" borderId="0" xfId="5" applyNumberFormat="1" applyFont="1" applyFill="1" applyAlignment="1">
      <alignment horizontal="left"/>
    </xf>
    <xf numFmtId="0" fontId="4" fillId="0" borderId="2" xfId="5" applyFont="1" applyFill="1" applyBorder="1" applyAlignment="1">
      <alignment horizontal="left" vertical="top" wrapText="1"/>
    </xf>
    <xf numFmtId="166" fontId="25" fillId="0" borderId="2" xfId="5" applyNumberFormat="1" applyFont="1" applyFill="1" applyBorder="1" applyAlignment="1">
      <alignment vertical="center"/>
    </xf>
    <xf numFmtId="49" fontId="4" fillId="0" borderId="6" xfId="5" applyNumberFormat="1" applyFont="1" applyFill="1" applyBorder="1" applyAlignment="1">
      <alignment horizontal="center" vertical="center"/>
    </xf>
    <xf numFmtId="0" fontId="4" fillId="0" borderId="6" xfId="5" applyFont="1" applyFill="1" applyBorder="1" applyAlignment="1">
      <alignment horizontal="left" vertical="top" wrapText="1"/>
    </xf>
    <xf numFmtId="0" fontId="4" fillId="0" borderId="6" xfId="5" applyFont="1" applyFill="1" applyBorder="1" applyAlignment="1">
      <alignment horizontal="center" vertical="top" wrapText="1"/>
    </xf>
    <xf numFmtId="166" fontId="4" fillId="0" borderId="2" xfId="5" applyNumberFormat="1" applyFont="1" applyFill="1" applyBorder="1" applyAlignment="1">
      <alignment horizontal="center" vertical="center"/>
    </xf>
    <xf numFmtId="49" fontId="4" fillId="0" borderId="2" xfId="8" applyNumberFormat="1" applyFont="1" applyFill="1" applyBorder="1" applyAlignment="1">
      <alignment horizontal="center" vertical="center"/>
    </xf>
    <xf numFmtId="166" fontId="52" fillId="0" borderId="2" xfId="5" applyNumberFormat="1" applyFont="1" applyFill="1" applyBorder="1" applyAlignment="1">
      <alignment vertical="center"/>
    </xf>
    <xf numFmtId="49" fontId="4" fillId="0" borderId="11" xfId="5" applyNumberFormat="1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left" vertical="top" wrapText="1"/>
    </xf>
    <xf numFmtId="0" fontId="4" fillId="0" borderId="11" xfId="5" applyFont="1" applyFill="1" applyBorder="1" applyAlignment="1">
      <alignment horizontal="center" vertical="top" wrapText="1"/>
    </xf>
    <xf numFmtId="0" fontId="4" fillId="0" borderId="6" xfId="5" applyFont="1" applyFill="1" applyBorder="1" applyAlignment="1">
      <alignment vertical="top" wrapText="1"/>
    </xf>
    <xf numFmtId="49" fontId="4" fillId="0" borderId="4" xfId="5" applyNumberFormat="1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vertical="top" wrapText="1"/>
    </xf>
    <xf numFmtId="2" fontId="4" fillId="0" borderId="6" xfId="0" applyNumberFormat="1" applyFont="1" applyFill="1" applyBorder="1" applyAlignment="1">
      <alignment horizontal="left" vertical="center" wrapText="1"/>
    </xf>
    <xf numFmtId="1" fontId="25" fillId="0" borderId="2" xfId="5" applyNumberFormat="1" applyFont="1" applyFill="1" applyBorder="1" applyAlignment="1">
      <alignment horizontal="center" vertical="center"/>
    </xf>
    <xf numFmtId="2" fontId="4" fillId="0" borderId="2" xfId="8" applyNumberFormat="1" applyFont="1" applyFill="1" applyBorder="1" applyAlignment="1">
      <alignment horizontal="center" vertical="center"/>
    </xf>
    <xf numFmtId="1" fontId="4" fillId="0" borderId="2" xfId="5" applyNumberFormat="1" applyFont="1" applyFill="1" applyBorder="1" applyAlignment="1">
      <alignment horizontal="center" vertical="center"/>
    </xf>
    <xf numFmtId="166" fontId="52" fillId="0" borderId="2" xfId="5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left" vertical="center" wrapText="1"/>
    </xf>
    <xf numFmtId="0" fontId="26" fillId="3" borderId="0" xfId="5" applyFont="1" applyFill="1" applyAlignment="1"/>
    <xf numFmtId="2" fontId="4" fillId="0" borderId="2" xfId="0" applyNumberFormat="1" applyFont="1" applyFill="1" applyBorder="1" applyAlignment="1">
      <alignment vertical="center" wrapText="1"/>
    </xf>
    <xf numFmtId="168" fontId="4" fillId="0" borderId="22" xfId="0" applyNumberFormat="1" applyFont="1" applyFill="1" applyBorder="1" applyAlignment="1">
      <alignment horizontal="left" vertical="center" wrapText="1"/>
    </xf>
    <xf numFmtId="1" fontId="25" fillId="0" borderId="6" xfId="5" applyNumberFormat="1" applyFont="1" applyFill="1" applyBorder="1" applyAlignment="1">
      <alignment horizontal="center" vertical="center"/>
    </xf>
    <xf numFmtId="2" fontId="4" fillId="0" borderId="6" xfId="8" applyNumberFormat="1" applyFont="1" applyFill="1" applyBorder="1" applyAlignment="1">
      <alignment horizontal="center" vertical="center"/>
    </xf>
    <xf numFmtId="1" fontId="4" fillId="0" borderId="6" xfId="5" applyNumberFormat="1" applyFont="1" applyFill="1" applyBorder="1" applyAlignment="1">
      <alignment horizontal="center" vertical="center"/>
    </xf>
    <xf numFmtId="166" fontId="52" fillId="0" borderId="6" xfId="5" applyNumberFormat="1" applyFont="1" applyFill="1" applyBorder="1" applyAlignment="1">
      <alignment horizontal="right" vertical="center"/>
    </xf>
    <xf numFmtId="166" fontId="53" fillId="0" borderId="2" xfId="5" applyNumberFormat="1" applyFont="1" applyFill="1" applyBorder="1" applyAlignment="1">
      <alignment horizontal="right" vertical="center"/>
    </xf>
    <xf numFmtId="0" fontId="4" fillId="0" borderId="2" xfId="9" applyFont="1" applyFill="1" applyBorder="1" applyAlignment="1">
      <alignment horizontal="left" vertical="top" wrapText="1"/>
    </xf>
    <xf numFmtId="0" fontId="4" fillId="0" borderId="2" xfId="9" applyFont="1" applyFill="1" applyBorder="1" applyAlignment="1">
      <alignment horizontal="left" wrapText="1"/>
    </xf>
    <xf numFmtId="0" fontId="4" fillId="0" borderId="11" xfId="5" applyFont="1" applyFill="1" applyBorder="1" applyAlignment="1">
      <alignment horizontal="left" vertical="top" wrapText="1"/>
    </xf>
    <xf numFmtId="166" fontId="4" fillId="0" borderId="4" xfId="5" applyNumberFormat="1" applyFont="1" applyFill="1" applyBorder="1" applyAlignment="1">
      <alignment horizontal="center" vertical="center" wrapText="1"/>
    </xf>
    <xf numFmtId="166" fontId="4" fillId="0" borderId="6" xfId="5" applyNumberFormat="1" applyFont="1" applyFill="1" applyBorder="1" applyAlignment="1">
      <alignment horizontal="center" wrapText="1"/>
    </xf>
    <xf numFmtId="166" fontId="4" fillId="0" borderId="4" xfId="5" applyNumberFormat="1" applyFont="1" applyFill="1" applyBorder="1" applyAlignment="1">
      <alignment horizontal="center" wrapText="1"/>
    </xf>
    <xf numFmtId="166" fontId="4" fillId="0" borderId="11" xfId="5" applyNumberFormat="1" applyFont="1" applyFill="1" applyBorder="1" applyAlignment="1">
      <alignment horizontal="center" wrapText="1"/>
    </xf>
    <xf numFmtId="0" fontId="4" fillId="0" borderId="6" xfId="5" applyFont="1" applyFill="1" applyBorder="1" applyAlignment="1">
      <alignment horizontal="left" vertical="center"/>
    </xf>
    <xf numFmtId="0" fontId="4" fillId="0" borderId="4" xfId="5" applyFont="1" applyFill="1" applyBorder="1" applyAlignment="1">
      <alignment horizontal="left" vertical="center"/>
    </xf>
    <xf numFmtId="0" fontId="4" fillId="0" borderId="6" xfId="5" applyNumberFormat="1" applyFont="1" applyFill="1" applyBorder="1" applyAlignment="1">
      <alignment horizontal="left" vertical="center" wrapText="1"/>
    </xf>
    <xf numFmtId="0" fontId="4" fillId="0" borderId="4" xfId="5" applyNumberFormat="1" applyFont="1" applyFill="1" applyBorder="1" applyAlignment="1">
      <alignment horizontal="left" vertical="center" wrapText="1"/>
    </xf>
    <xf numFmtId="49" fontId="4" fillId="0" borderId="6" xfId="5" applyNumberFormat="1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left" vertical="center" wrapText="1"/>
    </xf>
    <xf numFmtId="0" fontId="4" fillId="0" borderId="2" xfId="5" applyNumberFormat="1" applyFont="1" applyFill="1" applyBorder="1" applyAlignment="1">
      <alignment horizontal="center" vertical="center"/>
    </xf>
    <xf numFmtId="0" fontId="34" fillId="0" borderId="4" xfId="0" applyFont="1" applyFill="1" applyBorder="1"/>
    <xf numFmtId="0" fontId="4" fillId="0" borderId="4" xfId="5" applyFont="1" applyFill="1" applyBorder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/>
    </xf>
    <xf numFmtId="166" fontId="4" fillId="0" borderId="2" xfId="5" applyNumberFormat="1" applyFont="1" applyFill="1" applyBorder="1" applyAlignment="1">
      <alignment horizontal="left" wrapText="1"/>
    </xf>
    <xf numFmtId="0" fontId="4" fillId="0" borderId="2" xfId="5" applyFont="1" applyFill="1" applyBorder="1" applyAlignment="1">
      <alignment horizontal="center" vertical="center"/>
    </xf>
    <xf numFmtId="49" fontId="4" fillId="0" borderId="2" xfId="5" applyNumberFormat="1" applyFont="1" applyFill="1" applyBorder="1"/>
    <xf numFmtId="0" fontId="4" fillId="0" borderId="2" xfId="5" applyFont="1" applyFill="1" applyBorder="1"/>
    <xf numFmtId="166" fontId="52" fillId="0" borderId="2" xfId="5" applyNumberFormat="1" applyFont="1" applyFill="1" applyBorder="1"/>
    <xf numFmtId="166" fontId="53" fillId="0" borderId="2" xfId="5" applyNumberFormat="1" applyFont="1" applyFill="1" applyBorder="1"/>
    <xf numFmtId="166" fontId="4" fillId="0" borderId="6" xfId="5" applyNumberFormat="1" applyFont="1" applyFill="1" applyBorder="1" applyAlignment="1">
      <alignment horizontal="center" vertical="center"/>
    </xf>
    <xf numFmtId="49" fontId="4" fillId="0" borderId="6" xfId="8" applyNumberFormat="1" applyFont="1" applyFill="1" applyBorder="1" applyAlignment="1">
      <alignment horizontal="center" vertical="center"/>
    </xf>
    <xf numFmtId="168" fontId="4" fillId="0" borderId="6" xfId="0" applyNumberFormat="1" applyFont="1" applyFill="1" applyBorder="1" applyAlignment="1">
      <alignment horizontal="left" vertical="center" wrapText="1"/>
    </xf>
    <xf numFmtId="168" fontId="4" fillId="0" borderId="4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166" fontId="4" fillId="0" borderId="2" xfId="5" applyNumberFormat="1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vertical="top" wrapText="1"/>
    </xf>
    <xf numFmtId="166" fontId="26" fillId="0" borderId="2" xfId="5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4" fillId="0" borderId="0" xfId="5" applyFont="1" applyFill="1" applyBorder="1" applyAlignment="1"/>
    <xf numFmtId="3" fontId="4" fillId="0" borderId="0" xfId="5" applyNumberFormat="1" applyFont="1" applyFill="1" applyBorder="1" applyAlignment="1">
      <alignment horizontal="center" vertical="center"/>
    </xf>
    <xf numFmtId="166" fontId="4" fillId="0" borderId="0" xfId="5" applyNumberFormat="1" applyFont="1" applyFill="1" applyBorder="1" applyAlignment="1">
      <alignment horizontal="center" vertical="center"/>
    </xf>
    <xf numFmtId="49" fontId="4" fillId="0" borderId="0" xfId="8" applyNumberFormat="1" applyFont="1" applyFill="1" applyBorder="1" applyAlignment="1">
      <alignment horizontal="center" vertical="center"/>
    </xf>
    <xf numFmtId="166" fontId="45" fillId="0" borderId="0" xfId="5" applyNumberFormat="1" applyFont="1" applyFill="1" applyBorder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165" fontId="4" fillId="0" borderId="0" xfId="5" applyNumberFormat="1" applyFont="1" applyFill="1" applyBorder="1" applyAlignment="1">
      <alignment horizontal="right"/>
    </xf>
    <xf numFmtId="166" fontId="26" fillId="0" borderId="0" xfId="5" applyNumberFormat="1" applyFont="1" applyFill="1" applyBorder="1" applyAlignment="1">
      <alignment horizontal="left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center" wrapText="1"/>
    </xf>
    <xf numFmtId="166" fontId="25" fillId="0" borderId="0" xfId="0" applyNumberFormat="1" applyFont="1" applyFill="1" applyAlignment="1">
      <alignment vertical="top" wrapText="1"/>
    </xf>
    <xf numFmtId="166" fontId="25" fillId="0" borderId="0" xfId="5" applyNumberFormat="1" applyFont="1" applyFill="1"/>
    <xf numFmtId="49" fontId="4" fillId="3" borderId="0" xfId="5" applyNumberFormat="1" applyFont="1" applyFill="1" applyAlignment="1">
      <alignment horizontal="center" vertical="center"/>
    </xf>
    <xf numFmtId="0" fontId="26" fillId="3" borderId="0" xfId="5" applyFont="1" applyFill="1" applyAlignment="1">
      <alignment horizontal="center" vertical="center"/>
    </xf>
    <xf numFmtId="165" fontId="26" fillId="4" borderId="0" xfId="5" applyNumberFormat="1" applyFont="1" applyFill="1"/>
    <xf numFmtId="0" fontId="26" fillId="3" borderId="0" xfId="5" applyFont="1" applyFill="1" applyAlignment="1">
      <alignment horizontal="left" wrapText="1"/>
    </xf>
    <xf numFmtId="0" fontId="26" fillId="3" borderId="0" xfId="5" applyFont="1" applyFill="1" applyAlignment="1">
      <alignment horizontal="left"/>
    </xf>
    <xf numFmtId="0" fontId="26" fillId="3" borderId="0" xfId="5" applyFont="1" applyFill="1" applyBorder="1" applyAlignment="1">
      <alignment horizontal="left" vertical="top" wrapText="1"/>
    </xf>
    <xf numFmtId="0" fontId="44" fillId="3" borderId="0" xfId="5" applyFont="1" applyFill="1" applyBorder="1" applyAlignment="1">
      <alignment horizontal="center" vertical="center" wrapText="1"/>
    </xf>
    <xf numFmtId="0" fontId="26" fillId="3" borderId="0" xfId="5" applyFont="1" applyFill="1" applyAlignment="1">
      <alignment horizontal="center" wrapText="1"/>
    </xf>
    <xf numFmtId="0" fontId="26" fillId="3" borderId="2" xfId="5" applyFont="1" applyFill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4" fillId="3" borderId="2" xfId="5" applyFont="1" applyFill="1" applyBorder="1" applyAlignment="1">
      <alignment horizontal="center" vertical="center" wrapText="1"/>
    </xf>
    <xf numFmtId="0" fontId="4" fillId="3" borderId="6" xfId="5" applyFont="1" applyFill="1" applyBorder="1" applyAlignment="1">
      <alignment horizontal="center" vertical="center" wrapText="1"/>
    </xf>
    <xf numFmtId="0" fontId="4" fillId="3" borderId="4" xfId="5" applyFont="1" applyFill="1" applyBorder="1" applyAlignment="1">
      <alignment horizontal="center" vertical="center" wrapText="1"/>
    </xf>
    <xf numFmtId="0" fontId="44" fillId="3" borderId="2" xfId="5" applyFont="1" applyFill="1" applyBorder="1" applyAlignment="1">
      <alignment horizontal="left" vertical="center" wrapText="1"/>
    </xf>
    <xf numFmtId="0" fontId="26" fillId="3" borderId="2" xfId="5" applyFont="1" applyFill="1" applyBorder="1" applyAlignment="1">
      <alignment horizontal="left" vertical="top" wrapText="1"/>
    </xf>
    <xf numFmtId="0" fontId="44" fillId="3" borderId="2" xfId="5" applyFont="1" applyFill="1" applyBorder="1" applyAlignment="1">
      <alignment horizontal="center" vertical="center"/>
    </xf>
    <xf numFmtId="49" fontId="44" fillId="3" borderId="2" xfId="5" applyNumberFormat="1" applyFont="1" applyFill="1" applyBorder="1" applyAlignment="1">
      <alignment horizontal="center" vertical="center"/>
    </xf>
    <xf numFmtId="166" fontId="44" fillId="3" borderId="2" xfId="5" applyNumberFormat="1" applyFont="1" applyFill="1" applyBorder="1" applyAlignment="1">
      <alignment horizontal="right" vertical="center"/>
    </xf>
    <xf numFmtId="0" fontId="26" fillId="3" borderId="2" xfId="5" applyFont="1" applyFill="1" applyBorder="1" applyAlignment="1">
      <alignment vertical="top" wrapText="1"/>
    </xf>
    <xf numFmtId="3" fontId="2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horizontal="right" vertical="center"/>
    </xf>
    <xf numFmtId="166" fontId="26" fillId="3" borderId="2" xfId="5" applyNumberFormat="1" applyFont="1" applyFill="1" applyBorder="1" applyAlignment="1">
      <alignment horizontal="left" vertical="top" wrapText="1"/>
    </xf>
    <xf numFmtId="0" fontId="26" fillId="3" borderId="2" xfId="5" applyFont="1" applyFill="1" applyBorder="1" applyAlignment="1">
      <alignment horizontal="left" vertical="top" wrapText="1"/>
    </xf>
    <xf numFmtId="0" fontId="26" fillId="3" borderId="2" xfId="5" applyFont="1" applyFill="1" applyBorder="1" applyAlignment="1">
      <alignment horizontal="center" vertical="top" wrapText="1"/>
    </xf>
    <xf numFmtId="166" fontId="26" fillId="3" borderId="2" xfId="5" applyNumberFormat="1" applyFont="1" applyFill="1" applyBorder="1" applyAlignment="1">
      <alignment vertical="top" wrapText="1"/>
    </xf>
    <xf numFmtId="166" fontId="4" fillId="3" borderId="0" xfId="5" applyNumberFormat="1" applyFont="1" applyFill="1"/>
    <xf numFmtId="0" fontId="44" fillId="3" borderId="2" xfId="5" applyFont="1" applyFill="1" applyBorder="1" applyAlignment="1">
      <alignment vertical="top" wrapText="1"/>
    </xf>
    <xf numFmtId="0" fontId="26" fillId="3" borderId="6" xfId="5" applyFont="1" applyFill="1" applyBorder="1" applyAlignment="1">
      <alignment horizontal="left" vertical="top" wrapText="1"/>
    </xf>
    <xf numFmtId="166" fontId="26" fillId="3" borderId="2" xfId="5" applyNumberFormat="1" applyFont="1" applyFill="1" applyBorder="1" applyAlignment="1">
      <alignment horizontal="left" vertical="top" wrapText="1"/>
    </xf>
    <xf numFmtId="0" fontId="26" fillId="3" borderId="11" xfId="5" applyFont="1" applyFill="1" applyBorder="1" applyAlignment="1">
      <alignment horizontal="left" vertical="top" wrapText="1"/>
    </xf>
    <xf numFmtId="0" fontId="26" fillId="3" borderId="4" xfId="5" applyFont="1" applyFill="1" applyBorder="1" applyAlignment="1">
      <alignment horizontal="left" vertical="top" wrapText="1"/>
    </xf>
    <xf numFmtId="49" fontId="34" fillId="3" borderId="2" xfId="5" applyNumberFormat="1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wrapText="1"/>
    </xf>
    <xf numFmtId="3" fontId="26" fillId="3" borderId="2" xfId="5" applyNumberFormat="1" applyFont="1" applyFill="1" applyBorder="1" applyAlignment="1">
      <alignment horizontal="left" vertical="top" wrapText="1"/>
    </xf>
    <xf numFmtId="0" fontId="26" fillId="3" borderId="2" xfId="5" applyFont="1" applyFill="1" applyBorder="1"/>
    <xf numFmtId="166" fontId="26" fillId="3" borderId="2" xfId="5" applyNumberFormat="1" applyFont="1" applyFill="1" applyBorder="1" applyAlignment="1">
      <alignment vertical="center"/>
    </xf>
    <xf numFmtId="166" fontId="26" fillId="3" borderId="2" xfId="5" applyNumberFormat="1" applyFont="1" applyFill="1" applyBorder="1"/>
    <xf numFmtId="168" fontId="26" fillId="3" borderId="2" xfId="0" applyNumberFormat="1" applyFont="1" applyFill="1" applyBorder="1" applyAlignment="1">
      <alignment horizontal="left" vertical="center" wrapText="1"/>
    </xf>
    <xf numFmtId="1" fontId="26" fillId="3" borderId="2" xfId="5" applyNumberFormat="1" applyFont="1" applyFill="1" applyBorder="1" applyAlignment="1">
      <alignment horizontal="center" vertical="center"/>
    </xf>
    <xf numFmtId="2" fontId="26" fillId="3" borderId="2" xfId="0" applyNumberFormat="1" applyFont="1" applyFill="1" applyBorder="1" applyAlignment="1">
      <alignment wrapText="1"/>
    </xf>
    <xf numFmtId="0" fontId="26" fillId="3" borderId="0" xfId="5" applyFont="1" applyFill="1" applyBorder="1" applyAlignment="1">
      <alignment horizontal="left" vertical="top" wrapText="1"/>
    </xf>
    <xf numFmtId="0" fontId="26" fillId="3" borderId="0" xfId="5" applyFont="1" applyFill="1" applyBorder="1"/>
    <xf numFmtId="3" fontId="2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center" vertical="center"/>
    </xf>
    <xf numFmtId="49" fontId="2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 vertical="center"/>
    </xf>
    <xf numFmtId="166" fontId="26" fillId="3" borderId="0" xfId="5" applyNumberFormat="1" applyFont="1" applyFill="1" applyBorder="1"/>
    <xf numFmtId="0" fontId="25" fillId="3" borderId="0" xfId="0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center" vertical="top" wrapText="1"/>
    </xf>
    <xf numFmtId="0" fontId="26" fillId="3" borderId="0" xfId="1" applyFont="1" applyFill="1" applyAlignment="1">
      <alignment vertical="top" wrapText="1"/>
    </xf>
    <xf numFmtId="0" fontId="26" fillId="3" borderId="0" xfId="1" applyFont="1" applyFill="1" applyAlignment="1">
      <alignment horizontal="left" vertical="top" wrapText="1"/>
    </xf>
    <xf numFmtId="0" fontId="26" fillId="3" borderId="0" xfId="1" applyFont="1" applyFill="1" applyBorder="1" applyAlignment="1">
      <alignment horizontal="left" vertical="top" wrapText="1"/>
    </xf>
    <xf numFmtId="0" fontId="26" fillId="3" borderId="0" xfId="1" applyFont="1" applyFill="1" applyAlignment="1">
      <alignment vertical="top" wrapText="1"/>
    </xf>
    <xf numFmtId="0" fontId="26" fillId="3" borderId="0" xfId="1" applyFont="1" applyFill="1" applyAlignment="1">
      <alignment horizontal="left" vertical="center" wrapText="1"/>
    </xf>
    <xf numFmtId="0" fontId="26" fillId="3" borderId="0" xfId="1" applyFont="1" applyFill="1" applyBorder="1" applyAlignment="1">
      <alignment horizontal="left" vertical="top" wrapText="1"/>
    </xf>
    <xf numFmtId="49" fontId="44" fillId="0" borderId="0" xfId="1" applyNumberFormat="1" applyFont="1" applyFill="1" applyAlignment="1">
      <alignment horizontal="center" vertical="top" wrapText="1"/>
    </xf>
    <xf numFmtId="49" fontId="26" fillId="0" borderId="0" xfId="1" applyNumberFormat="1" applyFont="1" applyFill="1" applyAlignment="1">
      <alignment horizontal="center" vertical="top" wrapText="1"/>
    </xf>
    <xf numFmtId="0" fontId="26" fillId="0" borderId="0" xfId="1" applyFont="1" applyFill="1" applyAlignment="1">
      <alignment vertical="top" wrapText="1"/>
    </xf>
    <xf numFmtId="49" fontId="26" fillId="0" borderId="2" xfId="1" applyNumberFormat="1" applyFont="1" applyFill="1" applyBorder="1" applyAlignment="1">
      <alignment horizontal="center" vertical="top" wrapText="1"/>
    </xf>
    <xf numFmtId="0" fontId="26" fillId="0" borderId="6" xfId="1" applyFont="1" applyFill="1" applyBorder="1" applyAlignment="1">
      <alignment horizontal="center" vertical="top" wrapText="1"/>
    </xf>
    <xf numFmtId="0" fontId="26" fillId="0" borderId="2" xfId="1" applyFont="1" applyFill="1" applyBorder="1" applyAlignment="1">
      <alignment horizontal="center" vertical="top" wrapText="1"/>
    </xf>
    <xf numFmtId="0" fontId="26" fillId="0" borderId="8" xfId="1" applyFont="1" applyFill="1" applyBorder="1" applyAlignment="1">
      <alignment horizontal="center" vertical="top" wrapText="1"/>
    </xf>
    <xf numFmtId="0" fontId="26" fillId="0" borderId="25" xfId="1" applyFont="1" applyFill="1" applyBorder="1" applyAlignment="1">
      <alignment horizontal="center" vertical="top" wrapText="1"/>
    </xf>
    <xf numFmtId="0" fontId="26" fillId="0" borderId="20" xfId="1" applyFont="1" applyFill="1" applyBorder="1" applyAlignment="1">
      <alignment horizontal="center" vertical="top" wrapText="1"/>
    </xf>
    <xf numFmtId="0" fontId="26" fillId="0" borderId="4" xfId="1" applyFont="1" applyFill="1" applyBorder="1" applyAlignment="1">
      <alignment horizontal="center" vertical="top" wrapText="1"/>
    </xf>
    <xf numFmtId="0" fontId="26" fillId="0" borderId="2" xfId="1" applyFont="1" applyFill="1" applyBorder="1" applyAlignment="1">
      <alignment horizontal="center" vertical="top" wrapText="1"/>
    </xf>
    <xf numFmtId="49" fontId="26" fillId="0" borderId="2" xfId="1" applyNumberFormat="1" applyFont="1" applyFill="1" applyBorder="1" applyAlignment="1">
      <alignment horizontal="center" vertical="top" wrapText="1"/>
    </xf>
    <xf numFmtId="0" fontId="26" fillId="0" borderId="8" xfId="1" applyFont="1" applyFill="1" applyBorder="1" applyAlignment="1">
      <alignment horizontal="left" vertical="top" wrapText="1"/>
    </xf>
    <xf numFmtId="0" fontId="26" fillId="0" borderId="25" xfId="1" applyFont="1" applyFill="1" applyBorder="1" applyAlignment="1">
      <alignment horizontal="left" vertical="top" wrapText="1"/>
    </xf>
    <xf numFmtId="0" fontId="26" fillId="0" borderId="20" xfId="1" applyFont="1" applyFill="1" applyBorder="1" applyAlignment="1">
      <alignment horizontal="left" vertical="top" wrapText="1"/>
    </xf>
    <xf numFmtId="49" fontId="26" fillId="0" borderId="6" xfId="1" applyNumberFormat="1" applyFont="1" applyFill="1" applyBorder="1" applyAlignment="1">
      <alignment horizontal="left" vertical="top" wrapText="1"/>
    </xf>
    <xf numFmtId="0" fontId="26" fillId="0" borderId="6" xfId="1" applyFont="1" applyFill="1" applyBorder="1" applyAlignment="1">
      <alignment horizontal="center" vertical="top" wrapText="1"/>
    </xf>
    <xf numFmtId="49" fontId="26" fillId="0" borderId="6" xfId="1" applyNumberFormat="1" applyFont="1" applyFill="1" applyBorder="1" applyAlignment="1">
      <alignment horizontal="center" vertical="top" wrapText="1"/>
    </xf>
    <xf numFmtId="0" fontId="8" fillId="0" borderId="6" xfId="5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49" fontId="4" fillId="0" borderId="8" xfId="1" applyNumberFormat="1" applyFont="1" applyFill="1" applyBorder="1" applyAlignment="1">
      <alignment horizontal="center" vertical="top" wrapText="1"/>
    </xf>
    <xf numFmtId="49" fontId="4" fillId="0" borderId="25" xfId="1" applyNumberFormat="1" applyFont="1" applyFill="1" applyBorder="1" applyAlignment="1">
      <alignment horizontal="center" vertical="top" wrapText="1"/>
    </xf>
    <xf numFmtId="49" fontId="4" fillId="0" borderId="20" xfId="1" applyNumberFormat="1" applyFont="1" applyFill="1" applyBorder="1" applyAlignment="1">
      <alignment horizontal="center" vertical="top" wrapText="1"/>
    </xf>
    <xf numFmtId="170" fontId="4" fillId="0" borderId="2" xfId="1" applyNumberFormat="1" applyFont="1" applyFill="1" applyBorder="1" applyAlignment="1">
      <alignment horizontal="right" vertical="top" wrapText="1"/>
    </xf>
    <xf numFmtId="167" fontId="26" fillId="0" borderId="6" xfId="1" applyNumberFormat="1" applyFont="1" applyFill="1" applyBorder="1" applyAlignment="1">
      <alignment horizontal="center" vertical="top" wrapText="1"/>
    </xf>
    <xf numFmtId="0" fontId="26" fillId="3" borderId="0" xfId="1" applyFont="1" applyFill="1" applyAlignment="1">
      <alignment wrapText="1"/>
    </xf>
    <xf numFmtId="49" fontId="26" fillId="0" borderId="11" xfId="1" applyNumberFormat="1" applyFont="1" applyFill="1" applyBorder="1" applyAlignment="1">
      <alignment horizontal="center" vertical="top" wrapText="1"/>
    </xf>
    <xf numFmtId="0" fontId="26" fillId="0" borderId="11" xfId="1" applyFont="1" applyFill="1" applyBorder="1" applyAlignment="1">
      <alignment horizontal="center" vertical="top" wrapText="1"/>
    </xf>
    <xf numFmtId="0" fontId="8" fillId="0" borderId="11" xfId="5" applyFont="1" applyFill="1" applyBorder="1" applyAlignment="1">
      <alignment horizontal="center" vertical="top" wrapText="1"/>
    </xf>
    <xf numFmtId="167" fontId="26" fillId="0" borderId="11" xfId="1" applyNumberFormat="1" applyFont="1" applyFill="1" applyBorder="1" applyAlignment="1">
      <alignment horizontal="center" vertical="top" wrapText="1"/>
    </xf>
    <xf numFmtId="167" fontId="26" fillId="3" borderId="0" xfId="1" applyNumberFormat="1" applyFont="1" applyFill="1" applyAlignment="1">
      <alignment wrapText="1"/>
    </xf>
    <xf numFmtId="49" fontId="26" fillId="0" borderId="4" xfId="1" applyNumberFormat="1" applyFont="1" applyFill="1" applyBorder="1" applyAlignment="1">
      <alignment horizontal="center" vertical="top" wrapText="1"/>
    </xf>
    <xf numFmtId="0" fontId="8" fillId="0" borderId="4" xfId="5" applyFont="1" applyFill="1" applyBorder="1" applyAlignment="1">
      <alignment horizontal="center" vertical="top" wrapText="1"/>
    </xf>
    <xf numFmtId="49" fontId="26" fillId="0" borderId="4" xfId="1" applyNumberFormat="1" applyFont="1" applyFill="1" applyBorder="1" applyAlignment="1">
      <alignment horizontal="center" vertical="top" wrapText="1"/>
    </xf>
    <xf numFmtId="0" fontId="26" fillId="0" borderId="4" xfId="1" applyFont="1" applyFill="1" applyBorder="1" applyAlignment="1">
      <alignment horizontal="left" vertical="top" wrapText="1"/>
    </xf>
    <xf numFmtId="0" fontId="8" fillId="0" borderId="4" xfId="5" applyFont="1" applyFill="1" applyBorder="1" applyAlignment="1">
      <alignment horizontal="center" vertical="top" wrapText="1"/>
    </xf>
    <xf numFmtId="168" fontId="34" fillId="0" borderId="23" xfId="0" applyNumberFormat="1" applyFont="1" applyFill="1" applyBorder="1" applyAlignment="1" applyProtection="1">
      <alignment horizontal="left" vertical="center" wrapText="1"/>
    </xf>
    <xf numFmtId="0" fontId="26" fillId="0" borderId="2" xfId="0" applyFont="1" applyFill="1" applyBorder="1" applyAlignment="1">
      <alignment vertical="distributed" wrapText="1"/>
    </xf>
    <xf numFmtId="167" fontId="26" fillId="0" borderId="4" xfId="1" applyNumberFormat="1" applyFont="1" applyFill="1" applyBorder="1" applyAlignment="1">
      <alignment horizontal="center" vertical="top" wrapText="1"/>
    </xf>
    <xf numFmtId="0" fontId="26" fillId="0" borderId="2" xfId="1" applyFont="1" applyFill="1" applyBorder="1" applyAlignment="1">
      <alignment vertical="top" wrapText="1"/>
    </xf>
    <xf numFmtId="0" fontId="26" fillId="0" borderId="2" xfId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vertical="top" wrapText="1"/>
    </xf>
    <xf numFmtId="167" fontId="26" fillId="0" borderId="2" xfId="1" applyNumberFormat="1" applyFont="1" applyFill="1" applyBorder="1" applyAlignment="1">
      <alignment horizontal="left" vertical="top" wrapText="1"/>
    </xf>
    <xf numFmtId="166" fontId="26" fillId="3" borderId="0" xfId="1" applyNumberFormat="1" applyFont="1" applyFill="1" applyAlignment="1">
      <alignment vertical="top" wrapText="1"/>
    </xf>
    <xf numFmtId="49" fontId="4" fillId="0" borderId="0" xfId="1" applyNumberFormat="1" applyFont="1" applyFill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167" fontId="4" fillId="0" borderId="0" xfId="1" applyNumberFormat="1" applyFont="1" applyFill="1" applyAlignment="1">
      <alignment vertical="top" wrapText="1"/>
    </xf>
    <xf numFmtId="0" fontId="4" fillId="3" borderId="0" xfId="1" applyFont="1" applyFill="1" applyAlignment="1">
      <alignment vertical="top" wrapText="1"/>
    </xf>
    <xf numFmtId="166" fontId="4" fillId="0" borderId="0" xfId="0" applyNumberFormat="1" applyFont="1" applyFill="1" applyAlignment="1">
      <alignment vertical="top" wrapText="1"/>
    </xf>
    <xf numFmtId="49" fontId="4" fillId="3" borderId="0" xfId="1" applyNumberFormat="1" applyFont="1" applyFill="1" applyAlignment="1">
      <alignment horizontal="center" vertical="top" wrapText="1"/>
    </xf>
    <xf numFmtId="167" fontId="4" fillId="3" borderId="0" xfId="1" applyNumberFormat="1" applyFont="1" applyFill="1" applyAlignment="1">
      <alignment vertical="top" wrapText="1"/>
    </xf>
    <xf numFmtId="167" fontId="4" fillId="4" borderId="0" xfId="1" applyNumberFormat="1" applyFont="1" applyFill="1" applyAlignment="1">
      <alignment vertical="top" wrapText="1"/>
    </xf>
    <xf numFmtId="166" fontId="4" fillId="3" borderId="0" xfId="1" applyNumberFormat="1" applyFont="1" applyFill="1" applyAlignment="1">
      <alignment vertical="top" wrapText="1"/>
    </xf>
    <xf numFmtId="0" fontId="4" fillId="4" borderId="0" xfId="1" applyFont="1" applyFill="1" applyAlignment="1">
      <alignment vertical="top" wrapText="1"/>
    </xf>
    <xf numFmtId="0" fontId="26" fillId="4" borderId="0" xfId="1" applyFont="1" applyFill="1" applyAlignment="1">
      <alignment vertical="top" wrapText="1"/>
    </xf>
    <xf numFmtId="0" fontId="8" fillId="0" borderId="0" xfId="1" applyFont="1"/>
    <xf numFmtId="0" fontId="8" fillId="0" borderId="0" xfId="1" applyFont="1" applyAlignment="1">
      <alignment horizontal="left" wrapText="1"/>
    </xf>
    <xf numFmtId="0" fontId="8" fillId="0" borderId="0" xfId="1" applyFont="1" applyAlignment="1">
      <alignment horizontal="left"/>
    </xf>
    <xf numFmtId="0" fontId="43" fillId="0" borderId="0" xfId="0" applyFont="1"/>
    <xf numFmtId="0" fontId="34" fillId="0" borderId="0" xfId="1" applyFont="1"/>
    <xf numFmtId="0" fontId="8" fillId="2" borderId="0" xfId="1" applyFont="1" applyFill="1" applyBorder="1" applyAlignment="1">
      <alignment horizontal="left" vertical="center" wrapText="1"/>
    </xf>
    <xf numFmtId="0" fontId="26" fillId="2" borderId="0" xfId="1" applyFont="1" applyFill="1" applyBorder="1" applyAlignment="1">
      <alignment horizontal="left" vertical="center" wrapText="1"/>
    </xf>
    <xf numFmtId="0" fontId="43" fillId="0" borderId="0" xfId="0" applyFont="1" applyAlignment="1"/>
    <xf numFmtId="0" fontId="26" fillId="0" borderId="0" xfId="1" applyFont="1" applyAlignment="1">
      <alignment horizontal="center"/>
    </xf>
    <xf numFmtId="0" fontId="45" fillId="0" borderId="0" xfId="1" applyFont="1" applyAlignment="1">
      <alignment horizontal="center" vertical="center"/>
    </xf>
    <xf numFmtId="0" fontId="54" fillId="0" borderId="0" xfId="0" applyFont="1" applyAlignment="1">
      <alignment horizontal="center"/>
    </xf>
    <xf numFmtId="0" fontId="43" fillId="0" borderId="0" xfId="0" applyFont="1" applyAlignment="1"/>
    <xf numFmtId="0" fontId="8" fillId="0" borderId="0" xfId="1" applyFont="1" applyAlignment="1">
      <alignment wrapText="1"/>
    </xf>
    <xf numFmtId="0" fontId="34" fillId="0" borderId="2" xfId="1" applyFont="1" applyBorder="1" applyAlignment="1">
      <alignment horizontal="center" vertical="top" wrapText="1"/>
    </xf>
    <xf numFmtId="0" fontId="34" fillId="0" borderId="2" xfId="1" applyFont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/>
    </xf>
    <xf numFmtId="0" fontId="34" fillId="0" borderId="8" xfId="1" applyFont="1" applyBorder="1" applyAlignment="1">
      <alignment horizontal="center" vertical="center"/>
    </xf>
    <xf numFmtId="0" fontId="55" fillId="0" borderId="8" xfId="1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/>
    </xf>
    <xf numFmtId="0" fontId="43" fillId="0" borderId="20" xfId="0" applyFont="1" applyBorder="1" applyAlignment="1">
      <alignment horizontal="center"/>
    </xf>
    <xf numFmtId="0" fontId="34" fillId="0" borderId="2" xfId="1" applyFont="1" applyBorder="1" applyAlignment="1">
      <alignment horizontal="center" vertical="top" wrapText="1"/>
    </xf>
    <xf numFmtId="0" fontId="34" fillId="0" borderId="2" xfId="1" applyFont="1" applyBorder="1" applyAlignment="1">
      <alignment horizontal="left" vertical="top" wrapText="1"/>
    </xf>
    <xf numFmtId="0" fontId="34" fillId="0" borderId="8" xfId="1" applyFont="1" applyBorder="1" applyAlignment="1">
      <alignment horizontal="left" vertical="center" wrapText="1"/>
    </xf>
    <xf numFmtId="0" fontId="34" fillId="0" borderId="25" xfId="1" applyFont="1" applyBorder="1" applyAlignment="1">
      <alignment horizontal="left" vertical="center" wrapText="1"/>
    </xf>
    <xf numFmtId="0" fontId="43" fillId="0" borderId="20" xfId="0" applyFont="1" applyBorder="1" applyAlignment="1">
      <alignment horizontal="left" vertical="center" wrapText="1"/>
    </xf>
    <xf numFmtId="0" fontId="34" fillId="0" borderId="2" xfId="1" applyFont="1" applyBorder="1" applyAlignment="1">
      <alignment horizontal="left" vertical="center" wrapText="1"/>
    </xf>
    <xf numFmtId="0" fontId="34" fillId="0" borderId="4" xfId="1" applyFont="1" applyBorder="1" applyAlignment="1">
      <alignment horizontal="center" vertical="top"/>
    </xf>
    <xf numFmtId="0" fontId="34" fillId="0" borderId="4" xfId="1" applyFont="1" applyBorder="1"/>
    <xf numFmtId="0" fontId="34" fillId="0" borderId="7" xfId="1" applyFont="1" applyBorder="1"/>
    <xf numFmtId="0" fontId="34" fillId="0" borderId="2" xfId="1" applyFont="1" applyBorder="1"/>
    <xf numFmtId="0" fontId="56" fillId="3" borderId="2" xfId="6" applyFont="1" applyFill="1" applyBorder="1" applyAlignment="1">
      <alignment vertical="top" wrapText="1"/>
    </xf>
    <xf numFmtId="0" fontId="34" fillId="2" borderId="2" xfId="1" applyFont="1" applyFill="1" applyBorder="1" applyAlignment="1">
      <alignment horizontal="center" vertical="top" wrapText="1"/>
    </xf>
    <xf numFmtId="49" fontId="34" fillId="3" borderId="2" xfId="1" applyNumberFormat="1" applyFont="1" applyFill="1" applyBorder="1" applyAlignment="1">
      <alignment horizontal="center" vertical="top" wrapText="1"/>
    </xf>
    <xf numFmtId="165" fontId="34" fillId="3" borderId="2" xfId="1" applyNumberFormat="1" applyFont="1" applyFill="1" applyBorder="1" applyAlignment="1">
      <alignment horizontal="center" vertical="top"/>
    </xf>
    <xf numFmtId="0" fontId="34" fillId="3" borderId="2" xfId="1" applyFont="1" applyFill="1" applyBorder="1" applyAlignment="1">
      <alignment horizontal="center" vertical="top"/>
    </xf>
    <xf numFmtId="0" fontId="34" fillId="3" borderId="2" xfId="1" applyFont="1" applyFill="1" applyBorder="1" applyAlignment="1">
      <alignment horizontal="center" vertical="top" wrapText="1"/>
    </xf>
    <xf numFmtId="0" fontId="34" fillId="3" borderId="2" xfId="1" applyFont="1" applyFill="1" applyBorder="1" applyAlignment="1">
      <alignment horizontal="center" vertical="center"/>
    </xf>
    <xf numFmtId="0" fontId="56" fillId="3" borderId="2" xfId="1" applyFont="1" applyFill="1" applyBorder="1" applyAlignment="1">
      <alignment vertical="top" wrapText="1"/>
    </xf>
    <xf numFmtId="0" fontId="43" fillId="3" borderId="2" xfId="0" applyFont="1" applyFill="1" applyBorder="1" applyAlignment="1">
      <alignment horizontal="left" vertical="center" wrapText="1"/>
    </xf>
    <xf numFmtId="165" fontId="44" fillId="2" borderId="29" xfId="2" applyNumberFormat="1" applyFont="1" applyFill="1" applyBorder="1" applyAlignment="1">
      <alignment horizontal="center" wrapText="1"/>
    </xf>
    <xf numFmtId="0" fontId="57" fillId="0" borderId="29" xfId="0" applyFont="1" applyBorder="1" applyAlignment="1"/>
    <xf numFmtId="165" fontId="25" fillId="2" borderId="0" xfId="2" applyNumberFormat="1" applyFont="1" applyFill="1"/>
    <xf numFmtId="0" fontId="25" fillId="2" borderId="0" xfId="2" applyFont="1" applyFill="1" applyAlignment="1">
      <alignment vertical="top"/>
    </xf>
    <xf numFmtId="0" fontId="25" fillId="2" borderId="0" xfId="2" applyFont="1" applyFill="1"/>
    <xf numFmtId="0" fontId="8" fillId="2" borderId="0" xfId="2" applyFont="1" applyFill="1"/>
    <xf numFmtId="165" fontId="34" fillId="2" borderId="2" xfId="2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 wrapText="1"/>
    </xf>
    <xf numFmtId="0" fontId="34" fillId="3" borderId="2" xfId="2" applyFont="1" applyFill="1" applyBorder="1" applyAlignment="1">
      <alignment horizontal="center" vertical="center" wrapText="1"/>
    </xf>
    <xf numFmtId="0" fontId="34" fillId="3" borderId="2" xfId="2" applyNumberFormat="1" applyFont="1" applyFill="1" applyBorder="1" applyAlignment="1">
      <alignment horizontal="center" vertical="center" wrapText="1"/>
    </xf>
    <xf numFmtId="0" fontId="34" fillId="3" borderId="8" xfId="2" applyFont="1" applyFill="1" applyBorder="1" applyAlignment="1">
      <alignment horizontal="center" vertical="center" wrapText="1"/>
    </xf>
    <xf numFmtId="0" fontId="43" fillId="3" borderId="2" xfId="0" applyNumberFormat="1" applyFont="1" applyFill="1" applyBorder="1" applyAlignment="1">
      <alignment horizontal="center" vertical="center" wrapText="1"/>
    </xf>
    <xf numFmtId="165" fontId="34" fillId="2" borderId="2" xfId="2" applyNumberFormat="1" applyFont="1" applyFill="1" applyBorder="1" applyAlignment="1">
      <alignment horizontal="left" vertical="center" wrapText="1"/>
    </xf>
    <xf numFmtId="165" fontId="34" fillId="3" borderId="8" xfId="2" applyNumberFormat="1" applyFont="1" applyFill="1" applyBorder="1" applyAlignment="1">
      <alignment horizontal="left" vertical="top" wrapText="1"/>
    </xf>
    <xf numFmtId="165" fontId="34" fillId="3" borderId="25" xfId="2" applyNumberFormat="1" applyFont="1" applyFill="1" applyBorder="1" applyAlignment="1">
      <alignment horizontal="left" vertical="top" wrapText="1"/>
    </xf>
    <xf numFmtId="0" fontId="43" fillId="3" borderId="25" xfId="0" applyFont="1" applyFill="1" applyBorder="1" applyAlignment="1">
      <alignment horizontal="left" vertical="top" wrapText="1"/>
    </xf>
    <xf numFmtId="0" fontId="43" fillId="3" borderId="20" xfId="0" applyFont="1" applyFill="1" applyBorder="1" applyAlignment="1">
      <alignment horizontal="left" vertical="top" wrapText="1"/>
    </xf>
    <xf numFmtId="165" fontId="55" fillId="2" borderId="2" xfId="2" applyNumberFormat="1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left" vertical="center" wrapText="1"/>
    </xf>
    <xf numFmtId="165" fontId="55" fillId="3" borderId="2" xfId="2" applyNumberFormat="1" applyFont="1" applyFill="1" applyBorder="1" applyAlignment="1">
      <alignment horizontal="left" vertical="center" wrapText="1"/>
    </xf>
    <xf numFmtId="49" fontId="34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34" fillId="2" borderId="2" xfId="2" applyFont="1" applyFill="1" applyBorder="1" applyAlignment="1">
      <alignment vertical="center" wrapText="1"/>
    </xf>
    <xf numFmtId="0" fontId="34" fillId="3" borderId="2" xfId="2" applyFont="1" applyFill="1" applyBorder="1" applyAlignment="1">
      <alignment horizontal="center" vertical="top" wrapText="1"/>
    </xf>
    <xf numFmtId="3" fontId="34" fillId="3" borderId="2" xfId="2" applyNumberFormat="1" applyFont="1" applyFill="1" applyBorder="1" applyAlignment="1">
      <alignment horizontal="center" vertical="top" wrapText="1"/>
    </xf>
    <xf numFmtId="0" fontId="34" fillId="3" borderId="2" xfId="2" applyFont="1" applyFill="1" applyBorder="1" applyAlignment="1">
      <alignment horizontal="center" vertical="top"/>
    </xf>
    <xf numFmtId="0" fontId="34" fillId="3" borderId="8" xfId="2" applyFont="1" applyFill="1" applyBorder="1" applyAlignment="1">
      <alignment horizontal="center" vertical="top"/>
    </xf>
    <xf numFmtId="0" fontId="34" fillId="2" borderId="2" xfId="2" applyFont="1" applyFill="1" applyBorder="1" applyAlignment="1">
      <alignment vertical="top" wrapText="1"/>
    </xf>
    <xf numFmtId="0" fontId="34" fillId="3" borderId="2" xfId="2" applyNumberFormat="1" applyFont="1" applyFill="1" applyBorder="1" applyAlignment="1">
      <alignment horizontal="center" vertical="top" wrapText="1"/>
    </xf>
    <xf numFmtId="0" fontId="34" fillId="0" borderId="2" xfId="2" applyFont="1" applyFill="1" applyBorder="1" applyAlignment="1">
      <alignment vertical="center" wrapText="1"/>
    </xf>
    <xf numFmtId="165" fontId="44" fillId="2" borderId="25" xfId="2" applyNumberFormat="1" applyFont="1" applyFill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/>
    </xf>
    <xf numFmtId="0" fontId="34" fillId="3" borderId="2" xfId="1" applyFont="1" applyFill="1" applyBorder="1" applyAlignment="1">
      <alignment horizontal="center" vertical="center" wrapText="1"/>
    </xf>
    <xf numFmtId="0" fontId="34" fillId="3" borderId="2" xfId="1" applyFont="1" applyFill="1" applyBorder="1" applyAlignment="1">
      <alignment horizontal="left" vertical="center"/>
    </xf>
    <xf numFmtId="0" fontId="43" fillId="3" borderId="2" xfId="0" applyFont="1" applyFill="1" applyBorder="1" applyAlignment="1">
      <alignment horizontal="left" vertical="center"/>
    </xf>
    <xf numFmtId="0" fontId="34" fillId="3" borderId="8" xfId="1" applyFont="1" applyFill="1" applyBorder="1" applyAlignment="1">
      <alignment horizontal="left" vertical="center" wrapText="1"/>
    </xf>
    <xf numFmtId="0" fontId="34" fillId="3" borderId="25" xfId="1" applyFont="1" applyFill="1" applyBorder="1" applyAlignment="1">
      <alignment horizontal="left" vertical="center" wrapText="1"/>
    </xf>
    <xf numFmtId="0" fontId="43" fillId="3" borderId="20" xfId="0" applyFont="1" applyFill="1" applyBorder="1" applyAlignment="1">
      <alignment horizontal="left"/>
    </xf>
    <xf numFmtId="0" fontId="34" fillId="3" borderId="2" xfId="1" applyFont="1" applyFill="1" applyBorder="1"/>
    <xf numFmtId="0" fontId="56" fillId="0" borderId="2" xfId="1" applyFont="1" applyBorder="1" applyAlignment="1">
      <alignment vertical="top" wrapText="1"/>
    </xf>
    <xf numFmtId="3" fontId="34" fillId="3" borderId="2" xfId="1" applyNumberFormat="1" applyFont="1" applyFill="1" applyBorder="1" applyAlignment="1">
      <alignment horizontal="center" vertical="top" wrapText="1"/>
    </xf>
    <xf numFmtId="0" fontId="38" fillId="0" borderId="0" xfId="0" applyFont="1" applyAlignment="1">
      <alignment vertical="top" wrapText="1"/>
    </xf>
    <xf numFmtId="165" fontId="34" fillId="3" borderId="2" xfId="1" applyNumberFormat="1" applyFont="1" applyFill="1" applyBorder="1" applyAlignment="1">
      <alignment horizontal="center" vertical="top" wrapText="1"/>
    </xf>
    <xf numFmtId="0" fontId="34" fillId="2" borderId="2" xfId="1" applyFont="1" applyFill="1" applyBorder="1" applyAlignment="1">
      <alignment horizontal="left" vertical="top" wrapText="1"/>
    </xf>
    <xf numFmtId="3" fontId="34" fillId="3" borderId="2" xfId="1" applyNumberFormat="1" applyFont="1" applyFill="1" applyBorder="1" applyAlignment="1">
      <alignment horizontal="center" vertical="top"/>
    </xf>
    <xf numFmtId="0" fontId="56" fillId="0" borderId="2" xfId="4" applyFont="1" applyFill="1" applyBorder="1" applyAlignment="1">
      <alignment horizontal="center" vertical="top" wrapText="1"/>
    </xf>
    <xf numFmtId="0" fontId="56" fillId="0" borderId="8" xfId="4" applyFont="1" applyFill="1" applyBorder="1" applyAlignment="1">
      <alignment horizontal="center" vertical="top" wrapText="1"/>
    </xf>
    <xf numFmtId="0" fontId="56" fillId="0" borderId="2" xfId="4" applyFont="1" applyFill="1" applyBorder="1" applyAlignment="1">
      <alignment vertical="top" wrapText="1"/>
    </xf>
    <xf numFmtId="0" fontId="56" fillId="0" borderId="8" xfId="4" applyFont="1" applyFill="1" applyBorder="1" applyAlignment="1">
      <alignment vertical="top" wrapText="1"/>
    </xf>
    <xf numFmtId="0" fontId="56" fillId="0" borderId="8" xfId="4" applyFont="1" applyFill="1" applyBorder="1" applyAlignment="1">
      <alignment horizontal="left" vertical="top" wrapText="1"/>
    </xf>
    <xf numFmtId="0" fontId="43" fillId="0" borderId="25" xfId="0" applyFont="1" applyBorder="1" applyAlignment="1">
      <alignment horizontal="left" vertical="top" wrapText="1"/>
    </xf>
    <xf numFmtId="0" fontId="43" fillId="0" borderId="20" xfId="0" applyFont="1" applyBorder="1" applyAlignment="1">
      <alignment horizontal="left" vertical="top" wrapText="1"/>
    </xf>
    <xf numFmtId="0" fontId="56" fillId="0" borderId="2" xfId="4" applyFont="1" applyBorder="1" applyAlignment="1">
      <alignment horizontal="center" vertical="top" wrapText="1"/>
    </xf>
    <xf numFmtId="1" fontId="56" fillId="0" borderId="2" xfId="4" applyNumberFormat="1" applyFont="1" applyFill="1" applyBorder="1" applyAlignment="1">
      <alignment horizontal="right" vertical="top" wrapText="1"/>
    </xf>
    <xf numFmtId="1" fontId="56" fillId="0" borderId="8" xfId="4" applyNumberFormat="1" applyFont="1" applyFill="1" applyBorder="1" applyAlignment="1">
      <alignment horizontal="right" vertical="top" wrapText="1"/>
    </xf>
    <xf numFmtId="0" fontId="56" fillId="0" borderId="2" xfId="4" applyFont="1" applyBorder="1" applyAlignment="1">
      <alignment vertical="top" wrapText="1"/>
    </xf>
    <xf numFmtId="0" fontId="56" fillId="0" borderId="8" xfId="4" applyFont="1" applyBorder="1" applyAlignment="1">
      <alignment vertical="top" wrapText="1"/>
    </xf>
    <xf numFmtId="0" fontId="56" fillId="3" borderId="2" xfId="4" applyFont="1" applyFill="1" applyBorder="1" applyAlignment="1">
      <alignment vertical="top" wrapText="1"/>
    </xf>
    <xf numFmtId="0" fontId="56" fillId="3" borderId="2" xfId="4" applyFont="1" applyFill="1" applyBorder="1" applyAlignment="1">
      <alignment horizontal="center" vertical="top" wrapText="1"/>
    </xf>
    <xf numFmtId="2" fontId="56" fillId="3" borderId="2" xfId="4" applyNumberFormat="1" applyFont="1" applyFill="1" applyBorder="1" applyAlignment="1">
      <alignment horizontal="center" vertical="top" wrapText="1"/>
    </xf>
    <xf numFmtId="1" fontId="56" fillId="3" borderId="2" xfId="4" applyNumberFormat="1" applyFont="1" applyFill="1" applyBorder="1" applyAlignment="1">
      <alignment horizontal="right" vertical="top" wrapText="1"/>
    </xf>
    <xf numFmtId="1" fontId="56" fillId="3" borderId="8" xfId="4" applyNumberFormat="1" applyFont="1" applyFill="1" applyBorder="1" applyAlignment="1">
      <alignment horizontal="right" vertical="top" wrapText="1"/>
    </xf>
    <xf numFmtId="2" fontId="58" fillId="0" borderId="2" xfId="4" applyNumberFormat="1" applyFont="1" applyFill="1" applyBorder="1" applyAlignment="1">
      <alignment horizontal="center" vertical="top" wrapText="1"/>
    </xf>
    <xf numFmtId="0" fontId="42" fillId="0" borderId="0" xfId="0" applyFont="1" applyAlignment="1">
      <alignment horizontal="left" vertical="top" wrapText="1"/>
    </xf>
    <xf numFmtId="0" fontId="39" fillId="0" borderId="0" xfId="0" applyFont="1" applyAlignment="1">
      <alignment vertical="top" wrapText="1"/>
    </xf>
    <xf numFmtId="0" fontId="42" fillId="0" borderId="0" xfId="0" applyFont="1" applyAlignment="1">
      <alignment horizontal="right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32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externalLink" Target="externalLinks/externalLink10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externalLink" Target="externalLinks/externalLink12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32"/>
  <sheetViews>
    <sheetView view="pageBreakPreview" topLeftCell="B3" zoomScale="40" zoomScaleNormal="70" zoomScaleSheetLayoutView="40" workbookViewId="0">
      <selection activeCell="B7" sqref="B7:B9"/>
    </sheetView>
  </sheetViews>
  <sheetFormatPr defaultColWidth="16.85546875" defaultRowHeight="15" outlineLevelCol="1" x14ac:dyDescent="0.2"/>
  <cols>
    <col min="1" max="18" width="16.85546875" style="607"/>
    <col min="19" max="19" width="16.85546875" style="653"/>
    <col min="20" max="24" width="16.85546875" style="607"/>
    <col min="25" max="28" width="16.85546875" style="607" outlineLevel="1"/>
    <col min="29" max="16384" width="16.85546875" style="607"/>
  </cols>
  <sheetData>
    <row r="1" spans="1:30" ht="53.25" customHeight="1" x14ac:dyDescent="0.2">
      <c r="I1" s="608" t="s">
        <v>549</v>
      </c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</row>
    <row r="2" spans="1:30" ht="56.25" customHeight="1" x14ac:dyDescent="0.2">
      <c r="I2" s="609" t="s">
        <v>561</v>
      </c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09"/>
      <c r="V2" s="609"/>
      <c r="W2" s="609"/>
    </row>
    <row r="3" spans="1:30" ht="59.25" customHeight="1" x14ac:dyDescent="0.2">
      <c r="A3" s="610" t="s">
        <v>552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</row>
    <row r="4" spans="1:30" ht="15.75" customHeight="1" x14ac:dyDescent="0.2">
      <c r="A4" s="611"/>
      <c r="B4" s="611"/>
      <c r="C4" s="611"/>
      <c r="D4" s="611"/>
      <c r="E4" s="611"/>
      <c r="F4" s="612">
        <v>8</v>
      </c>
      <c r="G4" s="611"/>
      <c r="H4" s="611"/>
      <c r="I4" s="611"/>
      <c r="J4" s="611"/>
      <c r="K4" s="611"/>
      <c r="L4" s="611"/>
      <c r="M4" s="611"/>
      <c r="N4" s="611"/>
      <c r="O4" s="611"/>
      <c r="P4" s="611"/>
      <c r="Q4" s="611"/>
      <c r="R4" s="611"/>
      <c r="S4" s="611"/>
      <c r="T4" s="611"/>
      <c r="U4" s="611"/>
      <c r="V4" s="611"/>
      <c r="W4" s="611"/>
      <c r="Y4" s="607">
        <f>3273967.4+28000</f>
        <v>3301967.4</v>
      </c>
      <c r="Z4" s="607">
        <v>3307058.1</v>
      </c>
      <c r="AA4" s="607">
        <v>2895283.8</v>
      </c>
    </row>
    <row r="5" spans="1:30" ht="34.5" customHeight="1" x14ac:dyDescent="0.2">
      <c r="A5" s="613" t="s">
        <v>52</v>
      </c>
      <c r="B5" s="613" t="s">
        <v>49</v>
      </c>
      <c r="C5" s="613" t="s">
        <v>161</v>
      </c>
      <c r="D5" s="613" t="s">
        <v>53</v>
      </c>
      <c r="E5" s="613"/>
      <c r="F5" s="613"/>
      <c r="G5" s="613"/>
      <c r="H5" s="613"/>
      <c r="I5" s="613"/>
      <c r="J5" s="613" t="s">
        <v>47</v>
      </c>
      <c r="K5" s="613"/>
      <c r="L5" s="613"/>
      <c r="M5" s="613"/>
      <c r="N5" s="613"/>
      <c r="O5" s="613"/>
      <c r="P5" s="613"/>
      <c r="Q5" s="613"/>
      <c r="R5" s="613"/>
      <c r="S5" s="613"/>
      <c r="T5" s="613"/>
      <c r="U5" s="613"/>
      <c r="V5" s="613"/>
      <c r="W5" s="613"/>
      <c r="Y5" s="614">
        <f>J7</f>
        <v>25745.1</v>
      </c>
      <c r="Z5" s="614">
        <f>K7</f>
        <v>30198.400000000001</v>
      </c>
      <c r="AA5" s="614">
        <f>L7</f>
        <v>32554.9</v>
      </c>
    </row>
    <row r="6" spans="1:30" ht="49.5" customHeight="1" x14ac:dyDescent="0.2">
      <c r="A6" s="613"/>
      <c r="B6" s="613"/>
      <c r="C6" s="613"/>
      <c r="D6" s="615" t="s">
        <v>159</v>
      </c>
      <c r="E6" s="615" t="s">
        <v>45</v>
      </c>
      <c r="F6" s="616" t="s">
        <v>44</v>
      </c>
      <c r="G6" s="617"/>
      <c r="H6" s="618"/>
      <c r="I6" s="615" t="s">
        <v>43</v>
      </c>
      <c r="J6" s="615" t="s">
        <v>33</v>
      </c>
      <c r="K6" s="615" t="s">
        <v>32</v>
      </c>
      <c r="L6" s="615" t="s">
        <v>31</v>
      </c>
      <c r="M6" s="615" t="s">
        <v>115</v>
      </c>
      <c r="N6" s="615" t="s">
        <v>114</v>
      </c>
      <c r="O6" s="615" t="s">
        <v>113</v>
      </c>
      <c r="P6" s="615" t="s">
        <v>112</v>
      </c>
      <c r="Q6" s="615" t="s">
        <v>111</v>
      </c>
      <c r="R6" s="615" t="s">
        <v>110</v>
      </c>
      <c r="S6" s="615" t="s">
        <v>109</v>
      </c>
      <c r="T6" s="615" t="s">
        <v>108</v>
      </c>
      <c r="U6" s="615" t="s">
        <v>249</v>
      </c>
      <c r="V6" s="615" t="s">
        <v>539</v>
      </c>
      <c r="W6" s="615" t="s">
        <v>543</v>
      </c>
      <c r="X6" s="614"/>
      <c r="Y6" s="614">
        <f>Y4-Y5</f>
        <v>3276222.3</v>
      </c>
      <c r="Z6" s="614">
        <f>Z4-Z5</f>
        <v>3276859.7</v>
      </c>
      <c r="AA6" s="614">
        <f>AA4-AA5</f>
        <v>2862728.9</v>
      </c>
    </row>
    <row r="7" spans="1:30" ht="31.5" customHeight="1" x14ac:dyDescent="0.2">
      <c r="A7" s="619" t="s">
        <v>54</v>
      </c>
      <c r="B7" s="619" t="s">
        <v>138</v>
      </c>
      <c r="C7" s="620" t="s">
        <v>55</v>
      </c>
      <c r="D7" s="615" t="s">
        <v>56</v>
      </c>
      <c r="E7" s="615" t="s">
        <v>56</v>
      </c>
      <c r="F7" s="616" t="s">
        <v>56</v>
      </c>
      <c r="G7" s="617"/>
      <c r="H7" s="618"/>
      <c r="I7" s="615" t="s">
        <v>56</v>
      </c>
      <c r="J7" s="621">
        <f t="shared" ref="J7:P7" si="0">J10+J13+J16+J19</f>
        <v>25745.1</v>
      </c>
      <c r="K7" s="621">
        <f t="shared" si="0"/>
        <v>30198.400000000001</v>
      </c>
      <c r="L7" s="621">
        <f t="shared" si="0"/>
        <v>32554.9</v>
      </c>
      <c r="M7" s="621">
        <f t="shared" si="0"/>
        <v>38095.9</v>
      </c>
      <c r="N7" s="621">
        <f t="shared" si="0"/>
        <v>48615.4</v>
      </c>
      <c r="O7" s="621">
        <f t="shared" si="0"/>
        <v>47095</v>
      </c>
      <c r="P7" s="621">
        <f t="shared" si="0"/>
        <v>73803.000000000015</v>
      </c>
      <c r="Q7" s="621">
        <f t="shared" ref="Q7:V7" si="1">Q10+Q13+Q16+Q19</f>
        <v>99874.300000000017</v>
      </c>
      <c r="R7" s="621">
        <f t="shared" si="1"/>
        <v>88128.599999999991</v>
      </c>
      <c r="S7" s="621">
        <f t="shared" si="1"/>
        <v>142581.09999999998</v>
      </c>
      <c r="T7" s="621">
        <f t="shared" si="1"/>
        <v>85617.5</v>
      </c>
      <c r="U7" s="621">
        <f t="shared" si="1"/>
        <v>70480.7</v>
      </c>
      <c r="V7" s="621">
        <f t="shared" si="1"/>
        <v>70480.7</v>
      </c>
      <c r="W7" s="621">
        <f>SUM(J7:V7)</f>
        <v>853270.59999999986</v>
      </c>
      <c r="X7" s="622"/>
      <c r="AC7" s="614"/>
      <c r="AD7" s="614"/>
    </row>
    <row r="8" spans="1:30" ht="15.75" x14ac:dyDescent="0.2">
      <c r="A8" s="619"/>
      <c r="B8" s="619"/>
      <c r="C8" s="620" t="s">
        <v>162</v>
      </c>
      <c r="D8" s="615"/>
      <c r="E8" s="615"/>
      <c r="F8" s="616"/>
      <c r="G8" s="617"/>
      <c r="H8" s="618"/>
      <c r="I8" s="615"/>
      <c r="J8" s="623"/>
      <c r="K8" s="623"/>
      <c r="L8" s="623"/>
      <c r="M8" s="623"/>
      <c r="N8" s="623"/>
      <c r="O8" s="623"/>
      <c r="P8" s="623"/>
      <c r="Q8" s="623"/>
      <c r="R8" s="623"/>
      <c r="S8" s="623"/>
      <c r="T8" s="623"/>
      <c r="U8" s="623"/>
      <c r="V8" s="623"/>
      <c r="W8" s="621">
        <f t="shared" ref="W8:W21" si="2">SUM(J8:V8)</f>
        <v>0</v>
      </c>
      <c r="X8" s="622"/>
      <c r="Y8" s="614">
        <v>2809386.2</v>
      </c>
      <c r="Z8" s="614">
        <v>2813055.3</v>
      </c>
      <c r="AA8" s="614">
        <v>2810976</v>
      </c>
    </row>
    <row r="9" spans="1:30" ht="93" customHeight="1" x14ac:dyDescent="0.2">
      <c r="A9" s="619"/>
      <c r="B9" s="619"/>
      <c r="C9" s="620" t="s">
        <v>148</v>
      </c>
      <c r="D9" s="624" t="s">
        <v>119</v>
      </c>
      <c r="E9" s="615" t="s">
        <v>56</v>
      </c>
      <c r="F9" s="616" t="s">
        <v>56</v>
      </c>
      <c r="G9" s="617"/>
      <c r="H9" s="618"/>
      <c r="I9" s="615" t="s">
        <v>56</v>
      </c>
      <c r="J9" s="623">
        <f t="shared" ref="J9:Q9" si="3">J7</f>
        <v>25745.1</v>
      </c>
      <c r="K9" s="623">
        <f t="shared" si="3"/>
        <v>30198.400000000001</v>
      </c>
      <c r="L9" s="623">
        <f t="shared" si="3"/>
        <v>32554.9</v>
      </c>
      <c r="M9" s="623">
        <f t="shared" si="3"/>
        <v>38095.9</v>
      </c>
      <c r="N9" s="623">
        <f t="shared" si="3"/>
        <v>48615.4</v>
      </c>
      <c r="O9" s="623">
        <f t="shared" si="3"/>
        <v>47095</v>
      </c>
      <c r="P9" s="623">
        <f t="shared" si="3"/>
        <v>73803.000000000015</v>
      </c>
      <c r="Q9" s="623">
        <f t="shared" si="3"/>
        <v>99874.300000000017</v>
      </c>
      <c r="R9" s="623">
        <f>R7</f>
        <v>88128.599999999991</v>
      </c>
      <c r="S9" s="623">
        <f>S7</f>
        <v>142581.09999999998</v>
      </c>
      <c r="T9" s="623">
        <f>T7</f>
        <v>85617.5</v>
      </c>
      <c r="U9" s="623">
        <f>U7</f>
        <v>70480.7</v>
      </c>
      <c r="V9" s="623">
        <f>V7</f>
        <v>70480.7</v>
      </c>
      <c r="W9" s="621">
        <f t="shared" si="2"/>
        <v>853270.59999999986</v>
      </c>
      <c r="X9" s="622"/>
      <c r="Y9" s="614">
        <f>J9-[13]ПП3!J85-[13]ПП3!J98-[13]ПП3!J99</f>
        <v>22650.199999999997</v>
      </c>
      <c r="Z9" s="614">
        <f>K9-[13]ПП3!K85-[13]ПП3!K98-[13]ПП3!K99</f>
        <v>27061.4</v>
      </c>
      <c r="AA9" s="614">
        <f>L9-[13]ПП3!L85-[13]ПП3!L98-[13]ПП3!L99</f>
        <v>22488.9</v>
      </c>
    </row>
    <row r="10" spans="1:30" ht="35.25" customHeight="1" x14ac:dyDescent="0.2">
      <c r="A10" s="619" t="s">
        <v>57</v>
      </c>
      <c r="B10" s="625" t="s">
        <v>173</v>
      </c>
      <c r="C10" s="620" t="s">
        <v>58</v>
      </c>
      <c r="D10" s="624"/>
      <c r="E10" s="615" t="s">
        <v>56</v>
      </c>
      <c r="F10" s="616" t="s">
        <v>56</v>
      </c>
      <c r="G10" s="617"/>
      <c r="H10" s="618"/>
      <c r="I10" s="615" t="s">
        <v>56</v>
      </c>
      <c r="J10" s="621">
        <f t="shared" ref="J10:P10" si="4">J12</f>
        <v>4311.5</v>
      </c>
      <c r="K10" s="621">
        <f t="shared" si="4"/>
        <v>5873.4</v>
      </c>
      <c r="L10" s="621">
        <f t="shared" si="4"/>
        <v>6302.4</v>
      </c>
      <c r="M10" s="621">
        <f t="shared" si="4"/>
        <v>12316.3</v>
      </c>
      <c r="N10" s="621">
        <f t="shared" si="4"/>
        <v>34761.5</v>
      </c>
      <c r="O10" s="621">
        <f t="shared" si="4"/>
        <v>34247.200000000004</v>
      </c>
      <c r="P10" s="621">
        <f t="shared" si="4"/>
        <v>36573.800000000003</v>
      </c>
      <c r="Q10" s="621">
        <f t="shared" ref="Q10:V10" si="5">Q12</f>
        <v>40960.100000000006</v>
      </c>
      <c r="R10" s="621">
        <f t="shared" si="5"/>
        <v>59289.599999999999</v>
      </c>
      <c r="S10" s="621">
        <f t="shared" si="5"/>
        <v>111188.19999999998</v>
      </c>
      <c r="T10" s="621">
        <f t="shared" si="5"/>
        <v>57884.600000000006</v>
      </c>
      <c r="U10" s="621">
        <f t="shared" si="5"/>
        <v>48200.100000000006</v>
      </c>
      <c r="V10" s="621">
        <f t="shared" si="5"/>
        <v>48200.100000000006</v>
      </c>
      <c r="W10" s="621">
        <f t="shared" si="2"/>
        <v>500108.79999999993</v>
      </c>
      <c r="X10" s="622"/>
    </row>
    <row r="11" spans="1:30" ht="31.5" customHeight="1" x14ac:dyDescent="0.2">
      <c r="A11" s="619"/>
      <c r="B11" s="625"/>
      <c r="C11" s="620" t="s">
        <v>162</v>
      </c>
      <c r="D11" s="624"/>
      <c r="E11" s="615"/>
      <c r="F11" s="616"/>
      <c r="G11" s="617"/>
      <c r="H11" s="618"/>
      <c r="I11" s="615"/>
      <c r="J11" s="623"/>
      <c r="K11" s="623"/>
      <c r="L11" s="623"/>
      <c r="M11" s="623"/>
      <c r="N11" s="623"/>
      <c r="O11" s="623"/>
      <c r="P11" s="623"/>
      <c r="Q11" s="623"/>
      <c r="R11" s="623"/>
      <c r="S11" s="623"/>
      <c r="T11" s="623"/>
      <c r="U11" s="623"/>
      <c r="V11" s="623"/>
      <c r="W11" s="621">
        <f t="shared" si="2"/>
        <v>0</v>
      </c>
      <c r="X11" s="622"/>
    </row>
    <row r="12" spans="1:30" ht="72.75" customHeight="1" x14ac:dyDescent="0.2">
      <c r="A12" s="619"/>
      <c r="B12" s="625"/>
      <c r="C12" s="620" t="s">
        <v>148</v>
      </c>
      <c r="D12" s="624" t="s">
        <v>119</v>
      </c>
      <c r="E12" s="615" t="s">
        <v>56</v>
      </c>
      <c r="F12" s="616" t="s">
        <v>56</v>
      </c>
      <c r="G12" s="617"/>
      <c r="H12" s="618"/>
      <c r="I12" s="615" t="s">
        <v>56</v>
      </c>
      <c r="J12" s="623">
        <f>'Информация МЗ+ИЦ+ПД'!D14</f>
        <v>4311.5</v>
      </c>
      <c r="K12" s="623">
        <f>'Информация МЗ+ИЦ+ПД'!E14</f>
        <v>5873.4</v>
      </c>
      <c r="L12" s="623">
        <f>'Информация МЗ+ИЦ+ПД'!F14</f>
        <v>6302.4</v>
      </c>
      <c r="M12" s="623">
        <f>'Информация МЗ+ИЦ+ПД'!G14</f>
        <v>12316.3</v>
      </c>
      <c r="N12" s="623">
        <f>'Информация МЗ+ИЦ+ПД'!H14</f>
        <v>34761.5</v>
      </c>
      <c r="O12" s="623">
        <f>'Информация МЗ+ИЦ+ПД'!I14</f>
        <v>34247.200000000004</v>
      </c>
      <c r="P12" s="623">
        <f>'Информация МЗ+ИЦ+ПД'!J14</f>
        <v>36573.800000000003</v>
      </c>
      <c r="Q12" s="623">
        <f>'Информация МЗ+ИЦ+ПД'!K14</f>
        <v>40960.100000000006</v>
      </c>
      <c r="R12" s="623">
        <f>'Информация МЗ+ИЦ+ПД'!L14</f>
        <v>59289.599999999999</v>
      </c>
      <c r="S12" s="623">
        <f>'Информация МЗ+ИЦ+ПД'!M14</f>
        <v>111188.19999999998</v>
      </c>
      <c r="T12" s="623">
        <f>'Информация МЗ+ИЦ+ПД'!N14</f>
        <v>57884.600000000006</v>
      </c>
      <c r="U12" s="623">
        <f>'Информация МЗ+ИЦ+ПД'!O14</f>
        <v>48200.100000000006</v>
      </c>
      <c r="V12" s="623">
        <f>'Информация МЗ+ИЦ+ПД'!P14</f>
        <v>48200.100000000006</v>
      </c>
      <c r="W12" s="621">
        <f t="shared" si="2"/>
        <v>500108.79999999993</v>
      </c>
      <c r="X12" s="622"/>
    </row>
    <row r="13" spans="1:30" ht="54" customHeight="1" x14ac:dyDescent="0.2">
      <c r="A13" s="626" t="s">
        <v>59</v>
      </c>
      <c r="B13" s="627" t="s">
        <v>60</v>
      </c>
      <c r="C13" s="620" t="s">
        <v>410</v>
      </c>
      <c r="D13" s="624"/>
      <c r="E13" s="615" t="s">
        <v>56</v>
      </c>
      <c r="F13" s="616" t="s">
        <v>56</v>
      </c>
      <c r="G13" s="617"/>
      <c r="H13" s="618"/>
      <c r="I13" s="615" t="s">
        <v>56</v>
      </c>
      <c r="J13" s="621">
        <f t="shared" ref="J13:O13" si="6">J15</f>
        <v>8322.9</v>
      </c>
      <c r="K13" s="621">
        <f t="shared" si="6"/>
        <v>8249</v>
      </c>
      <c r="L13" s="621">
        <f t="shared" si="6"/>
        <v>9030.7000000000007</v>
      </c>
      <c r="M13" s="621">
        <f t="shared" si="6"/>
        <v>9893.5</v>
      </c>
      <c r="N13" s="621">
        <f t="shared" si="6"/>
        <v>11851</v>
      </c>
      <c r="O13" s="621">
        <f t="shared" si="6"/>
        <v>10606.1</v>
      </c>
      <c r="P13" s="621">
        <f t="shared" ref="P13:U13" si="7">P15</f>
        <v>34832.9</v>
      </c>
      <c r="Q13" s="621">
        <f t="shared" si="7"/>
        <v>56125.600000000006</v>
      </c>
      <c r="R13" s="621">
        <f t="shared" si="7"/>
        <v>25604.6</v>
      </c>
      <c r="S13" s="621">
        <f t="shared" si="7"/>
        <v>28050.400000000001</v>
      </c>
      <c r="T13" s="621">
        <f t="shared" si="7"/>
        <v>24027.4</v>
      </c>
      <c r="U13" s="621">
        <f t="shared" si="7"/>
        <v>18944.900000000001</v>
      </c>
      <c r="V13" s="621">
        <f t="shared" ref="V13" si="8">V15</f>
        <v>18944.900000000001</v>
      </c>
      <c r="W13" s="621">
        <f t="shared" si="2"/>
        <v>264483.90000000002</v>
      </c>
      <c r="X13" s="622"/>
    </row>
    <row r="14" spans="1:30" ht="15.75" customHeight="1" x14ac:dyDescent="0.2">
      <c r="A14" s="628"/>
      <c r="B14" s="629"/>
      <c r="C14" s="620" t="s">
        <v>162</v>
      </c>
      <c r="D14" s="624"/>
      <c r="E14" s="615"/>
      <c r="F14" s="616"/>
      <c r="G14" s="617"/>
      <c r="H14" s="618"/>
      <c r="I14" s="615"/>
      <c r="J14" s="623"/>
      <c r="K14" s="623"/>
      <c r="L14" s="623"/>
      <c r="M14" s="623"/>
      <c r="N14" s="623"/>
      <c r="O14" s="623"/>
      <c r="P14" s="623"/>
      <c r="Q14" s="623"/>
      <c r="R14" s="623"/>
      <c r="S14" s="623"/>
      <c r="T14" s="623"/>
      <c r="U14" s="623"/>
      <c r="V14" s="623"/>
      <c r="W14" s="621">
        <f t="shared" si="2"/>
        <v>0</v>
      </c>
      <c r="X14" s="622"/>
    </row>
    <row r="15" spans="1:30" ht="63" customHeight="1" x14ac:dyDescent="0.2">
      <c r="A15" s="628"/>
      <c r="B15" s="629"/>
      <c r="C15" s="630" t="s">
        <v>148</v>
      </c>
      <c r="D15" s="631" t="s">
        <v>119</v>
      </c>
      <c r="E15" s="615" t="s">
        <v>56</v>
      </c>
      <c r="F15" s="616" t="s">
        <v>56</v>
      </c>
      <c r="G15" s="617"/>
      <c r="H15" s="618"/>
      <c r="I15" s="615" t="s">
        <v>56</v>
      </c>
      <c r="J15" s="623">
        <f>'Информация МЗ+ИЦ+ПД'!D21</f>
        <v>8322.9</v>
      </c>
      <c r="K15" s="623">
        <f>'Информация МЗ+ИЦ+ПД'!E21</f>
        <v>8249</v>
      </c>
      <c r="L15" s="623">
        <f>'Информация МЗ+ИЦ+ПД'!F21</f>
        <v>9030.7000000000007</v>
      </c>
      <c r="M15" s="623">
        <f>'Информация МЗ+ИЦ+ПД'!G21</f>
        <v>9893.5</v>
      </c>
      <c r="N15" s="623">
        <f>'Информация МЗ+ИЦ+ПД'!H21</f>
        <v>11851</v>
      </c>
      <c r="O15" s="623">
        <f>'Информация МЗ+ИЦ+ПД'!I21</f>
        <v>10606.1</v>
      </c>
      <c r="P15" s="623">
        <f>'Информация МЗ+ИЦ+ПД'!J21</f>
        <v>34832.9</v>
      </c>
      <c r="Q15" s="623">
        <f>'Информация МЗ+ИЦ+ПД'!K21</f>
        <v>56125.600000000006</v>
      </c>
      <c r="R15" s="623">
        <f>'Информация МЗ+ИЦ+ПД'!L21</f>
        <v>25604.6</v>
      </c>
      <c r="S15" s="623">
        <f>'Информация МЗ+ИЦ+ПД'!M21</f>
        <v>28050.400000000001</v>
      </c>
      <c r="T15" s="623">
        <f>'Информация МЗ+ИЦ+ПД'!N21</f>
        <v>24027.4</v>
      </c>
      <c r="U15" s="623">
        <f>'Информация МЗ+ИЦ+ПД'!O21</f>
        <v>18944.900000000001</v>
      </c>
      <c r="V15" s="623">
        <f>'Информация МЗ+ИЦ+ПД'!P21</f>
        <v>18944.900000000001</v>
      </c>
      <c r="W15" s="621">
        <f t="shared" si="2"/>
        <v>264483.90000000002</v>
      </c>
      <c r="X15" s="622"/>
      <c r="AD15" s="614"/>
    </row>
    <row r="16" spans="1:30" ht="54" customHeight="1" x14ac:dyDescent="0.2">
      <c r="A16" s="626" t="s">
        <v>61</v>
      </c>
      <c r="B16" s="627" t="s">
        <v>137</v>
      </c>
      <c r="C16" s="620" t="s">
        <v>58</v>
      </c>
      <c r="D16" s="624"/>
      <c r="E16" s="615" t="s">
        <v>56</v>
      </c>
      <c r="F16" s="616" t="s">
        <v>56</v>
      </c>
      <c r="G16" s="617"/>
      <c r="H16" s="618"/>
      <c r="I16" s="615" t="s">
        <v>56</v>
      </c>
      <c r="J16" s="621">
        <f t="shared" ref="J16:O16" si="9">J18</f>
        <v>11923.2</v>
      </c>
      <c r="K16" s="621">
        <f t="shared" si="9"/>
        <v>14373</v>
      </c>
      <c r="L16" s="621">
        <f t="shared" si="9"/>
        <v>15432.8</v>
      </c>
      <c r="M16" s="621">
        <f t="shared" si="9"/>
        <v>14178.1</v>
      </c>
      <c r="N16" s="621">
        <f t="shared" si="9"/>
        <v>0</v>
      </c>
      <c r="O16" s="621">
        <f t="shared" si="9"/>
        <v>0</v>
      </c>
      <c r="P16" s="621">
        <f t="shared" ref="P16:U16" si="10">P18</f>
        <v>0</v>
      </c>
      <c r="Q16" s="621">
        <f t="shared" si="10"/>
        <v>0</v>
      </c>
      <c r="R16" s="621">
        <f t="shared" si="10"/>
        <v>0</v>
      </c>
      <c r="S16" s="621">
        <f t="shared" si="10"/>
        <v>0</v>
      </c>
      <c r="T16" s="621">
        <f t="shared" si="10"/>
        <v>0</v>
      </c>
      <c r="U16" s="621">
        <f t="shared" si="10"/>
        <v>0</v>
      </c>
      <c r="V16" s="621">
        <f t="shared" ref="V16" si="11">V18</f>
        <v>0</v>
      </c>
      <c r="W16" s="621">
        <f t="shared" si="2"/>
        <v>55907.1</v>
      </c>
      <c r="X16" s="622"/>
      <c r="AD16" s="614"/>
    </row>
    <row r="17" spans="1:30" ht="15.75" customHeight="1" x14ac:dyDescent="0.2">
      <c r="A17" s="628"/>
      <c r="B17" s="629"/>
      <c r="C17" s="620" t="s">
        <v>162</v>
      </c>
      <c r="D17" s="624"/>
      <c r="E17" s="615"/>
      <c r="F17" s="616"/>
      <c r="G17" s="617"/>
      <c r="H17" s="618"/>
      <c r="I17" s="615"/>
      <c r="J17" s="623"/>
      <c r="K17" s="623"/>
      <c r="L17" s="623"/>
      <c r="M17" s="623"/>
      <c r="N17" s="623"/>
      <c r="O17" s="623"/>
      <c r="P17" s="623"/>
      <c r="Q17" s="623"/>
      <c r="R17" s="623"/>
      <c r="S17" s="623"/>
      <c r="T17" s="623"/>
      <c r="U17" s="623"/>
      <c r="V17" s="623"/>
      <c r="W17" s="621">
        <f t="shared" si="2"/>
        <v>0</v>
      </c>
      <c r="X17" s="622"/>
      <c r="AD17" s="614"/>
    </row>
    <row r="18" spans="1:30" ht="70.5" customHeight="1" x14ac:dyDescent="0.2">
      <c r="A18" s="632"/>
      <c r="B18" s="633"/>
      <c r="C18" s="630" t="s">
        <v>148</v>
      </c>
      <c r="D18" s="624" t="s">
        <v>119</v>
      </c>
      <c r="E18" s="615" t="s">
        <v>56</v>
      </c>
      <c r="F18" s="616" t="s">
        <v>56</v>
      </c>
      <c r="G18" s="617"/>
      <c r="H18" s="618"/>
      <c r="I18" s="615" t="s">
        <v>56</v>
      </c>
      <c r="J18" s="623">
        <f>11573.2+350</f>
        <v>11923.2</v>
      </c>
      <c r="K18" s="623">
        <f>12981.4+1391.6</f>
        <v>14373</v>
      </c>
      <c r="L18" s="623">
        <f>13607.8+1825</f>
        <v>15432.8</v>
      </c>
      <c r="M18" s="623">
        <v>14178.1</v>
      </c>
      <c r="N18" s="623">
        <v>0</v>
      </c>
      <c r="O18" s="623">
        <v>0</v>
      </c>
      <c r="P18" s="623">
        <v>0</v>
      </c>
      <c r="Q18" s="623">
        <v>0</v>
      </c>
      <c r="R18" s="623">
        <v>0</v>
      </c>
      <c r="S18" s="623">
        <v>0</v>
      </c>
      <c r="T18" s="623">
        <v>0</v>
      </c>
      <c r="U18" s="623">
        <v>0</v>
      </c>
      <c r="V18" s="623">
        <v>0</v>
      </c>
      <c r="W18" s="621">
        <f t="shared" si="2"/>
        <v>55907.1</v>
      </c>
      <c r="X18" s="622"/>
      <c r="AC18" s="614"/>
      <c r="AD18" s="614"/>
    </row>
    <row r="19" spans="1:30" ht="50.25" customHeight="1" x14ac:dyDescent="0.2">
      <c r="A19" s="626" t="s">
        <v>132</v>
      </c>
      <c r="B19" s="627" t="s">
        <v>62</v>
      </c>
      <c r="C19" s="620" t="s">
        <v>58</v>
      </c>
      <c r="D19" s="624"/>
      <c r="E19" s="615" t="s">
        <v>56</v>
      </c>
      <c r="F19" s="616" t="s">
        <v>56</v>
      </c>
      <c r="G19" s="617"/>
      <c r="H19" s="618"/>
      <c r="I19" s="615" t="s">
        <v>56</v>
      </c>
      <c r="J19" s="621">
        <f t="shared" ref="J19:O19" si="12">J21</f>
        <v>1187.5</v>
      </c>
      <c r="K19" s="621">
        <f t="shared" si="12"/>
        <v>1703</v>
      </c>
      <c r="L19" s="621">
        <f t="shared" si="12"/>
        <v>1789</v>
      </c>
      <c r="M19" s="621">
        <f t="shared" si="12"/>
        <v>1708</v>
      </c>
      <c r="N19" s="621">
        <f>'[14]Информация МЗ+ИЦ+ПД'!H35</f>
        <v>2002.9</v>
      </c>
      <c r="O19" s="621">
        <f t="shared" si="12"/>
        <v>2241.6999999999998</v>
      </c>
      <c r="P19" s="621">
        <f>P21</f>
        <v>2396.3000000000002</v>
      </c>
      <c r="Q19" s="621">
        <f>Q21</f>
        <v>2788.6000000000004</v>
      </c>
      <c r="R19" s="621">
        <f>R21</f>
        <v>3234.4</v>
      </c>
      <c r="S19" s="621">
        <f>'Информация МЗ+ИЦ+ПД'!M35</f>
        <v>3342.5</v>
      </c>
      <c r="T19" s="621">
        <f>'Информация МЗ+ИЦ+ПД'!N35</f>
        <v>3705.5</v>
      </c>
      <c r="U19" s="621">
        <f>'Информация МЗ+ИЦ+ПД'!O35</f>
        <v>3335.7</v>
      </c>
      <c r="V19" s="621">
        <f>V21</f>
        <v>3335.7</v>
      </c>
      <c r="W19" s="621">
        <f t="shared" si="2"/>
        <v>32770.799999999996</v>
      </c>
      <c r="X19" s="622"/>
    </row>
    <row r="20" spans="1:30" ht="31.5" customHeight="1" x14ac:dyDescent="0.2">
      <c r="A20" s="628"/>
      <c r="B20" s="629"/>
      <c r="C20" s="620" t="s">
        <v>162</v>
      </c>
      <c r="D20" s="624"/>
      <c r="E20" s="615"/>
      <c r="F20" s="616"/>
      <c r="G20" s="617"/>
      <c r="H20" s="618"/>
      <c r="I20" s="615"/>
      <c r="J20" s="623"/>
      <c r="K20" s="623"/>
      <c r="L20" s="623"/>
      <c r="M20" s="623"/>
      <c r="N20" s="623"/>
      <c r="O20" s="623"/>
      <c r="P20" s="623"/>
      <c r="Q20" s="623"/>
      <c r="R20" s="623"/>
      <c r="S20" s="623"/>
      <c r="T20" s="623"/>
      <c r="U20" s="623"/>
      <c r="V20" s="623"/>
      <c r="W20" s="621">
        <f t="shared" si="2"/>
        <v>0</v>
      </c>
      <c r="X20" s="622"/>
    </row>
    <row r="21" spans="1:30" ht="68.25" customHeight="1" x14ac:dyDescent="0.2">
      <c r="A21" s="632"/>
      <c r="B21" s="633"/>
      <c r="C21" s="620" t="s">
        <v>148</v>
      </c>
      <c r="D21" s="624" t="s">
        <v>119</v>
      </c>
      <c r="E21" s="615" t="s">
        <v>56</v>
      </c>
      <c r="F21" s="616" t="s">
        <v>56</v>
      </c>
      <c r="G21" s="617"/>
      <c r="H21" s="618"/>
      <c r="I21" s="615" t="s">
        <v>56</v>
      </c>
      <c r="J21" s="623">
        <f>'Информация МЗ+ИЦ+ПД'!D35</f>
        <v>1187.5</v>
      </c>
      <c r="K21" s="623">
        <f>'Информация МЗ+ИЦ+ПД'!E35</f>
        <v>1703</v>
      </c>
      <c r="L21" s="623">
        <f>'Информация МЗ+ИЦ+ПД'!F35</f>
        <v>1789</v>
      </c>
      <c r="M21" s="623">
        <f>'Информация МЗ+ИЦ+ПД'!G35</f>
        <v>1708</v>
      </c>
      <c r="N21" s="623">
        <f>'Информация МЗ+ИЦ+ПД'!H35</f>
        <v>2002.9</v>
      </c>
      <c r="O21" s="623">
        <f>'Информация МЗ+ИЦ+ПД'!I35</f>
        <v>2241.6999999999998</v>
      </c>
      <c r="P21" s="623">
        <f>'Информация МЗ+ИЦ+ПД'!J35</f>
        <v>2396.3000000000002</v>
      </c>
      <c r="Q21" s="623">
        <f>'Информация МЗ+ИЦ+ПД'!K35</f>
        <v>2788.6000000000004</v>
      </c>
      <c r="R21" s="623">
        <f>'Информация МЗ+ИЦ+ПД'!L35</f>
        <v>3234.4</v>
      </c>
      <c r="S21" s="623">
        <f>'Информация МЗ+ИЦ+ПД'!M35</f>
        <v>3342.5</v>
      </c>
      <c r="T21" s="623">
        <f>'Информация МЗ+ИЦ+ПД'!N35</f>
        <v>3705.5</v>
      </c>
      <c r="U21" s="623">
        <f>'Информация МЗ+ИЦ+ПД'!O35</f>
        <v>3335.7</v>
      </c>
      <c r="V21" s="623">
        <f>'Информация МЗ+ИЦ+ПД'!P35</f>
        <v>3335.7</v>
      </c>
      <c r="W21" s="621">
        <f t="shared" si="2"/>
        <v>32770.799999999996</v>
      </c>
      <c r="X21" s="622"/>
    </row>
    <row r="22" spans="1:30" ht="33.6" customHeight="1" x14ac:dyDescent="0.2">
      <c r="A22" s="634"/>
      <c r="B22" s="635"/>
      <c r="C22" s="636"/>
      <c r="D22" s="637"/>
      <c r="E22" s="634"/>
      <c r="F22" s="637"/>
      <c r="G22" s="637"/>
      <c r="H22" s="637"/>
      <c r="I22" s="634"/>
      <c r="J22" s="638"/>
      <c r="K22" s="638"/>
      <c r="L22" s="638"/>
      <c r="M22" s="638"/>
      <c r="N22" s="638"/>
      <c r="O22" s="638"/>
      <c r="P22" s="638"/>
      <c r="Q22" s="638"/>
      <c r="R22" s="638"/>
      <c r="S22" s="638"/>
      <c r="T22" s="638"/>
      <c r="U22" s="638"/>
      <c r="V22" s="638"/>
      <c r="W22" s="638"/>
    </row>
    <row r="23" spans="1:30" ht="36" hidden="1" customHeight="1" x14ac:dyDescent="0.2">
      <c r="A23" s="634"/>
      <c r="B23" s="635"/>
      <c r="C23" s="636"/>
      <c r="D23" s="637"/>
      <c r="E23" s="634"/>
      <c r="F23" s="637"/>
      <c r="G23" s="637"/>
      <c r="H23" s="637"/>
      <c r="I23" s="634"/>
      <c r="J23" s="638"/>
      <c r="K23" s="638"/>
      <c r="L23" s="638"/>
      <c r="M23" s="638"/>
      <c r="N23" s="638"/>
      <c r="O23" s="638"/>
      <c r="P23" s="638"/>
      <c r="Q23" s="638"/>
      <c r="R23" s="638"/>
      <c r="S23" s="638"/>
      <c r="T23" s="638"/>
      <c r="U23" s="638"/>
      <c r="V23" s="638"/>
      <c r="W23" s="638"/>
    </row>
    <row r="24" spans="1:30" x14ac:dyDescent="0.2">
      <c r="A24" s="636"/>
      <c r="B24" s="639"/>
      <c r="C24" s="636"/>
      <c r="D24" s="637"/>
      <c r="E24" s="634"/>
      <c r="F24" s="634"/>
      <c r="G24" s="634"/>
      <c r="H24" s="634"/>
      <c r="I24" s="634"/>
      <c r="J24" s="638"/>
      <c r="K24" s="638"/>
      <c r="L24" s="638"/>
      <c r="M24" s="638"/>
      <c r="N24" s="638"/>
      <c r="O24" s="638"/>
      <c r="P24" s="638"/>
      <c r="Q24" s="638"/>
      <c r="R24" s="638"/>
      <c r="S24" s="638"/>
      <c r="T24" s="638"/>
      <c r="U24" s="638"/>
      <c r="V24" s="638"/>
      <c r="W24" s="638"/>
    </row>
    <row r="25" spans="1:30" ht="43.5" customHeight="1" x14ac:dyDescent="0.2">
      <c r="A25" s="640" t="s">
        <v>63</v>
      </c>
      <c r="B25" s="640"/>
      <c r="C25" s="640"/>
      <c r="D25" s="640"/>
      <c r="E25" s="641"/>
      <c r="F25" s="641"/>
      <c r="G25" s="641"/>
      <c r="H25" s="641"/>
      <c r="I25" s="641"/>
      <c r="J25" s="642"/>
      <c r="K25" s="641"/>
      <c r="L25" s="643" t="s">
        <v>186</v>
      </c>
      <c r="M25" s="644"/>
      <c r="N25" s="644"/>
      <c r="O25" s="644"/>
      <c r="P25" s="644"/>
      <c r="Q25" s="644"/>
      <c r="R25" s="644"/>
      <c r="S25" s="644"/>
      <c r="T25" s="644"/>
      <c r="U25" s="644"/>
      <c r="V25" s="644"/>
      <c r="W25" s="644"/>
      <c r="X25" s="645"/>
    </row>
    <row r="26" spans="1:30" x14ac:dyDescent="0.2">
      <c r="A26" s="646"/>
      <c r="B26" s="647"/>
      <c r="C26" s="646"/>
      <c r="D26" s="648"/>
      <c r="E26" s="649"/>
      <c r="F26" s="649"/>
      <c r="G26" s="649"/>
      <c r="H26" s="649"/>
      <c r="I26" s="649"/>
      <c r="J26" s="650"/>
      <c r="K26" s="650"/>
      <c r="L26" s="650"/>
      <c r="M26" s="650"/>
      <c r="N26" s="650"/>
      <c r="O26" s="650"/>
      <c r="P26" s="650"/>
      <c r="Q26" s="650"/>
      <c r="R26" s="650"/>
      <c r="S26" s="651"/>
      <c r="T26" s="650"/>
      <c r="U26" s="650"/>
      <c r="V26" s="650"/>
      <c r="W26" s="650"/>
    </row>
    <row r="27" spans="1:30" x14ac:dyDescent="0.2">
      <c r="D27" s="652"/>
      <c r="E27" s="652"/>
      <c r="F27" s="652"/>
      <c r="G27" s="652"/>
      <c r="H27" s="652"/>
      <c r="I27" s="652"/>
    </row>
    <row r="28" spans="1:30" s="655" customFormat="1" ht="51.75" customHeight="1" x14ac:dyDescent="0.25">
      <c r="A28" s="654"/>
      <c r="B28" s="654"/>
      <c r="C28" s="654"/>
      <c r="D28" s="654"/>
      <c r="L28" s="656"/>
      <c r="M28" s="656"/>
      <c r="N28" s="656"/>
      <c r="O28" s="656"/>
      <c r="P28" s="656"/>
      <c r="Q28" s="656"/>
      <c r="R28" s="656"/>
      <c r="S28" s="656"/>
      <c r="T28" s="656"/>
      <c r="U28" s="656"/>
      <c r="V28" s="656"/>
      <c r="W28" s="656"/>
    </row>
    <row r="29" spans="1:30" s="660" customFormat="1" ht="30" hidden="1" x14ac:dyDescent="0.25">
      <c r="A29" s="657" t="s">
        <v>64</v>
      </c>
      <c r="B29" s="657"/>
      <c r="C29" s="657"/>
      <c r="D29" s="657"/>
      <c r="E29" s="658"/>
      <c r="F29" s="658"/>
      <c r="G29" s="658"/>
      <c r="H29" s="658"/>
      <c r="I29" s="658"/>
      <c r="J29" s="659"/>
      <c r="K29" s="659"/>
      <c r="S29" s="661"/>
      <c r="W29" s="660" t="s">
        <v>65</v>
      </c>
    </row>
    <row r="30" spans="1:30" hidden="1" x14ac:dyDescent="0.2"/>
    <row r="31" spans="1:30" hidden="1" x14ac:dyDescent="0.2"/>
    <row r="32" spans="1:30" hidden="1" x14ac:dyDescent="0.2"/>
  </sheetData>
  <mergeCells count="40">
    <mergeCell ref="L25:W25"/>
    <mergeCell ref="L28:W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W2"/>
    <mergeCell ref="A3:W3"/>
    <mergeCell ref="A5:A6"/>
    <mergeCell ref="I1:W1"/>
    <mergeCell ref="A10:A12"/>
    <mergeCell ref="B10:B12"/>
    <mergeCell ref="F8:H8"/>
    <mergeCell ref="F9:H9"/>
    <mergeCell ref="J5:W5"/>
    <mergeCell ref="F6:H6"/>
    <mergeCell ref="C5:C6"/>
    <mergeCell ref="F7:H7"/>
    <mergeCell ref="F10:H10"/>
    <mergeCell ref="F11:H11"/>
    <mergeCell ref="F12:H12"/>
    <mergeCell ref="D5:I5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7"/>
  <sheetViews>
    <sheetView view="pageBreakPreview" zoomScale="70" zoomScaleSheetLayoutView="70" workbookViewId="0">
      <selection activeCell="M12" sqref="M12"/>
    </sheetView>
  </sheetViews>
  <sheetFormatPr defaultRowHeight="15" x14ac:dyDescent="0.25"/>
  <cols>
    <col min="2" max="2" width="61.5703125" customWidth="1"/>
    <col min="4" max="4" width="13.85546875" customWidth="1"/>
  </cols>
  <sheetData>
    <row r="1" spans="1:17" s="18" customFormat="1" ht="36" customHeight="1" x14ac:dyDescent="0.3">
      <c r="A1" s="21"/>
      <c r="B1" s="36"/>
      <c r="C1" s="36"/>
      <c r="D1" s="36"/>
      <c r="E1" s="453" t="s">
        <v>569</v>
      </c>
      <c r="F1" s="454"/>
      <c r="G1" s="454"/>
      <c r="H1" s="454"/>
      <c r="I1" s="454"/>
      <c r="J1" s="454"/>
      <c r="K1" s="454"/>
      <c r="L1" s="502"/>
      <c r="M1" s="502"/>
      <c r="N1" s="502"/>
      <c r="O1" s="502"/>
      <c r="P1"/>
    </row>
    <row r="2" spans="1:17" s="18" customFormat="1" ht="20.25" x14ac:dyDescent="0.3">
      <c r="A2" s="21"/>
      <c r="B2" s="36"/>
      <c r="C2" s="36"/>
      <c r="D2" s="36"/>
      <c r="E2" s="37"/>
      <c r="F2" s="37"/>
    </row>
    <row r="3" spans="1:17" s="18" customFormat="1" ht="23.25" customHeight="1" x14ac:dyDescent="0.25">
      <c r="A3" s="511" t="s">
        <v>634</v>
      </c>
      <c r="B3" s="511"/>
      <c r="C3" s="511"/>
      <c r="D3" s="511"/>
      <c r="E3" s="511"/>
      <c r="F3" s="511"/>
      <c r="G3" s="511"/>
      <c r="H3" s="511"/>
    </row>
    <row r="4" spans="1:17" s="18" customFormat="1" ht="20.25" x14ac:dyDescent="0.3">
      <c r="A4" s="21"/>
      <c r="B4" s="36"/>
      <c r="C4" s="36"/>
      <c r="D4" s="36"/>
      <c r="E4" s="20"/>
    </row>
    <row r="5" spans="1:17" s="32" customFormat="1" ht="20.25" customHeight="1" x14ac:dyDescent="0.25">
      <c r="A5" s="512" t="s">
        <v>27</v>
      </c>
      <c r="B5" s="513" t="s">
        <v>26</v>
      </c>
      <c r="C5" s="503" t="s">
        <v>15</v>
      </c>
      <c r="D5" s="503" t="s">
        <v>14</v>
      </c>
      <c r="E5" s="503">
        <v>2014</v>
      </c>
      <c r="F5" s="503">
        <v>2015</v>
      </c>
      <c r="G5" s="503">
        <v>2016</v>
      </c>
      <c r="H5" s="503">
        <v>2017</v>
      </c>
      <c r="I5" s="509">
        <v>2018</v>
      </c>
      <c r="J5" s="509">
        <v>2019</v>
      </c>
      <c r="K5" s="503">
        <v>2020</v>
      </c>
      <c r="L5" s="503">
        <v>2021</v>
      </c>
      <c r="M5" s="503">
        <v>2022</v>
      </c>
      <c r="N5" s="503">
        <v>2023</v>
      </c>
      <c r="O5" s="503">
        <v>2024</v>
      </c>
      <c r="P5" s="508">
        <v>2025</v>
      </c>
      <c r="Q5" s="503">
        <v>2026</v>
      </c>
    </row>
    <row r="6" spans="1:17" s="32" customFormat="1" ht="93.75" customHeight="1" x14ac:dyDescent="0.25">
      <c r="A6" s="512"/>
      <c r="B6" s="513"/>
      <c r="C6" s="503"/>
      <c r="D6" s="503"/>
      <c r="E6" s="503"/>
      <c r="F6" s="503"/>
      <c r="G6" s="503"/>
      <c r="H6" s="503"/>
      <c r="I6" s="510"/>
      <c r="J6" s="509"/>
      <c r="K6" s="503"/>
      <c r="L6" s="503"/>
      <c r="M6" s="503"/>
      <c r="N6" s="503"/>
      <c r="O6" s="503"/>
      <c r="P6" s="508"/>
      <c r="Q6" s="503"/>
    </row>
    <row r="7" spans="1:17" s="32" customFormat="1" ht="26.25" customHeight="1" x14ac:dyDescent="0.25">
      <c r="A7" s="285"/>
      <c r="B7" s="348" t="s">
        <v>24</v>
      </c>
      <c r="C7" s="504" t="s">
        <v>147</v>
      </c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6"/>
      <c r="P7" s="506"/>
      <c r="Q7" s="507"/>
    </row>
    <row r="8" spans="1:17" s="32" customFormat="1" ht="36" customHeight="1" x14ac:dyDescent="0.25">
      <c r="A8" s="286"/>
      <c r="B8" s="287" t="s">
        <v>23</v>
      </c>
      <c r="C8" s="355"/>
      <c r="D8" s="355"/>
      <c r="E8" s="355"/>
      <c r="F8" s="355"/>
      <c r="G8" s="355"/>
      <c r="H8" s="355"/>
      <c r="I8" s="355"/>
      <c r="J8" s="355"/>
      <c r="K8" s="356"/>
      <c r="L8" s="356"/>
      <c r="M8" s="356"/>
      <c r="N8" s="356"/>
      <c r="O8" s="356"/>
      <c r="P8" s="357"/>
      <c r="Q8" s="356"/>
    </row>
    <row r="9" spans="1:17" s="18" customFormat="1" ht="72" customHeight="1" x14ac:dyDescent="0.2">
      <c r="A9" s="288" t="s">
        <v>8</v>
      </c>
      <c r="B9" s="289" t="s">
        <v>306</v>
      </c>
      <c r="C9" s="358" t="s">
        <v>19</v>
      </c>
      <c r="D9" s="358" t="s">
        <v>18</v>
      </c>
      <c r="E9" s="359">
        <v>35</v>
      </c>
      <c r="F9" s="359">
        <v>90</v>
      </c>
      <c r="G9" s="359">
        <v>100</v>
      </c>
      <c r="H9" s="359">
        <v>100</v>
      </c>
      <c r="I9" s="359">
        <v>60</v>
      </c>
      <c r="J9" s="359">
        <v>60</v>
      </c>
      <c r="K9" s="360">
        <v>60</v>
      </c>
      <c r="L9" s="360">
        <v>60</v>
      </c>
      <c r="M9" s="360">
        <v>75</v>
      </c>
      <c r="N9" s="360">
        <v>76</v>
      </c>
      <c r="O9" s="360">
        <v>75</v>
      </c>
      <c r="P9" s="361">
        <v>75</v>
      </c>
      <c r="Q9" s="360">
        <v>75</v>
      </c>
    </row>
    <row r="10" spans="1:17" s="18" customFormat="1" ht="117" customHeight="1" x14ac:dyDescent="0.2">
      <c r="A10" s="288" t="s">
        <v>7</v>
      </c>
      <c r="B10" s="290" t="s">
        <v>307</v>
      </c>
      <c r="C10" s="358" t="s">
        <v>19</v>
      </c>
      <c r="D10" s="358" t="s">
        <v>21</v>
      </c>
      <c r="E10" s="359">
        <v>0</v>
      </c>
      <c r="F10" s="359">
        <v>0</v>
      </c>
      <c r="G10" s="359">
        <v>0</v>
      </c>
      <c r="H10" s="359">
        <v>0</v>
      </c>
      <c r="I10" s="359">
        <v>21</v>
      </c>
      <c r="J10" s="359">
        <v>21</v>
      </c>
      <c r="K10" s="359">
        <v>15</v>
      </c>
      <c r="L10" s="360">
        <v>17</v>
      </c>
      <c r="M10" s="360">
        <v>19</v>
      </c>
      <c r="N10" s="360">
        <v>13</v>
      </c>
      <c r="O10" s="360">
        <v>8</v>
      </c>
      <c r="P10" s="361">
        <v>5</v>
      </c>
      <c r="Q10" s="360">
        <v>5</v>
      </c>
    </row>
    <row r="11" spans="1:17" s="18" customFormat="1" ht="154.5" customHeight="1" x14ac:dyDescent="0.2">
      <c r="A11" s="288" t="s">
        <v>5</v>
      </c>
      <c r="B11" s="290" t="s">
        <v>304</v>
      </c>
      <c r="C11" s="358" t="s">
        <v>19</v>
      </c>
      <c r="D11" s="358" t="s">
        <v>21</v>
      </c>
      <c r="E11" s="362">
        <v>0</v>
      </c>
      <c r="F11" s="362">
        <v>0</v>
      </c>
      <c r="G11" s="362">
        <v>0</v>
      </c>
      <c r="H11" s="362">
        <v>0</v>
      </c>
      <c r="I11" s="362">
        <v>20</v>
      </c>
      <c r="J11" s="362">
        <v>20</v>
      </c>
      <c r="K11" s="362">
        <v>10</v>
      </c>
      <c r="L11" s="360">
        <v>11</v>
      </c>
      <c r="M11" s="360">
        <v>12</v>
      </c>
      <c r="N11" s="360">
        <v>16</v>
      </c>
      <c r="O11" s="360">
        <v>8</v>
      </c>
      <c r="P11" s="361">
        <v>7</v>
      </c>
      <c r="Q11" s="360">
        <v>7</v>
      </c>
    </row>
    <row r="12" spans="1:17" s="18" customFormat="1" ht="151.5" customHeight="1" x14ac:dyDescent="0.2">
      <c r="A12" s="288" t="s">
        <v>4</v>
      </c>
      <c r="B12" s="291" t="s">
        <v>335</v>
      </c>
      <c r="C12" s="358" t="s">
        <v>19</v>
      </c>
      <c r="D12" s="358" t="s">
        <v>21</v>
      </c>
      <c r="E12" s="359">
        <v>0</v>
      </c>
      <c r="F12" s="359">
        <v>0</v>
      </c>
      <c r="G12" s="359">
        <v>0</v>
      </c>
      <c r="H12" s="359">
        <v>0</v>
      </c>
      <c r="I12" s="359">
        <v>17</v>
      </c>
      <c r="J12" s="359">
        <v>17</v>
      </c>
      <c r="K12" s="359">
        <v>8</v>
      </c>
      <c r="L12" s="360">
        <v>9</v>
      </c>
      <c r="M12" s="360">
        <v>10</v>
      </c>
      <c r="N12" s="360">
        <v>19</v>
      </c>
      <c r="O12" s="360">
        <v>11</v>
      </c>
      <c r="P12" s="361">
        <v>10</v>
      </c>
      <c r="Q12" s="360">
        <v>10</v>
      </c>
    </row>
    <row r="13" spans="1:17" s="18" customFormat="1" ht="91.5" customHeight="1" x14ac:dyDescent="0.2">
      <c r="A13" s="288" t="s">
        <v>3</v>
      </c>
      <c r="B13" s="291" t="s">
        <v>635</v>
      </c>
      <c r="C13" s="358" t="s">
        <v>1</v>
      </c>
      <c r="D13" s="358" t="s">
        <v>21</v>
      </c>
      <c r="E13" s="359">
        <v>0</v>
      </c>
      <c r="F13" s="359">
        <v>0</v>
      </c>
      <c r="G13" s="359">
        <v>0</v>
      </c>
      <c r="H13" s="359">
        <v>0</v>
      </c>
      <c r="I13" s="359">
        <v>0</v>
      </c>
      <c r="J13" s="359">
        <v>0</v>
      </c>
      <c r="K13" s="360">
        <v>0</v>
      </c>
      <c r="L13" s="360">
        <v>0</v>
      </c>
      <c r="M13" s="360">
        <v>0</v>
      </c>
      <c r="N13" s="360">
        <v>30</v>
      </c>
      <c r="O13" s="360">
        <v>30</v>
      </c>
      <c r="P13" s="361">
        <v>30</v>
      </c>
      <c r="Q13" s="360">
        <v>30</v>
      </c>
    </row>
    <row r="14" spans="1:17" s="18" customFormat="1" ht="90" customHeight="1" x14ac:dyDescent="0.2">
      <c r="A14" s="288" t="s">
        <v>139</v>
      </c>
      <c r="B14" s="292" t="s">
        <v>636</v>
      </c>
      <c r="C14" s="358" t="s">
        <v>19</v>
      </c>
      <c r="D14" s="358" t="s">
        <v>18</v>
      </c>
      <c r="E14" s="359">
        <v>0</v>
      </c>
      <c r="F14" s="359">
        <v>0</v>
      </c>
      <c r="G14" s="359">
        <v>0</v>
      </c>
      <c r="H14" s="359">
        <v>0</v>
      </c>
      <c r="I14" s="359">
        <v>0</v>
      </c>
      <c r="J14" s="359">
        <v>0</v>
      </c>
      <c r="K14" s="360">
        <v>0</v>
      </c>
      <c r="L14" s="360">
        <v>0</v>
      </c>
      <c r="M14" s="360">
        <v>0</v>
      </c>
      <c r="N14" s="360">
        <v>10</v>
      </c>
      <c r="O14" s="360">
        <v>10</v>
      </c>
      <c r="P14" s="361">
        <v>10</v>
      </c>
      <c r="Q14" s="360">
        <v>10</v>
      </c>
    </row>
    <row r="15" spans="1:17" s="64" customFormat="1" ht="12.75" customHeight="1" x14ac:dyDescent="0.2"/>
    <row r="16" spans="1:17" s="64" customFormat="1" ht="12.75" customHeight="1" x14ac:dyDescent="0.2"/>
    <row r="17" spans="1:7" s="64" customFormat="1" ht="36.75" customHeight="1" x14ac:dyDescent="0.2">
      <c r="A17" s="462" t="s">
        <v>63</v>
      </c>
      <c r="B17" s="462"/>
      <c r="C17" s="65"/>
      <c r="D17" s="65"/>
      <c r="F17" s="463" t="s">
        <v>186</v>
      </c>
      <c r="G17" s="463"/>
    </row>
  </sheetData>
  <mergeCells count="22">
    <mergeCell ref="E1:O1"/>
    <mergeCell ref="A3:H3"/>
    <mergeCell ref="A5:A6"/>
    <mergeCell ref="B5:B6"/>
    <mergeCell ref="C5:C6"/>
    <mergeCell ref="D5:D6"/>
    <mergeCell ref="E5:E6"/>
    <mergeCell ref="F5:F6"/>
    <mergeCell ref="G5:G6"/>
    <mergeCell ref="A17:B17"/>
    <mergeCell ref="F17:G17"/>
    <mergeCell ref="H5:H6"/>
    <mergeCell ref="I5:I6"/>
    <mergeCell ref="J5:J6"/>
    <mergeCell ref="Q5:Q6"/>
    <mergeCell ref="C7:Q7"/>
    <mergeCell ref="O5:O6"/>
    <mergeCell ref="P5:P6"/>
    <mergeCell ref="N5:N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5"/>
  <sheetViews>
    <sheetView view="pageBreakPreview" zoomScale="85" zoomScaleSheetLayoutView="85" workbookViewId="0">
      <selection activeCell="G11" sqref="G11"/>
    </sheetView>
  </sheetViews>
  <sheetFormatPr defaultRowHeight="15" x14ac:dyDescent="0.25"/>
  <cols>
    <col min="1" max="1" width="5.85546875" customWidth="1"/>
    <col min="2" max="2" width="41.7109375" customWidth="1"/>
    <col min="4" max="4" width="11.7109375" customWidth="1"/>
  </cols>
  <sheetData>
    <row r="1" spans="1:17" s="148" customFormat="1" ht="74.25" customHeight="1" x14ac:dyDescent="0.25">
      <c r="F1" s="520" t="s">
        <v>571</v>
      </c>
      <c r="G1" s="520"/>
      <c r="H1" s="520"/>
      <c r="I1" s="521"/>
      <c r="J1" s="521"/>
      <c r="K1" s="521"/>
      <c r="L1" s="521"/>
      <c r="M1" s="521"/>
      <c r="N1" s="521"/>
      <c r="O1" s="521"/>
      <c r="P1" s="521"/>
    </row>
    <row r="2" spans="1:17" s="147" customFormat="1" ht="3.75" customHeight="1" x14ac:dyDescent="0.25">
      <c r="A2" s="486"/>
      <c r="B2" s="486"/>
      <c r="C2" s="486"/>
      <c r="D2" s="486"/>
      <c r="E2" s="486"/>
      <c r="F2" s="486"/>
      <c r="G2" s="486"/>
      <c r="H2" s="486"/>
    </row>
    <row r="3" spans="1:17" s="147" customFormat="1" ht="40.5" customHeight="1" x14ac:dyDescent="0.25">
      <c r="A3" s="522" t="s">
        <v>572</v>
      </c>
      <c r="B3" s="522"/>
      <c r="C3" s="522"/>
      <c r="D3" s="522"/>
      <c r="E3" s="522"/>
      <c r="F3" s="522"/>
      <c r="G3" s="522"/>
      <c r="H3" s="522"/>
      <c r="I3" s="522"/>
      <c r="J3" s="523"/>
      <c r="K3" s="523"/>
      <c r="L3" s="523"/>
      <c r="M3" s="523"/>
      <c r="N3" s="523"/>
      <c r="O3" s="523"/>
      <c r="P3" s="523"/>
      <c r="Q3" s="523"/>
    </row>
    <row r="4" spans="1:17" s="1" customFormat="1" ht="10.5" customHeight="1" x14ac:dyDescent="0.2">
      <c r="I4" s="17"/>
      <c r="J4" s="17"/>
    </row>
    <row r="5" spans="1:17" s="16" customFormat="1" ht="15" customHeight="1" x14ac:dyDescent="0.25">
      <c r="A5" s="446" t="s">
        <v>17</v>
      </c>
      <c r="B5" s="446" t="s">
        <v>16</v>
      </c>
      <c r="C5" s="516" t="s">
        <v>15</v>
      </c>
      <c r="D5" s="516" t="s">
        <v>14</v>
      </c>
      <c r="E5" s="516" t="s">
        <v>13</v>
      </c>
      <c r="F5" s="516" t="s">
        <v>12</v>
      </c>
      <c r="G5" s="516" t="s">
        <v>11</v>
      </c>
      <c r="H5" s="516" t="s">
        <v>163</v>
      </c>
      <c r="I5" s="516" t="s">
        <v>239</v>
      </c>
      <c r="J5" s="516" t="s">
        <v>113</v>
      </c>
      <c r="K5" s="514" t="s">
        <v>112</v>
      </c>
      <c r="L5" s="514" t="s">
        <v>111</v>
      </c>
      <c r="M5" s="514" t="s">
        <v>110</v>
      </c>
      <c r="N5" s="514" t="s">
        <v>109</v>
      </c>
      <c r="O5" s="514" t="s">
        <v>108</v>
      </c>
      <c r="P5" s="514" t="s">
        <v>249</v>
      </c>
      <c r="Q5" s="514" t="s">
        <v>539</v>
      </c>
    </row>
    <row r="6" spans="1:17" s="16" customFormat="1" ht="31.5" customHeight="1" x14ac:dyDescent="0.25">
      <c r="A6" s="446"/>
      <c r="B6" s="446"/>
      <c r="C6" s="516"/>
      <c r="D6" s="516"/>
      <c r="E6" s="516" t="s">
        <v>10</v>
      </c>
      <c r="F6" s="516" t="s">
        <v>10</v>
      </c>
      <c r="G6" s="516" t="s">
        <v>10</v>
      </c>
      <c r="H6" s="516" t="s">
        <v>10</v>
      </c>
      <c r="I6" s="516" t="s">
        <v>10</v>
      </c>
      <c r="J6" s="516"/>
      <c r="K6" s="515"/>
      <c r="L6" s="515"/>
      <c r="M6" s="515"/>
      <c r="N6" s="515"/>
      <c r="O6" s="515"/>
      <c r="P6" s="515"/>
      <c r="Q6" s="515"/>
    </row>
    <row r="7" spans="1:17" s="16" customFormat="1" ht="25.5" customHeight="1" x14ac:dyDescent="0.25">
      <c r="A7" s="347"/>
      <c r="B7" s="347" t="s">
        <v>9</v>
      </c>
      <c r="C7" s="517" t="s">
        <v>135</v>
      </c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9"/>
    </row>
    <row r="8" spans="1:17" s="12" customFormat="1" ht="33.75" customHeight="1" x14ac:dyDescent="0.25">
      <c r="A8" s="8"/>
      <c r="B8" s="15" t="s">
        <v>23</v>
      </c>
      <c r="C8" s="194"/>
      <c r="D8" s="194"/>
      <c r="E8" s="194"/>
      <c r="F8" s="194"/>
      <c r="G8" s="194"/>
      <c r="H8" s="194"/>
      <c r="I8" s="194"/>
      <c r="J8" s="194"/>
      <c r="K8" s="268"/>
      <c r="L8" s="268"/>
      <c r="M8" s="268"/>
      <c r="N8" s="268"/>
      <c r="O8" s="268"/>
      <c r="P8" s="268"/>
      <c r="Q8" s="268"/>
    </row>
    <row r="9" spans="1:17" s="9" customFormat="1" ht="90" customHeight="1" x14ac:dyDescent="0.25">
      <c r="A9" s="8" t="s">
        <v>8</v>
      </c>
      <c r="B9" s="11" t="s">
        <v>242</v>
      </c>
      <c r="C9" s="195" t="s">
        <v>1</v>
      </c>
      <c r="D9" s="195" t="s">
        <v>0</v>
      </c>
      <c r="E9" s="195">
        <v>707</v>
      </c>
      <c r="F9" s="195">
        <v>677</v>
      </c>
      <c r="G9" s="195">
        <v>670</v>
      </c>
      <c r="H9" s="269">
        <v>670</v>
      </c>
      <c r="I9" s="269">
        <v>0</v>
      </c>
      <c r="J9" s="269">
        <v>0</v>
      </c>
      <c r="K9" s="269">
        <v>0</v>
      </c>
      <c r="L9" s="269">
        <v>0</v>
      </c>
      <c r="M9" s="269">
        <v>0</v>
      </c>
      <c r="N9" s="269">
        <v>0</v>
      </c>
      <c r="O9" s="269">
        <v>0</v>
      </c>
      <c r="P9" s="269">
        <v>0</v>
      </c>
      <c r="Q9" s="269">
        <v>0</v>
      </c>
    </row>
    <row r="10" spans="1:17" s="9" customFormat="1" ht="68.25" customHeight="1" x14ac:dyDescent="0.25">
      <c r="A10" s="8" t="s">
        <v>7</v>
      </c>
      <c r="B10" s="94" t="s">
        <v>243</v>
      </c>
      <c r="C10" s="195" t="s">
        <v>1</v>
      </c>
      <c r="D10" s="195" t="s">
        <v>0</v>
      </c>
      <c r="E10" s="195">
        <v>5</v>
      </c>
      <c r="F10" s="195">
        <v>6</v>
      </c>
      <c r="G10" s="195">
        <v>6</v>
      </c>
      <c r="H10" s="269">
        <v>7</v>
      </c>
      <c r="I10" s="269">
        <v>0</v>
      </c>
      <c r="J10" s="269">
        <v>0</v>
      </c>
      <c r="K10" s="269">
        <v>0</v>
      </c>
      <c r="L10" s="269">
        <v>0</v>
      </c>
      <c r="M10" s="269">
        <v>0</v>
      </c>
      <c r="N10" s="269">
        <v>0</v>
      </c>
      <c r="O10" s="269">
        <v>0</v>
      </c>
      <c r="P10" s="269">
        <v>0</v>
      </c>
      <c r="Q10" s="269">
        <v>0</v>
      </c>
    </row>
    <row r="11" spans="1:17" s="9" customFormat="1" ht="53.25" customHeight="1" x14ac:dyDescent="0.25">
      <c r="A11" s="8" t="s">
        <v>5</v>
      </c>
      <c r="B11" s="11" t="s">
        <v>244</v>
      </c>
      <c r="C11" s="195" t="s">
        <v>2</v>
      </c>
      <c r="D11" s="195" t="s">
        <v>0</v>
      </c>
      <c r="E11" s="270">
        <v>3</v>
      </c>
      <c r="F11" s="270">
        <v>5</v>
      </c>
      <c r="G11" s="270">
        <v>10</v>
      </c>
      <c r="H11" s="270">
        <v>10</v>
      </c>
      <c r="I11" s="269">
        <v>0</v>
      </c>
      <c r="J11" s="269">
        <v>0</v>
      </c>
      <c r="K11" s="269">
        <v>0</v>
      </c>
      <c r="L11" s="269">
        <v>0</v>
      </c>
      <c r="M11" s="269">
        <v>0</v>
      </c>
      <c r="N11" s="269">
        <v>0</v>
      </c>
      <c r="O11" s="269">
        <v>0</v>
      </c>
      <c r="P11" s="269">
        <v>0</v>
      </c>
      <c r="Q11" s="269">
        <v>0</v>
      </c>
    </row>
    <row r="12" spans="1:17" s="1" customFormat="1" ht="44.25" customHeight="1" x14ac:dyDescent="0.2">
      <c r="A12" s="8" t="s">
        <v>4</v>
      </c>
      <c r="B12" s="7" t="s">
        <v>245</v>
      </c>
      <c r="C12" s="194" t="s">
        <v>1</v>
      </c>
      <c r="D12" s="195" t="s">
        <v>0</v>
      </c>
      <c r="E12" s="271">
        <v>6</v>
      </c>
      <c r="F12" s="271">
        <v>8</v>
      </c>
      <c r="G12" s="271">
        <v>10</v>
      </c>
      <c r="H12" s="271">
        <v>10</v>
      </c>
      <c r="I12" s="269">
        <v>0</v>
      </c>
      <c r="J12" s="269">
        <v>0</v>
      </c>
      <c r="K12" s="269">
        <v>0</v>
      </c>
      <c r="L12" s="269">
        <v>0</v>
      </c>
      <c r="M12" s="269">
        <v>0</v>
      </c>
      <c r="N12" s="269">
        <v>0</v>
      </c>
      <c r="O12" s="269">
        <v>0</v>
      </c>
      <c r="P12" s="269">
        <v>0</v>
      </c>
      <c r="Q12" s="269">
        <v>0</v>
      </c>
    </row>
    <row r="13" spans="1:17" s="1" customFormat="1" ht="12.75" x14ac:dyDescent="0.2"/>
    <row r="14" spans="1:17" s="1" customFormat="1" ht="11.25" customHeight="1" x14ac:dyDescent="0.2">
      <c r="B14" s="477"/>
      <c r="C14" s="477"/>
      <c r="D14" s="4"/>
      <c r="E14" s="4"/>
      <c r="F14" s="3"/>
      <c r="G14" s="3"/>
      <c r="H14" s="2"/>
    </row>
    <row r="15" spans="1:17" s="1" customFormat="1" ht="29.25" customHeight="1" x14ac:dyDescent="0.2">
      <c r="A15" s="475" t="s">
        <v>63</v>
      </c>
      <c r="B15" s="475"/>
      <c r="C15" s="475"/>
      <c r="D15" s="63"/>
      <c r="E15" s="474" t="s">
        <v>186</v>
      </c>
      <c r="F15" s="474"/>
      <c r="G15" s="474"/>
      <c r="H15" s="474"/>
    </row>
  </sheetData>
  <mergeCells count="24">
    <mergeCell ref="F1:P1"/>
    <mergeCell ref="A3:Q3"/>
    <mergeCell ref="A2:H2"/>
    <mergeCell ref="A5:A6"/>
    <mergeCell ref="B5:B6"/>
    <mergeCell ref="C5:C6"/>
    <mergeCell ref="D5:D6"/>
    <mergeCell ref="E5:E6"/>
    <mergeCell ref="F5:F6"/>
    <mergeCell ref="G5:G6"/>
    <mergeCell ref="Q5:Q6"/>
    <mergeCell ref="B14:C14"/>
    <mergeCell ref="K5:K6"/>
    <mergeCell ref="L5:L6"/>
    <mergeCell ref="M5:M6"/>
    <mergeCell ref="A15:C15"/>
    <mergeCell ref="E15:H15"/>
    <mergeCell ref="H5:H6"/>
    <mergeCell ref="I5:I6"/>
    <mergeCell ref="J5:J6"/>
    <mergeCell ref="C7:Q7"/>
    <mergeCell ref="O5:O6"/>
    <mergeCell ref="P5:P6"/>
    <mergeCell ref="N5:N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1"/>
  <sheetViews>
    <sheetView view="pageBreakPreview" zoomScale="60" workbookViewId="0">
      <selection activeCell="F7" sqref="F7"/>
    </sheetView>
  </sheetViews>
  <sheetFormatPr defaultRowHeight="15" x14ac:dyDescent="0.25"/>
  <cols>
    <col min="2" max="2" width="38.28515625" customWidth="1"/>
    <col min="3" max="3" width="8.7109375" customWidth="1"/>
    <col min="4" max="4" width="55.5703125" customWidth="1"/>
    <col min="5" max="16" width="10.85546875" customWidth="1"/>
  </cols>
  <sheetData>
    <row r="1" spans="1:17" s="39" customFormat="1" ht="33.75" customHeight="1" x14ac:dyDescent="0.25">
      <c r="E1" s="492" t="s">
        <v>576</v>
      </c>
      <c r="F1" s="492"/>
      <c r="G1" s="492"/>
      <c r="H1" s="492"/>
      <c r="I1" s="492"/>
      <c r="J1" s="525"/>
      <c r="K1" s="525"/>
      <c r="L1" s="525"/>
      <c r="M1" s="525"/>
      <c r="O1"/>
      <c r="P1"/>
    </row>
    <row r="2" spans="1:17" s="39" customFormat="1" ht="33.75" customHeight="1" x14ac:dyDescent="0.25">
      <c r="E2" s="525"/>
      <c r="F2" s="525"/>
      <c r="G2" s="525"/>
      <c r="H2" s="525"/>
      <c r="I2" s="525"/>
      <c r="J2" s="525"/>
      <c r="K2" s="525"/>
      <c r="L2" s="525"/>
      <c r="M2" s="525"/>
    </row>
    <row r="3" spans="1:17" s="39" customFormat="1" ht="27" customHeight="1" x14ac:dyDescent="0.25">
      <c r="A3" s="489" t="s">
        <v>564</v>
      </c>
      <c r="B3" s="489"/>
      <c r="C3" s="489"/>
      <c r="D3" s="489"/>
      <c r="E3" s="489"/>
      <c r="F3" s="489"/>
      <c r="G3" s="489"/>
      <c r="H3" s="489"/>
      <c r="I3" s="526"/>
      <c r="J3" s="526"/>
      <c r="K3" s="526"/>
      <c r="L3" s="526"/>
      <c r="M3" s="526"/>
      <c r="N3" s="526"/>
      <c r="O3" s="526"/>
      <c r="P3" s="526"/>
      <c r="Q3" s="526"/>
    </row>
    <row r="4" spans="1:17" s="39" customFormat="1" ht="33.75" customHeight="1" x14ac:dyDescent="0.25"/>
    <row r="5" spans="1:17" s="39" customFormat="1" ht="95.25" customHeight="1" x14ac:dyDescent="0.25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115</v>
      </c>
      <c r="I5" s="236" t="s">
        <v>114</v>
      </c>
      <c r="J5" s="236" t="s">
        <v>113</v>
      </c>
      <c r="K5" s="48" t="s">
        <v>112</v>
      </c>
      <c r="L5" s="48" t="s">
        <v>111</v>
      </c>
      <c r="M5" s="48" t="s">
        <v>110</v>
      </c>
      <c r="N5" s="48" t="s">
        <v>109</v>
      </c>
      <c r="O5" s="48" t="s">
        <v>108</v>
      </c>
      <c r="P5" s="266" t="s">
        <v>249</v>
      </c>
      <c r="Q5" s="48" t="s">
        <v>539</v>
      </c>
    </row>
    <row r="6" spans="1:17" s="39" customFormat="1" ht="33.75" customHeight="1" x14ac:dyDescent="0.25">
      <c r="A6" s="48"/>
      <c r="B6" s="524" t="s">
        <v>38</v>
      </c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4"/>
      <c r="N6" s="524"/>
      <c r="O6" s="44"/>
      <c r="P6" s="44"/>
      <c r="Q6" s="48"/>
    </row>
    <row r="7" spans="1:17" s="38" customFormat="1" ht="99" customHeight="1" x14ac:dyDescent="0.25">
      <c r="A7" s="47">
        <v>1</v>
      </c>
      <c r="B7" s="48" t="s">
        <v>347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96">
        <v>5</v>
      </c>
      <c r="J7" s="96">
        <v>5</v>
      </c>
      <c r="K7" s="97">
        <v>5</v>
      </c>
      <c r="L7" s="97">
        <v>5</v>
      </c>
      <c r="M7" s="97">
        <v>5</v>
      </c>
      <c r="N7" s="97">
        <v>5</v>
      </c>
      <c r="O7" s="97">
        <v>5</v>
      </c>
      <c r="P7" s="267">
        <v>5</v>
      </c>
      <c r="Q7" s="199">
        <v>5</v>
      </c>
    </row>
    <row r="8" spans="1:17" s="204" customFormat="1" ht="99" customHeight="1" x14ac:dyDescent="0.25">
      <c r="A8" s="200">
        <v>2</v>
      </c>
      <c r="B8" s="199" t="s">
        <v>367</v>
      </c>
      <c r="C8" s="200" t="s">
        <v>29</v>
      </c>
      <c r="D8" s="201" t="s">
        <v>144</v>
      </c>
      <c r="E8" s="202">
        <v>5</v>
      </c>
      <c r="F8" s="202">
        <v>5</v>
      </c>
      <c r="G8" s="202">
        <v>5</v>
      </c>
      <c r="H8" s="202">
        <v>5</v>
      </c>
      <c r="I8" s="203">
        <v>5</v>
      </c>
      <c r="J8" s="203">
        <v>5</v>
      </c>
      <c r="K8" s="199">
        <v>5</v>
      </c>
      <c r="L8" s="97">
        <v>5</v>
      </c>
      <c r="M8" s="97">
        <v>5</v>
      </c>
      <c r="N8" s="97">
        <v>5</v>
      </c>
      <c r="O8" s="97">
        <v>5</v>
      </c>
      <c r="P8" s="267">
        <v>5</v>
      </c>
      <c r="Q8" s="199">
        <v>5</v>
      </c>
    </row>
    <row r="9" spans="1:17" s="38" customFormat="1" ht="150" customHeight="1" x14ac:dyDescent="0.25">
      <c r="A9" s="47">
        <v>3</v>
      </c>
      <c r="B9" s="48" t="s">
        <v>143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96">
        <v>5</v>
      </c>
      <c r="J9" s="96">
        <v>5</v>
      </c>
      <c r="K9" s="97">
        <v>5</v>
      </c>
      <c r="L9" s="97">
        <v>5</v>
      </c>
      <c r="M9" s="97">
        <v>5</v>
      </c>
      <c r="N9" s="97">
        <v>5</v>
      </c>
      <c r="O9" s="97">
        <v>5</v>
      </c>
      <c r="P9" s="267">
        <v>5</v>
      </c>
      <c r="Q9" s="199">
        <v>5</v>
      </c>
    </row>
    <row r="10" spans="1:17" s="38" customFormat="1" ht="33.75" customHeight="1" x14ac:dyDescent="0.25">
      <c r="A10" s="43"/>
      <c r="B10" s="44"/>
      <c r="C10" s="43"/>
      <c r="D10" s="42"/>
      <c r="E10" s="41"/>
      <c r="F10" s="41"/>
      <c r="G10" s="41"/>
      <c r="H10" s="41"/>
    </row>
    <row r="11" spans="1:17" s="39" customFormat="1" ht="66" customHeight="1" x14ac:dyDescent="0.25">
      <c r="A11" s="491" t="s">
        <v>63</v>
      </c>
      <c r="B11" s="491"/>
      <c r="C11" s="491"/>
      <c r="D11" s="66"/>
      <c r="E11" s="40"/>
      <c r="F11" s="490" t="s">
        <v>186</v>
      </c>
      <c r="G11" s="490"/>
      <c r="H11" s="490"/>
    </row>
  </sheetData>
  <mergeCells count="5">
    <mergeCell ref="B6:N6"/>
    <mergeCell ref="A11:C11"/>
    <mergeCell ref="F11:H11"/>
    <mergeCell ref="E1:M2"/>
    <mergeCell ref="A3:Q3"/>
  </mergeCells>
  <pageMargins left="0.7" right="0.7" top="0.75" bottom="0.75" header="0.3" footer="0.3"/>
  <pageSetup paperSize="9" scale="5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C220"/>
  <sheetViews>
    <sheetView view="pageBreakPreview" topLeftCell="A115" zoomScaleNormal="40" zoomScaleSheetLayoutView="100" workbookViewId="0">
      <pane xSplit="1" topLeftCell="N1" activePane="topRight" state="frozen"/>
      <selection pane="topRight" activeCell="Z13" sqref="Z13"/>
    </sheetView>
  </sheetViews>
  <sheetFormatPr defaultColWidth="9.140625" defaultRowHeight="15" x14ac:dyDescent="0.25"/>
  <cols>
    <col min="1" max="1" width="28" style="333" customWidth="1"/>
    <col min="2" max="2" width="8.28515625" style="333" customWidth="1"/>
    <col min="3" max="7" width="9.140625" style="333" customWidth="1"/>
    <col min="8" max="12" width="8.85546875" style="333" customWidth="1"/>
    <col min="13" max="13" width="8.85546875" style="343" customWidth="1"/>
    <col min="14" max="15" width="8.85546875" style="333" customWidth="1"/>
    <col min="16" max="17" width="9.140625" style="333" customWidth="1"/>
    <col min="18" max="18" width="10.42578125" style="333" customWidth="1"/>
    <col min="19" max="20" width="9.140625" style="333" customWidth="1"/>
    <col min="21" max="21" width="8.85546875" style="333" customWidth="1"/>
    <col min="22" max="22" width="8.85546875" style="345" customWidth="1"/>
    <col min="23" max="23" width="8.85546875" style="333" customWidth="1"/>
    <col min="24" max="25" width="10.7109375" style="244" customWidth="1"/>
    <col min="26" max="26" width="11.5703125" style="344" customWidth="1"/>
    <col min="27" max="28" width="11.5703125" style="244" customWidth="1"/>
    <col min="29" max="29" width="8.140625" style="333" customWidth="1"/>
    <col min="30" max="30" width="8.85546875" style="333" customWidth="1"/>
    <col min="31" max="16384" width="9.140625" style="333"/>
  </cols>
  <sheetData>
    <row r="1" spans="1:29" ht="18" customHeight="1" x14ac:dyDescent="0.25">
      <c r="A1" s="210"/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584" t="s">
        <v>550</v>
      </c>
      <c r="Q1" s="584"/>
      <c r="R1" s="585"/>
      <c r="S1" s="585"/>
      <c r="T1" s="585"/>
      <c r="U1" s="585"/>
      <c r="V1" s="312"/>
      <c r="W1" s="312"/>
      <c r="Z1" s="244"/>
    </row>
    <row r="2" spans="1:29" ht="45" customHeight="1" x14ac:dyDescent="0.25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586" t="s">
        <v>562</v>
      </c>
      <c r="Q2" s="586"/>
      <c r="R2" s="587"/>
      <c r="S2" s="587"/>
      <c r="T2" s="587"/>
      <c r="U2" s="587"/>
      <c r="V2" s="312"/>
      <c r="W2" s="312"/>
      <c r="Z2" s="244"/>
    </row>
    <row r="3" spans="1:29" ht="18" customHeight="1" x14ac:dyDescent="0.25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39"/>
      <c r="W3" s="239"/>
      <c r="Z3" s="244"/>
    </row>
    <row r="4" spans="1:29" ht="18" customHeight="1" x14ac:dyDescent="0.25">
      <c r="A4" s="588" t="s">
        <v>175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313"/>
      <c r="W4" s="313"/>
      <c r="Z4" s="244"/>
    </row>
    <row r="5" spans="1:29" ht="18" customHeight="1" x14ac:dyDescent="0.25">
      <c r="A5" s="589" t="s">
        <v>166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301"/>
      <c r="W5" s="301"/>
      <c r="Z5" s="244"/>
    </row>
    <row r="6" spans="1:29" ht="18" customHeight="1" x14ac:dyDescent="0.25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39"/>
      <c r="W6" s="239"/>
      <c r="Z6" s="244"/>
    </row>
    <row r="7" spans="1:29" ht="18" customHeight="1" x14ac:dyDescent="0.25">
      <c r="A7" s="590" t="s">
        <v>93</v>
      </c>
      <c r="B7" s="548" t="s">
        <v>94</v>
      </c>
      <c r="C7" s="549"/>
      <c r="D7" s="549"/>
      <c r="E7" s="549"/>
      <c r="F7" s="549"/>
      <c r="G7" s="549"/>
      <c r="H7" s="549"/>
      <c r="I7" s="549"/>
      <c r="J7" s="549"/>
      <c r="K7" s="549"/>
      <c r="L7" s="303"/>
      <c r="M7" s="303"/>
      <c r="N7" s="303"/>
      <c r="O7" s="303"/>
      <c r="P7" s="548" t="s">
        <v>95</v>
      </c>
      <c r="Q7" s="549"/>
      <c r="R7" s="549"/>
      <c r="S7" s="549"/>
      <c r="T7" s="549"/>
      <c r="U7" s="549"/>
      <c r="V7" s="549"/>
      <c r="W7" s="549"/>
      <c r="X7" s="549"/>
      <c r="Y7" s="549"/>
      <c r="Z7" s="549"/>
      <c r="AA7" s="549"/>
      <c r="AB7" s="550"/>
    </row>
    <row r="8" spans="1:29" ht="54" customHeight="1" x14ac:dyDescent="0.25">
      <c r="A8" s="591"/>
      <c r="B8" s="300">
        <v>2013</v>
      </c>
      <c r="C8" s="300">
        <v>2014</v>
      </c>
      <c r="D8" s="300">
        <v>2015</v>
      </c>
      <c r="E8" s="300">
        <v>2016</v>
      </c>
      <c r="F8" s="300">
        <v>2017</v>
      </c>
      <c r="G8" s="300">
        <v>2018</v>
      </c>
      <c r="H8" s="300">
        <v>2019</v>
      </c>
      <c r="I8" s="300">
        <v>2020</v>
      </c>
      <c r="J8" s="300">
        <v>2021</v>
      </c>
      <c r="K8" s="302">
        <v>2022</v>
      </c>
      <c r="L8" s="302">
        <v>2023</v>
      </c>
      <c r="M8" s="302">
        <v>2024</v>
      </c>
      <c r="N8" s="300">
        <v>2025</v>
      </c>
      <c r="O8" s="300">
        <v>2026</v>
      </c>
      <c r="P8" s="326">
        <v>2014</v>
      </c>
      <c r="Q8" s="327">
        <v>2015</v>
      </c>
      <c r="R8" s="328">
        <v>2016</v>
      </c>
      <c r="S8" s="329">
        <v>2017</v>
      </c>
      <c r="T8" s="329">
        <v>2018</v>
      </c>
      <c r="U8" s="300">
        <v>2019</v>
      </c>
      <c r="V8" s="300">
        <v>2020</v>
      </c>
      <c r="W8" s="334">
        <v>2021</v>
      </c>
      <c r="X8" s="330">
        <v>2022</v>
      </c>
      <c r="Y8" s="330">
        <v>2023</v>
      </c>
      <c r="Z8" s="330">
        <v>2024</v>
      </c>
      <c r="AA8" s="330">
        <v>2025</v>
      </c>
      <c r="AB8" s="330">
        <v>2026</v>
      </c>
    </row>
    <row r="9" spans="1:29" ht="18" customHeight="1" x14ac:dyDescent="0.25">
      <c r="A9" s="211">
        <v>1</v>
      </c>
      <c r="B9" s="212">
        <v>2</v>
      </c>
      <c r="C9" s="212">
        <v>3</v>
      </c>
      <c r="D9" s="211">
        <v>4</v>
      </c>
      <c r="E9" s="212">
        <v>5</v>
      </c>
      <c r="F9" s="212">
        <v>6</v>
      </c>
      <c r="G9" s="211">
        <v>7</v>
      </c>
      <c r="H9" s="212">
        <v>8</v>
      </c>
      <c r="I9" s="212">
        <v>9</v>
      </c>
      <c r="J9" s="211">
        <v>10</v>
      </c>
      <c r="K9" s="212">
        <v>11</v>
      </c>
      <c r="L9" s="212">
        <v>12</v>
      </c>
      <c r="M9" s="242">
        <v>13</v>
      </c>
      <c r="N9" s="243">
        <v>14</v>
      </c>
      <c r="O9" s="243">
        <v>15</v>
      </c>
      <c r="P9" s="259">
        <v>16</v>
      </c>
      <c r="Q9" s="212">
        <v>17</v>
      </c>
      <c r="R9" s="212">
        <v>18</v>
      </c>
      <c r="S9" s="212">
        <v>19</v>
      </c>
      <c r="T9" s="212">
        <v>20</v>
      </c>
      <c r="U9" s="212">
        <v>21</v>
      </c>
      <c r="V9" s="212">
        <v>22</v>
      </c>
      <c r="W9" s="212">
        <v>23</v>
      </c>
      <c r="X9" s="212">
        <v>24</v>
      </c>
      <c r="Y9" s="212">
        <v>25</v>
      </c>
      <c r="Z9" s="242">
        <v>26</v>
      </c>
      <c r="AA9" s="243">
        <v>27</v>
      </c>
      <c r="AB9" s="243">
        <v>28</v>
      </c>
    </row>
    <row r="10" spans="1:29" s="335" customFormat="1" ht="30" customHeight="1" x14ac:dyDescent="0.25">
      <c r="A10" s="314" t="s">
        <v>96</v>
      </c>
      <c r="B10" s="554" t="s">
        <v>310</v>
      </c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5"/>
      <c r="O10" s="555"/>
      <c r="P10" s="555"/>
      <c r="Q10" s="555"/>
      <c r="R10" s="555"/>
      <c r="S10" s="555"/>
      <c r="T10" s="555"/>
      <c r="U10" s="555"/>
      <c r="V10" s="555"/>
      <c r="W10" s="555"/>
      <c r="X10" s="555"/>
      <c r="Y10" s="555"/>
      <c r="Z10" s="555"/>
      <c r="AA10" s="555"/>
      <c r="AB10" s="556"/>
    </row>
    <row r="11" spans="1:29" ht="36" customHeight="1" x14ac:dyDescent="0.25">
      <c r="A11" s="209" t="s">
        <v>97</v>
      </c>
      <c r="B11" s="548" t="s">
        <v>482</v>
      </c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549"/>
      <c r="N11" s="549"/>
      <c r="O11" s="549"/>
      <c r="P11" s="549"/>
      <c r="Q11" s="549"/>
      <c r="R11" s="549"/>
      <c r="S11" s="549"/>
      <c r="T11" s="549"/>
      <c r="U11" s="549"/>
      <c r="V11" s="549"/>
      <c r="W11" s="549"/>
      <c r="X11" s="549"/>
      <c r="Y11" s="549"/>
      <c r="Z11" s="549"/>
      <c r="AA11" s="549"/>
      <c r="AB11" s="550"/>
    </row>
    <row r="12" spans="1:29" ht="18" customHeight="1" x14ac:dyDescent="0.25">
      <c r="A12" s="206" t="s">
        <v>57</v>
      </c>
      <c r="B12" s="557" t="s">
        <v>174</v>
      </c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558"/>
      <c r="R12" s="558"/>
      <c r="S12" s="558"/>
      <c r="T12" s="558"/>
      <c r="U12" s="558"/>
      <c r="V12" s="558"/>
      <c r="W12" s="558"/>
      <c r="X12" s="558"/>
      <c r="Y12" s="558"/>
      <c r="Z12" s="558"/>
      <c r="AA12" s="558"/>
      <c r="AB12" s="559"/>
    </row>
    <row r="13" spans="1:29" ht="72" customHeight="1" x14ac:dyDescent="0.25">
      <c r="A13" s="304" t="s">
        <v>87</v>
      </c>
      <c r="B13" s="213">
        <v>4700</v>
      </c>
      <c r="C13" s="213">
        <v>0</v>
      </c>
      <c r="D13" s="213">
        <v>0</v>
      </c>
      <c r="E13" s="213">
        <v>0</v>
      </c>
      <c r="F13" s="213">
        <v>0</v>
      </c>
      <c r="G13" s="213">
        <v>0</v>
      </c>
      <c r="H13" s="213">
        <v>8</v>
      </c>
      <c r="I13" s="213">
        <v>8</v>
      </c>
      <c r="J13" s="213">
        <v>110</v>
      </c>
      <c r="K13" s="213">
        <v>152</v>
      </c>
      <c r="L13" s="213">
        <v>194</v>
      </c>
      <c r="M13" s="73">
        <v>22</v>
      </c>
      <c r="N13" s="213">
        <v>22</v>
      </c>
      <c r="O13" s="213">
        <v>22</v>
      </c>
      <c r="P13" s="311">
        <v>0</v>
      </c>
      <c r="Q13" s="311">
        <v>0</v>
      </c>
      <c r="R13" s="311">
        <v>0</v>
      </c>
      <c r="S13" s="311">
        <v>842.5</v>
      </c>
      <c r="T13" s="311">
        <v>621.6</v>
      </c>
      <c r="U13" s="311">
        <v>609.79999999999995</v>
      </c>
      <c r="V13" s="311">
        <v>223.7</v>
      </c>
      <c r="W13" s="311">
        <v>297.3</v>
      </c>
      <c r="X13" s="245">
        <v>269.89999999999998</v>
      </c>
      <c r="Y13" s="245">
        <v>281.2</v>
      </c>
      <c r="Z13" s="379">
        <v>571.6</v>
      </c>
      <c r="AA13" s="245">
        <v>559.5</v>
      </c>
      <c r="AB13" s="245">
        <v>559.5</v>
      </c>
      <c r="AC13" s="333" t="s">
        <v>583</v>
      </c>
    </row>
    <row r="14" spans="1:29" s="335" customFormat="1" ht="36" customHeight="1" x14ac:dyDescent="0.25">
      <c r="A14" s="315" t="s">
        <v>96</v>
      </c>
      <c r="B14" s="554" t="s">
        <v>515</v>
      </c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555"/>
      <c r="U14" s="555"/>
      <c r="V14" s="555"/>
      <c r="W14" s="555"/>
      <c r="X14" s="555"/>
      <c r="Y14" s="555"/>
      <c r="Z14" s="555"/>
      <c r="AA14" s="555"/>
      <c r="AB14" s="556"/>
    </row>
    <row r="15" spans="1:29" ht="36" customHeight="1" x14ac:dyDescent="0.25">
      <c r="A15" s="304" t="s">
        <v>97</v>
      </c>
      <c r="B15" s="560" t="s">
        <v>99</v>
      </c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1"/>
      <c r="O15" s="561"/>
      <c r="P15" s="561"/>
      <c r="Q15" s="561"/>
      <c r="R15" s="561"/>
      <c r="S15" s="561"/>
      <c r="T15" s="561"/>
      <c r="U15" s="561"/>
      <c r="V15" s="561"/>
      <c r="W15" s="561"/>
      <c r="X15" s="561"/>
      <c r="Y15" s="561"/>
      <c r="Z15" s="561"/>
      <c r="AA15" s="561"/>
      <c r="AB15" s="562"/>
    </row>
    <row r="16" spans="1:29" ht="18" customHeight="1" x14ac:dyDescent="0.25">
      <c r="A16" s="293" t="s">
        <v>57</v>
      </c>
      <c r="B16" s="563" t="s">
        <v>174</v>
      </c>
      <c r="C16" s="564"/>
      <c r="D16" s="564"/>
      <c r="E16" s="564"/>
      <c r="F16" s="564"/>
      <c r="G16" s="564"/>
      <c r="H16" s="564"/>
      <c r="I16" s="564"/>
      <c r="J16" s="564"/>
      <c r="K16" s="564"/>
      <c r="L16" s="564"/>
      <c r="M16" s="564"/>
      <c r="N16" s="564"/>
      <c r="O16" s="564"/>
      <c r="P16" s="564"/>
      <c r="Q16" s="564"/>
      <c r="R16" s="564"/>
      <c r="S16" s="564"/>
      <c r="T16" s="564"/>
      <c r="U16" s="564"/>
      <c r="V16" s="564"/>
      <c r="W16" s="564"/>
      <c r="X16" s="564"/>
      <c r="Y16" s="564"/>
      <c r="Z16" s="564"/>
      <c r="AA16" s="564"/>
      <c r="AB16" s="565"/>
    </row>
    <row r="17" spans="1:29" ht="72" customHeight="1" x14ac:dyDescent="0.25">
      <c r="A17" s="304" t="s">
        <v>87</v>
      </c>
      <c r="B17" s="300">
        <v>3000</v>
      </c>
      <c r="C17" s="207">
        <v>0</v>
      </c>
      <c r="D17" s="207">
        <v>0</v>
      </c>
      <c r="E17" s="207">
        <v>0</v>
      </c>
      <c r="F17" s="207">
        <v>0</v>
      </c>
      <c r="G17" s="207">
        <v>0</v>
      </c>
      <c r="H17" s="207">
        <v>2</v>
      </c>
      <c r="I17" s="207">
        <v>2</v>
      </c>
      <c r="J17" s="207">
        <v>2</v>
      </c>
      <c r="K17" s="207">
        <v>2</v>
      </c>
      <c r="L17" s="207">
        <v>2</v>
      </c>
      <c r="M17" s="75">
        <v>1</v>
      </c>
      <c r="N17" s="207">
        <v>1</v>
      </c>
      <c r="O17" s="207">
        <v>1</v>
      </c>
      <c r="P17" s="311">
        <v>0</v>
      </c>
      <c r="Q17" s="311">
        <v>0</v>
      </c>
      <c r="R17" s="311">
        <v>0</v>
      </c>
      <c r="S17" s="306">
        <v>1466</v>
      </c>
      <c r="T17" s="306">
        <v>465</v>
      </c>
      <c r="U17" s="310">
        <v>668.3</v>
      </c>
      <c r="V17" s="310">
        <v>346.1</v>
      </c>
      <c r="W17" s="310">
        <v>452.1</v>
      </c>
      <c r="X17" s="245">
        <v>508.9</v>
      </c>
      <c r="Y17" s="245">
        <v>314.8</v>
      </c>
      <c r="Z17" s="379">
        <v>626.20000000000005</v>
      </c>
      <c r="AA17" s="245">
        <v>625.70000000000005</v>
      </c>
      <c r="AB17" s="245">
        <v>625.70000000000005</v>
      </c>
      <c r="AC17" s="333" t="s">
        <v>584</v>
      </c>
    </row>
    <row r="18" spans="1:29" s="335" customFormat="1" ht="36" customHeight="1" x14ac:dyDescent="0.25">
      <c r="A18" s="315" t="s">
        <v>96</v>
      </c>
      <c r="B18" s="566" t="s">
        <v>190</v>
      </c>
      <c r="C18" s="567"/>
      <c r="D18" s="567"/>
      <c r="E18" s="567"/>
      <c r="F18" s="567"/>
      <c r="G18" s="567"/>
      <c r="H18" s="567"/>
      <c r="I18" s="567"/>
      <c r="J18" s="567"/>
      <c r="K18" s="567"/>
      <c r="L18" s="567"/>
      <c r="M18" s="567"/>
      <c r="N18" s="567"/>
      <c r="O18" s="567"/>
      <c r="P18" s="567"/>
      <c r="Q18" s="567"/>
      <c r="R18" s="567"/>
      <c r="S18" s="567"/>
      <c r="T18" s="567"/>
      <c r="U18" s="567"/>
      <c r="V18" s="567"/>
      <c r="W18" s="567"/>
      <c r="X18" s="567"/>
      <c r="Y18" s="567"/>
      <c r="Z18" s="567"/>
      <c r="AA18" s="567"/>
      <c r="AB18" s="568"/>
    </row>
    <row r="19" spans="1:29" ht="36" customHeight="1" x14ac:dyDescent="0.25">
      <c r="A19" s="304" t="s">
        <v>97</v>
      </c>
      <c r="B19" s="560" t="s">
        <v>99</v>
      </c>
      <c r="C19" s="561"/>
      <c r="D19" s="561"/>
      <c r="E19" s="561"/>
      <c r="F19" s="561"/>
      <c r="G19" s="561"/>
      <c r="H19" s="561"/>
      <c r="I19" s="561"/>
      <c r="J19" s="561"/>
      <c r="K19" s="561"/>
      <c r="L19" s="561"/>
      <c r="M19" s="561"/>
      <c r="N19" s="561"/>
      <c r="O19" s="561"/>
      <c r="P19" s="561"/>
      <c r="Q19" s="561"/>
      <c r="R19" s="561"/>
      <c r="S19" s="561"/>
      <c r="T19" s="561"/>
      <c r="U19" s="561"/>
      <c r="V19" s="561"/>
      <c r="W19" s="561"/>
      <c r="X19" s="561"/>
      <c r="Y19" s="561"/>
      <c r="Z19" s="561"/>
      <c r="AA19" s="561"/>
      <c r="AB19" s="562"/>
    </row>
    <row r="20" spans="1:29" ht="18" customHeight="1" x14ac:dyDescent="0.25">
      <c r="A20" s="206" t="s">
        <v>57</v>
      </c>
      <c r="B20" s="557" t="s">
        <v>174</v>
      </c>
      <c r="C20" s="558"/>
      <c r="D20" s="558"/>
      <c r="E20" s="558"/>
      <c r="F20" s="558"/>
      <c r="G20" s="558"/>
      <c r="H20" s="558"/>
      <c r="I20" s="558"/>
      <c r="J20" s="558"/>
      <c r="K20" s="558"/>
      <c r="L20" s="558"/>
      <c r="M20" s="558"/>
      <c r="N20" s="558"/>
      <c r="O20" s="558"/>
      <c r="P20" s="558"/>
      <c r="Q20" s="558"/>
      <c r="R20" s="558"/>
      <c r="S20" s="558"/>
      <c r="T20" s="558"/>
      <c r="U20" s="558"/>
      <c r="V20" s="558"/>
      <c r="W20" s="558"/>
      <c r="X20" s="558"/>
      <c r="Y20" s="558"/>
      <c r="Z20" s="558"/>
      <c r="AA20" s="558"/>
      <c r="AB20" s="559"/>
    </row>
    <row r="21" spans="1:29" ht="72" customHeight="1" x14ac:dyDescent="0.25">
      <c r="A21" s="305" t="s">
        <v>87</v>
      </c>
      <c r="B21" s="296">
        <v>6050</v>
      </c>
      <c r="C21" s="296">
        <v>6720</v>
      </c>
      <c r="D21" s="295">
        <v>29</v>
      </c>
      <c r="E21" s="295">
        <v>29</v>
      </c>
      <c r="F21" s="295">
        <v>29</v>
      </c>
      <c r="G21" s="295">
        <v>26</v>
      </c>
      <c r="H21" s="295">
        <v>16</v>
      </c>
      <c r="I21" s="295">
        <v>17</v>
      </c>
      <c r="J21" s="295">
        <v>15</v>
      </c>
      <c r="K21" s="295">
        <v>19</v>
      </c>
      <c r="L21" s="295">
        <v>26</v>
      </c>
      <c r="M21" s="369">
        <v>14</v>
      </c>
      <c r="N21" s="295">
        <v>14</v>
      </c>
      <c r="O21" s="295">
        <v>14</v>
      </c>
      <c r="P21" s="306">
        <v>357.6</v>
      </c>
      <c r="Q21" s="306">
        <v>255.5</v>
      </c>
      <c r="R21" s="306">
        <f>171.9+50+59.5</f>
        <v>281.39999999999998</v>
      </c>
      <c r="S21" s="306">
        <v>1003.2</v>
      </c>
      <c r="T21" s="306">
        <v>521</v>
      </c>
      <c r="U21" s="306">
        <v>1596.3</v>
      </c>
      <c r="V21" s="306">
        <v>1040.7</v>
      </c>
      <c r="W21" s="306">
        <v>1406.2</v>
      </c>
      <c r="X21" s="299">
        <v>1241.7</v>
      </c>
      <c r="Y21" s="299">
        <v>662.3</v>
      </c>
      <c r="Z21" s="380">
        <v>1324</v>
      </c>
      <c r="AA21" s="299">
        <v>1316.3</v>
      </c>
      <c r="AB21" s="299">
        <v>1316.3</v>
      </c>
      <c r="AC21" s="333" t="s">
        <v>585</v>
      </c>
    </row>
    <row r="22" spans="1:29" s="335" customFormat="1" ht="36" customHeight="1" x14ac:dyDescent="0.25">
      <c r="A22" s="315" t="s">
        <v>96</v>
      </c>
      <c r="B22" s="566" t="s">
        <v>316</v>
      </c>
      <c r="C22" s="567"/>
      <c r="D22" s="567"/>
      <c r="E22" s="567"/>
      <c r="F22" s="567"/>
      <c r="G22" s="567"/>
      <c r="H22" s="567"/>
      <c r="I22" s="567"/>
      <c r="J22" s="567"/>
      <c r="K22" s="567"/>
      <c r="L22" s="567"/>
      <c r="M22" s="567"/>
      <c r="N22" s="567"/>
      <c r="O22" s="567"/>
      <c r="P22" s="567"/>
      <c r="Q22" s="567"/>
      <c r="R22" s="567"/>
      <c r="S22" s="567"/>
      <c r="T22" s="567"/>
      <c r="U22" s="567"/>
      <c r="V22" s="567"/>
      <c r="W22" s="567"/>
      <c r="X22" s="567"/>
      <c r="Y22" s="567"/>
      <c r="Z22" s="567"/>
      <c r="AA22" s="567"/>
      <c r="AB22" s="568"/>
    </row>
    <row r="23" spans="1:29" ht="36" customHeight="1" x14ac:dyDescent="0.25">
      <c r="A23" s="205" t="s">
        <v>97</v>
      </c>
      <c r="B23" s="560" t="s">
        <v>392</v>
      </c>
      <c r="C23" s="561"/>
      <c r="D23" s="561"/>
      <c r="E23" s="561"/>
      <c r="F23" s="561"/>
      <c r="G23" s="561"/>
      <c r="H23" s="561"/>
      <c r="I23" s="561"/>
      <c r="J23" s="561"/>
      <c r="K23" s="561"/>
      <c r="L23" s="561"/>
      <c r="M23" s="561"/>
      <c r="N23" s="561"/>
      <c r="O23" s="561"/>
      <c r="P23" s="561"/>
      <c r="Q23" s="561"/>
      <c r="R23" s="561"/>
      <c r="S23" s="561"/>
      <c r="T23" s="561"/>
      <c r="U23" s="561"/>
      <c r="V23" s="561"/>
      <c r="W23" s="561"/>
      <c r="X23" s="561"/>
      <c r="Y23" s="561"/>
      <c r="Z23" s="561"/>
      <c r="AA23" s="561"/>
      <c r="AB23" s="562"/>
    </row>
    <row r="24" spans="1:29" ht="18" customHeight="1" x14ac:dyDescent="0.25">
      <c r="A24" s="206" t="s">
        <v>57</v>
      </c>
      <c r="B24" s="557" t="s">
        <v>174</v>
      </c>
      <c r="C24" s="558"/>
      <c r="D24" s="558"/>
      <c r="E24" s="558"/>
      <c r="F24" s="558"/>
      <c r="G24" s="558"/>
      <c r="H24" s="558"/>
      <c r="I24" s="558"/>
      <c r="J24" s="558"/>
      <c r="K24" s="558"/>
      <c r="L24" s="558"/>
      <c r="M24" s="558"/>
      <c r="N24" s="558"/>
      <c r="O24" s="558"/>
      <c r="P24" s="558"/>
      <c r="Q24" s="558"/>
      <c r="R24" s="558"/>
      <c r="S24" s="558"/>
      <c r="T24" s="558"/>
      <c r="U24" s="558"/>
      <c r="V24" s="558"/>
      <c r="W24" s="558"/>
      <c r="X24" s="558"/>
      <c r="Y24" s="558"/>
      <c r="Z24" s="558"/>
      <c r="AA24" s="558"/>
      <c r="AB24" s="559"/>
    </row>
    <row r="25" spans="1:29" ht="72" customHeight="1" x14ac:dyDescent="0.25">
      <c r="A25" s="304" t="s">
        <v>87</v>
      </c>
      <c r="B25" s="300">
        <v>30</v>
      </c>
      <c r="C25" s="207">
        <v>0</v>
      </c>
      <c r="D25" s="207">
        <v>0</v>
      </c>
      <c r="E25" s="207">
        <v>0</v>
      </c>
      <c r="F25" s="207">
        <v>0</v>
      </c>
      <c r="G25" s="207">
        <v>0</v>
      </c>
      <c r="H25" s="207">
        <v>2</v>
      </c>
      <c r="I25" s="207">
        <v>2</v>
      </c>
      <c r="J25" s="207">
        <v>2</v>
      </c>
      <c r="K25" s="207">
        <v>2</v>
      </c>
      <c r="L25" s="207">
        <v>2</v>
      </c>
      <c r="M25" s="75">
        <v>2</v>
      </c>
      <c r="N25" s="207">
        <v>2</v>
      </c>
      <c r="O25" s="207">
        <v>2</v>
      </c>
      <c r="P25" s="311">
        <v>0</v>
      </c>
      <c r="Q25" s="311">
        <v>0</v>
      </c>
      <c r="R25" s="311">
        <v>1574.6</v>
      </c>
      <c r="S25" s="306">
        <f>1319.9+4.5</f>
        <v>1324.4</v>
      </c>
      <c r="T25" s="306">
        <v>704.9</v>
      </c>
      <c r="U25" s="306">
        <v>380.8</v>
      </c>
      <c r="V25" s="308">
        <v>385.4</v>
      </c>
      <c r="W25" s="311">
        <v>971.1</v>
      </c>
      <c r="X25" s="245">
        <v>683.5</v>
      </c>
      <c r="Y25" s="245">
        <v>670.38199999999995</v>
      </c>
      <c r="Z25" s="379">
        <v>731.6</v>
      </c>
      <c r="AA25" s="245">
        <v>646</v>
      </c>
      <c r="AB25" s="245">
        <v>646</v>
      </c>
      <c r="AC25" s="333" t="s">
        <v>517</v>
      </c>
    </row>
    <row r="26" spans="1:29" s="335" customFormat="1" ht="36" customHeight="1" x14ac:dyDescent="0.25">
      <c r="A26" s="315" t="s">
        <v>96</v>
      </c>
      <c r="B26" s="566" t="s">
        <v>586</v>
      </c>
      <c r="C26" s="567"/>
      <c r="D26" s="567"/>
      <c r="E26" s="567"/>
      <c r="F26" s="567"/>
      <c r="G26" s="567"/>
      <c r="H26" s="567"/>
      <c r="I26" s="567"/>
      <c r="J26" s="567"/>
      <c r="K26" s="567"/>
      <c r="L26" s="567"/>
      <c r="M26" s="567"/>
      <c r="N26" s="567"/>
      <c r="O26" s="567"/>
      <c r="P26" s="567"/>
      <c r="Q26" s="567"/>
      <c r="R26" s="567"/>
      <c r="S26" s="567"/>
      <c r="T26" s="567"/>
      <c r="U26" s="567"/>
      <c r="V26" s="567"/>
      <c r="W26" s="567"/>
      <c r="X26" s="567"/>
      <c r="Y26" s="567"/>
      <c r="Z26" s="567"/>
      <c r="AA26" s="567"/>
      <c r="AB26" s="568"/>
    </row>
    <row r="27" spans="1:29" ht="36" customHeight="1" x14ac:dyDescent="0.25">
      <c r="A27" s="205" t="s">
        <v>97</v>
      </c>
      <c r="B27" s="560" t="s">
        <v>392</v>
      </c>
      <c r="C27" s="561"/>
      <c r="D27" s="561"/>
      <c r="E27" s="561"/>
      <c r="F27" s="561"/>
      <c r="G27" s="561"/>
      <c r="H27" s="561"/>
      <c r="I27" s="561"/>
      <c r="J27" s="561"/>
      <c r="K27" s="561"/>
      <c r="L27" s="561"/>
      <c r="M27" s="561"/>
      <c r="N27" s="561"/>
      <c r="O27" s="561"/>
      <c r="P27" s="561"/>
      <c r="Q27" s="561"/>
      <c r="R27" s="561"/>
      <c r="S27" s="561"/>
      <c r="T27" s="561"/>
      <c r="U27" s="561"/>
      <c r="V27" s="561"/>
      <c r="W27" s="561"/>
      <c r="X27" s="561"/>
      <c r="Y27" s="561"/>
      <c r="Z27" s="561"/>
      <c r="AA27" s="561"/>
      <c r="AB27" s="562"/>
    </row>
    <row r="28" spans="1:29" ht="18" customHeight="1" x14ac:dyDescent="0.25">
      <c r="A28" s="206" t="s">
        <v>57</v>
      </c>
      <c r="B28" s="557" t="s">
        <v>174</v>
      </c>
      <c r="C28" s="558"/>
      <c r="D28" s="558"/>
      <c r="E28" s="558"/>
      <c r="F28" s="558"/>
      <c r="G28" s="558"/>
      <c r="H28" s="558"/>
      <c r="I28" s="558"/>
      <c r="J28" s="558"/>
      <c r="K28" s="558"/>
      <c r="L28" s="558"/>
      <c r="M28" s="558"/>
      <c r="N28" s="558"/>
      <c r="O28" s="558"/>
      <c r="P28" s="558"/>
      <c r="Q28" s="558"/>
      <c r="R28" s="558"/>
      <c r="S28" s="558"/>
      <c r="T28" s="558"/>
      <c r="U28" s="558"/>
      <c r="V28" s="558"/>
      <c r="W28" s="558"/>
      <c r="X28" s="558"/>
      <c r="Y28" s="558"/>
      <c r="Z28" s="558"/>
      <c r="AA28" s="558"/>
      <c r="AB28" s="559"/>
    </row>
    <row r="29" spans="1:29" ht="72" customHeight="1" x14ac:dyDescent="0.25">
      <c r="A29" s="304" t="s">
        <v>87</v>
      </c>
      <c r="B29" s="300">
        <v>0</v>
      </c>
      <c r="C29" s="207">
        <v>0</v>
      </c>
      <c r="D29" s="207">
        <v>0</v>
      </c>
      <c r="E29" s="207">
        <v>0</v>
      </c>
      <c r="F29" s="207">
        <v>0</v>
      </c>
      <c r="G29" s="207">
        <v>0</v>
      </c>
      <c r="H29" s="207">
        <v>0</v>
      </c>
      <c r="I29" s="207">
        <v>0</v>
      </c>
      <c r="J29" s="207">
        <v>0</v>
      </c>
      <c r="K29" s="207">
        <v>0</v>
      </c>
      <c r="L29" s="207">
        <v>0</v>
      </c>
      <c r="M29" s="75">
        <v>8</v>
      </c>
      <c r="N29" s="207">
        <v>8</v>
      </c>
      <c r="O29" s="207">
        <v>8</v>
      </c>
      <c r="P29" s="311">
        <v>0</v>
      </c>
      <c r="Q29" s="311">
        <v>0</v>
      </c>
      <c r="R29" s="311">
        <v>0</v>
      </c>
      <c r="S29" s="306">
        <v>0</v>
      </c>
      <c r="T29" s="306">
        <v>0</v>
      </c>
      <c r="U29" s="306">
        <v>0</v>
      </c>
      <c r="V29" s="308">
        <v>0</v>
      </c>
      <c r="W29" s="311">
        <v>0</v>
      </c>
      <c r="X29" s="245">
        <v>0</v>
      </c>
      <c r="Y29" s="245">
        <v>0</v>
      </c>
      <c r="Z29" s="379">
        <v>3395.6</v>
      </c>
      <c r="AA29" s="245">
        <v>3395.6</v>
      </c>
      <c r="AB29" s="245">
        <v>3395.6</v>
      </c>
      <c r="AC29" s="333" t="s">
        <v>619</v>
      </c>
    </row>
    <row r="30" spans="1:29" s="335" customFormat="1" ht="36" customHeight="1" x14ac:dyDescent="0.25">
      <c r="A30" s="315" t="s">
        <v>96</v>
      </c>
      <c r="B30" s="566" t="s">
        <v>518</v>
      </c>
      <c r="C30" s="567"/>
      <c r="D30" s="567"/>
      <c r="E30" s="567"/>
      <c r="F30" s="567"/>
      <c r="G30" s="567"/>
      <c r="H30" s="567"/>
      <c r="I30" s="567"/>
      <c r="J30" s="567"/>
      <c r="K30" s="567"/>
      <c r="L30" s="567"/>
      <c r="M30" s="567"/>
      <c r="N30" s="567"/>
      <c r="O30" s="567"/>
      <c r="P30" s="567"/>
      <c r="Q30" s="567"/>
      <c r="R30" s="567"/>
      <c r="S30" s="567"/>
      <c r="T30" s="567"/>
      <c r="U30" s="567"/>
      <c r="V30" s="567"/>
      <c r="W30" s="567"/>
      <c r="X30" s="567"/>
      <c r="Y30" s="567"/>
      <c r="Z30" s="567"/>
      <c r="AA30" s="567"/>
      <c r="AB30" s="568"/>
    </row>
    <row r="31" spans="1:29" ht="36" customHeight="1" x14ac:dyDescent="0.25">
      <c r="A31" s="205" t="s">
        <v>97</v>
      </c>
      <c r="B31" s="569" t="s">
        <v>392</v>
      </c>
      <c r="C31" s="570"/>
      <c r="D31" s="570"/>
      <c r="E31" s="570"/>
      <c r="F31" s="570"/>
      <c r="G31" s="570"/>
      <c r="H31" s="570"/>
      <c r="I31" s="570"/>
      <c r="J31" s="570"/>
      <c r="K31" s="570"/>
      <c r="L31" s="570"/>
      <c r="M31" s="570"/>
      <c r="N31" s="570"/>
      <c r="O31" s="570"/>
      <c r="P31" s="570"/>
      <c r="Q31" s="570"/>
      <c r="R31" s="570"/>
      <c r="S31" s="570"/>
      <c r="T31" s="570"/>
      <c r="U31" s="570"/>
      <c r="V31" s="570"/>
      <c r="W31" s="570"/>
      <c r="X31" s="570"/>
      <c r="Y31" s="570"/>
      <c r="Z31" s="570"/>
      <c r="AA31" s="570"/>
      <c r="AB31" s="571"/>
    </row>
    <row r="32" spans="1:29" ht="18" customHeight="1" x14ac:dyDescent="0.25">
      <c r="A32" s="206" t="s">
        <v>57</v>
      </c>
      <c r="B32" s="557" t="s">
        <v>174</v>
      </c>
      <c r="C32" s="558"/>
      <c r="D32" s="558"/>
      <c r="E32" s="558"/>
      <c r="F32" s="558"/>
      <c r="G32" s="558"/>
      <c r="H32" s="558"/>
      <c r="I32" s="558"/>
      <c r="J32" s="558"/>
      <c r="K32" s="558"/>
      <c r="L32" s="558"/>
      <c r="M32" s="558"/>
      <c r="N32" s="558"/>
      <c r="O32" s="558"/>
      <c r="P32" s="558"/>
      <c r="Q32" s="558"/>
      <c r="R32" s="558"/>
      <c r="S32" s="558"/>
      <c r="T32" s="558"/>
      <c r="U32" s="558"/>
      <c r="V32" s="558"/>
      <c r="W32" s="558"/>
      <c r="X32" s="558"/>
      <c r="Y32" s="558"/>
      <c r="Z32" s="558"/>
      <c r="AA32" s="558"/>
      <c r="AB32" s="559"/>
    </row>
    <row r="33" spans="1:29" ht="72" customHeight="1" x14ac:dyDescent="0.25">
      <c r="A33" s="304" t="s">
        <v>87</v>
      </c>
      <c r="B33" s="300">
        <v>30</v>
      </c>
      <c r="C33" s="207">
        <v>0</v>
      </c>
      <c r="D33" s="207">
        <v>0</v>
      </c>
      <c r="E33" s="207">
        <v>0</v>
      </c>
      <c r="F33" s="207">
        <v>0</v>
      </c>
      <c r="G33" s="207">
        <v>0</v>
      </c>
      <c r="H33" s="207">
        <v>3</v>
      </c>
      <c r="I33" s="207">
        <v>2</v>
      </c>
      <c r="J33" s="207">
        <v>5</v>
      </c>
      <c r="K33" s="207">
        <v>5</v>
      </c>
      <c r="L33" s="207">
        <v>2</v>
      </c>
      <c r="M33" s="75">
        <v>1</v>
      </c>
      <c r="N33" s="207">
        <v>1</v>
      </c>
      <c r="O33" s="207">
        <v>1</v>
      </c>
      <c r="P33" s="311">
        <v>0</v>
      </c>
      <c r="Q33" s="311">
        <v>0</v>
      </c>
      <c r="R33" s="311">
        <v>0</v>
      </c>
      <c r="S33" s="306">
        <v>677.4</v>
      </c>
      <c r="T33" s="306">
        <v>1081.4000000000001</v>
      </c>
      <c r="U33" s="306">
        <v>1182.0999999999999</v>
      </c>
      <c r="V33" s="308">
        <v>653.6</v>
      </c>
      <c r="W33" s="308">
        <v>825.6</v>
      </c>
      <c r="X33" s="245">
        <v>878.2</v>
      </c>
      <c r="Y33" s="245">
        <v>157.19999999999999</v>
      </c>
      <c r="Z33" s="379">
        <v>313.39999999999998</v>
      </c>
      <c r="AA33" s="245">
        <v>312.8</v>
      </c>
      <c r="AB33" s="245">
        <v>312.8</v>
      </c>
      <c r="AC33" s="333" t="s">
        <v>584</v>
      </c>
    </row>
    <row r="34" spans="1:29" s="335" customFormat="1" ht="36" customHeight="1" x14ac:dyDescent="0.25">
      <c r="A34" s="315" t="s">
        <v>96</v>
      </c>
      <c r="B34" s="554" t="s">
        <v>391</v>
      </c>
      <c r="C34" s="555"/>
      <c r="D34" s="555"/>
      <c r="E34" s="555"/>
      <c r="F34" s="555"/>
      <c r="G34" s="555"/>
      <c r="H34" s="555"/>
      <c r="I34" s="555"/>
      <c r="J34" s="555"/>
      <c r="K34" s="555"/>
      <c r="L34" s="555"/>
      <c r="M34" s="555"/>
      <c r="N34" s="555"/>
      <c r="O34" s="555"/>
      <c r="P34" s="555"/>
      <c r="Q34" s="555"/>
      <c r="R34" s="555"/>
      <c r="S34" s="555"/>
      <c r="T34" s="555"/>
      <c r="U34" s="555"/>
      <c r="V34" s="555"/>
      <c r="W34" s="555"/>
      <c r="X34" s="555"/>
      <c r="Y34" s="555"/>
      <c r="Z34" s="555"/>
      <c r="AA34" s="555"/>
      <c r="AB34" s="556"/>
    </row>
    <row r="35" spans="1:29" ht="36" customHeight="1" x14ac:dyDescent="0.25">
      <c r="A35" s="304" t="s">
        <v>97</v>
      </c>
      <c r="B35" s="560" t="s">
        <v>99</v>
      </c>
      <c r="C35" s="561"/>
      <c r="D35" s="561"/>
      <c r="E35" s="561"/>
      <c r="F35" s="561"/>
      <c r="G35" s="561"/>
      <c r="H35" s="561"/>
      <c r="I35" s="561"/>
      <c r="J35" s="561"/>
      <c r="K35" s="561"/>
      <c r="L35" s="561"/>
      <c r="M35" s="561"/>
      <c r="N35" s="561"/>
      <c r="O35" s="561"/>
      <c r="P35" s="561"/>
      <c r="Q35" s="561"/>
      <c r="R35" s="561"/>
      <c r="S35" s="561"/>
      <c r="T35" s="561"/>
      <c r="U35" s="561"/>
      <c r="V35" s="561"/>
      <c r="W35" s="561"/>
      <c r="X35" s="561"/>
      <c r="Y35" s="561"/>
      <c r="Z35" s="561"/>
      <c r="AA35" s="561"/>
      <c r="AB35" s="562"/>
    </row>
    <row r="36" spans="1:29" ht="18" customHeight="1" x14ac:dyDescent="0.25">
      <c r="A36" s="293" t="s">
        <v>57</v>
      </c>
      <c r="B36" s="592" t="s">
        <v>174</v>
      </c>
      <c r="C36" s="593"/>
      <c r="D36" s="593"/>
      <c r="E36" s="593"/>
      <c r="F36" s="593"/>
      <c r="G36" s="593"/>
      <c r="H36" s="593"/>
      <c r="I36" s="593"/>
      <c r="J36" s="593"/>
      <c r="K36" s="593"/>
      <c r="L36" s="593"/>
      <c r="M36" s="593"/>
      <c r="N36" s="593"/>
      <c r="O36" s="593"/>
      <c r="P36" s="593"/>
      <c r="Q36" s="593"/>
      <c r="R36" s="593"/>
      <c r="S36" s="593"/>
      <c r="T36" s="593"/>
      <c r="U36" s="593"/>
      <c r="V36" s="593"/>
      <c r="W36" s="593"/>
      <c r="X36" s="593"/>
      <c r="Y36" s="593"/>
      <c r="Z36" s="593"/>
      <c r="AA36" s="593"/>
      <c r="AB36" s="594"/>
    </row>
    <row r="37" spans="1:29" ht="72" customHeight="1" x14ac:dyDescent="0.25">
      <c r="A37" s="304" t="s">
        <v>87</v>
      </c>
      <c r="B37" s="300">
        <v>3000</v>
      </c>
      <c r="C37" s="207">
        <v>0</v>
      </c>
      <c r="D37" s="207">
        <v>0</v>
      </c>
      <c r="E37" s="207">
        <v>6</v>
      </c>
      <c r="F37" s="207">
        <v>10</v>
      </c>
      <c r="G37" s="207">
        <v>12</v>
      </c>
      <c r="H37" s="207">
        <v>5</v>
      </c>
      <c r="I37" s="207">
        <v>6</v>
      </c>
      <c r="J37" s="207">
        <v>6</v>
      </c>
      <c r="K37" s="207">
        <v>6</v>
      </c>
      <c r="L37" s="207">
        <v>6</v>
      </c>
      <c r="M37" s="75">
        <v>2</v>
      </c>
      <c r="N37" s="207">
        <v>2</v>
      </c>
      <c r="O37" s="207">
        <v>2</v>
      </c>
      <c r="P37" s="311">
        <v>0</v>
      </c>
      <c r="Q37" s="311">
        <v>0</v>
      </c>
      <c r="R37" s="311">
        <v>0</v>
      </c>
      <c r="S37" s="311">
        <v>1466</v>
      </c>
      <c r="T37" s="311">
        <v>465</v>
      </c>
      <c r="U37" s="310">
        <v>661.9</v>
      </c>
      <c r="V37" s="311">
        <v>340</v>
      </c>
      <c r="W37" s="310">
        <v>428.8</v>
      </c>
      <c r="X37" s="245">
        <v>502.8</v>
      </c>
      <c r="Y37" s="245">
        <v>344.5</v>
      </c>
      <c r="Z37" s="379">
        <v>685.7</v>
      </c>
      <c r="AA37" s="245">
        <v>684.6</v>
      </c>
      <c r="AB37" s="245">
        <v>684.6</v>
      </c>
      <c r="AC37" s="333" t="s">
        <v>516</v>
      </c>
    </row>
    <row r="38" spans="1:29" s="335" customFormat="1" ht="36" customHeight="1" x14ac:dyDescent="0.25">
      <c r="A38" s="315" t="s">
        <v>96</v>
      </c>
      <c r="B38" s="554" t="s">
        <v>520</v>
      </c>
      <c r="C38" s="555"/>
      <c r="D38" s="555"/>
      <c r="E38" s="555"/>
      <c r="F38" s="555"/>
      <c r="G38" s="555"/>
      <c r="H38" s="555"/>
      <c r="I38" s="555"/>
      <c r="J38" s="555"/>
      <c r="K38" s="555"/>
      <c r="L38" s="555"/>
      <c r="M38" s="555"/>
      <c r="N38" s="555"/>
      <c r="O38" s="555"/>
      <c r="P38" s="555"/>
      <c r="Q38" s="555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6"/>
    </row>
    <row r="39" spans="1:29" ht="36" customHeight="1" x14ac:dyDescent="0.25">
      <c r="A39" s="304" t="s">
        <v>97</v>
      </c>
      <c r="B39" s="560" t="s">
        <v>99</v>
      </c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1"/>
      <c r="O39" s="561"/>
      <c r="P39" s="561"/>
      <c r="Q39" s="561"/>
      <c r="R39" s="561"/>
      <c r="S39" s="561"/>
      <c r="T39" s="561"/>
      <c r="U39" s="561"/>
      <c r="V39" s="561"/>
      <c r="W39" s="561"/>
      <c r="X39" s="561"/>
      <c r="Y39" s="561"/>
      <c r="Z39" s="561"/>
      <c r="AA39" s="561"/>
      <c r="AB39" s="562"/>
    </row>
    <row r="40" spans="1:29" ht="18" customHeight="1" x14ac:dyDescent="0.25">
      <c r="A40" s="293" t="s">
        <v>57</v>
      </c>
      <c r="B40" s="592" t="s">
        <v>174</v>
      </c>
      <c r="C40" s="593"/>
      <c r="D40" s="593"/>
      <c r="E40" s="593"/>
      <c r="F40" s="593"/>
      <c r="G40" s="593"/>
      <c r="H40" s="593"/>
      <c r="I40" s="593"/>
      <c r="J40" s="593"/>
      <c r="K40" s="593"/>
      <c r="L40" s="593"/>
      <c r="M40" s="593"/>
      <c r="N40" s="593"/>
      <c r="O40" s="593"/>
      <c r="P40" s="593"/>
      <c r="Q40" s="593"/>
      <c r="R40" s="593"/>
      <c r="S40" s="593"/>
      <c r="T40" s="593"/>
      <c r="U40" s="593"/>
      <c r="V40" s="593"/>
      <c r="W40" s="593"/>
      <c r="X40" s="593"/>
      <c r="Y40" s="593"/>
      <c r="Z40" s="593"/>
      <c r="AA40" s="593"/>
      <c r="AB40" s="594"/>
    </row>
    <row r="41" spans="1:29" ht="72" customHeight="1" x14ac:dyDescent="0.25">
      <c r="A41" s="304" t="s">
        <v>87</v>
      </c>
      <c r="B41" s="300">
        <v>3000</v>
      </c>
      <c r="C41" s="207">
        <v>0</v>
      </c>
      <c r="D41" s="207">
        <v>0</v>
      </c>
      <c r="E41" s="207">
        <v>16</v>
      </c>
      <c r="F41" s="207">
        <v>16</v>
      </c>
      <c r="G41" s="207">
        <v>14</v>
      </c>
      <c r="H41" s="207">
        <v>16</v>
      </c>
      <c r="I41" s="207">
        <v>16</v>
      </c>
      <c r="J41" s="207">
        <v>21</v>
      </c>
      <c r="K41" s="207">
        <v>20</v>
      </c>
      <c r="L41" s="207">
        <v>20</v>
      </c>
      <c r="M41" s="75">
        <v>6</v>
      </c>
      <c r="N41" s="207">
        <v>6</v>
      </c>
      <c r="O41" s="207">
        <v>6</v>
      </c>
      <c r="P41" s="311">
        <v>0</v>
      </c>
      <c r="Q41" s="311">
        <v>0</v>
      </c>
      <c r="R41" s="311">
        <v>958.9</v>
      </c>
      <c r="S41" s="311">
        <v>706.1</v>
      </c>
      <c r="T41" s="311">
        <v>858.9</v>
      </c>
      <c r="U41" s="310">
        <v>1251.7</v>
      </c>
      <c r="V41" s="310">
        <v>784.5</v>
      </c>
      <c r="W41" s="311">
        <v>985.9</v>
      </c>
      <c r="X41" s="311">
        <v>1040.3</v>
      </c>
      <c r="Y41" s="311">
        <v>387.2</v>
      </c>
      <c r="Z41" s="374">
        <v>773.4</v>
      </c>
      <c r="AA41" s="311">
        <v>770.1</v>
      </c>
      <c r="AB41" s="311">
        <v>770.1</v>
      </c>
      <c r="AC41" s="336" t="s">
        <v>519</v>
      </c>
    </row>
    <row r="42" spans="1:29" s="335" customFormat="1" ht="36" customHeight="1" x14ac:dyDescent="0.25">
      <c r="A42" s="315" t="s">
        <v>96</v>
      </c>
      <c r="B42" s="554" t="s">
        <v>521</v>
      </c>
      <c r="C42" s="555"/>
      <c r="D42" s="555"/>
      <c r="E42" s="555"/>
      <c r="F42" s="555"/>
      <c r="G42" s="555"/>
      <c r="H42" s="555"/>
      <c r="I42" s="555"/>
      <c r="J42" s="555"/>
      <c r="K42" s="555"/>
      <c r="L42" s="555"/>
      <c r="M42" s="555"/>
      <c r="N42" s="555"/>
      <c r="O42" s="555"/>
      <c r="P42" s="555"/>
      <c r="Q42" s="555"/>
      <c r="R42" s="555"/>
      <c r="S42" s="555"/>
      <c r="T42" s="555"/>
      <c r="U42" s="555"/>
      <c r="V42" s="555"/>
      <c r="W42" s="555"/>
      <c r="X42" s="555"/>
      <c r="Y42" s="555"/>
      <c r="Z42" s="555"/>
      <c r="AA42" s="555"/>
      <c r="AB42" s="556"/>
    </row>
    <row r="43" spans="1:29" ht="36" customHeight="1" x14ac:dyDescent="0.25">
      <c r="A43" s="304" t="s">
        <v>97</v>
      </c>
      <c r="B43" s="560" t="s">
        <v>99</v>
      </c>
      <c r="C43" s="561"/>
      <c r="D43" s="561"/>
      <c r="E43" s="561"/>
      <c r="F43" s="561"/>
      <c r="G43" s="561"/>
      <c r="H43" s="561"/>
      <c r="I43" s="561"/>
      <c r="J43" s="561"/>
      <c r="K43" s="561"/>
      <c r="L43" s="561"/>
      <c r="M43" s="561"/>
      <c r="N43" s="561"/>
      <c r="O43" s="561"/>
      <c r="P43" s="561"/>
      <c r="Q43" s="561"/>
      <c r="R43" s="561"/>
      <c r="S43" s="561"/>
      <c r="T43" s="561"/>
      <c r="U43" s="561"/>
      <c r="V43" s="561"/>
      <c r="W43" s="561"/>
      <c r="X43" s="561"/>
      <c r="Y43" s="561"/>
      <c r="Z43" s="561"/>
      <c r="AA43" s="561"/>
      <c r="AB43" s="562"/>
    </row>
    <row r="44" spans="1:29" ht="30.75" customHeight="1" x14ac:dyDescent="0.25">
      <c r="A44" s="293" t="s">
        <v>57</v>
      </c>
      <c r="B44" s="563" t="s">
        <v>174</v>
      </c>
      <c r="C44" s="564"/>
      <c r="D44" s="564"/>
      <c r="E44" s="564"/>
      <c r="F44" s="564"/>
      <c r="G44" s="564"/>
      <c r="H44" s="564"/>
      <c r="I44" s="564"/>
      <c r="J44" s="564"/>
      <c r="K44" s="564"/>
      <c r="L44" s="564"/>
      <c r="M44" s="564"/>
      <c r="N44" s="564"/>
      <c r="O44" s="564"/>
      <c r="P44" s="564"/>
      <c r="Q44" s="564"/>
      <c r="R44" s="564"/>
      <c r="S44" s="564"/>
      <c r="T44" s="564"/>
      <c r="U44" s="564"/>
      <c r="V44" s="564"/>
      <c r="W44" s="564"/>
      <c r="X44" s="564"/>
      <c r="Y44" s="564"/>
      <c r="Z44" s="564"/>
      <c r="AA44" s="564"/>
      <c r="AB44" s="565"/>
    </row>
    <row r="45" spans="1:29" ht="72" customHeight="1" x14ac:dyDescent="0.25">
      <c r="A45" s="304" t="s">
        <v>87</v>
      </c>
      <c r="B45" s="300">
        <v>3000</v>
      </c>
      <c r="C45" s="300">
        <v>3000</v>
      </c>
      <c r="D45" s="300">
        <v>2718</v>
      </c>
      <c r="E45" s="300">
        <v>2718</v>
      </c>
      <c r="F45" s="300">
        <v>2718</v>
      </c>
      <c r="G45" s="300">
        <v>2718</v>
      </c>
      <c r="H45" s="300">
        <v>2730</v>
      </c>
      <c r="I45" s="300">
        <v>2816</v>
      </c>
      <c r="J45" s="300">
        <v>2816</v>
      </c>
      <c r="K45" s="300">
        <v>2816</v>
      </c>
      <c r="L45" s="300">
        <v>2816</v>
      </c>
      <c r="M45" s="346">
        <v>3694</v>
      </c>
      <c r="N45" s="300">
        <v>3694</v>
      </c>
      <c r="O45" s="300">
        <v>3694</v>
      </c>
      <c r="P45" s="214">
        <v>209.3</v>
      </c>
      <c r="Q45" s="214">
        <f>1536.9+400</f>
        <v>1936.9</v>
      </c>
      <c r="R45" s="214">
        <f>1636.9-42.9-178</f>
        <v>1416</v>
      </c>
      <c r="S45" s="214">
        <v>1767.7</v>
      </c>
      <c r="T45" s="214">
        <v>1304.3</v>
      </c>
      <c r="U45" s="214">
        <v>1350.8</v>
      </c>
      <c r="V45" s="272">
        <v>2032.4</v>
      </c>
      <c r="W45" s="214">
        <v>3134.1</v>
      </c>
      <c r="X45" s="245">
        <v>4400.5</v>
      </c>
      <c r="Y45" s="245">
        <v>3905</v>
      </c>
      <c r="Z45" s="379">
        <v>9788.2000000000007</v>
      </c>
      <c r="AA45" s="245">
        <v>7763.3</v>
      </c>
      <c r="AB45" s="245">
        <v>7763.3</v>
      </c>
      <c r="AC45" s="333" t="s">
        <v>587</v>
      </c>
    </row>
    <row r="46" spans="1:29" s="335" customFormat="1" ht="36" customHeight="1" x14ac:dyDescent="0.25">
      <c r="A46" s="316" t="s">
        <v>96</v>
      </c>
      <c r="B46" s="554" t="s">
        <v>588</v>
      </c>
      <c r="C46" s="555"/>
      <c r="D46" s="555"/>
      <c r="E46" s="555"/>
      <c r="F46" s="555"/>
      <c r="G46" s="555"/>
      <c r="H46" s="555"/>
      <c r="I46" s="555"/>
      <c r="J46" s="555"/>
      <c r="K46" s="555"/>
      <c r="L46" s="555"/>
      <c r="M46" s="555"/>
      <c r="N46" s="555"/>
      <c r="O46" s="555"/>
      <c r="P46" s="555"/>
      <c r="Q46" s="555"/>
      <c r="R46" s="555"/>
      <c r="S46" s="555"/>
      <c r="T46" s="555"/>
      <c r="U46" s="555"/>
      <c r="V46" s="555"/>
      <c r="W46" s="555"/>
      <c r="X46" s="555"/>
      <c r="Y46" s="555"/>
      <c r="Z46" s="555"/>
      <c r="AA46" s="555"/>
      <c r="AB46" s="556"/>
    </row>
    <row r="47" spans="1:29" ht="36" customHeight="1" x14ac:dyDescent="0.25">
      <c r="A47" s="305" t="s">
        <v>97</v>
      </c>
      <c r="B47" s="548" t="s">
        <v>395</v>
      </c>
      <c r="C47" s="549"/>
      <c r="D47" s="549"/>
      <c r="E47" s="549"/>
      <c r="F47" s="549"/>
      <c r="G47" s="549"/>
      <c r="H47" s="549"/>
      <c r="I47" s="549"/>
      <c r="J47" s="549"/>
      <c r="K47" s="549"/>
      <c r="L47" s="549"/>
      <c r="M47" s="549"/>
      <c r="N47" s="549"/>
      <c r="O47" s="549"/>
      <c r="P47" s="549"/>
      <c r="Q47" s="549"/>
      <c r="R47" s="549"/>
      <c r="S47" s="549"/>
      <c r="T47" s="549"/>
      <c r="U47" s="549"/>
      <c r="V47" s="549"/>
      <c r="W47" s="549"/>
      <c r="X47" s="549"/>
      <c r="Y47" s="549"/>
      <c r="Z47" s="549"/>
      <c r="AA47" s="549"/>
      <c r="AB47" s="550"/>
    </row>
    <row r="48" spans="1:29" ht="18" customHeight="1" x14ac:dyDescent="0.25">
      <c r="A48" s="253" t="s">
        <v>309</v>
      </c>
      <c r="B48" s="537" t="s">
        <v>174</v>
      </c>
      <c r="C48" s="538"/>
      <c r="D48" s="538"/>
      <c r="E48" s="538"/>
      <c r="F48" s="538"/>
      <c r="G48" s="538"/>
      <c r="H48" s="538"/>
      <c r="I48" s="538"/>
      <c r="J48" s="538"/>
      <c r="K48" s="538"/>
      <c r="L48" s="538"/>
      <c r="M48" s="538"/>
      <c r="N48" s="538"/>
      <c r="O48" s="538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8"/>
      <c r="AA48" s="538"/>
      <c r="AB48" s="539"/>
    </row>
    <row r="49" spans="1:29" ht="72" customHeight="1" x14ac:dyDescent="0.25">
      <c r="A49" s="317" t="s">
        <v>87</v>
      </c>
      <c r="B49" s="300">
        <v>70</v>
      </c>
      <c r="C49" s="300">
        <v>70</v>
      </c>
      <c r="D49" s="300">
        <v>70</v>
      </c>
      <c r="E49" s="216">
        <v>70</v>
      </c>
      <c r="F49" s="216">
        <v>70</v>
      </c>
      <c r="G49" s="216">
        <v>116</v>
      </c>
      <c r="H49" s="216">
        <v>20</v>
      </c>
      <c r="I49" s="216">
        <v>13</v>
      </c>
      <c r="J49" s="216">
        <v>13</v>
      </c>
      <c r="K49" s="216">
        <v>13</v>
      </c>
      <c r="L49" s="216">
        <v>16</v>
      </c>
      <c r="M49" s="158">
        <v>16</v>
      </c>
      <c r="N49" s="216">
        <v>16</v>
      </c>
      <c r="O49" s="274">
        <v>16</v>
      </c>
      <c r="P49" s="217">
        <v>2143.3000000000002</v>
      </c>
      <c r="Q49" s="217">
        <v>2143.3000000000002</v>
      </c>
      <c r="R49" s="217">
        <v>2332.81</v>
      </c>
      <c r="S49" s="218">
        <f>1918.4+298.4</f>
        <v>2216.8000000000002</v>
      </c>
      <c r="T49" s="246">
        <v>2711</v>
      </c>
      <c r="U49" s="246">
        <v>1270.0999999999999</v>
      </c>
      <c r="V49" s="275">
        <v>414.1</v>
      </c>
      <c r="W49" s="246">
        <v>715</v>
      </c>
      <c r="X49" s="246">
        <v>753.3</v>
      </c>
      <c r="Y49" s="246">
        <v>1038.5999999999999</v>
      </c>
      <c r="Z49" s="378">
        <v>1046.5</v>
      </c>
      <c r="AA49" s="246">
        <v>997.1</v>
      </c>
      <c r="AB49" s="246">
        <v>997.1</v>
      </c>
      <c r="AC49" s="333" t="s">
        <v>522</v>
      </c>
    </row>
    <row r="50" spans="1:29" s="335" customFormat="1" ht="36" customHeight="1" x14ac:dyDescent="0.25">
      <c r="A50" s="316" t="s">
        <v>96</v>
      </c>
      <c r="B50" s="546" t="s">
        <v>536</v>
      </c>
      <c r="C50" s="546"/>
      <c r="D50" s="546"/>
      <c r="E50" s="546"/>
      <c r="F50" s="546"/>
      <c r="G50" s="546"/>
      <c r="H50" s="546"/>
      <c r="I50" s="546"/>
      <c r="J50" s="546"/>
      <c r="K50" s="546"/>
      <c r="L50" s="546"/>
      <c r="M50" s="546"/>
      <c r="N50" s="546"/>
      <c r="O50" s="546"/>
      <c r="P50" s="546"/>
      <c r="Q50" s="546"/>
      <c r="R50" s="546"/>
      <c r="S50" s="546"/>
      <c r="T50" s="546"/>
      <c r="U50" s="546"/>
      <c r="V50" s="546"/>
      <c r="W50" s="546"/>
      <c r="X50" s="546"/>
      <c r="Y50" s="546"/>
      <c r="Z50" s="546"/>
      <c r="AA50" s="546"/>
      <c r="AB50" s="546"/>
    </row>
    <row r="51" spans="1:29" ht="36" customHeight="1" x14ac:dyDescent="0.25">
      <c r="A51" s="305" t="s">
        <v>97</v>
      </c>
      <c r="B51" s="533" t="s">
        <v>395</v>
      </c>
      <c r="C51" s="533"/>
      <c r="D51" s="533"/>
      <c r="E51" s="533"/>
      <c r="F51" s="533"/>
      <c r="G51" s="533"/>
      <c r="H51" s="533"/>
      <c r="I51" s="533"/>
      <c r="J51" s="533"/>
      <c r="K51" s="533"/>
      <c r="L51" s="533"/>
      <c r="M51" s="533"/>
      <c r="N51" s="533"/>
      <c r="O51" s="533"/>
      <c r="P51" s="533"/>
      <c r="Q51" s="533"/>
      <c r="R51" s="533"/>
      <c r="S51" s="533"/>
      <c r="T51" s="533"/>
      <c r="U51" s="533"/>
      <c r="V51" s="533"/>
      <c r="W51" s="533"/>
      <c r="X51" s="533"/>
      <c r="Y51" s="533"/>
      <c r="Z51" s="533"/>
      <c r="AA51" s="533"/>
      <c r="AB51" s="533"/>
    </row>
    <row r="52" spans="1:29" ht="18" customHeight="1" x14ac:dyDescent="0.25">
      <c r="A52" s="253" t="s">
        <v>309</v>
      </c>
      <c r="B52" s="537" t="s">
        <v>174</v>
      </c>
      <c r="C52" s="538"/>
      <c r="D52" s="538"/>
      <c r="E52" s="538"/>
      <c r="F52" s="538"/>
      <c r="G52" s="538"/>
      <c r="H52" s="538"/>
      <c r="I52" s="538"/>
      <c r="J52" s="538"/>
      <c r="K52" s="538"/>
      <c r="L52" s="538"/>
      <c r="M52" s="538"/>
      <c r="N52" s="538"/>
      <c r="O52" s="538"/>
      <c r="P52" s="538"/>
      <c r="Q52" s="538"/>
      <c r="R52" s="538"/>
      <c r="S52" s="538"/>
      <c r="T52" s="538"/>
      <c r="U52" s="538"/>
      <c r="V52" s="538"/>
      <c r="W52" s="538"/>
      <c r="X52" s="538"/>
      <c r="Y52" s="538"/>
      <c r="Z52" s="538"/>
      <c r="AA52" s="538"/>
      <c r="AB52" s="539"/>
    </row>
    <row r="53" spans="1:29" ht="72" customHeight="1" x14ac:dyDescent="0.25">
      <c r="A53" s="215" t="s">
        <v>87</v>
      </c>
      <c r="B53" s="300">
        <v>0</v>
      </c>
      <c r="C53" s="300">
        <v>0</v>
      </c>
      <c r="D53" s="300">
        <v>0</v>
      </c>
      <c r="E53" s="216">
        <v>0</v>
      </c>
      <c r="F53" s="216">
        <v>0</v>
      </c>
      <c r="G53" s="216">
        <v>0</v>
      </c>
      <c r="H53" s="216">
        <v>0</v>
      </c>
      <c r="I53" s="216">
        <v>0</v>
      </c>
      <c r="J53" s="216">
        <v>0</v>
      </c>
      <c r="K53" s="216">
        <v>0</v>
      </c>
      <c r="L53" s="216">
        <v>50</v>
      </c>
      <c r="M53" s="158">
        <v>40</v>
      </c>
      <c r="N53" s="274">
        <v>40</v>
      </c>
      <c r="O53" s="216">
        <v>40</v>
      </c>
      <c r="P53" s="260">
        <v>0</v>
      </c>
      <c r="Q53" s="217">
        <v>0</v>
      </c>
      <c r="R53" s="217">
        <v>0</v>
      </c>
      <c r="S53" s="218">
        <v>0</v>
      </c>
      <c r="T53" s="246">
        <v>0</v>
      </c>
      <c r="U53" s="246">
        <v>0</v>
      </c>
      <c r="V53" s="275">
        <v>0</v>
      </c>
      <c r="W53" s="246">
        <v>0</v>
      </c>
      <c r="X53" s="246">
        <v>0</v>
      </c>
      <c r="Y53" s="246">
        <v>1521.3</v>
      </c>
      <c r="Z53" s="378">
        <v>1482.9</v>
      </c>
      <c r="AA53" s="246">
        <v>1359.3</v>
      </c>
      <c r="AB53" s="246">
        <v>1359.3</v>
      </c>
      <c r="AC53" s="333" t="s">
        <v>589</v>
      </c>
    </row>
    <row r="54" spans="1:29" s="335" customFormat="1" ht="36" customHeight="1" x14ac:dyDescent="0.25">
      <c r="A54" s="316" t="s">
        <v>96</v>
      </c>
      <c r="B54" s="546" t="s">
        <v>411</v>
      </c>
      <c r="C54" s="546"/>
      <c r="D54" s="546"/>
      <c r="E54" s="546"/>
      <c r="F54" s="546"/>
      <c r="G54" s="546"/>
      <c r="H54" s="546"/>
      <c r="I54" s="546"/>
      <c r="J54" s="546"/>
      <c r="K54" s="546"/>
      <c r="L54" s="546"/>
      <c r="M54" s="546"/>
      <c r="N54" s="546"/>
      <c r="O54" s="546"/>
      <c r="P54" s="546"/>
      <c r="Q54" s="546"/>
      <c r="R54" s="546"/>
      <c r="S54" s="546"/>
      <c r="T54" s="546"/>
      <c r="U54" s="546"/>
      <c r="V54" s="546"/>
      <c r="W54" s="546"/>
      <c r="X54" s="546"/>
      <c r="Y54" s="546"/>
      <c r="Z54" s="546"/>
      <c r="AA54" s="546"/>
      <c r="AB54" s="546"/>
    </row>
    <row r="55" spans="1:29" ht="36" customHeight="1" x14ac:dyDescent="0.25">
      <c r="A55" s="305" t="s">
        <v>97</v>
      </c>
      <c r="B55" s="533" t="s">
        <v>395</v>
      </c>
      <c r="C55" s="533"/>
      <c r="D55" s="533"/>
      <c r="E55" s="533"/>
      <c r="F55" s="533"/>
      <c r="G55" s="533"/>
      <c r="H55" s="533"/>
      <c r="I55" s="533"/>
      <c r="J55" s="533"/>
      <c r="K55" s="533"/>
      <c r="L55" s="533"/>
      <c r="M55" s="533"/>
      <c r="N55" s="533"/>
      <c r="O55" s="533"/>
      <c r="P55" s="533"/>
      <c r="Q55" s="533"/>
      <c r="R55" s="533"/>
      <c r="S55" s="533"/>
      <c r="T55" s="533"/>
      <c r="U55" s="533"/>
      <c r="V55" s="533"/>
      <c r="W55" s="533"/>
      <c r="X55" s="533"/>
      <c r="Y55" s="533"/>
      <c r="Z55" s="533"/>
      <c r="AA55" s="533"/>
      <c r="AB55" s="533"/>
    </row>
    <row r="56" spans="1:29" ht="18" customHeight="1" x14ac:dyDescent="0.25">
      <c r="A56" s="253" t="s">
        <v>309</v>
      </c>
      <c r="B56" s="537" t="s">
        <v>174</v>
      </c>
      <c r="C56" s="538"/>
      <c r="D56" s="538"/>
      <c r="E56" s="538"/>
      <c r="F56" s="538"/>
      <c r="G56" s="538"/>
      <c r="H56" s="538"/>
      <c r="I56" s="538"/>
      <c r="J56" s="538"/>
      <c r="K56" s="538"/>
      <c r="L56" s="538"/>
      <c r="M56" s="538"/>
      <c r="N56" s="538"/>
      <c r="O56" s="538"/>
      <c r="P56" s="538"/>
      <c r="Q56" s="538"/>
      <c r="R56" s="538"/>
      <c r="S56" s="538"/>
      <c r="T56" s="538"/>
      <c r="U56" s="538"/>
      <c r="V56" s="538"/>
      <c r="W56" s="538"/>
      <c r="X56" s="538"/>
      <c r="Y56" s="538"/>
      <c r="Z56" s="538"/>
      <c r="AA56" s="538"/>
      <c r="AB56" s="539"/>
    </row>
    <row r="57" spans="1:29" ht="72" customHeight="1" x14ac:dyDescent="0.25">
      <c r="A57" s="318" t="s">
        <v>87</v>
      </c>
      <c r="B57" s="300">
        <v>0</v>
      </c>
      <c r="C57" s="300">
        <v>0</v>
      </c>
      <c r="D57" s="300">
        <v>0</v>
      </c>
      <c r="E57" s="216">
        <v>0</v>
      </c>
      <c r="F57" s="216">
        <v>0</v>
      </c>
      <c r="G57" s="216">
        <v>0</v>
      </c>
      <c r="H57" s="216">
        <v>25</v>
      </c>
      <c r="I57" s="216">
        <v>129</v>
      </c>
      <c r="J57" s="216">
        <v>129</v>
      </c>
      <c r="K57" s="216">
        <v>122</v>
      </c>
      <c r="L57" s="216">
        <v>107</v>
      </c>
      <c r="M57" s="158">
        <v>94</v>
      </c>
      <c r="N57" s="274">
        <v>95</v>
      </c>
      <c r="O57" s="216">
        <v>94</v>
      </c>
      <c r="P57" s="260">
        <v>0</v>
      </c>
      <c r="Q57" s="217">
        <v>0</v>
      </c>
      <c r="R57" s="217">
        <v>0</v>
      </c>
      <c r="S57" s="218">
        <v>0</v>
      </c>
      <c r="T57" s="246">
        <v>0</v>
      </c>
      <c r="U57" s="246">
        <v>901.5</v>
      </c>
      <c r="V57" s="275">
        <v>3262.1</v>
      </c>
      <c r="W57" s="246">
        <v>1951.8</v>
      </c>
      <c r="X57" s="246">
        <v>1753.8</v>
      </c>
      <c r="Y57" s="246">
        <v>1726.4</v>
      </c>
      <c r="Z57" s="378">
        <v>1547.6</v>
      </c>
      <c r="AA57" s="246">
        <v>1254.2</v>
      </c>
      <c r="AB57" s="246">
        <v>1254.2</v>
      </c>
      <c r="AC57" s="333" t="s">
        <v>590</v>
      </c>
    </row>
    <row r="58" spans="1:29" s="335" customFormat="1" ht="36" customHeight="1" x14ac:dyDescent="0.25">
      <c r="A58" s="316" t="s">
        <v>96</v>
      </c>
      <c r="B58" s="546" t="s">
        <v>591</v>
      </c>
      <c r="C58" s="546"/>
      <c r="D58" s="546"/>
      <c r="E58" s="546"/>
      <c r="F58" s="546"/>
      <c r="G58" s="546"/>
      <c r="H58" s="546"/>
      <c r="I58" s="546"/>
      <c r="J58" s="546"/>
      <c r="K58" s="546"/>
      <c r="L58" s="546"/>
      <c r="M58" s="546"/>
      <c r="N58" s="546"/>
      <c r="O58" s="546"/>
      <c r="P58" s="546"/>
      <c r="Q58" s="546"/>
      <c r="R58" s="546"/>
      <c r="S58" s="546"/>
      <c r="T58" s="546"/>
      <c r="U58" s="546"/>
      <c r="V58" s="546"/>
      <c r="W58" s="546"/>
      <c r="X58" s="546"/>
      <c r="Y58" s="546"/>
      <c r="Z58" s="546"/>
      <c r="AA58" s="546"/>
      <c r="AB58" s="546"/>
    </row>
    <row r="59" spans="1:29" ht="36" customHeight="1" x14ac:dyDescent="0.25">
      <c r="A59" s="305" t="s">
        <v>97</v>
      </c>
      <c r="B59" s="533" t="s">
        <v>395</v>
      </c>
      <c r="C59" s="533"/>
      <c r="D59" s="533"/>
      <c r="E59" s="533"/>
      <c r="F59" s="533"/>
      <c r="G59" s="533"/>
      <c r="H59" s="533"/>
      <c r="I59" s="533"/>
      <c r="J59" s="533"/>
      <c r="K59" s="533"/>
      <c r="L59" s="533"/>
      <c r="M59" s="533"/>
      <c r="N59" s="533"/>
      <c r="O59" s="533"/>
      <c r="P59" s="533"/>
      <c r="Q59" s="533"/>
      <c r="R59" s="533"/>
      <c r="S59" s="533"/>
      <c r="T59" s="533"/>
      <c r="U59" s="533"/>
      <c r="V59" s="533"/>
      <c r="W59" s="533"/>
      <c r="X59" s="533"/>
      <c r="Y59" s="533"/>
      <c r="Z59" s="533"/>
      <c r="AA59" s="533"/>
      <c r="AB59" s="533"/>
    </row>
    <row r="60" spans="1:29" ht="18" customHeight="1" x14ac:dyDescent="0.25">
      <c r="A60" s="253" t="s">
        <v>309</v>
      </c>
      <c r="B60" s="537" t="s">
        <v>174</v>
      </c>
      <c r="C60" s="538"/>
      <c r="D60" s="538"/>
      <c r="E60" s="538"/>
      <c r="F60" s="538"/>
      <c r="G60" s="538"/>
      <c r="H60" s="538"/>
      <c r="I60" s="538"/>
      <c r="J60" s="538"/>
      <c r="K60" s="538"/>
      <c r="L60" s="538"/>
      <c r="M60" s="538"/>
      <c r="N60" s="538"/>
      <c r="O60" s="538"/>
      <c r="P60" s="538"/>
      <c r="Q60" s="538"/>
      <c r="R60" s="538"/>
      <c r="S60" s="538"/>
      <c r="T60" s="538"/>
      <c r="U60" s="538"/>
      <c r="V60" s="538"/>
      <c r="W60" s="538"/>
      <c r="X60" s="538"/>
      <c r="Y60" s="538"/>
      <c r="Z60" s="538"/>
      <c r="AA60" s="538"/>
      <c r="AB60" s="539"/>
    </row>
    <row r="61" spans="1:29" s="338" customFormat="1" ht="72" customHeight="1" x14ac:dyDescent="0.25">
      <c r="A61" s="318" t="s">
        <v>87</v>
      </c>
      <c r="B61" s="300">
        <v>0</v>
      </c>
      <c r="C61" s="300">
        <v>0</v>
      </c>
      <c r="D61" s="300">
        <v>0</v>
      </c>
      <c r="E61" s="216">
        <v>0</v>
      </c>
      <c r="F61" s="216">
        <v>0</v>
      </c>
      <c r="G61" s="216">
        <v>0</v>
      </c>
      <c r="H61" s="216">
        <v>25</v>
      </c>
      <c r="I61" s="216">
        <v>33</v>
      </c>
      <c r="J61" s="216">
        <v>33</v>
      </c>
      <c r="K61" s="216">
        <v>66</v>
      </c>
      <c r="L61" s="216">
        <v>54</v>
      </c>
      <c r="M61" s="158">
        <v>64</v>
      </c>
      <c r="N61" s="274">
        <v>64</v>
      </c>
      <c r="O61" s="216">
        <v>64</v>
      </c>
      <c r="P61" s="260">
        <v>0</v>
      </c>
      <c r="Q61" s="217">
        <v>0</v>
      </c>
      <c r="R61" s="217">
        <v>0</v>
      </c>
      <c r="S61" s="218">
        <v>0</v>
      </c>
      <c r="T61" s="246">
        <v>0</v>
      </c>
      <c r="U61" s="246">
        <v>901.5</v>
      </c>
      <c r="V61" s="275">
        <v>875.3</v>
      </c>
      <c r="W61" s="246">
        <v>1179.5999999999999</v>
      </c>
      <c r="X61" s="246">
        <v>1912.1</v>
      </c>
      <c r="Y61" s="246">
        <v>1665.4</v>
      </c>
      <c r="Z61" s="378">
        <v>1770.4</v>
      </c>
      <c r="AA61" s="246">
        <v>1572.7</v>
      </c>
      <c r="AB61" s="246">
        <v>1572.7</v>
      </c>
      <c r="AC61" s="337" t="s">
        <v>592</v>
      </c>
    </row>
    <row r="62" spans="1:29" s="335" customFormat="1" ht="36" customHeight="1" x14ac:dyDescent="0.25">
      <c r="A62" s="316" t="s">
        <v>96</v>
      </c>
      <c r="B62" s="546" t="s">
        <v>412</v>
      </c>
      <c r="C62" s="546"/>
      <c r="D62" s="546"/>
      <c r="E62" s="546"/>
      <c r="F62" s="546"/>
      <c r="G62" s="546"/>
      <c r="H62" s="546"/>
      <c r="I62" s="546"/>
      <c r="J62" s="546"/>
      <c r="K62" s="546"/>
      <c r="L62" s="546"/>
      <c r="M62" s="546"/>
      <c r="N62" s="546"/>
      <c r="O62" s="546"/>
      <c r="P62" s="546"/>
      <c r="Q62" s="546"/>
      <c r="R62" s="546"/>
      <c r="S62" s="546"/>
      <c r="T62" s="546"/>
      <c r="U62" s="546"/>
      <c r="V62" s="546"/>
      <c r="W62" s="546"/>
      <c r="X62" s="546"/>
      <c r="Y62" s="546"/>
      <c r="Z62" s="546"/>
      <c r="AA62" s="546"/>
      <c r="AB62" s="546"/>
    </row>
    <row r="63" spans="1:29" ht="36" customHeight="1" x14ac:dyDescent="0.25">
      <c r="A63" s="305" t="s">
        <v>97</v>
      </c>
      <c r="B63" s="533" t="s">
        <v>395</v>
      </c>
      <c r="C63" s="533"/>
      <c r="D63" s="533"/>
      <c r="E63" s="533"/>
      <c r="F63" s="533"/>
      <c r="G63" s="533"/>
      <c r="H63" s="533"/>
      <c r="I63" s="533"/>
      <c r="J63" s="533"/>
      <c r="K63" s="533"/>
      <c r="L63" s="533"/>
      <c r="M63" s="533"/>
      <c r="N63" s="533"/>
      <c r="O63" s="533"/>
      <c r="P63" s="533"/>
      <c r="Q63" s="533"/>
      <c r="R63" s="533"/>
      <c r="S63" s="533"/>
      <c r="T63" s="533"/>
      <c r="U63" s="533"/>
      <c r="V63" s="533"/>
      <c r="W63" s="533"/>
      <c r="X63" s="533"/>
      <c r="Y63" s="533"/>
      <c r="Z63" s="533"/>
      <c r="AA63" s="533"/>
      <c r="AB63" s="533"/>
    </row>
    <row r="64" spans="1:29" ht="18" customHeight="1" x14ac:dyDescent="0.25">
      <c r="A64" s="253" t="s">
        <v>309</v>
      </c>
      <c r="B64" s="547" t="s">
        <v>174</v>
      </c>
      <c r="C64" s="547"/>
      <c r="D64" s="547"/>
      <c r="E64" s="547"/>
      <c r="F64" s="547"/>
      <c r="G64" s="547"/>
      <c r="H64" s="547"/>
      <c r="I64" s="547"/>
      <c r="J64" s="547"/>
      <c r="K64" s="547"/>
      <c r="L64" s="547"/>
      <c r="M64" s="547"/>
      <c r="N64" s="547"/>
      <c r="O64" s="547"/>
      <c r="P64" s="547"/>
      <c r="Q64" s="547"/>
      <c r="R64" s="547"/>
      <c r="S64" s="547"/>
      <c r="T64" s="547"/>
      <c r="U64" s="547"/>
      <c r="V64" s="547"/>
      <c r="W64" s="547"/>
      <c r="X64" s="547"/>
      <c r="Y64" s="547"/>
      <c r="Z64" s="547"/>
      <c r="AA64" s="547"/>
      <c r="AB64" s="547"/>
    </row>
    <row r="65" spans="1:29" ht="72" customHeight="1" x14ac:dyDescent="0.25">
      <c r="A65" s="317" t="s">
        <v>87</v>
      </c>
      <c r="B65" s="300">
        <v>0</v>
      </c>
      <c r="C65" s="300">
        <v>0</v>
      </c>
      <c r="D65" s="300">
        <v>0</v>
      </c>
      <c r="E65" s="216">
        <v>0</v>
      </c>
      <c r="F65" s="216">
        <v>0</v>
      </c>
      <c r="G65" s="216">
        <v>0</v>
      </c>
      <c r="H65" s="216">
        <v>0</v>
      </c>
      <c r="I65" s="216">
        <v>14</v>
      </c>
      <c r="J65" s="216">
        <v>14</v>
      </c>
      <c r="K65" s="216">
        <v>24</v>
      </c>
      <c r="L65" s="216">
        <v>28</v>
      </c>
      <c r="M65" s="158">
        <v>24</v>
      </c>
      <c r="N65" s="216">
        <v>24</v>
      </c>
      <c r="O65" s="216">
        <v>24</v>
      </c>
      <c r="P65" s="260">
        <v>0</v>
      </c>
      <c r="Q65" s="217">
        <v>0</v>
      </c>
      <c r="R65" s="217">
        <v>0</v>
      </c>
      <c r="S65" s="218">
        <v>0</v>
      </c>
      <c r="T65" s="246">
        <v>0</v>
      </c>
      <c r="U65" s="246">
        <v>0</v>
      </c>
      <c r="V65" s="275">
        <v>599.70000000000005</v>
      </c>
      <c r="W65" s="246">
        <v>550.70000000000005</v>
      </c>
      <c r="X65" s="246">
        <v>623.9</v>
      </c>
      <c r="Y65" s="246">
        <v>906.5</v>
      </c>
      <c r="Z65" s="378">
        <v>872.7</v>
      </c>
      <c r="AA65" s="246">
        <v>798.6</v>
      </c>
      <c r="AB65" s="246">
        <v>798.6</v>
      </c>
      <c r="AC65" s="333" t="s">
        <v>526</v>
      </c>
    </row>
    <row r="66" spans="1:29" s="335" customFormat="1" ht="36" customHeight="1" x14ac:dyDescent="0.25">
      <c r="A66" s="316" t="s">
        <v>96</v>
      </c>
      <c r="B66" s="546" t="s">
        <v>593</v>
      </c>
      <c r="C66" s="546"/>
      <c r="D66" s="546"/>
      <c r="E66" s="546"/>
      <c r="F66" s="546"/>
      <c r="G66" s="546"/>
      <c r="H66" s="546"/>
      <c r="I66" s="546"/>
      <c r="J66" s="546"/>
      <c r="K66" s="546"/>
      <c r="L66" s="546"/>
      <c r="M66" s="546"/>
      <c r="N66" s="546"/>
      <c r="O66" s="546"/>
      <c r="P66" s="546"/>
      <c r="Q66" s="546"/>
      <c r="R66" s="546"/>
      <c r="S66" s="546"/>
      <c r="T66" s="546"/>
      <c r="U66" s="546"/>
      <c r="V66" s="546"/>
      <c r="W66" s="546"/>
      <c r="X66" s="546"/>
      <c r="Y66" s="546"/>
      <c r="Z66" s="546"/>
      <c r="AA66" s="546"/>
      <c r="AB66" s="546"/>
    </row>
    <row r="67" spans="1:29" ht="36" customHeight="1" x14ac:dyDescent="0.25">
      <c r="A67" s="305" t="s">
        <v>97</v>
      </c>
      <c r="B67" s="533" t="s">
        <v>395</v>
      </c>
      <c r="C67" s="533"/>
      <c r="D67" s="533"/>
      <c r="E67" s="533"/>
      <c r="F67" s="533"/>
      <c r="G67" s="533"/>
      <c r="H67" s="533"/>
      <c r="I67" s="533"/>
      <c r="J67" s="533"/>
      <c r="K67" s="533"/>
      <c r="L67" s="533"/>
      <c r="M67" s="533"/>
      <c r="N67" s="533"/>
      <c r="O67" s="533"/>
      <c r="P67" s="533"/>
      <c r="Q67" s="533"/>
      <c r="R67" s="533"/>
      <c r="S67" s="533"/>
      <c r="T67" s="533"/>
      <c r="U67" s="533"/>
      <c r="V67" s="533"/>
      <c r="W67" s="533"/>
      <c r="X67" s="533"/>
      <c r="Y67" s="533"/>
      <c r="Z67" s="533"/>
      <c r="AA67" s="533"/>
      <c r="AB67" s="533"/>
    </row>
    <row r="68" spans="1:29" ht="18" customHeight="1" x14ac:dyDescent="0.25">
      <c r="A68" s="253" t="s">
        <v>309</v>
      </c>
      <c r="B68" s="547" t="s">
        <v>174</v>
      </c>
      <c r="C68" s="547"/>
      <c r="D68" s="547"/>
      <c r="E68" s="547"/>
      <c r="F68" s="547"/>
      <c r="G68" s="547"/>
      <c r="H68" s="547"/>
      <c r="I68" s="547"/>
      <c r="J68" s="547"/>
      <c r="K68" s="547"/>
      <c r="L68" s="547"/>
      <c r="M68" s="547"/>
      <c r="N68" s="54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</row>
    <row r="69" spans="1:29" ht="72" customHeight="1" x14ac:dyDescent="0.25">
      <c r="A69" s="317" t="s">
        <v>87</v>
      </c>
      <c r="B69" s="300">
        <v>0</v>
      </c>
      <c r="C69" s="300">
        <v>0</v>
      </c>
      <c r="D69" s="300">
        <v>0</v>
      </c>
      <c r="E69" s="216">
        <v>0</v>
      </c>
      <c r="F69" s="216">
        <v>0</v>
      </c>
      <c r="G69" s="216">
        <v>0</v>
      </c>
      <c r="H69" s="216">
        <v>0</v>
      </c>
      <c r="I69" s="216">
        <v>10</v>
      </c>
      <c r="J69" s="216">
        <v>10</v>
      </c>
      <c r="K69" s="216">
        <v>10</v>
      </c>
      <c r="L69" s="216">
        <v>10</v>
      </c>
      <c r="M69" s="158">
        <v>10</v>
      </c>
      <c r="N69" s="216">
        <v>10</v>
      </c>
      <c r="O69" s="216">
        <v>10</v>
      </c>
      <c r="P69" s="260">
        <v>0</v>
      </c>
      <c r="Q69" s="217">
        <v>0</v>
      </c>
      <c r="R69" s="217">
        <v>0</v>
      </c>
      <c r="S69" s="218">
        <v>0</v>
      </c>
      <c r="T69" s="246">
        <v>0</v>
      </c>
      <c r="U69" s="246">
        <v>0</v>
      </c>
      <c r="V69" s="275">
        <v>530.5</v>
      </c>
      <c r="W69" s="246">
        <v>537.29999999999995</v>
      </c>
      <c r="X69" s="246">
        <v>584.29999999999995</v>
      </c>
      <c r="Y69" s="246">
        <v>767.3</v>
      </c>
      <c r="Z69" s="378">
        <v>711.1</v>
      </c>
      <c r="AA69" s="246">
        <v>680.2</v>
      </c>
      <c r="AB69" s="246">
        <v>680.2</v>
      </c>
      <c r="AC69" s="333" t="s">
        <v>523</v>
      </c>
    </row>
    <row r="70" spans="1:29" s="335" customFormat="1" ht="36" customHeight="1" x14ac:dyDescent="0.25">
      <c r="A70" s="316" t="s">
        <v>96</v>
      </c>
      <c r="B70" s="546" t="s">
        <v>393</v>
      </c>
      <c r="C70" s="546"/>
      <c r="D70" s="546"/>
      <c r="E70" s="546"/>
      <c r="F70" s="546"/>
      <c r="G70" s="546"/>
      <c r="H70" s="546"/>
      <c r="I70" s="546"/>
      <c r="J70" s="546"/>
      <c r="K70" s="546"/>
      <c r="L70" s="546"/>
      <c r="M70" s="546"/>
      <c r="N70" s="546"/>
      <c r="O70" s="546"/>
      <c r="P70" s="546"/>
      <c r="Q70" s="546"/>
      <c r="R70" s="546"/>
      <c r="S70" s="546"/>
      <c r="T70" s="546"/>
      <c r="U70" s="546"/>
      <c r="V70" s="546"/>
      <c r="W70" s="546"/>
      <c r="X70" s="546"/>
      <c r="Y70" s="546"/>
      <c r="Z70" s="546"/>
      <c r="AA70" s="546"/>
      <c r="AB70" s="546"/>
    </row>
    <row r="71" spans="1:29" ht="36" customHeight="1" x14ac:dyDescent="0.25">
      <c r="A71" s="305" t="s">
        <v>97</v>
      </c>
      <c r="B71" s="533" t="s">
        <v>395</v>
      </c>
      <c r="C71" s="533"/>
      <c r="D71" s="533"/>
      <c r="E71" s="533"/>
      <c r="F71" s="533"/>
      <c r="G71" s="533"/>
      <c r="H71" s="533"/>
      <c r="I71" s="533"/>
      <c r="J71" s="533"/>
      <c r="K71" s="533"/>
      <c r="L71" s="533"/>
      <c r="M71" s="533"/>
      <c r="N71" s="533"/>
      <c r="O71" s="533"/>
      <c r="P71" s="533"/>
      <c r="Q71" s="533"/>
      <c r="R71" s="533"/>
      <c r="S71" s="533"/>
      <c r="T71" s="533"/>
      <c r="U71" s="533"/>
      <c r="V71" s="533"/>
      <c r="W71" s="533"/>
      <c r="X71" s="533"/>
      <c r="Y71" s="533"/>
      <c r="Z71" s="533"/>
      <c r="AA71" s="533"/>
      <c r="AB71" s="533"/>
    </row>
    <row r="72" spans="1:29" ht="18" customHeight="1" x14ac:dyDescent="0.25">
      <c r="A72" s="253" t="s">
        <v>309</v>
      </c>
      <c r="B72" s="537" t="s">
        <v>174</v>
      </c>
      <c r="C72" s="538"/>
      <c r="D72" s="538"/>
      <c r="E72" s="538"/>
      <c r="F72" s="538"/>
      <c r="G72" s="538"/>
      <c r="H72" s="538"/>
      <c r="I72" s="538"/>
      <c r="J72" s="538"/>
      <c r="K72" s="538"/>
      <c r="L72" s="538"/>
      <c r="M72" s="538"/>
      <c r="N72" s="538"/>
      <c r="O72" s="538"/>
      <c r="P72" s="538"/>
      <c r="Q72" s="538"/>
      <c r="R72" s="538"/>
      <c r="S72" s="538"/>
      <c r="T72" s="538"/>
      <c r="U72" s="538"/>
      <c r="V72" s="538"/>
      <c r="W72" s="538"/>
      <c r="X72" s="538"/>
      <c r="Y72" s="538"/>
      <c r="Z72" s="538"/>
      <c r="AA72" s="538"/>
      <c r="AB72" s="539"/>
    </row>
    <row r="73" spans="1:29" ht="72" customHeight="1" x14ac:dyDescent="0.25">
      <c r="A73" s="318" t="s">
        <v>87</v>
      </c>
      <c r="B73" s="300">
        <v>0</v>
      </c>
      <c r="C73" s="300">
        <v>0</v>
      </c>
      <c r="D73" s="300">
        <v>0</v>
      </c>
      <c r="E73" s="216">
        <v>0</v>
      </c>
      <c r="F73" s="216">
        <v>0</v>
      </c>
      <c r="G73" s="216">
        <v>0</v>
      </c>
      <c r="H73" s="216">
        <v>14</v>
      </c>
      <c r="I73" s="216">
        <v>10</v>
      </c>
      <c r="J73" s="216">
        <v>10</v>
      </c>
      <c r="K73" s="216">
        <v>10</v>
      </c>
      <c r="L73" s="216">
        <v>10</v>
      </c>
      <c r="M73" s="158">
        <v>12</v>
      </c>
      <c r="N73" s="216">
        <v>12</v>
      </c>
      <c r="O73" s="216">
        <v>12</v>
      </c>
      <c r="P73" s="260">
        <v>0</v>
      </c>
      <c r="Q73" s="217">
        <v>0</v>
      </c>
      <c r="R73" s="217">
        <v>0</v>
      </c>
      <c r="S73" s="218">
        <v>0</v>
      </c>
      <c r="T73" s="246">
        <v>0</v>
      </c>
      <c r="U73" s="246">
        <v>1263.0999999999999</v>
      </c>
      <c r="V73" s="275">
        <v>575.4</v>
      </c>
      <c r="W73" s="246">
        <v>826.9</v>
      </c>
      <c r="X73" s="246">
        <v>777.2</v>
      </c>
      <c r="Y73" s="246">
        <v>909.4</v>
      </c>
      <c r="Z73" s="378">
        <v>962.2</v>
      </c>
      <c r="AA73" s="246">
        <v>925.2</v>
      </c>
      <c r="AB73" s="246">
        <v>925.2</v>
      </c>
      <c r="AC73" s="333" t="s">
        <v>594</v>
      </c>
    </row>
    <row r="74" spans="1:29" s="335" customFormat="1" ht="15.75" customHeight="1" x14ac:dyDescent="0.25">
      <c r="A74" s="319" t="s">
        <v>96</v>
      </c>
      <c r="B74" s="575" t="s">
        <v>524</v>
      </c>
      <c r="C74" s="576"/>
      <c r="D74" s="576"/>
      <c r="E74" s="576"/>
      <c r="F74" s="576"/>
      <c r="G74" s="576"/>
      <c r="H74" s="576"/>
      <c r="I74" s="576"/>
      <c r="J74" s="576"/>
      <c r="K74" s="576"/>
      <c r="L74" s="576"/>
      <c r="M74" s="576"/>
      <c r="N74" s="576"/>
      <c r="O74" s="576"/>
      <c r="P74" s="576"/>
      <c r="Q74" s="576"/>
      <c r="R74" s="576"/>
      <c r="S74" s="576"/>
      <c r="T74" s="576"/>
      <c r="U74" s="576"/>
      <c r="V74" s="576"/>
      <c r="W74" s="576"/>
      <c r="X74" s="576"/>
      <c r="Y74" s="576"/>
      <c r="Z74" s="576"/>
      <c r="AA74" s="576"/>
      <c r="AB74" s="577"/>
    </row>
    <row r="75" spans="1:29" ht="36" customHeight="1" x14ac:dyDescent="0.25">
      <c r="A75" s="225" t="s">
        <v>97</v>
      </c>
      <c r="B75" s="533" t="s">
        <v>395</v>
      </c>
      <c r="C75" s="533"/>
      <c r="D75" s="533"/>
      <c r="E75" s="533"/>
      <c r="F75" s="533"/>
      <c r="G75" s="533"/>
      <c r="H75" s="533"/>
      <c r="I75" s="533"/>
      <c r="J75" s="533"/>
      <c r="K75" s="533"/>
      <c r="L75" s="533"/>
      <c r="M75" s="533"/>
      <c r="N75" s="533"/>
      <c r="O75" s="533"/>
      <c r="P75" s="533"/>
      <c r="Q75" s="533"/>
      <c r="R75" s="533"/>
      <c r="S75" s="533"/>
      <c r="T75" s="533"/>
      <c r="U75" s="533"/>
      <c r="V75" s="533"/>
      <c r="W75" s="533"/>
      <c r="X75" s="533"/>
      <c r="Y75" s="533"/>
      <c r="Z75" s="533"/>
      <c r="AA75" s="533"/>
      <c r="AB75" s="533"/>
    </row>
    <row r="76" spans="1:29" s="339" customFormat="1" ht="18" customHeight="1" x14ac:dyDescent="0.25">
      <c r="A76" s="254" t="s">
        <v>309</v>
      </c>
      <c r="B76" s="543" t="s">
        <v>174</v>
      </c>
      <c r="C76" s="544"/>
      <c r="D76" s="544"/>
      <c r="E76" s="544"/>
      <c r="F76" s="544"/>
      <c r="G76" s="544"/>
      <c r="H76" s="544"/>
      <c r="I76" s="544"/>
      <c r="J76" s="544"/>
      <c r="K76" s="544"/>
      <c r="L76" s="544"/>
      <c r="M76" s="544"/>
      <c r="N76" s="544"/>
      <c r="O76" s="544"/>
      <c r="P76" s="544"/>
      <c r="Q76" s="544"/>
      <c r="R76" s="544"/>
      <c r="S76" s="544"/>
      <c r="T76" s="544"/>
      <c r="U76" s="544"/>
      <c r="V76" s="544"/>
      <c r="W76" s="544"/>
      <c r="X76" s="544"/>
      <c r="Y76" s="544"/>
      <c r="Z76" s="544"/>
      <c r="AA76" s="544"/>
      <c r="AB76" s="545"/>
    </row>
    <row r="77" spans="1:29" ht="72" customHeight="1" x14ac:dyDescent="0.25">
      <c r="A77" s="320" t="s">
        <v>87</v>
      </c>
      <c r="B77" s="332">
        <v>0</v>
      </c>
      <c r="C77" s="332">
        <v>0</v>
      </c>
      <c r="D77" s="332">
        <v>0</v>
      </c>
      <c r="E77" s="255">
        <v>0</v>
      </c>
      <c r="F77" s="255">
        <v>0</v>
      </c>
      <c r="G77" s="255">
        <v>0</v>
      </c>
      <c r="H77" s="255">
        <v>0</v>
      </c>
      <c r="I77" s="255">
        <v>0</v>
      </c>
      <c r="J77" s="255">
        <v>0</v>
      </c>
      <c r="K77" s="255">
        <v>0</v>
      </c>
      <c r="L77" s="255">
        <v>54</v>
      </c>
      <c r="M77" s="370">
        <v>55</v>
      </c>
      <c r="N77" s="255">
        <v>55</v>
      </c>
      <c r="O77" s="255">
        <v>55</v>
      </c>
      <c r="P77" s="311">
        <v>0</v>
      </c>
      <c r="Q77" s="311">
        <v>0</v>
      </c>
      <c r="R77" s="311">
        <v>0</v>
      </c>
      <c r="S77" s="311">
        <v>0</v>
      </c>
      <c r="T77" s="276">
        <v>0</v>
      </c>
      <c r="U77" s="276">
        <v>0</v>
      </c>
      <c r="V77" s="275">
        <v>0</v>
      </c>
      <c r="W77" s="246">
        <v>0</v>
      </c>
      <c r="X77" s="246">
        <v>0</v>
      </c>
      <c r="Y77" s="246">
        <v>1502.8</v>
      </c>
      <c r="Z77" s="378">
        <v>1519.5</v>
      </c>
      <c r="AA77" s="246">
        <v>1349.6</v>
      </c>
      <c r="AB77" s="246">
        <v>1349.6</v>
      </c>
      <c r="AC77" s="333" t="s">
        <v>595</v>
      </c>
    </row>
    <row r="78" spans="1:29" s="335" customFormat="1" ht="36" customHeight="1" x14ac:dyDescent="0.25">
      <c r="A78" s="316" t="s">
        <v>96</v>
      </c>
      <c r="B78" s="527" t="s">
        <v>424</v>
      </c>
      <c r="C78" s="528"/>
      <c r="D78" s="528"/>
      <c r="E78" s="528"/>
      <c r="F78" s="528"/>
      <c r="G78" s="528"/>
      <c r="H78" s="528"/>
      <c r="I78" s="528"/>
      <c r="J78" s="528"/>
      <c r="K78" s="528"/>
      <c r="L78" s="528"/>
      <c r="M78" s="528"/>
      <c r="N78" s="528"/>
      <c r="O78" s="528"/>
      <c r="P78" s="528"/>
      <c r="Q78" s="528"/>
      <c r="R78" s="528"/>
      <c r="S78" s="528"/>
      <c r="T78" s="528"/>
      <c r="U78" s="528"/>
      <c r="V78" s="528"/>
      <c r="W78" s="528"/>
      <c r="X78" s="528"/>
      <c r="Y78" s="528"/>
      <c r="Z78" s="528"/>
      <c r="AA78" s="528"/>
      <c r="AB78" s="529"/>
    </row>
    <row r="79" spans="1:29" ht="36" customHeight="1" x14ac:dyDescent="0.25">
      <c r="A79" s="305" t="s">
        <v>97</v>
      </c>
      <c r="B79" s="533" t="s">
        <v>395</v>
      </c>
      <c r="C79" s="533"/>
      <c r="D79" s="533"/>
      <c r="E79" s="533"/>
      <c r="F79" s="533"/>
      <c r="G79" s="533"/>
      <c r="H79" s="533"/>
      <c r="I79" s="533"/>
      <c r="J79" s="533"/>
      <c r="K79" s="533"/>
      <c r="L79" s="533"/>
      <c r="M79" s="533"/>
      <c r="N79" s="533"/>
      <c r="O79" s="533"/>
      <c r="P79" s="533"/>
      <c r="Q79" s="533"/>
      <c r="R79" s="533"/>
      <c r="S79" s="533"/>
      <c r="T79" s="533"/>
      <c r="U79" s="533"/>
      <c r="V79" s="533"/>
      <c r="W79" s="533"/>
      <c r="X79" s="533"/>
      <c r="Y79" s="533"/>
      <c r="Z79" s="533"/>
      <c r="AA79" s="533"/>
      <c r="AB79" s="533"/>
    </row>
    <row r="80" spans="1:29" ht="18" customHeight="1" x14ac:dyDescent="0.25">
      <c r="A80" s="253" t="s">
        <v>309</v>
      </c>
      <c r="B80" s="543" t="s">
        <v>174</v>
      </c>
      <c r="C80" s="544"/>
      <c r="D80" s="544"/>
      <c r="E80" s="544"/>
      <c r="F80" s="544"/>
      <c r="G80" s="544"/>
      <c r="H80" s="544"/>
      <c r="I80" s="544"/>
      <c r="J80" s="544"/>
      <c r="K80" s="544"/>
      <c r="L80" s="544"/>
      <c r="M80" s="544"/>
      <c r="N80" s="544"/>
      <c r="O80" s="544"/>
      <c r="P80" s="544"/>
      <c r="Q80" s="544"/>
      <c r="R80" s="544"/>
      <c r="S80" s="544"/>
      <c r="T80" s="544"/>
      <c r="U80" s="544"/>
      <c r="V80" s="544"/>
      <c r="W80" s="544"/>
      <c r="X80" s="544"/>
      <c r="Y80" s="544"/>
      <c r="Z80" s="544"/>
      <c r="AA80" s="544"/>
      <c r="AB80" s="545"/>
    </row>
    <row r="81" spans="1:29" ht="72" customHeight="1" x14ac:dyDescent="0.25">
      <c r="A81" s="317" t="s">
        <v>87</v>
      </c>
      <c r="B81" s="300">
        <v>0</v>
      </c>
      <c r="C81" s="300">
        <v>0</v>
      </c>
      <c r="D81" s="300">
        <v>0</v>
      </c>
      <c r="E81" s="216">
        <v>0</v>
      </c>
      <c r="F81" s="216">
        <v>0</v>
      </c>
      <c r="G81" s="216">
        <v>0</v>
      </c>
      <c r="H81" s="216">
        <v>2</v>
      </c>
      <c r="I81" s="216">
        <v>1</v>
      </c>
      <c r="J81" s="216">
        <v>1</v>
      </c>
      <c r="K81" s="216">
        <v>1</v>
      </c>
      <c r="L81" s="216">
        <v>2</v>
      </c>
      <c r="M81" s="158">
        <v>2</v>
      </c>
      <c r="N81" s="216">
        <v>2</v>
      </c>
      <c r="O81" s="274">
        <v>2</v>
      </c>
      <c r="P81" s="217">
        <v>0</v>
      </c>
      <c r="Q81" s="217">
        <v>0</v>
      </c>
      <c r="R81" s="217">
        <v>0</v>
      </c>
      <c r="S81" s="218">
        <v>0</v>
      </c>
      <c r="T81" s="246">
        <v>0</v>
      </c>
      <c r="U81" s="246">
        <v>0</v>
      </c>
      <c r="V81" s="275">
        <v>36.9</v>
      </c>
      <c r="W81" s="246">
        <v>631.70000000000005</v>
      </c>
      <c r="X81" s="246">
        <v>689.6</v>
      </c>
      <c r="Y81" s="246">
        <v>738.5</v>
      </c>
      <c r="Z81" s="378">
        <v>831</v>
      </c>
      <c r="AA81" s="246">
        <v>824.8</v>
      </c>
      <c r="AB81" s="246">
        <v>824.8</v>
      </c>
      <c r="AC81" s="333" t="s">
        <v>525</v>
      </c>
    </row>
    <row r="82" spans="1:29" s="335" customFormat="1" ht="36" customHeight="1" x14ac:dyDescent="0.25">
      <c r="A82" s="316" t="s">
        <v>96</v>
      </c>
      <c r="B82" s="546" t="s">
        <v>413</v>
      </c>
      <c r="C82" s="546"/>
      <c r="D82" s="546"/>
      <c r="E82" s="546"/>
      <c r="F82" s="546"/>
      <c r="G82" s="546"/>
      <c r="H82" s="546"/>
      <c r="I82" s="546"/>
      <c r="J82" s="546"/>
      <c r="K82" s="546"/>
      <c r="L82" s="546"/>
      <c r="M82" s="546"/>
      <c r="N82" s="546"/>
      <c r="O82" s="546"/>
      <c r="P82" s="546"/>
      <c r="Q82" s="546"/>
      <c r="R82" s="546"/>
      <c r="S82" s="546"/>
      <c r="T82" s="546"/>
      <c r="U82" s="546"/>
      <c r="V82" s="546"/>
      <c r="W82" s="546"/>
      <c r="X82" s="546"/>
      <c r="Y82" s="546"/>
      <c r="Z82" s="546"/>
      <c r="AA82" s="546"/>
      <c r="AB82" s="546"/>
    </row>
    <row r="83" spans="1:29" ht="36" customHeight="1" x14ac:dyDescent="0.25">
      <c r="A83" s="305" t="s">
        <v>97</v>
      </c>
      <c r="B83" s="533" t="s">
        <v>395</v>
      </c>
      <c r="C83" s="533"/>
      <c r="D83" s="533"/>
      <c r="E83" s="533"/>
      <c r="F83" s="533"/>
      <c r="G83" s="533"/>
      <c r="H83" s="533"/>
      <c r="I83" s="533"/>
      <c r="J83" s="533"/>
      <c r="K83" s="533"/>
      <c r="L83" s="533"/>
      <c r="M83" s="533"/>
      <c r="N83" s="533"/>
      <c r="O83" s="533"/>
      <c r="P83" s="533"/>
      <c r="Q83" s="533"/>
      <c r="R83" s="533"/>
      <c r="S83" s="533"/>
      <c r="T83" s="533"/>
      <c r="U83" s="533"/>
      <c r="V83" s="533"/>
      <c r="W83" s="533"/>
      <c r="X83" s="533"/>
      <c r="Y83" s="533"/>
      <c r="Z83" s="533"/>
      <c r="AA83" s="533"/>
      <c r="AB83" s="533"/>
    </row>
    <row r="84" spans="1:29" ht="18" customHeight="1" x14ac:dyDescent="0.25">
      <c r="A84" s="253" t="s">
        <v>309</v>
      </c>
      <c r="B84" s="537" t="s">
        <v>174</v>
      </c>
      <c r="C84" s="538"/>
      <c r="D84" s="538"/>
      <c r="E84" s="538"/>
      <c r="F84" s="538"/>
      <c r="G84" s="538"/>
      <c r="H84" s="538"/>
      <c r="I84" s="538"/>
      <c r="J84" s="538"/>
      <c r="K84" s="538"/>
      <c r="L84" s="538"/>
      <c r="M84" s="538"/>
      <c r="N84" s="538"/>
      <c r="O84" s="538"/>
      <c r="P84" s="538"/>
      <c r="Q84" s="538"/>
      <c r="R84" s="538"/>
      <c r="S84" s="538"/>
      <c r="T84" s="538"/>
      <c r="U84" s="538"/>
      <c r="V84" s="538"/>
      <c r="W84" s="538"/>
      <c r="X84" s="538"/>
      <c r="Y84" s="538"/>
      <c r="Z84" s="538"/>
      <c r="AA84" s="538"/>
      <c r="AB84" s="539"/>
    </row>
    <row r="85" spans="1:29" ht="72" customHeight="1" x14ac:dyDescent="0.25">
      <c r="A85" s="317" t="s">
        <v>87</v>
      </c>
      <c r="B85" s="300">
        <v>0</v>
      </c>
      <c r="C85" s="300">
        <v>0</v>
      </c>
      <c r="D85" s="300">
        <v>0</v>
      </c>
      <c r="E85" s="216">
        <v>0</v>
      </c>
      <c r="F85" s="216">
        <v>0</v>
      </c>
      <c r="G85" s="216">
        <v>0</v>
      </c>
      <c r="H85" s="216">
        <v>0</v>
      </c>
      <c r="I85" s="216">
        <v>10</v>
      </c>
      <c r="J85" s="216">
        <v>60</v>
      </c>
      <c r="K85" s="216">
        <v>88</v>
      </c>
      <c r="L85" s="216">
        <v>54</v>
      </c>
      <c r="M85" s="158">
        <v>70</v>
      </c>
      <c r="N85" s="216">
        <v>70</v>
      </c>
      <c r="O85" s="274">
        <v>70</v>
      </c>
      <c r="P85" s="217">
        <v>0</v>
      </c>
      <c r="Q85" s="217">
        <v>0</v>
      </c>
      <c r="R85" s="217">
        <v>0</v>
      </c>
      <c r="S85" s="218">
        <v>0</v>
      </c>
      <c r="T85" s="246">
        <v>0</v>
      </c>
      <c r="U85" s="246">
        <v>0</v>
      </c>
      <c r="V85" s="275">
        <v>454.9</v>
      </c>
      <c r="W85" s="246">
        <v>567.1</v>
      </c>
      <c r="X85" s="246">
        <v>1308</v>
      </c>
      <c r="Y85" s="246">
        <v>1278.7</v>
      </c>
      <c r="Z85" s="378">
        <v>1455.1</v>
      </c>
      <c r="AA85" s="246">
        <v>1238.9000000000001</v>
      </c>
      <c r="AB85" s="246">
        <v>1238.9000000000001</v>
      </c>
      <c r="AC85" s="333" t="s">
        <v>596</v>
      </c>
    </row>
    <row r="86" spans="1:29" s="335" customFormat="1" ht="36" customHeight="1" x14ac:dyDescent="0.25">
      <c r="A86" s="316" t="s">
        <v>96</v>
      </c>
      <c r="B86" s="546" t="s">
        <v>597</v>
      </c>
      <c r="C86" s="546"/>
      <c r="D86" s="546"/>
      <c r="E86" s="546"/>
      <c r="F86" s="546"/>
      <c r="G86" s="546"/>
      <c r="H86" s="546"/>
      <c r="I86" s="546"/>
      <c r="J86" s="546"/>
      <c r="K86" s="546"/>
      <c r="L86" s="546"/>
      <c r="M86" s="546"/>
      <c r="N86" s="546"/>
      <c r="O86" s="546"/>
      <c r="P86" s="546"/>
      <c r="Q86" s="546"/>
      <c r="R86" s="546"/>
      <c r="S86" s="546"/>
      <c r="T86" s="546"/>
      <c r="U86" s="546"/>
      <c r="V86" s="546"/>
      <c r="W86" s="546"/>
      <c r="X86" s="546"/>
      <c r="Y86" s="546"/>
      <c r="Z86" s="546"/>
      <c r="AA86" s="546"/>
      <c r="AB86" s="546"/>
    </row>
    <row r="87" spans="1:29" ht="36" customHeight="1" x14ac:dyDescent="0.25">
      <c r="A87" s="305" t="s">
        <v>97</v>
      </c>
      <c r="B87" s="534" t="s">
        <v>395</v>
      </c>
      <c r="C87" s="535"/>
      <c r="D87" s="535"/>
      <c r="E87" s="535"/>
      <c r="F87" s="535"/>
      <c r="G87" s="535"/>
      <c r="H87" s="535"/>
      <c r="I87" s="535"/>
      <c r="J87" s="535"/>
      <c r="K87" s="535"/>
      <c r="L87" s="535"/>
      <c r="M87" s="535"/>
      <c r="N87" s="535"/>
      <c r="O87" s="535"/>
      <c r="P87" s="535"/>
      <c r="Q87" s="535"/>
      <c r="R87" s="535"/>
      <c r="S87" s="535"/>
      <c r="T87" s="535"/>
      <c r="U87" s="535"/>
      <c r="V87" s="535"/>
      <c r="W87" s="535"/>
      <c r="X87" s="535"/>
      <c r="Y87" s="535"/>
      <c r="Z87" s="535"/>
      <c r="AA87" s="535"/>
      <c r="AB87" s="536"/>
    </row>
    <row r="88" spans="1:29" ht="18" customHeight="1" x14ac:dyDescent="0.25">
      <c r="A88" s="253" t="s">
        <v>309</v>
      </c>
      <c r="B88" s="547" t="s">
        <v>174</v>
      </c>
      <c r="C88" s="547"/>
      <c r="D88" s="547"/>
      <c r="E88" s="547"/>
      <c r="F88" s="547"/>
      <c r="G88" s="547"/>
      <c r="H88" s="547"/>
      <c r="I88" s="547"/>
      <c r="J88" s="547"/>
      <c r="K88" s="547"/>
      <c r="L88" s="547"/>
      <c r="M88" s="547"/>
      <c r="N88" s="547"/>
      <c r="O88" s="547"/>
      <c r="P88" s="547"/>
      <c r="Q88" s="547"/>
      <c r="R88" s="547"/>
      <c r="S88" s="547"/>
      <c r="T88" s="547"/>
      <c r="U88" s="547"/>
      <c r="V88" s="547"/>
      <c r="W88" s="547"/>
      <c r="X88" s="547"/>
      <c r="Y88" s="547"/>
      <c r="Z88" s="547"/>
      <c r="AA88" s="547"/>
      <c r="AB88" s="547"/>
    </row>
    <row r="89" spans="1:29" ht="72" customHeight="1" x14ac:dyDescent="0.25">
      <c r="A89" s="317" t="s">
        <v>87</v>
      </c>
      <c r="B89" s="300">
        <v>0</v>
      </c>
      <c r="C89" s="300">
        <v>0</v>
      </c>
      <c r="D89" s="300">
        <v>0</v>
      </c>
      <c r="E89" s="216">
        <v>0</v>
      </c>
      <c r="F89" s="216">
        <v>0</v>
      </c>
      <c r="G89" s="216">
        <v>0</v>
      </c>
      <c r="H89" s="216">
        <v>21</v>
      </c>
      <c r="I89" s="216">
        <v>13</v>
      </c>
      <c r="J89" s="216">
        <v>13</v>
      </c>
      <c r="K89" s="216">
        <v>11</v>
      </c>
      <c r="L89" s="216">
        <v>24</v>
      </c>
      <c r="M89" s="158">
        <v>17</v>
      </c>
      <c r="N89" s="216">
        <v>17</v>
      </c>
      <c r="O89" s="274">
        <v>17</v>
      </c>
      <c r="P89" s="217">
        <v>0</v>
      </c>
      <c r="Q89" s="217">
        <v>0</v>
      </c>
      <c r="R89" s="217">
        <v>0</v>
      </c>
      <c r="S89" s="218">
        <v>0</v>
      </c>
      <c r="T89" s="246">
        <v>0</v>
      </c>
      <c r="U89" s="246">
        <v>1206.0999999999999</v>
      </c>
      <c r="V89" s="275">
        <v>564.4</v>
      </c>
      <c r="W89" s="246">
        <v>751.4</v>
      </c>
      <c r="X89" s="246">
        <v>738.1</v>
      </c>
      <c r="Y89" s="246">
        <v>1101.9000000000001</v>
      </c>
      <c r="Z89" s="378">
        <v>1116.2</v>
      </c>
      <c r="AA89" s="246">
        <v>1063.7</v>
      </c>
      <c r="AB89" s="246">
        <v>1063.7</v>
      </c>
      <c r="AC89" s="333" t="s">
        <v>598</v>
      </c>
    </row>
    <row r="90" spans="1:29" s="335" customFormat="1" ht="36" customHeight="1" x14ac:dyDescent="0.25">
      <c r="A90" s="316" t="s">
        <v>96</v>
      </c>
      <c r="B90" s="527" t="s">
        <v>599</v>
      </c>
      <c r="C90" s="528"/>
      <c r="D90" s="528"/>
      <c r="E90" s="528"/>
      <c r="F90" s="528"/>
      <c r="G90" s="528"/>
      <c r="H90" s="528"/>
      <c r="I90" s="528"/>
      <c r="J90" s="528"/>
      <c r="K90" s="528"/>
      <c r="L90" s="528"/>
      <c r="M90" s="528"/>
      <c r="N90" s="528"/>
      <c r="O90" s="528"/>
      <c r="P90" s="528"/>
      <c r="Q90" s="528"/>
      <c r="R90" s="528"/>
      <c r="S90" s="528"/>
      <c r="T90" s="528"/>
      <c r="U90" s="528"/>
      <c r="V90" s="528"/>
      <c r="W90" s="528"/>
      <c r="X90" s="528"/>
      <c r="Y90" s="528"/>
      <c r="Z90" s="528"/>
      <c r="AA90" s="528"/>
      <c r="AB90" s="529"/>
    </row>
    <row r="91" spans="1:29" ht="36" customHeight="1" x14ac:dyDescent="0.25">
      <c r="A91" s="305" t="s">
        <v>97</v>
      </c>
      <c r="B91" s="533" t="s">
        <v>395</v>
      </c>
      <c r="C91" s="533"/>
      <c r="D91" s="533"/>
      <c r="E91" s="533"/>
      <c r="F91" s="533"/>
      <c r="G91" s="533"/>
      <c r="H91" s="533"/>
      <c r="I91" s="533"/>
      <c r="J91" s="533"/>
      <c r="K91" s="533"/>
      <c r="L91" s="533"/>
      <c r="M91" s="533"/>
      <c r="N91" s="533"/>
      <c r="O91" s="533"/>
      <c r="P91" s="533"/>
      <c r="Q91" s="533"/>
      <c r="R91" s="533"/>
      <c r="S91" s="533"/>
      <c r="T91" s="533"/>
      <c r="U91" s="533"/>
      <c r="V91" s="533"/>
      <c r="W91" s="533"/>
      <c r="X91" s="533"/>
      <c r="Y91" s="533"/>
      <c r="Z91" s="533"/>
      <c r="AA91" s="533"/>
      <c r="AB91" s="533"/>
    </row>
    <row r="92" spans="1:29" ht="18" customHeight="1" x14ac:dyDescent="0.25">
      <c r="A92" s="253" t="s">
        <v>309</v>
      </c>
      <c r="B92" s="537" t="s">
        <v>174</v>
      </c>
      <c r="C92" s="538"/>
      <c r="D92" s="538"/>
      <c r="E92" s="538"/>
      <c r="F92" s="538"/>
      <c r="G92" s="538"/>
      <c r="H92" s="538"/>
      <c r="I92" s="538"/>
      <c r="J92" s="538"/>
      <c r="K92" s="538"/>
      <c r="L92" s="538"/>
      <c r="M92" s="538"/>
      <c r="N92" s="538"/>
      <c r="O92" s="538"/>
      <c r="P92" s="538"/>
      <c r="Q92" s="538"/>
      <c r="R92" s="538"/>
      <c r="S92" s="538"/>
      <c r="T92" s="538"/>
      <c r="U92" s="538"/>
      <c r="V92" s="538"/>
      <c r="W92" s="538"/>
      <c r="X92" s="538"/>
      <c r="Y92" s="538"/>
      <c r="Z92" s="538"/>
      <c r="AA92" s="538"/>
      <c r="AB92" s="539"/>
    </row>
    <row r="93" spans="1:29" s="340" customFormat="1" ht="72" customHeight="1" x14ac:dyDescent="0.25">
      <c r="A93" s="317" t="s">
        <v>87</v>
      </c>
      <c r="B93" s="300">
        <v>0</v>
      </c>
      <c r="C93" s="300">
        <v>0</v>
      </c>
      <c r="D93" s="300">
        <v>0</v>
      </c>
      <c r="E93" s="216">
        <v>0</v>
      </c>
      <c r="F93" s="216">
        <v>0</v>
      </c>
      <c r="G93" s="216">
        <v>0</v>
      </c>
      <c r="H93" s="216">
        <v>33</v>
      </c>
      <c r="I93" s="216">
        <v>22</v>
      </c>
      <c r="J93" s="216">
        <v>22</v>
      </c>
      <c r="K93" s="216">
        <v>11</v>
      </c>
      <c r="L93" s="216">
        <v>10</v>
      </c>
      <c r="M93" s="158">
        <v>10</v>
      </c>
      <c r="N93" s="274">
        <v>10</v>
      </c>
      <c r="O93" s="216">
        <v>10</v>
      </c>
      <c r="P93" s="260">
        <v>0</v>
      </c>
      <c r="Q93" s="217">
        <v>0</v>
      </c>
      <c r="R93" s="217">
        <v>0</v>
      </c>
      <c r="S93" s="218">
        <v>0</v>
      </c>
      <c r="T93" s="246">
        <v>0</v>
      </c>
      <c r="U93" s="246">
        <v>1611</v>
      </c>
      <c r="V93" s="275">
        <v>764</v>
      </c>
      <c r="W93" s="246">
        <v>1090.5</v>
      </c>
      <c r="X93" s="246">
        <v>899.6</v>
      </c>
      <c r="Y93" s="246">
        <v>978.2</v>
      </c>
      <c r="Z93" s="378">
        <v>907.3</v>
      </c>
      <c r="AA93" s="246">
        <v>876.4</v>
      </c>
      <c r="AB93" s="246">
        <v>876.4</v>
      </c>
      <c r="AC93" s="340" t="s">
        <v>523</v>
      </c>
    </row>
    <row r="94" spans="1:29" s="335" customFormat="1" ht="36" customHeight="1" x14ac:dyDescent="0.25">
      <c r="A94" s="316" t="s">
        <v>96</v>
      </c>
      <c r="B94" s="546" t="s">
        <v>479</v>
      </c>
      <c r="C94" s="546"/>
      <c r="D94" s="546"/>
      <c r="E94" s="546"/>
      <c r="F94" s="546"/>
      <c r="G94" s="546"/>
      <c r="H94" s="546"/>
      <c r="I94" s="546"/>
      <c r="J94" s="546"/>
      <c r="K94" s="546"/>
      <c r="L94" s="546"/>
      <c r="M94" s="546"/>
      <c r="N94" s="546"/>
      <c r="O94" s="546"/>
      <c r="P94" s="546"/>
      <c r="Q94" s="546"/>
      <c r="R94" s="546"/>
      <c r="S94" s="546"/>
      <c r="T94" s="546"/>
      <c r="U94" s="546"/>
      <c r="V94" s="546"/>
      <c r="W94" s="546"/>
      <c r="X94" s="546"/>
      <c r="Y94" s="546"/>
      <c r="Z94" s="546"/>
      <c r="AA94" s="546"/>
      <c r="AB94" s="546"/>
    </row>
    <row r="95" spans="1:29" ht="36" customHeight="1" x14ac:dyDescent="0.25">
      <c r="A95" s="305" t="s">
        <v>97</v>
      </c>
      <c r="B95" s="533" t="s">
        <v>395</v>
      </c>
      <c r="C95" s="533"/>
      <c r="D95" s="533"/>
      <c r="E95" s="533"/>
      <c r="F95" s="533"/>
      <c r="G95" s="533"/>
      <c r="H95" s="533"/>
      <c r="I95" s="533"/>
      <c r="J95" s="533"/>
      <c r="K95" s="533"/>
      <c r="L95" s="533"/>
      <c r="M95" s="533"/>
      <c r="N95" s="533"/>
      <c r="O95" s="533"/>
      <c r="P95" s="533"/>
      <c r="Q95" s="533"/>
      <c r="R95" s="533"/>
      <c r="S95" s="533"/>
      <c r="T95" s="533"/>
      <c r="U95" s="533"/>
      <c r="V95" s="533"/>
      <c r="W95" s="533"/>
      <c r="X95" s="533"/>
      <c r="Y95" s="533"/>
      <c r="Z95" s="533"/>
      <c r="AA95" s="533"/>
      <c r="AB95" s="533"/>
    </row>
    <row r="96" spans="1:29" ht="18" customHeight="1" x14ac:dyDescent="0.25">
      <c r="A96" s="253" t="s">
        <v>309</v>
      </c>
      <c r="B96" s="537" t="s">
        <v>174</v>
      </c>
      <c r="C96" s="538"/>
      <c r="D96" s="538"/>
      <c r="E96" s="538"/>
      <c r="F96" s="538"/>
      <c r="G96" s="538"/>
      <c r="H96" s="538"/>
      <c r="I96" s="538"/>
      <c r="J96" s="538"/>
      <c r="K96" s="538"/>
      <c r="L96" s="538"/>
      <c r="M96" s="538"/>
      <c r="N96" s="538"/>
      <c r="O96" s="538"/>
      <c r="P96" s="538"/>
      <c r="Q96" s="538"/>
      <c r="R96" s="538"/>
      <c r="S96" s="538"/>
      <c r="T96" s="538"/>
      <c r="U96" s="538"/>
      <c r="V96" s="538"/>
      <c r="W96" s="538"/>
      <c r="X96" s="538"/>
      <c r="Y96" s="538"/>
      <c r="Z96" s="538"/>
      <c r="AA96" s="538"/>
      <c r="AB96" s="539"/>
    </row>
    <row r="97" spans="1:29" ht="72" customHeight="1" x14ac:dyDescent="0.25">
      <c r="A97" s="317" t="s">
        <v>87</v>
      </c>
      <c r="B97" s="300">
        <v>0</v>
      </c>
      <c r="C97" s="300">
        <v>0</v>
      </c>
      <c r="D97" s="300">
        <v>0</v>
      </c>
      <c r="E97" s="216">
        <v>0</v>
      </c>
      <c r="F97" s="216">
        <v>0</v>
      </c>
      <c r="G97" s="216">
        <v>0</v>
      </c>
      <c r="H97" s="216">
        <v>0</v>
      </c>
      <c r="I97" s="216">
        <v>0</v>
      </c>
      <c r="J97" s="216">
        <v>0</v>
      </c>
      <c r="K97" s="216">
        <v>60</v>
      </c>
      <c r="L97" s="216">
        <v>45</v>
      </c>
      <c r="M97" s="158">
        <v>60</v>
      </c>
      <c r="N97" s="280">
        <v>60</v>
      </c>
      <c r="O97" s="216">
        <v>60</v>
      </c>
      <c r="P97" s="281">
        <v>0</v>
      </c>
      <c r="Q97" s="260">
        <v>0</v>
      </c>
      <c r="R97" s="217">
        <v>0</v>
      </c>
      <c r="S97" s="218">
        <v>0</v>
      </c>
      <c r="T97" s="246">
        <v>0</v>
      </c>
      <c r="U97" s="246">
        <v>0</v>
      </c>
      <c r="V97" s="275">
        <v>0</v>
      </c>
      <c r="W97" s="246">
        <v>0</v>
      </c>
      <c r="X97" s="246">
        <v>843.9</v>
      </c>
      <c r="Y97" s="246">
        <v>939.9</v>
      </c>
      <c r="Z97" s="378">
        <v>1174.3</v>
      </c>
      <c r="AA97" s="246">
        <v>989</v>
      </c>
      <c r="AB97" s="246">
        <v>989</v>
      </c>
      <c r="AC97" s="333" t="s">
        <v>600</v>
      </c>
    </row>
    <row r="98" spans="1:29" s="335" customFormat="1" ht="36" customHeight="1" x14ac:dyDescent="0.25">
      <c r="A98" s="316" t="s">
        <v>96</v>
      </c>
      <c r="B98" s="546" t="s">
        <v>601</v>
      </c>
      <c r="C98" s="546"/>
      <c r="D98" s="546"/>
      <c r="E98" s="546"/>
      <c r="F98" s="546"/>
      <c r="G98" s="546"/>
      <c r="H98" s="546"/>
      <c r="I98" s="546"/>
      <c r="J98" s="546"/>
      <c r="K98" s="546"/>
      <c r="L98" s="546"/>
      <c r="M98" s="546"/>
      <c r="N98" s="546"/>
      <c r="O98" s="546"/>
      <c r="P98" s="546"/>
      <c r="Q98" s="546"/>
      <c r="R98" s="546"/>
      <c r="S98" s="546"/>
      <c r="T98" s="546"/>
      <c r="U98" s="546"/>
      <c r="V98" s="546"/>
      <c r="W98" s="546"/>
      <c r="X98" s="546"/>
      <c r="Y98" s="546"/>
      <c r="Z98" s="546"/>
      <c r="AA98" s="546"/>
      <c r="AB98" s="546"/>
    </row>
    <row r="99" spans="1:29" ht="36" customHeight="1" x14ac:dyDescent="0.25">
      <c r="A99" s="305" t="s">
        <v>97</v>
      </c>
      <c r="B99" s="534" t="s">
        <v>395</v>
      </c>
      <c r="C99" s="535"/>
      <c r="D99" s="535"/>
      <c r="E99" s="535"/>
      <c r="F99" s="535"/>
      <c r="G99" s="535"/>
      <c r="H99" s="535"/>
      <c r="I99" s="535"/>
      <c r="J99" s="535"/>
      <c r="K99" s="535"/>
      <c r="L99" s="535"/>
      <c r="M99" s="535"/>
      <c r="N99" s="535"/>
      <c r="O99" s="535"/>
      <c r="P99" s="535"/>
      <c r="Q99" s="535"/>
      <c r="R99" s="535"/>
      <c r="S99" s="535"/>
      <c r="T99" s="535"/>
      <c r="U99" s="535"/>
      <c r="V99" s="535"/>
      <c r="W99" s="535"/>
      <c r="X99" s="535"/>
      <c r="Y99" s="535"/>
      <c r="Z99" s="535"/>
      <c r="AA99" s="535"/>
      <c r="AB99" s="536"/>
    </row>
    <row r="100" spans="1:29" ht="18" customHeight="1" x14ac:dyDescent="0.25">
      <c r="A100" s="253" t="s">
        <v>309</v>
      </c>
      <c r="B100" s="543" t="s">
        <v>174</v>
      </c>
      <c r="C100" s="544"/>
      <c r="D100" s="544"/>
      <c r="E100" s="544"/>
      <c r="F100" s="544"/>
      <c r="G100" s="544"/>
      <c r="H100" s="544"/>
      <c r="I100" s="544"/>
      <c r="J100" s="544"/>
      <c r="K100" s="544"/>
      <c r="L100" s="544"/>
      <c r="M100" s="544"/>
      <c r="N100" s="544"/>
      <c r="O100" s="544"/>
      <c r="P100" s="544"/>
      <c r="Q100" s="544"/>
      <c r="R100" s="544"/>
      <c r="S100" s="544"/>
      <c r="T100" s="544"/>
      <c r="U100" s="544"/>
      <c r="V100" s="544"/>
      <c r="W100" s="544"/>
      <c r="X100" s="544"/>
      <c r="Y100" s="544"/>
      <c r="Z100" s="544"/>
      <c r="AA100" s="544"/>
      <c r="AB100" s="545"/>
    </row>
    <row r="101" spans="1:29" ht="72" customHeight="1" x14ac:dyDescent="0.25">
      <c r="A101" s="317" t="s">
        <v>87</v>
      </c>
      <c r="B101" s="300">
        <v>0</v>
      </c>
      <c r="C101" s="300">
        <v>0</v>
      </c>
      <c r="D101" s="300">
        <v>0</v>
      </c>
      <c r="E101" s="216">
        <v>0</v>
      </c>
      <c r="F101" s="216">
        <v>0</v>
      </c>
      <c r="G101" s="216">
        <v>0</v>
      </c>
      <c r="H101" s="216">
        <v>0</v>
      </c>
      <c r="I101" s="216">
        <v>0</v>
      </c>
      <c r="J101" s="216">
        <v>0</v>
      </c>
      <c r="K101" s="216">
        <v>0</v>
      </c>
      <c r="L101" s="216">
        <v>10</v>
      </c>
      <c r="M101" s="158">
        <v>0</v>
      </c>
      <c r="N101" s="274">
        <v>0</v>
      </c>
      <c r="O101" s="216">
        <v>0</v>
      </c>
      <c r="P101" s="260">
        <v>0</v>
      </c>
      <c r="Q101" s="217">
        <v>0</v>
      </c>
      <c r="R101" s="217">
        <v>0</v>
      </c>
      <c r="S101" s="218">
        <v>0</v>
      </c>
      <c r="T101" s="246">
        <v>0</v>
      </c>
      <c r="U101" s="246">
        <v>0</v>
      </c>
      <c r="V101" s="275">
        <v>0</v>
      </c>
      <c r="W101" s="246">
        <v>0</v>
      </c>
      <c r="X101" s="246">
        <v>0</v>
      </c>
      <c r="Y101" s="246">
        <v>770.8</v>
      </c>
      <c r="Z101" s="378">
        <v>0</v>
      </c>
      <c r="AA101" s="246">
        <v>0</v>
      </c>
      <c r="AB101" s="246">
        <v>0</v>
      </c>
      <c r="AC101" s="333" t="s">
        <v>602</v>
      </c>
    </row>
    <row r="102" spans="1:29" s="335" customFormat="1" ht="36" customHeight="1" x14ac:dyDescent="0.25">
      <c r="A102" s="316" t="s">
        <v>96</v>
      </c>
      <c r="B102" s="546" t="s">
        <v>537</v>
      </c>
      <c r="C102" s="546"/>
      <c r="D102" s="546"/>
      <c r="E102" s="546"/>
      <c r="F102" s="546"/>
      <c r="G102" s="546"/>
      <c r="H102" s="546"/>
      <c r="I102" s="546"/>
      <c r="J102" s="546"/>
      <c r="K102" s="546"/>
      <c r="L102" s="546"/>
      <c r="M102" s="546"/>
      <c r="N102" s="546"/>
      <c r="O102" s="546"/>
      <c r="P102" s="546"/>
      <c r="Q102" s="546"/>
      <c r="R102" s="546"/>
      <c r="S102" s="546"/>
      <c r="T102" s="546"/>
      <c r="U102" s="546"/>
      <c r="V102" s="546"/>
      <c r="W102" s="546"/>
      <c r="X102" s="546"/>
      <c r="Y102" s="546"/>
      <c r="Z102" s="546"/>
      <c r="AA102" s="546"/>
      <c r="AB102" s="546"/>
    </row>
    <row r="103" spans="1:29" ht="36" customHeight="1" x14ac:dyDescent="0.25">
      <c r="A103" s="305" t="s">
        <v>97</v>
      </c>
      <c r="B103" s="533" t="s">
        <v>395</v>
      </c>
      <c r="C103" s="533"/>
      <c r="D103" s="533"/>
      <c r="E103" s="533"/>
      <c r="F103" s="533"/>
      <c r="G103" s="533"/>
      <c r="H103" s="533"/>
      <c r="I103" s="533"/>
      <c r="J103" s="533"/>
      <c r="K103" s="533"/>
      <c r="L103" s="533"/>
      <c r="M103" s="533"/>
      <c r="N103" s="533"/>
      <c r="O103" s="533"/>
      <c r="P103" s="533"/>
      <c r="Q103" s="533"/>
      <c r="R103" s="533"/>
      <c r="S103" s="533"/>
      <c r="T103" s="533"/>
      <c r="U103" s="533"/>
      <c r="V103" s="533"/>
      <c r="W103" s="533"/>
      <c r="X103" s="533"/>
      <c r="Y103" s="533"/>
      <c r="Z103" s="533"/>
      <c r="AA103" s="533"/>
      <c r="AB103" s="533"/>
    </row>
    <row r="104" spans="1:29" ht="18" customHeight="1" x14ac:dyDescent="0.25">
      <c r="A104" s="253" t="s">
        <v>309</v>
      </c>
      <c r="B104" s="547" t="s">
        <v>174</v>
      </c>
      <c r="C104" s="547"/>
      <c r="D104" s="547"/>
      <c r="E104" s="547"/>
      <c r="F104" s="547"/>
      <c r="G104" s="547"/>
      <c r="H104" s="547"/>
      <c r="I104" s="547"/>
      <c r="J104" s="547"/>
      <c r="K104" s="547"/>
      <c r="L104" s="547"/>
      <c r="M104" s="547"/>
      <c r="N104" s="547"/>
      <c r="O104" s="547"/>
      <c r="P104" s="547"/>
      <c r="Q104" s="547"/>
      <c r="R104" s="547"/>
      <c r="S104" s="547"/>
      <c r="T104" s="547"/>
      <c r="U104" s="547"/>
      <c r="V104" s="547"/>
      <c r="W104" s="547"/>
      <c r="X104" s="547"/>
      <c r="Y104" s="547"/>
      <c r="Z104" s="547"/>
      <c r="AA104" s="547"/>
      <c r="AB104" s="547"/>
    </row>
    <row r="105" spans="1:29" ht="72" customHeight="1" x14ac:dyDescent="0.25">
      <c r="A105" s="317" t="s">
        <v>87</v>
      </c>
      <c r="B105" s="300">
        <v>0</v>
      </c>
      <c r="C105" s="300">
        <v>0</v>
      </c>
      <c r="D105" s="300">
        <v>0</v>
      </c>
      <c r="E105" s="216">
        <v>0</v>
      </c>
      <c r="F105" s="216">
        <v>0</v>
      </c>
      <c r="G105" s="216">
        <v>0</v>
      </c>
      <c r="H105" s="216">
        <v>0</v>
      </c>
      <c r="I105" s="216">
        <v>0</v>
      </c>
      <c r="J105" s="216">
        <v>0</v>
      </c>
      <c r="K105" s="216">
        <v>3</v>
      </c>
      <c r="L105" s="216">
        <v>2</v>
      </c>
      <c r="M105" s="158">
        <v>3</v>
      </c>
      <c r="N105" s="216">
        <v>3</v>
      </c>
      <c r="O105" s="216">
        <v>3</v>
      </c>
      <c r="P105" s="260">
        <v>0</v>
      </c>
      <c r="Q105" s="217">
        <v>0</v>
      </c>
      <c r="R105" s="217">
        <v>0</v>
      </c>
      <c r="S105" s="218">
        <v>0</v>
      </c>
      <c r="T105" s="246">
        <v>0</v>
      </c>
      <c r="U105" s="246">
        <v>0</v>
      </c>
      <c r="V105" s="275">
        <v>0</v>
      </c>
      <c r="W105" s="246">
        <v>0</v>
      </c>
      <c r="X105" s="246">
        <v>972.6</v>
      </c>
      <c r="Y105" s="246">
        <v>700.4</v>
      </c>
      <c r="Z105" s="378">
        <v>1051.7</v>
      </c>
      <c r="AA105" s="246">
        <v>1042.4000000000001</v>
      </c>
      <c r="AB105" s="246">
        <v>1042.4000000000001</v>
      </c>
      <c r="AC105" s="333" t="s">
        <v>603</v>
      </c>
    </row>
    <row r="106" spans="1:29" s="341" customFormat="1" ht="36" customHeight="1" x14ac:dyDescent="0.25">
      <c r="A106" s="321" t="s">
        <v>96</v>
      </c>
      <c r="B106" s="575" t="s">
        <v>527</v>
      </c>
      <c r="C106" s="576"/>
      <c r="D106" s="576"/>
      <c r="E106" s="576"/>
      <c r="F106" s="576"/>
      <c r="G106" s="576"/>
      <c r="H106" s="576"/>
      <c r="I106" s="576"/>
      <c r="J106" s="576"/>
      <c r="K106" s="576"/>
      <c r="L106" s="576"/>
      <c r="M106" s="576"/>
      <c r="N106" s="576"/>
      <c r="O106" s="576"/>
      <c r="P106" s="576"/>
      <c r="Q106" s="576"/>
      <c r="R106" s="576"/>
      <c r="S106" s="576"/>
      <c r="T106" s="576"/>
      <c r="U106" s="576"/>
      <c r="V106" s="576"/>
      <c r="W106" s="576"/>
      <c r="X106" s="576"/>
      <c r="Y106" s="576"/>
      <c r="Z106" s="576"/>
      <c r="AA106" s="576"/>
      <c r="AB106" s="577"/>
    </row>
    <row r="107" spans="1:29" ht="36" customHeight="1" x14ac:dyDescent="0.25">
      <c r="A107" s="305" t="s">
        <v>97</v>
      </c>
      <c r="B107" s="533" t="s">
        <v>395</v>
      </c>
      <c r="C107" s="533"/>
      <c r="D107" s="533"/>
      <c r="E107" s="533"/>
      <c r="F107" s="533"/>
      <c r="G107" s="533"/>
      <c r="H107" s="533"/>
      <c r="I107" s="533"/>
      <c r="J107" s="533"/>
      <c r="K107" s="533"/>
      <c r="L107" s="533"/>
      <c r="M107" s="533"/>
      <c r="N107" s="533"/>
      <c r="O107" s="533"/>
      <c r="P107" s="533"/>
      <c r="Q107" s="533"/>
      <c r="R107" s="533"/>
      <c r="S107" s="533"/>
      <c r="T107" s="533"/>
      <c r="U107" s="533"/>
      <c r="V107" s="533"/>
      <c r="W107" s="533"/>
      <c r="X107" s="533"/>
      <c r="Y107" s="533"/>
      <c r="Z107" s="533"/>
      <c r="AA107" s="533"/>
      <c r="AB107" s="533"/>
    </row>
    <row r="108" spans="1:29" ht="18" customHeight="1" x14ac:dyDescent="0.25">
      <c r="A108" s="253" t="s">
        <v>309</v>
      </c>
      <c r="B108" s="537" t="s">
        <v>174</v>
      </c>
      <c r="C108" s="538"/>
      <c r="D108" s="538"/>
      <c r="E108" s="538"/>
      <c r="F108" s="538"/>
      <c r="G108" s="538"/>
      <c r="H108" s="538"/>
      <c r="I108" s="538"/>
      <c r="J108" s="538"/>
      <c r="K108" s="538"/>
      <c r="L108" s="538"/>
      <c r="M108" s="538"/>
      <c r="N108" s="538"/>
      <c r="O108" s="538"/>
      <c r="P108" s="538"/>
      <c r="Q108" s="538"/>
      <c r="R108" s="538"/>
      <c r="S108" s="538"/>
      <c r="T108" s="538"/>
      <c r="U108" s="538"/>
      <c r="V108" s="538"/>
      <c r="W108" s="538"/>
      <c r="X108" s="538"/>
      <c r="Y108" s="538"/>
      <c r="Z108" s="538"/>
      <c r="AA108" s="538"/>
      <c r="AB108" s="539"/>
    </row>
    <row r="109" spans="1:29" ht="72" customHeight="1" x14ac:dyDescent="0.25">
      <c r="A109" s="317" t="s">
        <v>87</v>
      </c>
      <c r="B109" s="300">
        <v>0</v>
      </c>
      <c r="C109" s="300">
        <v>0</v>
      </c>
      <c r="D109" s="300">
        <v>0</v>
      </c>
      <c r="E109" s="216">
        <v>0</v>
      </c>
      <c r="F109" s="216">
        <v>0</v>
      </c>
      <c r="G109" s="216">
        <v>0</v>
      </c>
      <c r="H109" s="216">
        <v>0</v>
      </c>
      <c r="I109" s="216">
        <v>0</v>
      </c>
      <c r="J109" s="216">
        <v>0</v>
      </c>
      <c r="K109" s="216">
        <v>0</v>
      </c>
      <c r="L109" s="216">
        <v>10</v>
      </c>
      <c r="M109" s="158">
        <v>11</v>
      </c>
      <c r="N109" s="274">
        <v>11</v>
      </c>
      <c r="O109" s="216">
        <v>11</v>
      </c>
      <c r="P109" s="260">
        <v>0</v>
      </c>
      <c r="Q109" s="217">
        <v>0</v>
      </c>
      <c r="R109" s="217">
        <v>0</v>
      </c>
      <c r="S109" s="218">
        <v>0</v>
      </c>
      <c r="T109" s="246">
        <v>0</v>
      </c>
      <c r="U109" s="246">
        <v>0</v>
      </c>
      <c r="V109" s="275">
        <v>0</v>
      </c>
      <c r="W109" s="246">
        <v>0</v>
      </c>
      <c r="X109" s="246">
        <v>0</v>
      </c>
      <c r="Y109" s="246">
        <v>875.7</v>
      </c>
      <c r="Z109" s="378">
        <v>967.1</v>
      </c>
      <c r="AA109" s="246">
        <v>933.1</v>
      </c>
      <c r="AB109" s="246">
        <v>933.1</v>
      </c>
      <c r="AC109" s="333" t="s">
        <v>604</v>
      </c>
    </row>
    <row r="110" spans="1:29" s="335" customFormat="1" ht="36" customHeight="1" x14ac:dyDescent="0.25">
      <c r="A110" s="316" t="s">
        <v>96</v>
      </c>
      <c r="B110" s="546" t="s">
        <v>605</v>
      </c>
      <c r="C110" s="546"/>
      <c r="D110" s="546"/>
      <c r="E110" s="546"/>
      <c r="F110" s="546"/>
      <c r="G110" s="546"/>
      <c r="H110" s="546"/>
      <c r="I110" s="546"/>
      <c r="J110" s="546"/>
      <c r="K110" s="546"/>
      <c r="L110" s="546"/>
      <c r="M110" s="546"/>
      <c r="N110" s="546"/>
      <c r="O110" s="546"/>
      <c r="P110" s="546"/>
      <c r="Q110" s="546"/>
      <c r="R110" s="546"/>
      <c r="S110" s="546"/>
      <c r="T110" s="546"/>
      <c r="U110" s="546"/>
      <c r="V110" s="546"/>
      <c r="W110" s="546"/>
      <c r="X110" s="546"/>
      <c r="Y110" s="546"/>
      <c r="Z110" s="546"/>
      <c r="AA110" s="546"/>
      <c r="AB110" s="546"/>
    </row>
    <row r="111" spans="1:29" ht="36" customHeight="1" x14ac:dyDescent="0.25">
      <c r="A111" s="305" t="s">
        <v>97</v>
      </c>
      <c r="B111" s="534" t="s">
        <v>395</v>
      </c>
      <c r="C111" s="535"/>
      <c r="D111" s="535"/>
      <c r="E111" s="535"/>
      <c r="F111" s="535"/>
      <c r="G111" s="535"/>
      <c r="H111" s="535"/>
      <c r="I111" s="535"/>
      <c r="J111" s="535"/>
      <c r="K111" s="535"/>
      <c r="L111" s="535"/>
      <c r="M111" s="535"/>
      <c r="N111" s="535"/>
      <c r="O111" s="535"/>
      <c r="P111" s="535"/>
      <c r="Q111" s="535"/>
      <c r="R111" s="535"/>
      <c r="S111" s="535"/>
      <c r="T111" s="535"/>
      <c r="U111" s="535"/>
      <c r="V111" s="535"/>
      <c r="W111" s="535"/>
      <c r="X111" s="535"/>
      <c r="Y111" s="535"/>
      <c r="Z111" s="535"/>
      <c r="AA111" s="535"/>
      <c r="AB111" s="536"/>
    </row>
    <row r="112" spans="1:29" ht="18" customHeight="1" x14ac:dyDescent="0.25">
      <c r="A112" s="253" t="s">
        <v>309</v>
      </c>
      <c r="B112" s="547" t="s">
        <v>174</v>
      </c>
      <c r="C112" s="547"/>
      <c r="D112" s="547"/>
      <c r="E112" s="547"/>
      <c r="F112" s="547"/>
      <c r="G112" s="547"/>
      <c r="H112" s="547"/>
      <c r="I112" s="547"/>
      <c r="J112" s="547"/>
      <c r="K112" s="547"/>
      <c r="L112" s="547"/>
      <c r="M112" s="547"/>
      <c r="N112" s="547"/>
      <c r="O112" s="547"/>
      <c r="P112" s="547"/>
      <c r="Q112" s="547"/>
      <c r="R112" s="547"/>
      <c r="S112" s="547"/>
      <c r="T112" s="547"/>
      <c r="U112" s="547"/>
      <c r="V112" s="547"/>
      <c r="W112" s="547"/>
      <c r="X112" s="547"/>
      <c r="Y112" s="547"/>
      <c r="Z112" s="547"/>
      <c r="AA112" s="547"/>
      <c r="AB112" s="547"/>
    </row>
    <row r="113" spans="1:29" ht="72" customHeight="1" x14ac:dyDescent="0.25">
      <c r="A113" s="317" t="s">
        <v>87</v>
      </c>
      <c r="B113" s="300">
        <v>0</v>
      </c>
      <c r="C113" s="300">
        <v>0</v>
      </c>
      <c r="D113" s="300">
        <v>0</v>
      </c>
      <c r="E113" s="216">
        <v>0</v>
      </c>
      <c r="F113" s="216">
        <v>0</v>
      </c>
      <c r="G113" s="216">
        <v>0</v>
      </c>
      <c r="H113" s="216">
        <v>33</v>
      </c>
      <c r="I113" s="216">
        <v>60</v>
      </c>
      <c r="J113" s="216">
        <v>60</v>
      </c>
      <c r="K113" s="216">
        <v>27</v>
      </c>
      <c r="L113" s="216">
        <v>24</v>
      </c>
      <c r="M113" s="158">
        <v>12</v>
      </c>
      <c r="N113" s="274">
        <v>12</v>
      </c>
      <c r="O113" s="216">
        <v>12</v>
      </c>
      <c r="P113" s="260">
        <v>0</v>
      </c>
      <c r="Q113" s="217">
        <v>0</v>
      </c>
      <c r="R113" s="217">
        <v>0</v>
      </c>
      <c r="S113" s="218">
        <v>0</v>
      </c>
      <c r="T113" s="246">
        <v>0</v>
      </c>
      <c r="U113" s="246">
        <v>1611</v>
      </c>
      <c r="V113" s="275">
        <v>702.9</v>
      </c>
      <c r="W113" s="246">
        <v>757.8</v>
      </c>
      <c r="X113" s="246">
        <v>911.8</v>
      </c>
      <c r="Y113" s="246">
        <v>1312.2</v>
      </c>
      <c r="Z113" s="378">
        <v>1075.8</v>
      </c>
      <c r="AA113" s="246">
        <v>1038.8</v>
      </c>
      <c r="AB113" s="246">
        <v>1038.8</v>
      </c>
      <c r="AC113" s="333" t="s">
        <v>606</v>
      </c>
    </row>
    <row r="114" spans="1:29" s="335" customFormat="1" ht="36" customHeight="1" x14ac:dyDescent="0.25">
      <c r="A114" s="316" t="s">
        <v>96</v>
      </c>
      <c r="B114" s="546" t="s">
        <v>607</v>
      </c>
      <c r="C114" s="546"/>
      <c r="D114" s="546"/>
      <c r="E114" s="546"/>
      <c r="F114" s="546"/>
      <c r="G114" s="546"/>
      <c r="H114" s="546"/>
      <c r="I114" s="546"/>
      <c r="J114" s="546"/>
      <c r="K114" s="546"/>
      <c r="L114" s="546"/>
      <c r="M114" s="546"/>
      <c r="N114" s="546"/>
      <c r="O114" s="546"/>
      <c r="P114" s="546"/>
      <c r="Q114" s="546"/>
      <c r="R114" s="546"/>
      <c r="S114" s="546"/>
      <c r="T114" s="546"/>
      <c r="U114" s="546"/>
      <c r="V114" s="546"/>
      <c r="W114" s="546"/>
      <c r="X114" s="546"/>
      <c r="Y114" s="546"/>
      <c r="Z114" s="546"/>
      <c r="AA114" s="546"/>
      <c r="AB114" s="546"/>
    </row>
    <row r="115" spans="1:29" ht="36" customHeight="1" x14ac:dyDescent="0.25">
      <c r="A115" s="305" t="s">
        <v>97</v>
      </c>
      <c r="B115" s="533" t="s">
        <v>395</v>
      </c>
      <c r="C115" s="533"/>
      <c r="D115" s="533"/>
      <c r="E115" s="533"/>
      <c r="F115" s="533"/>
      <c r="G115" s="533"/>
      <c r="H115" s="533"/>
      <c r="I115" s="533"/>
      <c r="J115" s="533"/>
      <c r="K115" s="533"/>
      <c r="L115" s="533"/>
      <c r="M115" s="533"/>
      <c r="N115" s="533"/>
      <c r="O115" s="533"/>
      <c r="P115" s="533"/>
      <c r="Q115" s="533"/>
      <c r="R115" s="533"/>
      <c r="S115" s="533"/>
      <c r="T115" s="533"/>
      <c r="U115" s="533"/>
      <c r="V115" s="533"/>
      <c r="W115" s="533"/>
      <c r="X115" s="533"/>
      <c r="Y115" s="533"/>
      <c r="Z115" s="533"/>
      <c r="AA115" s="533"/>
      <c r="AB115" s="533"/>
    </row>
    <row r="116" spans="1:29" ht="18" customHeight="1" x14ac:dyDescent="0.25">
      <c r="A116" s="253" t="s">
        <v>309</v>
      </c>
      <c r="B116" s="537" t="s">
        <v>174</v>
      </c>
      <c r="C116" s="538"/>
      <c r="D116" s="538"/>
      <c r="E116" s="538"/>
      <c r="F116" s="538"/>
      <c r="G116" s="538"/>
      <c r="H116" s="538"/>
      <c r="I116" s="538"/>
      <c r="J116" s="538"/>
      <c r="K116" s="538"/>
      <c r="L116" s="538"/>
      <c r="M116" s="538"/>
      <c r="N116" s="538"/>
      <c r="O116" s="538"/>
      <c r="P116" s="538"/>
      <c r="Q116" s="538"/>
      <c r="R116" s="538"/>
      <c r="S116" s="538"/>
      <c r="T116" s="538"/>
      <c r="U116" s="538"/>
      <c r="V116" s="538"/>
      <c r="W116" s="538"/>
      <c r="X116" s="538"/>
      <c r="Y116" s="538"/>
      <c r="Z116" s="538"/>
      <c r="AA116" s="538"/>
      <c r="AB116" s="539"/>
    </row>
    <row r="117" spans="1:29" ht="72" customHeight="1" x14ac:dyDescent="0.25">
      <c r="A117" s="317" t="s">
        <v>87</v>
      </c>
      <c r="B117" s="300">
        <v>0</v>
      </c>
      <c r="C117" s="300">
        <v>0</v>
      </c>
      <c r="D117" s="300">
        <v>0</v>
      </c>
      <c r="E117" s="216">
        <v>0</v>
      </c>
      <c r="F117" s="216">
        <v>0</v>
      </c>
      <c r="G117" s="216">
        <v>0</v>
      </c>
      <c r="H117" s="216">
        <v>0</v>
      </c>
      <c r="I117" s="216">
        <v>11</v>
      </c>
      <c r="J117" s="216">
        <v>11</v>
      </c>
      <c r="K117" s="216">
        <v>10</v>
      </c>
      <c r="L117" s="216">
        <v>10</v>
      </c>
      <c r="M117" s="158">
        <v>6</v>
      </c>
      <c r="N117" s="274">
        <v>6</v>
      </c>
      <c r="O117" s="216">
        <v>6</v>
      </c>
      <c r="P117" s="260">
        <v>0</v>
      </c>
      <c r="Q117" s="217">
        <v>0</v>
      </c>
      <c r="R117" s="217">
        <v>0</v>
      </c>
      <c r="S117" s="218">
        <v>0</v>
      </c>
      <c r="T117" s="246">
        <v>0</v>
      </c>
      <c r="U117" s="246">
        <v>0</v>
      </c>
      <c r="V117" s="275">
        <v>742</v>
      </c>
      <c r="W117" s="246">
        <v>852.4</v>
      </c>
      <c r="X117" s="246">
        <v>946.7</v>
      </c>
      <c r="Y117" s="246">
        <v>1063.7</v>
      </c>
      <c r="Z117" s="378">
        <v>969.8</v>
      </c>
      <c r="AA117" s="246">
        <v>951.3</v>
      </c>
      <c r="AB117" s="246">
        <v>951.3</v>
      </c>
      <c r="AC117" s="333" t="s">
        <v>608</v>
      </c>
    </row>
    <row r="118" spans="1:29" s="335" customFormat="1" ht="36" customHeight="1" x14ac:dyDescent="0.25">
      <c r="A118" s="316" t="s">
        <v>96</v>
      </c>
      <c r="B118" s="546" t="s">
        <v>609</v>
      </c>
      <c r="C118" s="546"/>
      <c r="D118" s="546"/>
      <c r="E118" s="546"/>
      <c r="F118" s="546"/>
      <c r="G118" s="546"/>
      <c r="H118" s="546"/>
      <c r="I118" s="546"/>
      <c r="J118" s="546"/>
      <c r="K118" s="546"/>
      <c r="L118" s="546"/>
      <c r="M118" s="546"/>
      <c r="N118" s="546"/>
      <c r="O118" s="546"/>
      <c r="P118" s="546"/>
      <c r="Q118" s="546"/>
      <c r="R118" s="546"/>
      <c r="S118" s="546"/>
      <c r="T118" s="546"/>
      <c r="U118" s="546"/>
      <c r="V118" s="546"/>
      <c r="W118" s="546"/>
      <c r="X118" s="546"/>
      <c r="Y118" s="546"/>
      <c r="Z118" s="546"/>
      <c r="AA118" s="546"/>
      <c r="AB118" s="546"/>
    </row>
    <row r="119" spans="1:29" ht="36" customHeight="1" x14ac:dyDescent="0.25">
      <c r="A119" s="305" t="s">
        <v>97</v>
      </c>
      <c r="B119" s="534" t="s">
        <v>395</v>
      </c>
      <c r="C119" s="535"/>
      <c r="D119" s="535"/>
      <c r="E119" s="535"/>
      <c r="F119" s="535"/>
      <c r="G119" s="535"/>
      <c r="H119" s="535"/>
      <c r="I119" s="535"/>
      <c r="J119" s="535"/>
      <c r="K119" s="535"/>
      <c r="L119" s="535"/>
      <c r="M119" s="535"/>
      <c r="N119" s="535"/>
      <c r="O119" s="535"/>
      <c r="P119" s="535"/>
      <c r="Q119" s="535"/>
      <c r="R119" s="535"/>
      <c r="S119" s="535"/>
      <c r="T119" s="535"/>
      <c r="U119" s="535"/>
      <c r="V119" s="535"/>
      <c r="W119" s="535"/>
      <c r="X119" s="535"/>
      <c r="Y119" s="535"/>
      <c r="Z119" s="535"/>
      <c r="AA119" s="535"/>
      <c r="AB119" s="536"/>
    </row>
    <row r="120" spans="1:29" ht="18" customHeight="1" x14ac:dyDescent="0.25">
      <c r="A120" s="293" t="s">
        <v>309</v>
      </c>
      <c r="B120" s="578" t="s">
        <v>174</v>
      </c>
      <c r="C120" s="578"/>
      <c r="D120" s="578"/>
      <c r="E120" s="578"/>
      <c r="F120" s="578"/>
      <c r="G120" s="578"/>
      <c r="H120" s="578"/>
      <c r="I120" s="578"/>
      <c r="J120" s="578"/>
      <c r="K120" s="578"/>
      <c r="L120" s="578"/>
      <c r="M120" s="578"/>
      <c r="N120" s="578"/>
      <c r="O120" s="578"/>
      <c r="P120" s="578"/>
      <c r="Q120" s="578"/>
      <c r="R120" s="578"/>
      <c r="S120" s="578"/>
      <c r="T120" s="578"/>
      <c r="U120" s="578"/>
      <c r="V120" s="578"/>
      <c r="W120" s="578"/>
      <c r="X120" s="578"/>
      <c r="Y120" s="578"/>
      <c r="Z120" s="578"/>
      <c r="AA120" s="578"/>
      <c r="AB120" s="578"/>
    </row>
    <row r="121" spans="1:29" s="342" customFormat="1" ht="72" customHeight="1" x14ac:dyDescent="0.25">
      <c r="A121" s="209" t="s">
        <v>87</v>
      </c>
      <c r="B121" s="300">
        <v>0</v>
      </c>
      <c r="C121" s="300">
        <v>0</v>
      </c>
      <c r="D121" s="300">
        <v>0</v>
      </c>
      <c r="E121" s="216">
        <v>0</v>
      </c>
      <c r="F121" s="216">
        <v>0</v>
      </c>
      <c r="G121" s="216">
        <v>0</v>
      </c>
      <c r="H121" s="216">
        <v>0</v>
      </c>
      <c r="I121" s="216">
        <v>34</v>
      </c>
      <c r="J121" s="216">
        <v>34</v>
      </c>
      <c r="K121" s="216">
        <v>14</v>
      </c>
      <c r="L121" s="216">
        <v>9</v>
      </c>
      <c r="M121" s="158">
        <v>9</v>
      </c>
      <c r="N121" s="216">
        <v>9</v>
      </c>
      <c r="O121" s="216">
        <v>9</v>
      </c>
      <c r="P121" s="311">
        <v>0</v>
      </c>
      <c r="Q121" s="311">
        <v>0</v>
      </c>
      <c r="R121" s="311">
        <v>0</v>
      </c>
      <c r="S121" s="311">
        <v>0</v>
      </c>
      <c r="T121" s="246">
        <v>0</v>
      </c>
      <c r="U121" s="246">
        <v>0</v>
      </c>
      <c r="V121" s="246">
        <v>1945.8</v>
      </c>
      <c r="W121" s="246">
        <v>1309.4000000000001</v>
      </c>
      <c r="X121" s="246">
        <v>964.9</v>
      </c>
      <c r="Y121" s="246">
        <v>888.1</v>
      </c>
      <c r="Z121" s="378">
        <v>891.2</v>
      </c>
      <c r="AA121" s="246">
        <v>863.4</v>
      </c>
      <c r="AB121" s="246">
        <v>863.4</v>
      </c>
      <c r="AC121" s="342" t="s">
        <v>528</v>
      </c>
    </row>
    <row r="122" spans="1:29" s="335" customFormat="1" ht="15.75" customHeight="1" x14ac:dyDescent="0.25">
      <c r="A122" s="322" t="s">
        <v>96</v>
      </c>
      <c r="B122" s="540" t="s">
        <v>610</v>
      </c>
      <c r="C122" s="541"/>
      <c r="D122" s="541"/>
      <c r="E122" s="541"/>
      <c r="F122" s="541"/>
      <c r="G122" s="541"/>
      <c r="H122" s="541"/>
      <c r="I122" s="541"/>
      <c r="J122" s="541"/>
      <c r="K122" s="541"/>
      <c r="L122" s="541"/>
      <c r="M122" s="541"/>
      <c r="N122" s="541"/>
      <c r="O122" s="541"/>
      <c r="P122" s="541"/>
      <c r="Q122" s="541"/>
      <c r="R122" s="541"/>
      <c r="S122" s="541"/>
      <c r="T122" s="541"/>
      <c r="U122" s="541"/>
      <c r="V122" s="541"/>
      <c r="W122" s="541"/>
      <c r="X122" s="541"/>
      <c r="Y122" s="541"/>
      <c r="Z122" s="541"/>
      <c r="AA122" s="541"/>
      <c r="AB122" s="542"/>
    </row>
    <row r="123" spans="1:29" ht="36" customHeight="1" x14ac:dyDescent="0.25">
      <c r="A123" s="305" t="s">
        <v>97</v>
      </c>
      <c r="B123" s="548" t="s">
        <v>395</v>
      </c>
      <c r="C123" s="549"/>
      <c r="D123" s="549"/>
      <c r="E123" s="549"/>
      <c r="F123" s="549"/>
      <c r="G123" s="549"/>
      <c r="H123" s="549"/>
      <c r="I123" s="549"/>
      <c r="J123" s="549"/>
      <c r="K123" s="549"/>
      <c r="L123" s="549"/>
      <c r="M123" s="549"/>
      <c r="N123" s="549"/>
      <c r="O123" s="549"/>
      <c r="P123" s="549"/>
      <c r="Q123" s="549"/>
      <c r="R123" s="549"/>
      <c r="S123" s="549"/>
      <c r="T123" s="549"/>
      <c r="U123" s="549"/>
      <c r="V123" s="549"/>
      <c r="W123" s="549"/>
      <c r="X123" s="549"/>
      <c r="Y123" s="549"/>
      <c r="Z123" s="549"/>
      <c r="AA123" s="549"/>
      <c r="AB123" s="550"/>
    </row>
    <row r="124" spans="1:29" ht="18" customHeight="1" x14ac:dyDescent="0.25">
      <c r="A124" s="253" t="s">
        <v>309</v>
      </c>
      <c r="B124" s="543" t="s">
        <v>174</v>
      </c>
      <c r="C124" s="544"/>
      <c r="D124" s="544"/>
      <c r="E124" s="544"/>
      <c r="F124" s="544"/>
      <c r="G124" s="544"/>
      <c r="H124" s="544"/>
      <c r="I124" s="544"/>
      <c r="J124" s="544"/>
      <c r="K124" s="544"/>
      <c r="L124" s="544"/>
      <c r="M124" s="544"/>
      <c r="N124" s="544"/>
      <c r="O124" s="544"/>
      <c r="P124" s="544"/>
      <c r="Q124" s="544"/>
      <c r="R124" s="544"/>
      <c r="S124" s="544"/>
      <c r="T124" s="544"/>
      <c r="U124" s="544"/>
      <c r="V124" s="544"/>
      <c r="W124" s="544"/>
      <c r="X124" s="544"/>
      <c r="Y124" s="544"/>
      <c r="Z124" s="544"/>
      <c r="AA124" s="544"/>
      <c r="AB124" s="545"/>
    </row>
    <row r="125" spans="1:29" s="340" customFormat="1" ht="72" customHeight="1" x14ac:dyDescent="0.25">
      <c r="A125" s="323" t="s">
        <v>87</v>
      </c>
      <c r="B125" s="331">
        <v>0</v>
      </c>
      <c r="C125" s="331">
        <v>0</v>
      </c>
      <c r="D125" s="331">
        <v>0</v>
      </c>
      <c r="E125" s="231">
        <v>0</v>
      </c>
      <c r="F125" s="231">
        <v>0</v>
      </c>
      <c r="G125" s="231">
        <v>0</v>
      </c>
      <c r="H125" s="231">
        <v>0</v>
      </c>
      <c r="I125" s="231">
        <v>0</v>
      </c>
      <c r="J125" s="231">
        <v>0</v>
      </c>
      <c r="K125" s="231">
        <v>0</v>
      </c>
      <c r="L125" s="231">
        <v>8</v>
      </c>
      <c r="M125" s="371">
        <v>7</v>
      </c>
      <c r="N125" s="274">
        <v>7</v>
      </c>
      <c r="O125" s="231">
        <v>7</v>
      </c>
      <c r="P125" s="265">
        <v>0</v>
      </c>
      <c r="Q125" s="232">
        <v>0</v>
      </c>
      <c r="R125" s="232">
        <v>0</v>
      </c>
      <c r="S125" s="233">
        <v>0</v>
      </c>
      <c r="T125" s="247">
        <v>0</v>
      </c>
      <c r="U125" s="247">
        <v>0</v>
      </c>
      <c r="V125" s="277">
        <v>0</v>
      </c>
      <c r="W125" s="247">
        <v>0</v>
      </c>
      <c r="X125" s="247">
        <v>0</v>
      </c>
      <c r="Y125" s="247">
        <v>757.2</v>
      </c>
      <c r="Z125" s="377">
        <v>664.9</v>
      </c>
      <c r="AA125" s="247">
        <v>643.29999999999995</v>
      </c>
      <c r="AB125" s="247">
        <v>643.29999999999995</v>
      </c>
      <c r="AC125" s="340" t="s">
        <v>529</v>
      </c>
    </row>
    <row r="126" spans="1:29" s="335" customFormat="1" ht="36" customHeight="1" x14ac:dyDescent="0.25">
      <c r="A126" s="316" t="s">
        <v>96</v>
      </c>
      <c r="B126" s="546" t="s">
        <v>530</v>
      </c>
      <c r="C126" s="546"/>
      <c r="D126" s="546"/>
      <c r="E126" s="546"/>
      <c r="F126" s="546"/>
      <c r="G126" s="546"/>
      <c r="H126" s="546"/>
      <c r="I126" s="546"/>
      <c r="J126" s="546"/>
      <c r="K126" s="546"/>
      <c r="L126" s="546"/>
      <c r="M126" s="546"/>
      <c r="N126" s="546"/>
      <c r="O126" s="546"/>
      <c r="P126" s="546"/>
      <c r="Q126" s="546"/>
      <c r="R126" s="546"/>
      <c r="S126" s="546"/>
      <c r="T126" s="546"/>
      <c r="U126" s="546"/>
      <c r="V126" s="546"/>
      <c r="W126" s="546"/>
      <c r="X126" s="546"/>
      <c r="Y126" s="546"/>
      <c r="Z126" s="546"/>
      <c r="AA126" s="546"/>
      <c r="AB126" s="546"/>
    </row>
    <row r="127" spans="1:29" ht="36" customHeight="1" x14ac:dyDescent="0.25">
      <c r="A127" s="305" t="s">
        <v>97</v>
      </c>
      <c r="B127" s="533" t="s">
        <v>395</v>
      </c>
      <c r="C127" s="533"/>
      <c r="D127" s="533"/>
      <c r="E127" s="533"/>
      <c r="F127" s="533"/>
      <c r="G127" s="533"/>
      <c r="H127" s="533"/>
      <c r="I127" s="533"/>
      <c r="J127" s="533"/>
      <c r="K127" s="533"/>
      <c r="L127" s="533"/>
      <c r="M127" s="533"/>
      <c r="N127" s="533"/>
      <c r="O127" s="533"/>
      <c r="P127" s="533"/>
      <c r="Q127" s="533"/>
      <c r="R127" s="533"/>
      <c r="S127" s="533"/>
      <c r="T127" s="533"/>
      <c r="U127" s="533"/>
      <c r="V127" s="533"/>
      <c r="W127" s="533"/>
      <c r="X127" s="533"/>
      <c r="Y127" s="533"/>
      <c r="Z127" s="533"/>
      <c r="AA127" s="533"/>
      <c r="AB127" s="533"/>
    </row>
    <row r="128" spans="1:29" ht="18" customHeight="1" x14ac:dyDescent="0.25">
      <c r="A128" s="253" t="s">
        <v>309</v>
      </c>
      <c r="B128" s="537" t="s">
        <v>174</v>
      </c>
      <c r="C128" s="538"/>
      <c r="D128" s="538"/>
      <c r="E128" s="538"/>
      <c r="F128" s="538"/>
      <c r="G128" s="538"/>
      <c r="H128" s="538"/>
      <c r="I128" s="538"/>
      <c r="J128" s="538"/>
      <c r="K128" s="538"/>
      <c r="L128" s="538"/>
      <c r="M128" s="538"/>
      <c r="N128" s="538"/>
      <c r="O128" s="538"/>
      <c r="P128" s="538"/>
      <c r="Q128" s="538"/>
      <c r="R128" s="538"/>
      <c r="S128" s="538"/>
      <c r="T128" s="538"/>
      <c r="U128" s="538"/>
      <c r="V128" s="538"/>
      <c r="W128" s="538"/>
      <c r="X128" s="538"/>
      <c r="Y128" s="538"/>
      <c r="Z128" s="538"/>
      <c r="AA128" s="538"/>
      <c r="AB128" s="539"/>
    </row>
    <row r="129" spans="1:29" ht="72" customHeight="1" x14ac:dyDescent="0.25">
      <c r="A129" s="323" t="s">
        <v>87</v>
      </c>
      <c r="B129" s="331">
        <v>0</v>
      </c>
      <c r="C129" s="331">
        <v>0</v>
      </c>
      <c r="D129" s="331">
        <v>0</v>
      </c>
      <c r="E129" s="231">
        <v>0</v>
      </c>
      <c r="F129" s="231">
        <v>0</v>
      </c>
      <c r="G129" s="231">
        <v>0</v>
      </c>
      <c r="H129" s="231">
        <v>0</v>
      </c>
      <c r="I129" s="231">
        <v>0</v>
      </c>
      <c r="J129" s="231">
        <v>0</v>
      </c>
      <c r="K129" s="231">
        <v>0</v>
      </c>
      <c r="L129" s="231">
        <v>1</v>
      </c>
      <c r="M129" s="371">
        <v>0</v>
      </c>
      <c r="N129" s="274">
        <v>0</v>
      </c>
      <c r="O129" s="231">
        <v>0</v>
      </c>
      <c r="P129" s="265">
        <v>0</v>
      </c>
      <c r="Q129" s="232">
        <v>0</v>
      </c>
      <c r="R129" s="232">
        <v>0</v>
      </c>
      <c r="S129" s="233">
        <v>0</v>
      </c>
      <c r="T129" s="247">
        <v>0</v>
      </c>
      <c r="U129" s="247">
        <v>0</v>
      </c>
      <c r="V129" s="277">
        <v>0</v>
      </c>
      <c r="W129" s="247">
        <v>0</v>
      </c>
      <c r="X129" s="247">
        <v>0</v>
      </c>
      <c r="Y129" s="247">
        <v>356.15499999999997</v>
      </c>
      <c r="Z129" s="377">
        <v>0</v>
      </c>
      <c r="AA129" s="247">
        <v>0</v>
      </c>
      <c r="AB129" s="247">
        <v>0</v>
      </c>
      <c r="AC129" s="333" t="s">
        <v>611</v>
      </c>
    </row>
    <row r="130" spans="1:29" ht="15" customHeight="1" x14ac:dyDescent="0.25">
      <c r="A130" s="252" t="s">
        <v>96</v>
      </c>
      <c r="B130" s="547" t="s">
        <v>394</v>
      </c>
      <c r="C130" s="547"/>
      <c r="D130" s="547"/>
      <c r="E130" s="547"/>
      <c r="F130" s="547"/>
      <c r="G130" s="547"/>
      <c r="H130" s="547"/>
      <c r="I130" s="547"/>
      <c r="J130" s="547"/>
      <c r="K130" s="547"/>
      <c r="L130" s="547"/>
      <c r="M130" s="547"/>
      <c r="N130" s="547"/>
      <c r="O130" s="547"/>
      <c r="P130" s="547"/>
      <c r="Q130" s="547"/>
      <c r="R130" s="547"/>
      <c r="S130" s="547"/>
      <c r="T130" s="547"/>
      <c r="U130" s="547"/>
      <c r="V130" s="547"/>
      <c r="W130" s="547"/>
      <c r="X130" s="547"/>
      <c r="Y130" s="547"/>
      <c r="Z130" s="547"/>
      <c r="AA130" s="547"/>
      <c r="AB130" s="547"/>
    </row>
    <row r="131" spans="1:29" ht="36" customHeight="1" x14ac:dyDescent="0.25">
      <c r="A131" s="304" t="s">
        <v>97</v>
      </c>
      <c r="B131" s="533" t="s">
        <v>200</v>
      </c>
      <c r="C131" s="533"/>
      <c r="D131" s="533"/>
      <c r="E131" s="533"/>
      <c r="F131" s="533"/>
      <c r="G131" s="533"/>
      <c r="H131" s="533"/>
      <c r="I131" s="533"/>
      <c r="J131" s="533"/>
      <c r="K131" s="533"/>
      <c r="L131" s="533"/>
      <c r="M131" s="533"/>
      <c r="N131" s="533"/>
      <c r="O131" s="533"/>
      <c r="P131" s="533"/>
      <c r="Q131" s="533"/>
      <c r="R131" s="533"/>
      <c r="S131" s="533"/>
      <c r="T131" s="533"/>
      <c r="U131" s="533"/>
      <c r="V131" s="533"/>
      <c r="W131" s="533"/>
      <c r="X131" s="533"/>
      <c r="Y131" s="533"/>
      <c r="Z131" s="533"/>
      <c r="AA131" s="533"/>
      <c r="AB131" s="533"/>
    </row>
    <row r="132" spans="1:29" ht="18" customHeight="1" x14ac:dyDescent="0.25">
      <c r="A132" s="253" t="s">
        <v>309</v>
      </c>
      <c r="B132" s="537" t="s">
        <v>174</v>
      </c>
      <c r="C132" s="538"/>
      <c r="D132" s="538"/>
      <c r="E132" s="538"/>
      <c r="F132" s="538"/>
      <c r="G132" s="538"/>
      <c r="H132" s="538"/>
      <c r="I132" s="538"/>
      <c r="J132" s="538"/>
      <c r="K132" s="538"/>
      <c r="L132" s="538"/>
      <c r="M132" s="538"/>
      <c r="N132" s="538"/>
      <c r="O132" s="538"/>
      <c r="P132" s="538"/>
      <c r="Q132" s="538"/>
      <c r="R132" s="538"/>
      <c r="S132" s="538"/>
      <c r="T132" s="538"/>
      <c r="U132" s="538"/>
      <c r="V132" s="538"/>
      <c r="W132" s="538"/>
      <c r="X132" s="538"/>
      <c r="Y132" s="538"/>
      <c r="Z132" s="538"/>
      <c r="AA132" s="539"/>
      <c r="AB132" s="264"/>
    </row>
    <row r="133" spans="1:29" ht="72" customHeight="1" x14ac:dyDescent="0.25">
      <c r="A133" s="317" t="s">
        <v>87</v>
      </c>
      <c r="B133" s="300">
        <v>0</v>
      </c>
      <c r="C133" s="300">
        <v>0</v>
      </c>
      <c r="D133" s="300">
        <v>0</v>
      </c>
      <c r="E133" s="216">
        <v>0</v>
      </c>
      <c r="F133" s="216">
        <v>0</v>
      </c>
      <c r="G133" s="216">
        <v>0</v>
      </c>
      <c r="H133" s="216">
        <v>459</v>
      </c>
      <c r="I133" s="216">
        <v>229</v>
      </c>
      <c r="J133" s="216">
        <v>179</v>
      </c>
      <c r="K133" s="216">
        <v>121</v>
      </c>
      <c r="L133" s="216">
        <v>0</v>
      </c>
      <c r="M133" s="216">
        <v>0</v>
      </c>
      <c r="N133" s="216">
        <v>0</v>
      </c>
      <c r="O133" s="216">
        <v>0</v>
      </c>
      <c r="P133" s="216">
        <v>0</v>
      </c>
      <c r="Q133" s="216">
        <v>0</v>
      </c>
      <c r="R133" s="216">
        <v>0</v>
      </c>
      <c r="S133" s="216">
        <v>0</v>
      </c>
      <c r="T133" s="216">
        <v>0</v>
      </c>
      <c r="U133" s="216">
        <v>6062.8</v>
      </c>
      <c r="V133" s="273">
        <v>2088.1999999999998</v>
      </c>
      <c r="W133" s="216">
        <v>4047.3</v>
      </c>
      <c r="X133" s="240">
        <v>3544.8</v>
      </c>
      <c r="Y133" s="240">
        <v>0</v>
      </c>
      <c r="Z133" s="240">
        <v>0</v>
      </c>
      <c r="AA133" s="240">
        <v>0</v>
      </c>
      <c r="AB133" s="240">
        <v>0</v>
      </c>
    </row>
    <row r="134" spans="1:29" s="335" customFormat="1" ht="36" customHeight="1" x14ac:dyDescent="0.25">
      <c r="A134" s="316" t="s">
        <v>96</v>
      </c>
      <c r="B134" s="546" t="s">
        <v>310</v>
      </c>
      <c r="C134" s="546"/>
      <c r="D134" s="546"/>
      <c r="E134" s="546"/>
      <c r="F134" s="546"/>
      <c r="G134" s="546"/>
      <c r="H134" s="546"/>
      <c r="I134" s="546"/>
      <c r="J134" s="546"/>
      <c r="K134" s="546"/>
      <c r="L134" s="546"/>
      <c r="M134" s="546"/>
      <c r="N134" s="546"/>
      <c r="O134" s="546"/>
      <c r="P134" s="546"/>
      <c r="Q134" s="546"/>
      <c r="R134" s="546"/>
      <c r="S134" s="546"/>
      <c r="T134" s="546"/>
      <c r="U134" s="546"/>
      <c r="V134" s="546"/>
      <c r="W134" s="546"/>
      <c r="X134" s="546"/>
      <c r="Y134" s="546"/>
      <c r="Z134" s="546"/>
      <c r="AA134" s="546"/>
      <c r="AB134" s="546"/>
    </row>
    <row r="135" spans="1:29" ht="36" customHeight="1" x14ac:dyDescent="0.25">
      <c r="A135" s="305" t="s">
        <v>97</v>
      </c>
      <c r="B135" s="533" t="s">
        <v>482</v>
      </c>
      <c r="C135" s="533"/>
      <c r="D135" s="533"/>
      <c r="E135" s="533"/>
      <c r="F135" s="533"/>
      <c r="G135" s="533"/>
      <c r="H135" s="533"/>
      <c r="I135" s="533"/>
      <c r="J135" s="533"/>
      <c r="K135" s="533"/>
      <c r="L135" s="533"/>
      <c r="M135" s="533"/>
      <c r="N135" s="533"/>
      <c r="O135" s="533"/>
      <c r="P135" s="533"/>
      <c r="Q135" s="533"/>
      <c r="R135" s="533"/>
      <c r="S135" s="533"/>
      <c r="T135" s="533"/>
      <c r="U135" s="533"/>
      <c r="V135" s="533"/>
      <c r="W135" s="533"/>
      <c r="X135" s="533"/>
      <c r="Y135" s="533"/>
      <c r="Z135" s="533"/>
      <c r="AA135" s="533"/>
      <c r="AB135" s="533"/>
    </row>
    <row r="136" spans="1:29" ht="18" customHeight="1" x14ac:dyDescent="0.25">
      <c r="A136" s="253" t="s">
        <v>309</v>
      </c>
      <c r="B136" s="547" t="s">
        <v>174</v>
      </c>
      <c r="C136" s="547"/>
      <c r="D136" s="547"/>
      <c r="E136" s="547"/>
      <c r="F136" s="547"/>
      <c r="G136" s="547"/>
      <c r="H136" s="547"/>
      <c r="I136" s="547"/>
      <c r="J136" s="547"/>
      <c r="K136" s="547"/>
      <c r="L136" s="547"/>
      <c r="M136" s="547"/>
      <c r="N136" s="547"/>
      <c r="O136" s="547"/>
      <c r="P136" s="547"/>
      <c r="Q136" s="547"/>
      <c r="R136" s="547"/>
      <c r="S136" s="547"/>
      <c r="T136" s="547"/>
      <c r="U136" s="547"/>
      <c r="V136" s="547"/>
      <c r="W136" s="547"/>
      <c r="X136" s="547"/>
      <c r="Y136" s="547"/>
      <c r="Z136" s="547"/>
      <c r="AA136" s="547"/>
      <c r="AB136" s="547"/>
    </row>
    <row r="137" spans="1:29" s="340" customFormat="1" ht="72" customHeight="1" x14ac:dyDescent="0.25">
      <c r="A137" s="317" t="s">
        <v>87</v>
      </c>
      <c r="B137" s="300">
        <v>0</v>
      </c>
      <c r="C137" s="300">
        <v>0</v>
      </c>
      <c r="D137" s="300">
        <v>0</v>
      </c>
      <c r="E137" s="278">
        <v>0</v>
      </c>
      <c r="F137" s="278">
        <v>0</v>
      </c>
      <c r="G137" s="278">
        <v>6</v>
      </c>
      <c r="H137" s="278">
        <v>10</v>
      </c>
      <c r="I137" s="278">
        <v>12</v>
      </c>
      <c r="J137" s="278">
        <v>460</v>
      </c>
      <c r="K137" s="278">
        <v>480</v>
      </c>
      <c r="L137" s="278">
        <v>500</v>
      </c>
      <c r="M137" s="372">
        <v>288</v>
      </c>
      <c r="N137" s="278">
        <v>288</v>
      </c>
      <c r="O137" s="278">
        <v>288</v>
      </c>
      <c r="P137" s="278">
        <v>0</v>
      </c>
      <c r="Q137" s="278">
        <v>0</v>
      </c>
      <c r="R137" s="278">
        <v>0</v>
      </c>
      <c r="S137" s="278">
        <v>0</v>
      </c>
      <c r="T137" s="216">
        <v>0</v>
      </c>
      <c r="U137" s="216">
        <v>1236.5</v>
      </c>
      <c r="V137" s="273">
        <v>1033.8</v>
      </c>
      <c r="W137" s="216">
        <v>1285.4000000000001</v>
      </c>
      <c r="X137" s="240">
        <v>1969.2</v>
      </c>
      <c r="Y137" s="240">
        <v>3391.7</v>
      </c>
      <c r="Z137" s="376">
        <v>2052.1999999999998</v>
      </c>
      <c r="AA137" s="240">
        <v>735.1</v>
      </c>
      <c r="AB137" s="240">
        <v>7351.1</v>
      </c>
      <c r="AC137" s="340" t="s">
        <v>612</v>
      </c>
    </row>
    <row r="138" spans="1:29" s="335" customFormat="1" ht="36" customHeight="1" x14ac:dyDescent="0.25">
      <c r="A138" s="316" t="s">
        <v>96</v>
      </c>
      <c r="B138" s="546" t="s">
        <v>190</v>
      </c>
      <c r="C138" s="546"/>
      <c r="D138" s="546"/>
      <c r="E138" s="546"/>
      <c r="F138" s="546"/>
      <c r="G138" s="546"/>
      <c r="H138" s="546"/>
      <c r="I138" s="546"/>
      <c r="J138" s="546"/>
      <c r="K138" s="546"/>
      <c r="L138" s="546"/>
      <c r="M138" s="546"/>
      <c r="N138" s="546"/>
      <c r="O138" s="546"/>
      <c r="P138" s="546"/>
      <c r="Q138" s="546"/>
      <c r="R138" s="546"/>
      <c r="S138" s="546"/>
      <c r="T138" s="546"/>
      <c r="U138" s="546"/>
      <c r="V138" s="546"/>
      <c r="W138" s="546"/>
      <c r="X138" s="546"/>
      <c r="Y138" s="546"/>
      <c r="Z138" s="546"/>
      <c r="AA138" s="546"/>
      <c r="AB138" s="546"/>
    </row>
    <row r="139" spans="1:29" ht="36" customHeight="1" x14ac:dyDescent="0.25">
      <c r="A139" s="305" t="s">
        <v>97</v>
      </c>
      <c r="B139" s="533" t="s">
        <v>99</v>
      </c>
      <c r="C139" s="533"/>
      <c r="D139" s="533"/>
      <c r="E139" s="533"/>
      <c r="F139" s="533"/>
      <c r="G139" s="533"/>
      <c r="H139" s="533"/>
      <c r="I139" s="533"/>
      <c r="J139" s="533"/>
      <c r="K139" s="533"/>
      <c r="L139" s="533"/>
      <c r="M139" s="533"/>
      <c r="N139" s="533"/>
      <c r="O139" s="533"/>
      <c r="P139" s="533"/>
      <c r="Q139" s="533"/>
      <c r="R139" s="533"/>
      <c r="S139" s="533"/>
      <c r="T139" s="533"/>
      <c r="U139" s="533"/>
      <c r="V139" s="533"/>
      <c r="W139" s="533"/>
      <c r="X139" s="533"/>
      <c r="Y139" s="533"/>
      <c r="Z139" s="533"/>
      <c r="AA139" s="533"/>
      <c r="AB139" s="533"/>
    </row>
    <row r="140" spans="1:29" ht="18" customHeight="1" x14ac:dyDescent="0.25">
      <c r="A140" s="253" t="s">
        <v>309</v>
      </c>
      <c r="B140" s="543" t="s">
        <v>174</v>
      </c>
      <c r="C140" s="544"/>
      <c r="D140" s="544"/>
      <c r="E140" s="544"/>
      <c r="F140" s="544"/>
      <c r="G140" s="544"/>
      <c r="H140" s="544"/>
      <c r="I140" s="544"/>
      <c r="J140" s="544"/>
      <c r="K140" s="544"/>
      <c r="L140" s="544"/>
      <c r="M140" s="544"/>
      <c r="N140" s="544"/>
      <c r="O140" s="544"/>
      <c r="P140" s="544"/>
      <c r="Q140" s="544"/>
      <c r="R140" s="544"/>
      <c r="S140" s="544"/>
      <c r="T140" s="544"/>
      <c r="U140" s="544"/>
      <c r="V140" s="544"/>
      <c r="W140" s="544"/>
      <c r="X140" s="544"/>
      <c r="Y140" s="544"/>
      <c r="Z140" s="544"/>
      <c r="AA140" s="544"/>
      <c r="AB140" s="545"/>
    </row>
    <row r="141" spans="1:29" ht="72" customHeight="1" x14ac:dyDescent="0.25">
      <c r="A141" s="317" t="s">
        <v>87</v>
      </c>
      <c r="B141" s="300">
        <v>0</v>
      </c>
      <c r="C141" s="300">
        <v>0</v>
      </c>
      <c r="D141" s="300">
        <v>0</v>
      </c>
      <c r="E141" s="216">
        <v>0</v>
      </c>
      <c r="F141" s="216">
        <v>0</v>
      </c>
      <c r="G141" s="216">
        <v>0</v>
      </c>
      <c r="H141" s="216">
        <v>8</v>
      </c>
      <c r="I141" s="216">
        <v>7</v>
      </c>
      <c r="J141" s="216">
        <v>12</v>
      </c>
      <c r="K141" s="216">
        <v>13</v>
      </c>
      <c r="L141" s="216">
        <v>17</v>
      </c>
      <c r="M141" s="158">
        <v>13</v>
      </c>
      <c r="N141" s="216">
        <v>13</v>
      </c>
      <c r="O141" s="216">
        <v>13</v>
      </c>
      <c r="P141" s="216">
        <v>0</v>
      </c>
      <c r="Q141" s="216">
        <v>0</v>
      </c>
      <c r="R141" s="216">
        <v>0</v>
      </c>
      <c r="S141" s="216">
        <v>0</v>
      </c>
      <c r="T141" s="240">
        <v>10389.799999999999</v>
      </c>
      <c r="U141" s="240">
        <v>587.9</v>
      </c>
      <c r="V141" s="279">
        <v>692.3</v>
      </c>
      <c r="W141" s="240">
        <v>1579</v>
      </c>
      <c r="X141" s="240">
        <v>1725.8</v>
      </c>
      <c r="Y141" s="240">
        <v>2989.7</v>
      </c>
      <c r="Z141" s="376">
        <v>2290.6999999999998</v>
      </c>
      <c r="AA141" s="240">
        <v>2231.3000000000002</v>
      </c>
      <c r="AB141" s="240">
        <v>2231.3000000000002</v>
      </c>
      <c r="AC141" s="333" t="s">
        <v>613</v>
      </c>
    </row>
    <row r="142" spans="1:29" s="335" customFormat="1" ht="36" customHeight="1" x14ac:dyDescent="0.25">
      <c r="A142" s="314" t="s">
        <v>96</v>
      </c>
      <c r="B142" s="554" t="s">
        <v>396</v>
      </c>
      <c r="C142" s="579"/>
      <c r="D142" s="579"/>
      <c r="E142" s="579"/>
      <c r="F142" s="579"/>
      <c r="G142" s="579"/>
      <c r="H142" s="579"/>
      <c r="I142" s="579"/>
      <c r="J142" s="579"/>
      <c r="K142" s="579"/>
      <c r="L142" s="579"/>
      <c r="M142" s="579"/>
      <c r="N142" s="579"/>
      <c r="O142" s="579"/>
      <c r="P142" s="579"/>
      <c r="Q142" s="579"/>
      <c r="R142" s="579"/>
      <c r="S142" s="579"/>
      <c r="T142" s="579"/>
      <c r="U142" s="579"/>
      <c r="V142" s="579"/>
      <c r="W142" s="579"/>
      <c r="X142" s="579"/>
      <c r="Y142" s="579"/>
      <c r="Z142" s="579"/>
      <c r="AA142" s="579"/>
      <c r="AB142" s="580"/>
    </row>
    <row r="143" spans="1:29" ht="36" customHeight="1" x14ac:dyDescent="0.25">
      <c r="A143" s="209" t="s">
        <v>97</v>
      </c>
      <c r="B143" s="533" t="s">
        <v>99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  <c r="M143" s="533"/>
      <c r="N143" s="533"/>
      <c r="O143" s="533"/>
      <c r="P143" s="533"/>
      <c r="Q143" s="533"/>
      <c r="R143" s="533"/>
      <c r="S143" s="533"/>
      <c r="T143" s="533"/>
      <c r="U143" s="533"/>
      <c r="V143" s="533"/>
      <c r="W143" s="533"/>
      <c r="X143" s="533"/>
      <c r="Y143" s="533"/>
      <c r="Z143" s="533"/>
      <c r="AA143" s="533"/>
      <c r="AB143" s="533"/>
    </row>
    <row r="144" spans="1:29" ht="18" customHeight="1" x14ac:dyDescent="0.25">
      <c r="A144" s="206" t="s">
        <v>59</v>
      </c>
      <c r="B144" s="581" t="s">
        <v>168</v>
      </c>
      <c r="C144" s="582"/>
      <c r="D144" s="582"/>
      <c r="E144" s="582"/>
      <c r="F144" s="582"/>
      <c r="G144" s="582"/>
      <c r="H144" s="582"/>
      <c r="I144" s="582"/>
      <c r="J144" s="582"/>
      <c r="K144" s="582"/>
      <c r="L144" s="582"/>
      <c r="M144" s="582"/>
      <c r="N144" s="582"/>
      <c r="O144" s="582"/>
      <c r="P144" s="582"/>
      <c r="Q144" s="582"/>
      <c r="R144" s="582"/>
      <c r="S144" s="582"/>
      <c r="T144" s="582"/>
      <c r="U144" s="582"/>
      <c r="V144" s="582"/>
      <c r="W144" s="582"/>
      <c r="X144" s="582"/>
      <c r="Y144" s="582"/>
      <c r="Z144" s="582"/>
      <c r="AA144" s="582"/>
      <c r="AB144" s="583"/>
    </row>
    <row r="145" spans="1:29" ht="72" customHeight="1" x14ac:dyDescent="0.25">
      <c r="A145" s="256" t="s">
        <v>87</v>
      </c>
      <c r="B145" s="234">
        <v>450</v>
      </c>
      <c r="C145" s="234">
        <v>0</v>
      </c>
      <c r="D145" s="234">
        <v>0</v>
      </c>
      <c r="E145" s="234">
        <v>23</v>
      </c>
      <c r="F145" s="234">
        <v>24</v>
      </c>
      <c r="G145" s="234">
        <v>21</v>
      </c>
      <c r="H145" s="234">
        <v>21</v>
      </c>
      <c r="I145" s="234">
        <v>15</v>
      </c>
      <c r="J145" s="234">
        <v>20</v>
      </c>
      <c r="K145" s="234">
        <v>16</v>
      </c>
      <c r="L145" s="234">
        <v>13</v>
      </c>
      <c r="M145" s="373">
        <v>8</v>
      </c>
      <c r="N145" s="298">
        <v>13</v>
      </c>
      <c r="O145" s="298">
        <v>13</v>
      </c>
      <c r="P145" s="307">
        <v>0</v>
      </c>
      <c r="Q145" s="307">
        <v>0</v>
      </c>
      <c r="R145" s="307">
        <v>0</v>
      </c>
      <c r="S145" s="294">
        <v>802.9</v>
      </c>
      <c r="T145" s="294">
        <v>1137.7</v>
      </c>
      <c r="U145" s="309">
        <v>2002.8</v>
      </c>
      <c r="V145" s="309">
        <v>3452.5</v>
      </c>
      <c r="W145" s="307">
        <v>3632.1</v>
      </c>
      <c r="X145" s="307">
        <v>3831.6</v>
      </c>
      <c r="Y145" s="307">
        <v>3178.835</v>
      </c>
      <c r="Z145" s="375">
        <v>3707.7</v>
      </c>
      <c r="AA145" s="307">
        <v>3321.6</v>
      </c>
      <c r="AB145" s="307">
        <v>3321.6</v>
      </c>
      <c r="AC145" s="333" t="s">
        <v>614</v>
      </c>
    </row>
    <row r="146" spans="1:29" s="335" customFormat="1" ht="36" customHeight="1" x14ac:dyDescent="0.25">
      <c r="A146" s="324" t="s">
        <v>96</v>
      </c>
      <c r="B146" s="527" t="s">
        <v>196</v>
      </c>
      <c r="C146" s="528"/>
      <c r="D146" s="528"/>
      <c r="E146" s="528"/>
      <c r="F146" s="528"/>
      <c r="G146" s="528"/>
      <c r="H146" s="528"/>
      <c r="I146" s="528"/>
      <c r="J146" s="528"/>
      <c r="K146" s="528"/>
      <c r="L146" s="528"/>
      <c r="M146" s="528"/>
      <c r="N146" s="528"/>
      <c r="O146" s="528"/>
      <c r="P146" s="528"/>
      <c r="Q146" s="528"/>
      <c r="R146" s="528"/>
      <c r="S146" s="528"/>
      <c r="T146" s="528"/>
      <c r="U146" s="528"/>
      <c r="V146" s="528"/>
      <c r="W146" s="528"/>
      <c r="X146" s="528"/>
      <c r="Y146" s="528"/>
      <c r="Z146" s="528"/>
      <c r="AA146" s="528"/>
      <c r="AB146" s="529"/>
    </row>
    <row r="147" spans="1:29" ht="36" customHeight="1" x14ac:dyDescent="0.25">
      <c r="A147" s="219" t="s">
        <v>97</v>
      </c>
      <c r="B147" s="533" t="s">
        <v>99</v>
      </c>
      <c r="C147" s="533"/>
      <c r="D147" s="533"/>
      <c r="E147" s="533"/>
      <c r="F147" s="533"/>
      <c r="G147" s="533"/>
      <c r="H147" s="533"/>
      <c r="I147" s="533"/>
      <c r="J147" s="533"/>
      <c r="K147" s="533"/>
      <c r="L147" s="533"/>
      <c r="M147" s="533"/>
      <c r="N147" s="533"/>
      <c r="O147" s="533"/>
      <c r="P147" s="533"/>
      <c r="Q147" s="533"/>
      <c r="R147" s="533"/>
      <c r="S147" s="533"/>
      <c r="T147" s="533"/>
      <c r="U147" s="533"/>
      <c r="V147" s="533"/>
      <c r="W147" s="533"/>
      <c r="X147" s="533"/>
      <c r="Y147" s="533"/>
      <c r="Z147" s="533"/>
      <c r="AA147" s="533"/>
      <c r="AB147" s="533"/>
    </row>
    <row r="148" spans="1:29" ht="18" customHeight="1" x14ac:dyDescent="0.25">
      <c r="A148" s="206" t="s">
        <v>59</v>
      </c>
      <c r="B148" s="530" t="s">
        <v>168</v>
      </c>
      <c r="C148" s="531"/>
      <c r="D148" s="531"/>
      <c r="E148" s="531"/>
      <c r="F148" s="531"/>
      <c r="G148" s="531"/>
      <c r="H148" s="531"/>
      <c r="I148" s="531"/>
      <c r="J148" s="531"/>
      <c r="K148" s="531"/>
      <c r="L148" s="531"/>
      <c r="M148" s="531"/>
      <c r="N148" s="531"/>
      <c r="O148" s="531"/>
      <c r="P148" s="531"/>
      <c r="Q148" s="531"/>
      <c r="R148" s="531"/>
      <c r="S148" s="531"/>
      <c r="T148" s="531"/>
      <c r="U148" s="531"/>
      <c r="V148" s="531"/>
      <c r="W148" s="531"/>
      <c r="X148" s="531"/>
      <c r="Y148" s="531"/>
      <c r="Z148" s="531"/>
      <c r="AA148" s="531"/>
      <c r="AB148" s="532"/>
    </row>
    <row r="149" spans="1:29" ht="54" customHeight="1" x14ac:dyDescent="0.25">
      <c r="A149" s="304" t="s">
        <v>90</v>
      </c>
      <c r="B149" s="213">
        <v>112</v>
      </c>
      <c r="C149" s="300">
        <v>40</v>
      </c>
      <c r="D149" s="213">
        <v>60</v>
      </c>
      <c r="E149" s="213">
        <v>18</v>
      </c>
      <c r="F149" s="213">
        <v>18</v>
      </c>
      <c r="G149" s="213">
        <v>17</v>
      </c>
      <c r="H149" s="213">
        <v>17</v>
      </c>
      <c r="I149" s="213">
        <v>8</v>
      </c>
      <c r="J149" s="213">
        <v>9</v>
      </c>
      <c r="K149" s="213">
        <v>10</v>
      </c>
      <c r="L149" s="213">
        <v>13</v>
      </c>
      <c r="M149" s="73">
        <v>11</v>
      </c>
      <c r="N149" s="213">
        <v>13</v>
      </c>
      <c r="O149" s="213">
        <v>13</v>
      </c>
      <c r="P149" s="311">
        <v>30</v>
      </c>
      <c r="Q149" s="311">
        <v>30</v>
      </c>
      <c r="R149" s="311">
        <v>30</v>
      </c>
      <c r="S149" s="311">
        <v>1117.4000000000001</v>
      </c>
      <c r="T149" s="311">
        <v>1150.9000000000001</v>
      </c>
      <c r="U149" s="310">
        <v>1172.3</v>
      </c>
      <c r="V149" s="310">
        <v>2033.4</v>
      </c>
      <c r="W149" s="311">
        <v>3207.9</v>
      </c>
      <c r="X149" s="311">
        <v>4111.7</v>
      </c>
      <c r="Y149" s="311">
        <v>3412.6170000000002</v>
      </c>
      <c r="Z149" s="374">
        <v>5081.7</v>
      </c>
      <c r="AA149" s="311">
        <v>3302.2</v>
      </c>
      <c r="AB149" s="311">
        <v>3302.2</v>
      </c>
      <c r="AC149" s="333" t="s">
        <v>615</v>
      </c>
    </row>
    <row r="150" spans="1:29" s="335" customFormat="1" ht="36" customHeight="1" x14ac:dyDescent="0.25">
      <c r="A150" s="324" t="s">
        <v>96</v>
      </c>
      <c r="B150" s="527" t="s">
        <v>531</v>
      </c>
      <c r="C150" s="528"/>
      <c r="D150" s="528"/>
      <c r="E150" s="528"/>
      <c r="F150" s="528"/>
      <c r="G150" s="528"/>
      <c r="H150" s="528"/>
      <c r="I150" s="528"/>
      <c r="J150" s="528"/>
      <c r="K150" s="528"/>
      <c r="L150" s="528"/>
      <c r="M150" s="528"/>
      <c r="N150" s="528"/>
      <c r="O150" s="528"/>
      <c r="P150" s="528"/>
      <c r="Q150" s="528"/>
      <c r="R150" s="528"/>
      <c r="S150" s="528"/>
      <c r="T150" s="528"/>
      <c r="U150" s="528"/>
      <c r="V150" s="528"/>
      <c r="W150" s="528"/>
      <c r="X150" s="528"/>
      <c r="Y150" s="528"/>
      <c r="Z150" s="528"/>
      <c r="AA150" s="528"/>
      <c r="AB150" s="529"/>
    </row>
    <row r="151" spans="1:29" ht="36" customHeight="1" x14ac:dyDescent="0.25">
      <c r="A151" s="305" t="s">
        <v>97</v>
      </c>
      <c r="B151" s="533" t="s">
        <v>99</v>
      </c>
      <c r="C151" s="533"/>
      <c r="D151" s="533"/>
      <c r="E151" s="533"/>
      <c r="F151" s="533"/>
      <c r="G151" s="533"/>
      <c r="H151" s="533"/>
      <c r="I151" s="533"/>
      <c r="J151" s="533"/>
      <c r="K151" s="533"/>
      <c r="L151" s="533"/>
      <c r="M151" s="533"/>
      <c r="N151" s="533"/>
      <c r="O151" s="533"/>
      <c r="P151" s="533"/>
      <c r="Q151" s="533"/>
      <c r="R151" s="533"/>
      <c r="S151" s="533"/>
      <c r="T151" s="533"/>
      <c r="U151" s="533"/>
      <c r="V151" s="533"/>
      <c r="W151" s="533"/>
      <c r="X151" s="533"/>
      <c r="Y151" s="533"/>
      <c r="Z151" s="533"/>
      <c r="AA151" s="533"/>
      <c r="AB151" s="533"/>
    </row>
    <row r="152" spans="1:29" ht="18" customHeight="1" x14ac:dyDescent="0.25">
      <c r="A152" s="206" t="s">
        <v>59</v>
      </c>
      <c r="B152" s="530" t="s">
        <v>167</v>
      </c>
      <c r="C152" s="531"/>
      <c r="D152" s="531"/>
      <c r="E152" s="531"/>
      <c r="F152" s="531"/>
      <c r="G152" s="531"/>
      <c r="H152" s="531"/>
      <c r="I152" s="531"/>
      <c r="J152" s="531"/>
      <c r="K152" s="531"/>
      <c r="L152" s="531"/>
      <c r="M152" s="531"/>
      <c r="N152" s="531"/>
      <c r="O152" s="531"/>
      <c r="P152" s="531"/>
      <c r="Q152" s="531"/>
      <c r="R152" s="531"/>
      <c r="S152" s="531"/>
      <c r="T152" s="531"/>
      <c r="U152" s="531"/>
      <c r="V152" s="531"/>
      <c r="W152" s="531"/>
      <c r="X152" s="531"/>
      <c r="Y152" s="531"/>
      <c r="Z152" s="531"/>
      <c r="AA152" s="531"/>
      <c r="AB152" s="532"/>
    </row>
    <row r="153" spans="1:29" ht="72" customHeight="1" x14ac:dyDescent="0.25">
      <c r="A153" s="304" t="s">
        <v>87</v>
      </c>
      <c r="B153" s="300">
        <v>250</v>
      </c>
      <c r="C153" s="207">
        <v>260</v>
      </c>
      <c r="D153" s="300">
        <v>0</v>
      </c>
      <c r="E153" s="207">
        <v>14</v>
      </c>
      <c r="F153" s="300">
        <v>21</v>
      </c>
      <c r="G153" s="300">
        <v>20</v>
      </c>
      <c r="H153" s="300">
        <v>20</v>
      </c>
      <c r="I153" s="300">
        <v>10</v>
      </c>
      <c r="J153" s="300">
        <v>9</v>
      </c>
      <c r="K153" s="300">
        <v>12</v>
      </c>
      <c r="L153" s="300">
        <v>12</v>
      </c>
      <c r="M153" s="346">
        <v>8</v>
      </c>
      <c r="N153" s="300">
        <v>12</v>
      </c>
      <c r="O153" s="300">
        <v>12</v>
      </c>
      <c r="P153" s="311">
        <v>300</v>
      </c>
      <c r="Q153" s="311">
        <v>0</v>
      </c>
      <c r="R153" s="311">
        <v>0</v>
      </c>
      <c r="S153" s="311">
        <v>1126.8</v>
      </c>
      <c r="T153" s="311">
        <v>1057.0999999999999</v>
      </c>
      <c r="U153" s="311">
        <v>1937.9</v>
      </c>
      <c r="V153" s="311">
        <v>3335.9</v>
      </c>
      <c r="W153" s="311">
        <v>3482.7</v>
      </c>
      <c r="X153" s="311">
        <v>4284.2</v>
      </c>
      <c r="Y153" s="311">
        <v>3792.7730000000001</v>
      </c>
      <c r="Z153" s="374">
        <v>3980.7</v>
      </c>
      <c r="AA153" s="311">
        <v>3475.6</v>
      </c>
      <c r="AB153" s="311">
        <v>3475.6</v>
      </c>
      <c r="AC153" s="333" t="s">
        <v>616</v>
      </c>
    </row>
    <row r="154" spans="1:29" s="335" customFormat="1" ht="36" customHeight="1" x14ac:dyDescent="0.25">
      <c r="A154" s="325" t="s">
        <v>96</v>
      </c>
      <c r="B154" s="546" t="s">
        <v>532</v>
      </c>
      <c r="C154" s="546"/>
      <c r="D154" s="546"/>
      <c r="E154" s="546"/>
      <c r="F154" s="546"/>
      <c r="G154" s="546"/>
      <c r="H154" s="546"/>
      <c r="I154" s="546"/>
      <c r="J154" s="546"/>
      <c r="K154" s="546"/>
      <c r="L154" s="546"/>
      <c r="M154" s="546"/>
      <c r="N154" s="546"/>
      <c r="O154" s="546"/>
      <c r="P154" s="546"/>
      <c r="Q154" s="546"/>
      <c r="R154" s="546"/>
      <c r="S154" s="546"/>
      <c r="T154" s="546"/>
      <c r="U154" s="546"/>
      <c r="V154" s="546"/>
      <c r="W154" s="546"/>
      <c r="X154" s="546"/>
      <c r="Y154" s="546"/>
      <c r="Z154" s="546"/>
      <c r="AA154" s="546"/>
      <c r="AB154" s="546"/>
    </row>
    <row r="155" spans="1:29" ht="36" customHeight="1" x14ac:dyDescent="0.25">
      <c r="A155" s="304" t="s">
        <v>97</v>
      </c>
      <c r="B155" s="533" t="s">
        <v>99</v>
      </c>
      <c r="C155" s="533"/>
      <c r="D155" s="533"/>
      <c r="E155" s="533"/>
      <c r="F155" s="533"/>
      <c r="G155" s="533"/>
      <c r="H155" s="533"/>
      <c r="I155" s="533"/>
      <c r="J155" s="533"/>
      <c r="K155" s="533"/>
      <c r="L155" s="533"/>
      <c r="M155" s="533"/>
      <c r="N155" s="533"/>
      <c r="O155" s="533"/>
      <c r="P155" s="533"/>
      <c r="Q155" s="533"/>
      <c r="R155" s="533"/>
      <c r="S155" s="533"/>
      <c r="T155" s="533"/>
      <c r="U155" s="533"/>
      <c r="V155" s="533"/>
      <c r="W155" s="533"/>
      <c r="X155" s="533"/>
      <c r="Y155" s="533"/>
      <c r="Z155" s="533"/>
      <c r="AA155" s="533"/>
      <c r="AB155" s="533"/>
    </row>
    <row r="156" spans="1:29" ht="18" customHeight="1" x14ac:dyDescent="0.25">
      <c r="A156" s="253" t="s">
        <v>59</v>
      </c>
      <c r="B156" s="557" t="s">
        <v>167</v>
      </c>
      <c r="C156" s="558"/>
      <c r="D156" s="558"/>
      <c r="E156" s="558"/>
      <c r="F156" s="558"/>
      <c r="G156" s="558"/>
      <c r="H156" s="558"/>
      <c r="I156" s="558"/>
      <c r="J156" s="558"/>
      <c r="K156" s="558"/>
      <c r="L156" s="558"/>
      <c r="M156" s="558"/>
      <c r="N156" s="558"/>
      <c r="O156" s="558"/>
      <c r="P156" s="558"/>
      <c r="Q156" s="558"/>
      <c r="R156" s="558"/>
      <c r="S156" s="558"/>
      <c r="T156" s="558"/>
      <c r="U156" s="558"/>
      <c r="V156" s="558"/>
      <c r="W156" s="558"/>
      <c r="X156" s="558"/>
      <c r="Y156" s="558"/>
      <c r="Z156" s="558"/>
      <c r="AA156" s="558"/>
      <c r="AB156" s="559"/>
    </row>
    <row r="157" spans="1:29" ht="72" customHeight="1" x14ac:dyDescent="0.25">
      <c r="A157" s="304" t="s">
        <v>87</v>
      </c>
      <c r="B157" s="300">
        <v>0</v>
      </c>
      <c r="C157" s="207">
        <v>0</v>
      </c>
      <c r="D157" s="300">
        <v>0</v>
      </c>
      <c r="E157" s="207">
        <v>0</v>
      </c>
      <c r="F157" s="300">
        <v>0</v>
      </c>
      <c r="G157" s="300">
        <v>0</v>
      </c>
      <c r="H157" s="300">
        <v>0</v>
      </c>
      <c r="I157" s="300">
        <v>0</v>
      </c>
      <c r="J157" s="300">
        <v>0</v>
      </c>
      <c r="K157" s="300">
        <v>0</v>
      </c>
      <c r="L157" s="300">
        <v>8</v>
      </c>
      <c r="M157" s="346">
        <v>4</v>
      </c>
      <c r="N157" s="300">
        <v>8</v>
      </c>
      <c r="O157" s="300">
        <v>8</v>
      </c>
      <c r="P157" s="311">
        <v>0</v>
      </c>
      <c r="Q157" s="311">
        <v>0</v>
      </c>
      <c r="R157" s="311">
        <v>0</v>
      </c>
      <c r="S157" s="311">
        <v>0</v>
      </c>
      <c r="T157" s="311">
        <v>0</v>
      </c>
      <c r="U157" s="311">
        <v>0</v>
      </c>
      <c r="V157" s="311">
        <v>0</v>
      </c>
      <c r="W157" s="311">
        <v>0</v>
      </c>
      <c r="X157" s="311">
        <v>0</v>
      </c>
      <c r="Y157" s="311">
        <v>1816.0540000000001</v>
      </c>
      <c r="Z157" s="374">
        <v>1798.3</v>
      </c>
      <c r="AA157" s="311">
        <v>1933</v>
      </c>
      <c r="AB157" s="311">
        <v>1933</v>
      </c>
      <c r="AC157" s="333" t="s">
        <v>617</v>
      </c>
    </row>
    <row r="158" spans="1:29" s="335" customFormat="1" ht="36" customHeight="1" x14ac:dyDescent="0.25">
      <c r="A158" s="325" t="s">
        <v>96</v>
      </c>
      <c r="B158" s="546" t="s">
        <v>533</v>
      </c>
      <c r="C158" s="546"/>
      <c r="D158" s="546"/>
      <c r="E158" s="546"/>
      <c r="F158" s="546"/>
      <c r="G158" s="546"/>
      <c r="H158" s="546"/>
      <c r="I158" s="546"/>
      <c r="J158" s="546"/>
      <c r="K158" s="546"/>
      <c r="L158" s="546"/>
      <c r="M158" s="546"/>
      <c r="N158" s="546"/>
      <c r="O158" s="546"/>
      <c r="P158" s="546"/>
      <c r="Q158" s="546"/>
      <c r="R158" s="546"/>
      <c r="S158" s="546"/>
      <c r="T158" s="546"/>
      <c r="U158" s="546"/>
      <c r="V158" s="546"/>
      <c r="W158" s="546"/>
      <c r="X158" s="546"/>
      <c r="Y158" s="546"/>
      <c r="Z158" s="546"/>
      <c r="AA158" s="546"/>
      <c r="AB158" s="546"/>
    </row>
    <row r="159" spans="1:29" ht="36" customHeight="1" x14ac:dyDescent="0.25">
      <c r="A159" s="304" t="s">
        <v>97</v>
      </c>
      <c r="B159" s="534" t="s">
        <v>534</v>
      </c>
      <c r="C159" s="535"/>
      <c r="D159" s="535"/>
      <c r="E159" s="535"/>
      <c r="F159" s="535"/>
      <c r="G159" s="535"/>
      <c r="H159" s="535"/>
      <c r="I159" s="535"/>
      <c r="J159" s="535"/>
      <c r="K159" s="535"/>
      <c r="L159" s="535"/>
      <c r="M159" s="535"/>
      <c r="N159" s="535"/>
      <c r="O159" s="535"/>
      <c r="P159" s="535"/>
      <c r="Q159" s="535"/>
      <c r="R159" s="535"/>
      <c r="S159" s="535"/>
      <c r="T159" s="535"/>
      <c r="U159" s="535"/>
      <c r="V159" s="535"/>
      <c r="W159" s="535"/>
      <c r="X159" s="535"/>
      <c r="Y159" s="535"/>
      <c r="Z159" s="535"/>
      <c r="AA159" s="535"/>
      <c r="AB159" s="536"/>
    </row>
    <row r="160" spans="1:29" ht="18" customHeight="1" x14ac:dyDescent="0.25">
      <c r="A160" s="253" t="s">
        <v>59</v>
      </c>
      <c r="B160" s="551" t="s">
        <v>167</v>
      </c>
      <c r="C160" s="551"/>
      <c r="D160" s="551"/>
      <c r="E160" s="551"/>
      <c r="F160" s="551"/>
      <c r="G160" s="551"/>
      <c r="H160" s="551"/>
      <c r="I160" s="551"/>
      <c r="J160" s="551"/>
      <c r="K160" s="551"/>
      <c r="L160" s="551"/>
      <c r="M160" s="551"/>
      <c r="N160" s="551"/>
      <c r="O160" s="551"/>
      <c r="P160" s="551"/>
      <c r="Q160" s="551"/>
      <c r="R160" s="551"/>
      <c r="S160" s="551"/>
      <c r="T160" s="551"/>
      <c r="U160" s="551"/>
      <c r="V160" s="551"/>
      <c r="W160" s="551"/>
      <c r="X160" s="551"/>
      <c r="Y160" s="551"/>
      <c r="Z160" s="551"/>
      <c r="AA160" s="551"/>
      <c r="AB160" s="551"/>
    </row>
    <row r="161" spans="1:29" ht="36" customHeight="1" x14ac:dyDescent="0.25">
      <c r="A161" s="304" t="s">
        <v>97</v>
      </c>
      <c r="B161" s="300">
        <v>0</v>
      </c>
      <c r="C161" s="207">
        <v>0</v>
      </c>
      <c r="D161" s="300">
        <v>0</v>
      </c>
      <c r="E161" s="207">
        <v>0</v>
      </c>
      <c r="F161" s="300">
        <v>0</v>
      </c>
      <c r="G161" s="300">
        <v>0</v>
      </c>
      <c r="H161" s="300">
        <v>0</v>
      </c>
      <c r="I161" s="300">
        <v>0</v>
      </c>
      <c r="J161" s="300">
        <v>0</v>
      </c>
      <c r="K161" s="300">
        <v>0</v>
      </c>
      <c r="L161" s="300">
        <v>8</v>
      </c>
      <c r="M161" s="346">
        <v>0</v>
      </c>
      <c r="N161" s="300">
        <v>0</v>
      </c>
      <c r="O161" s="300">
        <v>0</v>
      </c>
      <c r="P161" s="311">
        <v>0</v>
      </c>
      <c r="Q161" s="311">
        <v>0</v>
      </c>
      <c r="R161" s="311">
        <v>0</v>
      </c>
      <c r="S161" s="311">
        <v>0</v>
      </c>
      <c r="T161" s="311">
        <v>0</v>
      </c>
      <c r="U161" s="311">
        <v>0</v>
      </c>
      <c r="V161" s="311">
        <v>0</v>
      </c>
      <c r="W161" s="311">
        <v>0</v>
      </c>
      <c r="X161" s="311">
        <v>0</v>
      </c>
      <c r="Y161" s="311">
        <v>1623.173</v>
      </c>
      <c r="Z161" s="374">
        <v>0</v>
      </c>
      <c r="AA161" s="311">
        <v>0</v>
      </c>
      <c r="AB161" s="311">
        <v>0</v>
      </c>
      <c r="AC161" s="333" t="s">
        <v>618</v>
      </c>
    </row>
    <row r="162" spans="1:29" ht="36" customHeight="1" x14ac:dyDescent="0.25">
      <c r="A162" s="208" t="s">
        <v>96</v>
      </c>
      <c r="B162" s="572" t="s">
        <v>199</v>
      </c>
      <c r="C162" s="573"/>
      <c r="D162" s="573"/>
      <c r="E162" s="573"/>
      <c r="F162" s="573"/>
      <c r="G162" s="573"/>
      <c r="H162" s="573"/>
      <c r="I162" s="573"/>
      <c r="J162" s="573"/>
      <c r="K162" s="573"/>
      <c r="L162" s="573"/>
      <c r="M162" s="573"/>
      <c r="N162" s="573"/>
      <c r="O162" s="573"/>
      <c r="P162" s="573"/>
      <c r="Q162" s="573"/>
      <c r="R162" s="573"/>
      <c r="S162" s="573"/>
      <c r="T162" s="573"/>
      <c r="U162" s="573"/>
      <c r="V162" s="573"/>
      <c r="W162" s="573"/>
      <c r="X162" s="573"/>
      <c r="Y162" s="573"/>
      <c r="Z162" s="573"/>
      <c r="AA162" s="573"/>
      <c r="AB162" s="574"/>
    </row>
    <row r="163" spans="1:29" ht="36" customHeight="1" x14ac:dyDescent="0.25">
      <c r="A163" s="304" t="s">
        <v>97</v>
      </c>
      <c r="B163" s="533" t="s">
        <v>200</v>
      </c>
      <c r="C163" s="533"/>
      <c r="D163" s="533"/>
      <c r="E163" s="533"/>
      <c r="F163" s="533"/>
      <c r="G163" s="533"/>
      <c r="H163" s="533"/>
      <c r="I163" s="533"/>
      <c r="J163" s="533"/>
      <c r="K163" s="533"/>
      <c r="L163" s="533"/>
      <c r="M163" s="533"/>
      <c r="N163" s="533"/>
      <c r="O163" s="533"/>
      <c r="P163" s="533"/>
      <c r="Q163" s="533"/>
      <c r="R163" s="533"/>
      <c r="S163" s="533"/>
      <c r="T163" s="533"/>
      <c r="U163" s="533"/>
      <c r="V163" s="533"/>
      <c r="W163" s="533"/>
      <c r="X163" s="533"/>
      <c r="Y163" s="533"/>
      <c r="Z163" s="533"/>
      <c r="AA163" s="533"/>
      <c r="AB163" s="533"/>
    </row>
    <row r="164" spans="1:29" ht="18" customHeight="1" x14ac:dyDescent="0.25">
      <c r="A164" s="206" t="s">
        <v>61</v>
      </c>
      <c r="B164" s="557" t="s">
        <v>142</v>
      </c>
      <c r="C164" s="558"/>
      <c r="D164" s="558"/>
      <c r="E164" s="558"/>
      <c r="F164" s="558"/>
      <c r="G164" s="558"/>
      <c r="H164" s="558"/>
      <c r="I164" s="558"/>
      <c r="J164" s="558"/>
      <c r="K164" s="558"/>
      <c r="L164" s="558"/>
      <c r="M164" s="558"/>
      <c r="N164" s="558"/>
      <c r="O164" s="558"/>
      <c r="P164" s="558"/>
      <c r="Q164" s="558"/>
      <c r="R164" s="558"/>
      <c r="S164" s="558"/>
      <c r="T164" s="558"/>
      <c r="U164" s="558"/>
      <c r="V164" s="558"/>
      <c r="W164" s="558"/>
      <c r="X164" s="558"/>
      <c r="Y164" s="558"/>
      <c r="Z164" s="558"/>
      <c r="AA164" s="558"/>
      <c r="AB164" s="559"/>
    </row>
    <row r="165" spans="1:29" ht="72" customHeight="1" x14ac:dyDescent="0.25">
      <c r="A165" s="257" t="s">
        <v>87</v>
      </c>
      <c r="B165" s="220">
        <v>701</v>
      </c>
      <c r="C165" s="221">
        <v>703</v>
      </c>
      <c r="D165" s="222">
        <v>595</v>
      </c>
      <c r="E165" s="222">
        <v>551</v>
      </c>
      <c r="F165" s="222">
        <v>595</v>
      </c>
      <c r="G165" s="222">
        <v>0</v>
      </c>
      <c r="H165" s="222">
        <v>0</v>
      </c>
      <c r="I165" s="222">
        <v>0</v>
      </c>
      <c r="J165" s="222">
        <v>0</v>
      </c>
      <c r="K165" s="222">
        <v>0</v>
      </c>
      <c r="L165" s="222">
        <v>0</v>
      </c>
      <c r="M165" s="222">
        <v>0</v>
      </c>
      <c r="N165" s="222">
        <v>0</v>
      </c>
      <c r="O165" s="222">
        <v>0</v>
      </c>
      <c r="P165" s="223">
        <v>11323.3</v>
      </c>
      <c r="Q165" s="223">
        <f>9500+754.3</f>
        <v>10254.299999999999</v>
      </c>
      <c r="R165" s="223">
        <f>10632.45-69.3</f>
        <v>10563.150000000001</v>
      </c>
      <c r="S165" s="223">
        <v>8944.4</v>
      </c>
      <c r="T165" s="223">
        <v>0</v>
      </c>
      <c r="U165" s="224">
        <v>0</v>
      </c>
      <c r="V165" s="224">
        <v>0</v>
      </c>
      <c r="W165" s="224">
        <v>0</v>
      </c>
      <c r="X165" s="241">
        <v>0</v>
      </c>
      <c r="Y165" s="241">
        <v>0</v>
      </c>
      <c r="Z165" s="241">
        <v>0</v>
      </c>
      <c r="AA165" s="241">
        <v>0</v>
      </c>
      <c r="AB165" s="241">
        <v>0</v>
      </c>
    </row>
    <row r="166" spans="1:29" ht="36" customHeight="1" x14ac:dyDescent="0.25">
      <c r="A166" s="208" t="s">
        <v>96</v>
      </c>
      <c r="B166" s="572" t="s">
        <v>201</v>
      </c>
      <c r="C166" s="573"/>
      <c r="D166" s="573"/>
      <c r="E166" s="573"/>
      <c r="F166" s="573"/>
      <c r="G166" s="573"/>
      <c r="H166" s="573"/>
      <c r="I166" s="573"/>
      <c r="J166" s="573"/>
      <c r="K166" s="573"/>
      <c r="L166" s="573"/>
      <c r="M166" s="573"/>
      <c r="N166" s="573"/>
      <c r="O166" s="573"/>
      <c r="P166" s="573"/>
      <c r="Q166" s="573"/>
      <c r="R166" s="573"/>
      <c r="S166" s="573"/>
      <c r="T166" s="573"/>
      <c r="U166" s="573"/>
      <c r="V166" s="573"/>
      <c r="W166" s="573"/>
      <c r="X166" s="573"/>
      <c r="Y166" s="573"/>
      <c r="Z166" s="573"/>
      <c r="AA166" s="573"/>
      <c r="AB166" s="574"/>
    </row>
    <row r="167" spans="1:29" ht="36" customHeight="1" x14ac:dyDescent="0.25">
      <c r="A167" s="225" t="s">
        <v>97</v>
      </c>
      <c r="B167" s="533" t="s">
        <v>202</v>
      </c>
      <c r="C167" s="533"/>
      <c r="D167" s="533"/>
      <c r="E167" s="533"/>
      <c r="F167" s="533"/>
      <c r="G167" s="533"/>
      <c r="H167" s="533"/>
      <c r="I167" s="533"/>
      <c r="J167" s="533"/>
      <c r="K167" s="533"/>
      <c r="L167" s="533"/>
      <c r="M167" s="533"/>
      <c r="N167" s="533"/>
      <c r="O167" s="533"/>
      <c r="P167" s="533"/>
      <c r="Q167" s="533"/>
      <c r="R167" s="533"/>
      <c r="S167" s="533"/>
      <c r="T167" s="533"/>
      <c r="U167" s="533"/>
      <c r="V167" s="533"/>
      <c r="W167" s="533"/>
      <c r="X167" s="533"/>
      <c r="Y167" s="533"/>
      <c r="Z167" s="533"/>
      <c r="AA167" s="533"/>
      <c r="AB167" s="533"/>
    </row>
    <row r="168" spans="1:29" ht="18" customHeight="1" x14ac:dyDescent="0.25">
      <c r="A168" s="206" t="s">
        <v>61</v>
      </c>
      <c r="B168" s="604" t="s">
        <v>142</v>
      </c>
      <c r="C168" s="605"/>
      <c r="D168" s="605"/>
      <c r="E168" s="605"/>
      <c r="F168" s="605"/>
      <c r="G168" s="605"/>
      <c r="H168" s="605"/>
      <c r="I168" s="605"/>
      <c r="J168" s="605"/>
      <c r="K168" s="605"/>
      <c r="L168" s="605"/>
      <c r="M168" s="605"/>
      <c r="N168" s="605"/>
      <c r="O168" s="605"/>
      <c r="P168" s="605"/>
      <c r="Q168" s="605"/>
      <c r="R168" s="605"/>
      <c r="S168" s="605"/>
      <c r="T168" s="605"/>
      <c r="U168" s="605"/>
      <c r="V168" s="605"/>
      <c r="W168" s="605"/>
      <c r="X168" s="605"/>
      <c r="Y168" s="605"/>
      <c r="Z168" s="605"/>
      <c r="AA168" s="605"/>
      <c r="AB168" s="606"/>
    </row>
    <row r="169" spans="1:29" ht="72" customHeight="1" x14ac:dyDescent="0.25">
      <c r="A169" s="256" t="s">
        <v>87</v>
      </c>
      <c r="B169" s="226">
        <v>150</v>
      </c>
      <c r="C169" s="226">
        <v>150</v>
      </c>
      <c r="D169" s="226">
        <v>70</v>
      </c>
      <c r="E169" s="226">
        <v>70</v>
      </c>
      <c r="F169" s="226">
        <v>70</v>
      </c>
      <c r="G169" s="226">
        <v>0</v>
      </c>
      <c r="H169" s="226">
        <v>0</v>
      </c>
      <c r="I169" s="226">
        <v>0</v>
      </c>
      <c r="J169" s="226">
        <v>0</v>
      </c>
      <c r="K169" s="226">
        <v>0</v>
      </c>
      <c r="L169" s="226">
        <v>0</v>
      </c>
      <c r="M169" s="226">
        <v>0</v>
      </c>
      <c r="N169" s="226">
        <v>0</v>
      </c>
      <c r="O169" s="226">
        <v>0</v>
      </c>
      <c r="P169" s="227">
        <v>0</v>
      </c>
      <c r="Q169" s="227">
        <v>2143.3000000000002</v>
      </c>
      <c r="R169" s="227">
        <v>2332.81</v>
      </c>
      <c r="S169" s="228">
        <f>1918.4+298.4</f>
        <v>2216.8000000000002</v>
      </c>
      <c r="T169" s="228">
        <v>0</v>
      </c>
      <c r="U169" s="228">
        <v>0</v>
      </c>
      <c r="V169" s="229">
        <v>0</v>
      </c>
      <c r="W169" s="311">
        <v>0</v>
      </c>
      <c r="X169" s="311">
        <v>0</v>
      </c>
      <c r="Y169" s="311">
        <v>0</v>
      </c>
      <c r="Z169" s="311">
        <v>0</v>
      </c>
      <c r="AA169" s="311">
        <v>0</v>
      </c>
      <c r="AB169" s="311">
        <v>0</v>
      </c>
    </row>
    <row r="170" spans="1:29" ht="36" customHeight="1" x14ac:dyDescent="0.25">
      <c r="A170" s="208" t="s">
        <v>96</v>
      </c>
      <c r="B170" s="572" t="s">
        <v>203</v>
      </c>
      <c r="C170" s="573"/>
      <c r="D170" s="573"/>
      <c r="E170" s="573"/>
      <c r="F170" s="573"/>
      <c r="G170" s="573"/>
      <c r="H170" s="573"/>
      <c r="I170" s="573"/>
      <c r="J170" s="573"/>
      <c r="K170" s="573"/>
      <c r="L170" s="573"/>
      <c r="M170" s="573"/>
      <c r="N170" s="573"/>
      <c r="O170" s="573"/>
      <c r="P170" s="573"/>
      <c r="Q170" s="573"/>
      <c r="R170" s="573"/>
      <c r="S170" s="573"/>
      <c r="T170" s="573"/>
      <c r="U170" s="573"/>
      <c r="V170" s="573"/>
      <c r="W170" s="573"/>
      <c r="X170" s="573"/>
      <c r="Y170" s="573"/>
      <c r="Z170" s="573"/>
      <c r="AA170" s="573"/>
      <c r="AB170" s="574"/>
    </row>
    <row r="171" spans="1:29" ht="36" customHeight="1" x14ac:dyDescent="0.25">
      <c r="A171" s="304" t="s">
        <v>97</v>
      </c>
      <c r="B171" s="533" t="s">
        <v>200</v>
      </c>
      <c r="C171" s="533"/>
      <c r="D171" s="533"/>
      <c r="E171" s="533"/>
      <c r="F171" s="533"/>
      <c r="G171" s="533"/>
      <c r="H171" s="533"/>
      <c r="I171" s="533"/>
      <c r="J171" s="533"/>
      <c r="K171" s="533"/>
      <c r="L171" s="533"/>
      <c r="M171" s="533"/>
      <c r="N171" s="533"/>
      <c r="O171" s="533"/>
      <c r="P171" s="533"/>
      <c r="Q171" s="533"/>
      <c r="R171" s="533"/>
      <c r="S171" s="533"/>
      <c r="T171" s="533"/>
      <c r="U171" s="533"/>
      <c r="V171" s="533"/>
      <c r="W171" s="533"/>
      <c r="X171" s="533"/>
      <c r="Y171" s="533"/>
      <c r="Z171" s="533"/>
      <c r="AA171" s="533"/>
      <c r="AB171" s="533"/>
    </row>
    <row r="172" spans="1:29" ht="18" customHeight="1" x14ac:dyDescent="0.25">
      <c r="A172" s="206" t="s">
        <v>61</v>
      </c>
      <c r="B172" s="604" t="s">
        <v>142</v>
      </c>
      <c r="C172" s="605"/>
      <c r="D172" s="605"/>
      <c r="E172" s="605"/>
      <c r="F172" s="605"/>
      <c r="G172" s="605"/>
      <c r="H172" s="605"/>
      <c r="I172" s="605"/>
      <c r="J172" s="605"/>
      <c r="K172" s="605"/>
      <c r="L172" s="605"/>
      <c r="M172" s="605"/>
      <c r="N172" s="605"/>
      <c r="O172" s="605"/>
      <c r="P172" s="605"/>
      <c r="Q172" s="605"/>
      <c r="R172" s="605"/>
      <c r="S172" s="605"/>
      <c r="T172" s="605"/>
      <c r="U172" s="605"/>
      <c r="V172" s="605"/>
      <c r="W172" s="605"/>
      <c r="X172" s="605"/>
      <c r="Y172" s="605"/>
      <c r="Z172" s="605"/>
      <c r="AA172" s="605"/>
      <c r="AB172" s="606"/>
    </row>
    <row r="173" spans="1:29" ht="72" customHeight="1" x14ac:dyDescent="0.25">
      <c r="A173" s="256" t="s">
        <v>87</v>
      </c>
      <c r="B173" s="230">
        <v>2</v>
      </c>
      <c r="C173" s="230">
        <v>8</v>
      </c>
      <c r="D173" s="230">
        <v>38</v>
      </c>
      <c r="E173" s="230">
        <v>38</v>
      </c>
      <c r="F173" s="230">
        <v>38</v>
      </c>
      <c r="G173" s="297">
        <v>0</v>
      </c>
      <c r="H173" s="297">
        <v>0</v>
      </c>
      <c r="I173" s="297">
        <v>0</v>
      </c>
      <c r="J173" s="297">
        <v>0</v>
      </c>
      <c r="K173" s="297">
        <v>0</v>
      </c>
      <c r="L173" s="297">
        <v>0</v>
      </c>
      <c r="M173" s="297">
        <v>0</v>
      </c>
      <c r="N173" s="297">
        <v>0</v>
      </c>
      <c r="O173" s="297">
        <v>0</v>
      </c>
      <c r="P173" s="294">
        <v>0</v>
      </c>
      <c r="Q173" s="294">
        <v>482.2</v>
      </c>
      <c r="R173" s="294">
        <v>588.66999999999996</v>
      </c>
      <c r="S173" s="294">
        <v>482.2</v>
      </c>
      <c r="T173" s="294">
        <v>0</v>
      </c>
      <c r="U173" s="229">
        <v>0</v>
      </c>
      <c r="V173" s="229">
        <v>0</v>
      </c>
      <c r="W173" s="311">
        <v>0</v>
      </c>
      <c r="X173" s="311">
        <v>0</v>
      </c>
      <c r="Y173" s="311">
        <v>0</v>
      </c>
      <c r="Z173" s="311">
        <v>0</v>
      </c>
      <c r="AA173" s="311">
        <v>0</v>
      </c>
      <c r="AB173" s="311">
        <v>0</v>
      </c>
    </row>
    <row r="174" spans="1:29" ht="36" customHeight="1" x14ac:dyDescent="0.25">
      <c r="A174" s="208" t="s">
        <v>96</v>
      </c>
      <c r="B174" s="572" t="s">
        <v>205</v>
      </c>
      <c r="C174" s="573"/>
      <c r="D174" s="573"/>
      <c r="E174" s="573"/>
      <c r="F174" s="573"/>
      <c r="G174" s="573"/>
      <c r="H174" s="573"/>
      <c r="I174" s="573"/>
      <c r="J174" s="573"/>
      <c r="K174" s="573"/>
      <c r="L174" s="573"/>
      <c r="M174" s="573"/>
      <c r="N174" s="573"/>
      <c r="O174" s="573"/>
      <c r="P174" s="573"/>
      <c r="Q174" s="573"/>
      <c r="R174" s="573"/>
      <c r="S174" s="573"/>
      <c r="T174" s="573"/>
      <c r="U174" s="573"/>
      <c r="V174" s="573"/>
      <c r="W174" s="573"/>
      <c r="X174" s="573"/>
      <c r="Y174" s="573"/>
      <c r="Z174" s="573"/>
      <c r="AA174" s="573"/>
      <c r="AB174" s="574"/>
    </row>
    <row r="175" spans="1:29" x14ac:dyDescent="0.25">
      <c r="A175" s="595" t="s">
        <v>97</v>
      </c>
      <c r="B175" s="533" t="s">
        <v>98</v>
      </c>
      <c r="C175" s="533"/>
      <c r="D175" s="533"/>
      <c r="E175" s="533"/>
      <c r="F175" s="533"/>
      <c r="G175" s="533"/>
      <c r="H175" s="533"/>
      <c r="I175" s="533"/>
      <c r="J175" s="533"/>
      <c r="K175" s="533"/>
      <c r="L175" s="533"/>
      <c r="M175" s="533"/>
      <c r="N175" s="533"/>
      <c r="O175" s="533"/>
      <c r="P175" s="533"/>
      <c r="Q175" s="533"/>
      <c r="R175" s="533"/>
      <c r="S175" s="533"/>
      <c r="T175" s="533"/>
      <c r="U175" s="533"/>
      <c r="V175" s="533"/>
      <c r="W175" s="533"/>
      <c r="X175" s="533"/>
      <c r="Y175" s="533"/>
      <c r="Z175" s="533"/>
      <c r="AA175" s="533"/>
      <c r="AB175" s="533"/>
    </row>
    <row r="176" spans="1:29" ht="36" customHeight="1" x14ac:dyDescent="0.25">
      <c r="A176" s="595"/>
      <c r="B176" s="533" t="s">
        <v>204</v>
      </c>
      <c r="C176" s="533"/>
      <c r="D176" s="533"/>
      <c r="E176" s="533"/>
      <c r="F176" s="533"/>
      <c r="G176" s="533"/>
      <c r="H176" s="533"/>
      <c r="I176" s="533"/>
      <c r="J176" s="533"/>
      <c r="K176" s="533"/>
      <c r="L176" s="533"/>
      <c r="M176" s="533"/>
      <c r="N176" s="533"/>
      <c r="O176" s="533"/>
      <c r="P176" s="533"/>
      <c r="Q176" s="533"/>
      <c r="R176" s="533"/>
      <c r="S176" s="533"/>
      <c r="T176" s="533"/>
      <c r="U176" s="533"/>
      <c r="V176" s="533"/>
      <c r="W176" s="533"/>
      <c r="X176" s="533"/>
      <c r="Y176" s="533"/>
      <c r="Z176" s="533"/>
      <c r="AA176" s="533"/>
      <c r="AB176" s="533"/>
    </row>
    <row r="177" spans="1:28" ht="18" customHeight="1" x14ac:dyDescent="0.25">
      <c r="A177" s="206" t="s">
        <v>61</v>
      </c>
      <c r="B177" s="551" t="s">
        <v>142</v>
      </c>
      <c r="C177" s="551"/>
      <c r="D177" s="551"/>
      <c r="E177" s="551"/>
      <c r="F177" s="551"/>
      <c r="G177" s="551"/>
      <c r="H177" s="551"/>
      <c r="I177" s="551"/>
      <c r="J177" s="551"/>
      <c r="K177" s="551"/>
      <c r="L177" s="551"/>
      <c r="M177" s="551"/>
      <c r="N177" s="551"/>
      <c r="O177" s="551"/>
      <c r="P177" s="551"/>
      <c r="Q177" s="551"/>
      <c r="R177" s="551"/>
      <c r="S177" s="551"/>
      <c r="T177" s="551"/>
      <c r="U177" s="551"/>
      <c r="V177" s="551"/>
      <c r="W177" s="551"/>
      <c r="X177" s="551"/>
      <c r="Y177" s="551"/>
      <c r="Z177" s="551"/>
      <c r="AA177" s="551"/>
      <c r="AB177" s="551"/>
    </row>
    <row r="178" spans="1:28" ht="15" customHeight="1" x14ac:dyDescent="0.25">
      <c r="A178" s="596" t="s">
        <v>87</v>
      </c>
      <c r="B178" s="235">
        <v>2</v>
      </c>
      <c r="C178" s="235">
        <v>8</v>
      </c>
      <c r="D178" s="213">
        <v>30</v>
      </c>
      <c r="E178" s="213">
        <v>38</v>
      </c>
      <c r="F178" s="213">
        <v>40</v>
      </c>
      <c r="G178" s="213">
        <v>0</v>
      </c>
      <c r="H178" s="213">
        <v>0</v>
      </c>
      <c r="I178" s="213">
        <v>0</v>
      </c>
      <c r="J178" s="213">
        <v>0</v>
      </c>
      <c r="K178" s="213">
        <v>0</v>
      </c>
      <c r="L178" s="213">
        <v>0</v>
      </c>
      <c r="M178" s="213">
        <v>0</v>
      </c>
      <c r="N178" s="213">
        <v>0</v>
      </c>
      <c r="O178" s="213">
        <v>0</v>
      </c>
      <c r="P178" s="598">
        <v>0</v>
      </c>
      <c r="Q178" s="598">
        <v>101.6</v>
      </c>
      <c r="R178" s="598">
        <v>123.13</v>
      </c>
      <c r="S178" s="598">
        <v>101.6</v>
      </c>
      <c r="T178" s="598">
        <v>0</v>
      </c>
      <c r="U178" s="600">
        <v>0</v>
      </c>
      <c r="V178" s="602">
        <v>0</v>
      </c>
      <c r="W178" s="603">
        <v>0</v>
      </c>
      <c r="X178" s="603">
        <v>0</v>
      </c>
      <c r="Y178" s="603">
        <v>0</v>
      </c>
      <c r="Z178" s="603">
        <v>0</v>
      </c>
      <c r="AA178" s="603">
        <v>0</v>
      </c>
      <c r="AB178" s="603">
        <v>0</v>
      </c>
    </row>
    <row r="179" spans="1:28" ht="15" customHeight="1" x14ac:dyDescent="0.25">
      <c r="A179" s="597"/>
      <c r="B179" s="258"/>
      <c r="C179" s="207">
        <v>8</v>
      </c>
      <c r="D179" s="207">
        <v>30</v>
      </c>
      <c r="E179" s="207">
        <v>70</v>
      </c>
      <c r="F179" s="207">
        <v>70</v>
      </c>
      <c r="G179" s="207">
        <v>0</v>
      </c>
      <c r="H179" s="207">
        <v>0</v>
      </c>
      <c r="I179" s="207">
        <v>0</v>
      </c>
      <c r="J179" s="207">
        <v>0</v>
      </c>
      <c r="K179" s="207">
        <v>0</v>
      </c>
      <c r="L179" s="207">
        <v>0</v>
      </c>
      <c r="M179" s="207">
        <v>0</v>
      </c>
      <c r="N179" s="207">
        <v>0</v>
      </c>
      <c r="O179" s="207">
        <v>0</v>
      </c>
      <c r="P179" s="599"/>
      <c r="Q179" s="599"/>
      <c r="R179" s="599"/>
      <c r="S179" s="599"/>
      <c r="T179" s="599"/>
      <c r="U179" s="601"/>
      <c r="V179" s="602"/>
      <c r="W179" s="603"/>
      <c r="X179" s="603"/>
      <c r="Y179" s="603"/>
      <c r="Z179" s="603"/>
      <c r="AA179" s="603"/>
      <c r="AB179" s="603"/>
    </row>
    <row r="180" spans="1:28" ht="18" customHeight="1" x14ac:dyDescent="0.25">
      <c r="M180" s="333"/>
      <c r="V180" s="333"/>
      <c r="Z180" s="244"/>
    </row>
    <row r="181" spans="1:28" ht="18" customHeight="1" x14ac:dyDescent="0.25">
      <c r="A181" s="552" t="s">
        <v>63</v>
      </c>
      <c r="B181" s="552"/>
      <c r="C181" s="552"/>
      <c r="D181" s="552"/>
      <c r="E181" s="552"/>
      <c r="F181" s="552"/>
      <c r="G181" s="552"/>
      <c r="H181" s="552"/>
      <c r="I181" s="552"/>
      <c r="J181" s="552"/>
      <c r="M181" s="333"/>
      <c r="S181" s="553" t="s">
        <v>186</v>
      </c>
      <c r="T181" s="553"/>
      <c r="U181" s="553"/>
      <c r="V181" s="333"/>
      <c r="Z181" s="244"/>
    </row>
    <row r="182" spans="1:28" ht="18" customHeight="1" x14ac:dyDescent="0.25">
      <c r="A182" s="552"/>
      <c r="B182" s="552"/>
      <c r="C182" s="552"/>
      <c r="D182" s="552"/>
      <c r="E182" s="552"/>
      <c r="F182" s="552"/>
      <c r="G182" s="552"/>
      <c r="H182" s="552"/>
      <c r="I182" s="552"/>
      <c r="J182" s="552"/>
      <c r="M182" s="333"/>
      <c r="S182" s="553"/>
      <c r="T182" s="553"/>
      <c r="U182" s="553"/>
      <c r="V182" s="333"/>
      <c r="Z182" s="244"/>
    </row>
    <row r="183" spans="1:28" ht="18" customHeight="1" x14ac:dyDescent="0.25">
      <c r="M183" s="333"/>
      <c r="V183" s="333"/>
      <c r="Z183" s="244"/>
    </row>
    <row r="184" spans="1:28" x14ac:dyDescent="0.25">
      <c r="V184" s="333"/>
    </row>
    <row r="185" spans="1:28" x14ac:dyDescent="0.25">
      <c r="V185" s="333"/>
    </row>
    <row r="186" spans="1:28" x14ac:dyDescent="0.25">
      <c r="V186" s="333"/>
    </row>
    <row r="187" spans="1:28" x14ac:dyDescent="0.25">
      <c r="V187" s="333"/>
    </row>
    <row r="188" spans="1:28" x14ac:dyDescent="0.25">
      <c r="V188" s="333"/>
    </row>
    <row r="189" spans="1:28" x14ac:dyDescent="0.25">
      <c r="V189" s="333"/>
    </row>
    <row r="190" spans="1:28" x14ac:dyDescent="0.25">
      <c r="V190" s="333"/>
    </row>
    <row r="191" spans="1:28" x14ac:dyDescent="0.25">
      <c r="V191" s="333"/>
    </row>
    <row r="192" spans="1:28" x14ac:dyDescent="0.25">
      <c r="V192" s="333"/>
    </row>
    <row r="193" spans="22:22" x14ac:dyDescent="0.25">
      <c r="V193" s="333"/>
    </row>
    <row r="194" spans="22:22" x14ac:dyDescent="0.25">
      <c r="V194" s="333"/>
    </row>
    <row r="195" spans="22:22" x14ac:dyDescent="0.25">
      <c r="V195" s="333"/>
    </row>
    <row r="196" spans="22:22" x14ac:dyDescent="0.25">
      <c r="V196" s="333"/>
    </row>
    <row r="197" spans="22:22" x14ac:dyDescent="0.25">
      <c r="V197" s="333"/>
    </row>
    <row r="198" spans="22:22" x14ac:dyDescent="0.25">
      <c r="V198" s="333"/>
    </row>
    <row r="199" spans="22:22" x14ac:dyDescent="0.25">
      <c r="V199" s="333"/>
    </row>
    <row r="200" spans="22:22" x14ac:dyDescent="0.25">
      <c r="V200" s="333"/>
    </row>
    <row r="201" spans="22:22" x14ac:dyDescent="0.25">
      <c r="V201" s="333"/>
    </row>
    <row r="202" spans="22:22" x14ac:dyDescent="0.25">
      <c r="V202" s="333"/>
    </row>
    <row r="203" spans="22:22" x14ac:dyDescent="0.25">
      <c r="V203" s="333"/>
    </row>
    <row r="204" spans="22:22" x14ac:dyDescent="0.25">
      <c r="V204" s="333"/>
    </row>
    <row r="205" spans="22:22" x14ac:dyDescent="0.25">
      <c r="V205" s="333"/>
    </row>
    <row r="206" spans="22:22" x14ac:dyDescent="0.25">
      <c r="V206" s="333"/>
    </row>
    <row r="207" spans="22:22" x14ac:dyDescent="0.25">
      <c r="V207" s="333"/>
    </row>
    <row r="208" spans="22:22" x14ac:dyDescent="0.25">
      <c r="V208" s="333"/>
    </row>
    <row r="209" spans="22:22" x14ac:dyDescent="0.25">
      <c r="V209" s="333"/>
    </row>
    <row r="210" spans="22:22" x14ac:dyDescent="0.25">
      <c r="V210" s="333"/>
    </row>
    <row r="211" spans="22:22" x14ac:dyDescent="0.25">
      <c r="V211" s="333"/>
    </row>
    <row r="212" spans="22:22" x14ac:dyDescent="0.25">
      <c r="V212" s="333"/>
    </row>
    <row r="213" spans="22:22" x14ac:dyDescent="0.25">
      <c r="V213" s="333"/>
    </row>
    <row r="214" spans="22:22" x14ac:dyDescent="0.25">
      <c r="V214" s="333"/>
    </row>
    <row r="215" spans="22:22" x14ac:dyDescent="0.25">
      <c r="V215" s="333"/>
    </row>
    <row r="216" spans="22:22" x14ac:dyDescent="0.25">
      <c r="V216" s="333"/>
    </row>
    <row r="217" spans="22:22" x14ac:dyDescent="0.25">
      <c r="V217" s="333"/>
    </row>
    <row r="218" spans="22:22" x14ac:dyDescent="0.25">
      <c r="V218" s="333"/>
    </row>
    <row r="219" spans="22:22" x14ac:dyDescent="0.25">
      <c r="V219" s="333"/>
    </row>
    <row r="220" spans="22:22" x14ac:dyDescent="0.25">
      <c r="V220" s="333"/>
    </row>
  </sheetData>
  <mergeCells count="151">
    <mergeCell ref="B163:AB163"/>
    <mergeCell ref="B167:AB167"/>
    <mergeCell ref="B171:AB171"/>
    <mergeCell ref="A175:A176"/>
    <mergeCell ref="B175:AB175"/>
    <mergeCell ref="A178:A179"/>
    <mergeCell ref="P178:P179"/>
    <mergeCell ref="Q178:Q179"/>
    <mergeCell ref="R178:R179"/>
    <mergeCell ref="S178:S179"/>
    <mergeCell ref="T178:T179"/>
    <mergeCell ref="U178:U179"/>
    <mergeCell ref="V178:V179"/>
    <mergeCell ref="W178:W179"/>
    <mergeCell ref="X178:X179"/>
    <mergeCell ref="Y178:Y179"/>
    <mergeCell ref="Z178:Z179"/>
    <mergeCell ref="AA178:AA179"/>
    <mergeCell ref="AB178:AB179"/>
    <mergeCell ref="B166:AB166"/>
    <mergeCell ref="B168:AB168"/>
    <mergeCell ref="B170:AB170"/>
    <mergeCell ref="B172:AB172"/>
    <mergeCell ref="B174:AB174"/>
    <mergeCell ref="B95:AB95"/>
    <mergeCell ref="B99:AB99"/>
    <mergeCell ref="B103:AB103"/>
    <mergeCell ref="B107:AB107"/>
    <mergeCell ref="B111:AB111"/>
    <mergeCell ref="B115:AB115"/>
    <mergeCell ref="B119:AB119"/>
    <mergeCell ref="B88:AB88"/>
    <mergeCell ref="B90:AB90"/>
    <mergeCell ref="B92:AB92"/>
    <mergeCell ref="B94:AB94"/>
    <mergeCell ref="B96:AB96"/>
    <mergeCell ref="B98:AB98"/>
    <mergeCell ref="B46:AB46"/>
    <mergeCell ref="B47:AB47"/>
    <mergeCell ref="B51:AB51"/>
    <mergeCell ref="B55:AB55"/>
    <mergeCell ref="B59:AB59"/>
    <mergeCell ref="B63:AB63"/>
    <mergeCell ref="B67:AB67"/>
    <mergeCell ref="B71:AB71"/>
    <mergeCell ref="B75:AB75"/>
    <mergeCell ref="B22:AB22"/>
    <mergeCell ref="B23:AB23"/>
    <mergeCell ref="B24:AB24"/>
    <mergeCell ref="B28:AB28"/>
    <mergeCell ref="B32:AB32"/>
    <mergeCell ref="B35:AB35"/>
    <mergeCell ref="B36:AB36"/>
    <mergeCell ref="B40:AB40"/>
    <mergeCell ref="B42:AB42"/>
    <mergeCell ref="P1:U1"/>
    <mergeCell ref="P2:U2"/>
    <mergeCell ref="A4:U4"/>
    <mergeCell ref="A5:U5"/>
    <mergeCell ref="A7:A8"/>
    <mergeCell ref="B7:K7"/>
    <mergeCell ref="P7:AB7"/>
    <mergeCell ref="B86:AB86"/>
    <mergeCell ref="B43:AB43"/>
    <mergeCell ref="B44:AB44"/>
    <mergeCell ref="B48:AB48"/>
    <mergeCell ref="B26:AB26"/>
    <mergeCell ref="B27:AB27"/>
    <mergeCell ref="B62:AB62"/>
    <mergeCell ref="B64:AB64"/>
    <mergeCell ref="B66:AB66"/>
    <mergeCell ref="B68:AB68"/>
    <mergeCell ref="B70:AB70"/>
    <mergeCell ref="B72:AB72"/>
    <mergeCell ref="B74:AB74"/>
    <mergeCell ref="B76:AB76"/>
    <mergeCell ref="B78:AB78"/>
    <mergeCell ref="B80:AB80"/>
    <mergeCell ref="B82:AB82"/>
    <mergeCell ref="B162:AB162"/>
    <mergeCell ref="B164:AB164"/>
    <mergeCell ref="B136:AB136"/>
    <mergeCell ref="B100:AB100"/>
    <mergeCell ref="B102:AB102"/>
    <mergeCell ref="B104:AB104"/>
    <mergeCell ref="B106:AB106"/>
    <mergeCell ref="B108:AB108"/>
    <mergeCell ref="B110:AB110"/>
    <mergeCell ref="B112:AB112"/>
    <mergeCell ref="B114:AB114"/>
    <mergeCell ref="B116:AB116"/>
    <mergeCell ref="B118:AB118"/>
    <mergeCell ref="B120:AB120"/>
    <mergeCell ref="B140:AB140"/>
    <mergeCell ref="B139:AB139"/>
    <mergeCell ref="B154:AB154"/>
    <mergeCell ref="B156:AB156"/>
    <mergeCell ref="B158:AB158"/>
    <mergeCell ref="B160:AB160"/>
    <mergeCell ref="B142:AB142"/>
    <mergeCell ref="B144:AB144"/>
    <mergeCell ref="B146:AB146"/>
    <mergeCell ref="B148:AB148"/>
    <mergeCell ref="B176:AB176"/>
    <mergeCell ref="B177:AB177"/>
    <mergeCell ref="A181:J182"/>
    <mergeCell ref="S181:U182"/>
    <mergeCell ref="B10:AB10"/>
    <mergeCell ref="B11:AB11"/>
    <mergeCell ref="B12:AB12"/>
    <mergeCell ref="B14:AB14"/>
    <mergeCell ref="B15:AB15"/>
    <mergeCell ref="B19:AB19"/>
    <mergeCell ref="B20:AB20"/>
    <mergeCell ref="B16:AB16"/>
    <mergeCell ref="B18:AB18"/>
    <mergeCell ref="B30:AB30"/>
    <mergeCell ref="B31:AB31"/>
    <mergeCell ref="B34:AB34"/>
    <mergeCell ref="B38:AB38"/>
    <mergeCell ref="B39:AB39"/>
    <mergeCell ref="B50:AB50"/>
    <mergeCell ref="B52:AB52"/>
    <mergeCell ref="B54:AB54"/>
    <mergeCell ref="B56:AB56"/>
    <mergeCell ref="B58:AB58"/>
    <mergeCell ref="B60:AB60"/>
    <mergeCell ref="B150:AB150"/>
    <mergeCell ref="B152:AB152"/>
    <mergeCell ref="B143:AB143"/>
    <mergeCell ref="B147:AB147"/>
    <mergeCell ref="B151:AB151"/>
    <mergeCell ref="B155:AB155"/>
    <mergeCell ref="B159:AB159"/>
    <mergeCell ref="B84:AB84"/>
    <mergeCell ref="B79:AB79"/>
    <mergeCell ref="B83:AB83"/>
    <mergeCell ref="B122:AB122"/>
    <mergeCell ref="B124:AB124"/>
    <mergeCell ref="B126:AB126"/>
    <mergeCell ref="B128:AB128"/>
    <mergeCell ref="B130:AB130"/>
    <mergeCell ref="B138:AB138"/>
    <mergeCell ref="B123:AB123"/>
    <mergeCell ref="B127:AB127"/>
    <mergeCell ref="B131:AB131"/>
    <mergeCell ref="B132:AA132"/>
    <mergeCell ref="B134:AB134"/>
    <mergeCell ref="B135:AB135"/>
    <mergeCell ref="B87:AB87"/>
    <mergeCell ref="B91:AB91"/>
  </mergeCells>
  <pageMargins left="0.7" right="0.7" top="0.75" bottom="0.75" header="0.3" footer="0.3"/>
  <pageSetup paperSize="9" scale="4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02"/>
  <sheetViews>
    <sheetView view="pageBreakPreview" zoomScale="55" zoomScaleNormal="75" zoomScaleSheetLayoutView="55" workbookViewId="0">
      <pane xSplit="8" topLeftCell="I1" activePane="topRight" state="frozen"/>
      <selection pane="topRight" activeCell="I8" sqref="I8"/>
    </sheetView>
  </sheetViews>
  <sheetFormatPr defaultColWidth="21" defaultRowHeight="152.25" customHeight="1" x14ac:dyDescent="0.2"/>
  <cols>
    <col min="1" max="1" width="67.28515625" style="786" customWidth="1"/>
    <col min="2" max="2" width="10.7109375" style="786" customWidth="1"/>
    <col min="3" max="3" width="10.140625" style="786" customWidth="1"/>
    <col min="4" max="4" width="11.7109375" style="786" customWidth="1"/>
    <col min="5" max="5" width="9.7109375" style="786" customWidth="1"/>
    <col min="6" max="6" width="8.140625" style="786" customWidth="1"/>
    <col min="7" max="7" width="18.140625" style="787" customWidth="1"/>
    <col min="8" max="8" width="9.5703125" style="786" customWidth="1"/>
    <col min="9" max="10" width="14.5703125" style="786" customWidth="1"/>
    <col min="11" max="11" width="16.140625" style="786" customWidth="1"/>
    <col min="12" max="12" width="15.140625" style="786" customWidth="1"/>
    <col min="13" max="13" width="15.85546875" style="868" customWidth="1"/>
    <col min="14" max="14" width="15.5703125" style="786" customWidth="1"/>
    <col min="15" max="18" width="16.7109375" style="786" customWidth="1"/>
    <col min="19" max="19" width="16.7109375" style="911" customWidth="1"/>
    <col min="20" max="21" width="16.7109375" style="786" customWidth="1"/>
    <col min="22" max="22" width="18.28515625" style="786" customWidth="1"/>
    <col min="23" max="23" width="31.7109375" style="786" customWidth="1"/>
    <col min="24" max="24" width="26.85546875" style="786" customWidth="1"/>
    <col min="25" max="25" width="27" style="786" customWidth="1"/>
    <col min="26" max="26" width="35.7109375" style="786" bestFit="1" customWidth="1"/>
    <col min="27" max="27" width="26.42578125" style="786" bestFit="1" customWidth="1"/>
    <col min="28" max="16384" width="21" style="786"/>
  </cols>
  <sheetData>
    <row r="1" spans="1:27" ht="62.25" customHeight="1" x14ac:dyDescent="0.2">
      <c r="K1" s="788" t="s">
        <v>550</v>
      </c>
      <c r="L1" s="788"/>
      <c r="M1" s="788"/>
      <c r="N1" s="788"/>
      <c r="O1" s="788"/>
      <c r="P1" s="788"/>
      <c r="Q1" s="788"/>
      <c r="R1" s="788"/>
      <c r="S1" s="788"/>
      <c r="T1" s="788"/>
      <c r="U1" s="788"/>
      <c r="V1" s="788"/>
      <c r="W1" s="788"/>
    </row>
    <row r="2" spans="1:27" ht="61.5" customHeight="1" x14ac:dyDescent="0.2">
      <c r="H2" s="789"/>
      <c r="I2" s="789"/>
      <c r="J2" s="789"/>
      <c r="K2" s="790" t="s">
        <v>568</v>
      </c>
      <c r="L2" s="790"/>
      <c r="M2" s="790"/>
      <c r="N2" s="790"/>
      <c r="O2" s="790"/>
      <c r="P2" s="790"/>
      <c r="Q2" s="790"/>
      <c r="R2" s="790"/>
      <c r="S2" s="790"/>
      <c r="T2" s="790"/>
      <c r="U2" s="790"/>
      <c r="V2" s="790"/>
      <c r="W2" s="790"/>
    </row>
    <row r="3" spans="1:27" ht="30.75" customHeight="1" x14ac:dyDescent="0.2">
      <c r="A3" s="791" t="s">
        <v>171</v>
      </c>
      <c r="B3" s="791"/>
      <c r="C3" s="791"/>
      <c r="D3" s="791"/>
      <c r="E3" s="791"/>
      <c r="F3" s="791"/>
      <c r="G3" s="791"/>
      <c r="H3" s="791"/>
      <c r="I3" s="791"/>
      <c r="J3" s="791"/>
      <c r="K3" s="791"/>
      <c r="L3" s="791"/>
      <c r="M3" s="791"/>
      <c r="N3" s="791"/>
      <c r="O3" s="791"/>
      <c r="P3" s="791"/>
      <c r="Q3" s="791"/>
      <c r="R3" s="791"/>
      <c r="S3" s="791"/>
      <c r="T3" s="791"/>
      <c r="U3" s="791"/>
      <c r="V3" s="791"/>
      <c r="W3" s="791"/>
    </row>
    <row r="4" spans="1:27" ht="27" customHeight="1" x14ac:dyDescent="0.25">
      <c r="A4" s="792"/>
      <c r="B4" s="792"/>
      <c r="C4" s="792"/>
      <c r="D4" s="793"/>
      <c r="E4" s="793"/>
      <c r="F4" s="793"/>
      <c r="G4" s="794"/>
      <c r="H4" s="793"/>
      <c r="I4" s="795"/>
      <c r="J4" s="795"/>
      <c r="K4" s="796"/>
      <c r="L4" s="796"/>
      <c r="M4" s="797"/>
      <c r="N4" s="796"/>
      <c r="O4" s="796"/>
      <c r="P4" s="796"/>
      <c r="Q4" s="796"/>
      <c r="R4" s="796"/>
      <c r="S4" s="796"/>
      <c r="T4" s="796"/>
      <c r="U4" s="796"/>
      <c r="V4" s="796"/>
    </row>
    <row r="5" spans="1:27" s="805" customFormat="1" ht="28.5" customHeight="1" x14ac:dyDescent="0.25">
      <c r="A5" s="798" t="s">
        <v>346</v>
      </c>
      <c r="B5" s="798" t="s">
        <v>159</v>
      </c>
      <c r="C5" s="799" t="s">
        <v>48</v>
      </c>
      <c r="D5" s="800"/>
      <c r="E5" s="800"/>
      <c r="F5" s="800"/>
      <c r="G5" s="800"/>
      <c r="H5" s="801"/>
      <c r="I5" s="802" t="s">
        <v>79</v>
      </c>
      <c r="J5" s="803"/>
      <c r="K5" s="803"/>
      <c r="L5" s="803"/>
      <c r="M5" s="803"/>
      <c r="N5" s="803"/>
      <c r="O5" s="803"/>
      <c r="P5" s="803"/>
      <c r="Q5" s="803"/>
      <c r="R5" s="803"/>
      <c r="S5" s="803"/>
      <c r="T5" s="803"/>
      <c r="U5" s="803"/>
      <c r="V5" s="804"/>
      <c r="W5" s="798" t="s">
        <v>80</v>
      </c>
    </row>
    <row r="6" spans="1:27" s="805" customFormat="1" ht="15" customHeight="1" x14ac:dyDescent="0.25">
      <c r="A6" s="806"/>
      <c r="B6" s="806"/>
      <c r="C6" s="798" t="s">
        <v>159</v>
      </c>
      <c r="D6" s="798" t="s">
        <v>45</v>
      </c>
      <c r="E6" s="807" t="s">
        <v>44</v>
      </c>
      <c r="F6" s="808"/>
      <c r="G6" s="809"/>
      <c r="H6" s="798" t="s">
        <v>43</v>
      </c>
      <c r="I6" s="810" t="s">
        <v>33</v>
      </c>
      <c r="J6" s="810" t="s">
        <v>32</v>
      </c>
      <c r="K6" s="810" t="s">
        <v>31</v>
      </c>
      <c r="L6" s="810" t="s">
        <v>115</v>
      </c>
      <c r="M6" s="811" t="s">
        <v>114</v>
      </c>
      <c r="N6" s="810" t="s">
        <v>113</v>
      </c>
      <c r="O6" s="810" t="s">
        <v>414</v>
      </c>
      <c r="P6" s="810" t="s">
        <v>111</v>
      </c>
      <c r="Q6" s="810" t="s">
        <v>110</v>
      </c>
      <c r="R6" s="810" t="s">
        <v>109</v>
      </c>
      <c r="S6" s="810" t="s">
        <v>108</v>
      </c>
      <c r="T6" s="810" t="s">
        <v>249</v>
      </c>
      <c r="U6" s="810" t="s">
        <v>539</v>
      </c>
      <c r="V6" s="810" t="s">
        <v>540</v>
      </c>
      <c r="W6" s="806"/>
    </row>
    <row r="7" spans="1:27" s="805" customFormat="1" ht="85.5" customHeight="1" x14ac:dyDescent="0.25">
      <c r="A7" s="812"/>
      <c r="B7" s="812"/>
      <c r="C7" s="812"/>
      <c r="D7" s="812"/>
      <c r="E7" s="813"/>
      <c r="F7" s="814"/>
      <c r="G7" s="815"/>
      <c r="H7" s="812"/>
      <c r="I7" s="816"/>
      <c r="J7" s="816"/>
      <c r="K7" s="816"/>
      <c r="L7" s="816"/>
      <c r="M7" s="817"/>
      <c r="N7" s="816"/>
      <c r="O7" s="816"/>
      <c r="P7" s="816"/>
      <c r="Q7" s="816"/>
      <c r="R7" s="816"/>
      <c r="S7" s="816"/>
      <c r="T7" s="816"/>
      <c r="U7" s="816"/>
      <c r="V7" s="816"/>
      <c r="W7" s="812"/>
    </row>
    <row r="8" spans="1:27" ht="60" customHeight="1" x14ac:dyDescent="0.2">
      <c r="A8" s="818" t="s">
        <v>172</v>
      </c>
      <c r="B8" s="819" t="s">
        <v>82</v>
      </c>
      <c r="C8" s="820">
        <v>964</v>
      </c>
      <c r="D8" s="820" t="s">
        <v>83</v>
      </c>
      <c r="E8" s="820" t="s">
        <v>83</v>
      </c>
      <c r="F8" s="820" t="s">
        <v>83</v>
      </c>
      <c r="G8" s="821" t="s">
        <v>83</v>
      </c>
      <c r="H8" s="820" t="s">
        <v>83</v>
      </c>
      <c r="I8" s="822">
        <f>I9</f>
        <v>4311.5</v>
      </c>
      <c r="J8" s="822">
        <f t="shared" ref="J8:U8" si="0">J9</f>
        <v>5873.4</v>
      </c>
      <c r="K8" s="822">
        <f t="shared" si="0"/>
        <v>6302.4</v>
      </c>
      <c r="L8" s="822">
        <f t="shared" si="0"/>
        <v>12316.3</v>
      </c>
      <c r="M8" s="822">
        <f t="shared" si="0"/>
        <v>34761.5</v>
      </c>
      <c r="N8" s="822">
        <f t="shared" si="0"/>
        <v>34247.200000000012</v>
      </c>
      <c r="O8" s="822">
        <f t="shared" si="0"/>
        <v>36573.799999999996</v>
      </c>
      <c r="P8" s="822">
        <f t="shared" si="0"/>
        <v>40960.100000000006</v>
      </c>
      <c r="Q8" s="822">
        <f t="shared" si="0"/>
        <v>59289.599999999999</v>
      </c>
      <c r="R8" s="822">
        <f t="shared" si="0"/>
        <v>111188.20000000001</v>
      </c>
      <c r="S8" s="822">
        <f t="shared" si="0"/>
        <v>57884.600000000006</v>
      </c>
      <c r="T8" s="822">
        <f>T9</f>
        <v>48200.100000000006</v>
      </c>
      <c r="U8" s="822">
        <f t="shared" si="0"/>
        <v>48200.100000000006</v>
      </c>
      <c r="V8" s="822">
        <f>SUM(I8:U8)</f>
        <v>500108.79999999993</v>
      </c>
      <c r="W8" s="823"/>
      <c r="X8" s="824"/>
    </row>
    <row r="9" spans="1:27" ht="252.75" customHeight="1" x14ac:dyDescent="0.2">
      <c r="A9" s="825" t="s">
        <v>643</v>
      </c>
      <c r="B9" s="826"/>
      <c r="C9" s="827">
        <v>964</v>
      </c>
      <c r="D9" s="827" t="s">
        <v>120</v>
      </c>
      <c r="E9" s="827" t="s">
        <v>120</v>
      </c>
      <c r="F9" s="827" t="s">
        <v>120</v>
      </c>
      <c r="G9" s="828" t="s">
        <v>120</v>
      </c>
      <c r="H9" s="827" t="s">
        <v>120</v>
      </c>
      <c r="I9" s="829">
        <f t="shared" ref="I9:P9" si="1">SUM(I11:I99)</f>
        <v>4311.5</v>
      </c>
      <c r="J9" s="829">
        <f t="shared" si="1"/>
        <v>5873.4</v>
      </c>
      <c r="K9" s="829">
        <f t="shared" si="1"/>
        <v>6302.4</v>
      </c>
      <c r="L9" s="829">
        <f t="shared" si="1"/>
        <v>12316.3</v>
      </c>
      <c r="M9" s="829">
        <f t="shared" si="1"/>
        <v>34761.5</v>
      </c>
      <c r="N9" s="829">
        <f t="shared" si="1"/>
        <v>34247.200000000012</v>
      </c>
      <c r="O9" s="829">
        <f t="shared" si="1"/>
        <v>36573.799999999996</v>
      </c>
      <c r="P9" s="829">
        <f t="shared" si="1"/>
        <v>40960.100000000006</v>
      </c>
      <c r="Q9" s="829">
        <f>SUM(Q11:Q99)</f>
        <v>59289.599999999999</v>
      </c>
      <c r="R9" s="829">
        <f>SUM(R11:R99)</f>
        <v>111188.20000000001</v>
      </c>
      <c r="S9" s="829">
        <f>SUM(S11:S99)</f>
        <v>57884.600000000006</v>
      </c>
      <c r="T9" s="829">
        <f>SUM(T11:T99)</f>
        <v>48200.100000000006</v>
      </c>
      <c r="U9" s="829">
        <f t="shared" ref="U9" si="2">SUM(U11:U99)</f>
        <v>48200.100000000006</v>
      </c>
      <c r="V9" s="829">
        <f>SUM(I9:U10)</f>
        <v>500108.79999999993</v>
      </c>
      <c r="W9" s="798" t="s">
        <v>459</v>
      </c>
      <c r="X9" s="824"/>
    </row>
    <row r="10" spans="1:27" ht="350.25" customHeight="1" x14ac:dyDescent="0.2">
      <c r="A10" s="830"/>
      <c r="B10" s="826"/>
      <c r="C10" s="831"/>
      <c r="D10" s="831"/>
      <c r="E10" s="831"/>
      <c r="F10" s="831"/>
      <c r="G10" s="832"/>
      <c r="H10" s="831"/>
      <c r="I10" s="833"/>
      <c r="J10" s="833"/>
      <c r="K10" s="833"/>
      <c r="L10" s="833"/>
      <c r="M10" s="833"/>
      <c r="N10" s="833"/>
      <c r="O10" s="833"/>
      <c r="P10" s="833"/>
      <c r="Q10" s="833"/>
      <c r="R10" s="833"/>
      <c r="S10" s="833"/>
      <c r="T10" s="833"/>
      <c r="U10" s="833"/>
      <c r="V10" s="833"/>
      <c r="W10" s="806"/>
      <c r="X10" s="834">
        <f>Q9-Q99</f>
        <v>51962</v>
      </c>
      <c r="Y10" s="834">
        <f>R9-R99</f>
        <v>102115.6</v>
      </c>
    </row>
    <row r="11" spans="1:27" ht="25.5" customHeight="1" x14ac:dyDescent="0.35">
      <c r="A11" s="835" t="s">
        <v>185</v>
      </c>
      <c r="B11" s="826"/>
      <c r="C11" s="836">
        <v>964</v>
      </c>
      <c r="D11" s="837" t="s">
        <v>101</v>
      </c>
      <c r="E11" s="838" t="s">
        <v>146</v>
      </c>
      <c r="F11" s="838" t="s">
        <v>8</v>
      </c>
      <c r="G11" s="838" t="s">
        <v>178</v>
      </c>
      <c r="H11" s="838" t="s">
        <v>121</v>
      </c>
      <c r="I11" s="839">
        <v>0</v>
      </c>
      <c r="J11" s="839">
        <v>0</v>
      </c>
      <c r="K11" s="839">
        <v>461.9</v>
      </c>
      <c r="L11" s="839">
        <v>1029</v>
      </c>
      <c r="M11" s="839">
        <f>400+73.2</f>
        <v>473.2</v>
      </c>
      <c r="N11" s="839">
        <v>678.6</v>
      </c>
      <c r="O11" s="839">
        <v>239.5</v>
      </c>
      <c r="P11" s="839">
        <v>1073.0999999999999</v>
      </c>
      <c r="Q11" s="839">
        <f>1290.3-100+70.3+313.4</f>
        <v>1574</v>
      </c>
      <c r="R11" s="839">
        <v>0</v>
      </c>
      <c r="S11" s="839">
        <v>0</v>
      </c>
      <c r="T11" s="839">
        <v>0</v>
      </c>
      <c r="U11" s="839">
        <v>0</v>
      </c>
      <c r="V11" s="840">
        <f>SUM(I11:U11)</f>
        <v>5529.3</v>
      </c>
      <c r="W11" s="806"/>
      <c r="X11" s="841"/>
      <c r="Y11" s="842"/>
      <c r="Z11" s="843"/>
      <c r="AA11" s="843"/>
    </row>
    <row r="12" spans="1:27" ht="25.5" customHeight="1" x14ac:dyDescent="0.35">
      <c r="A12" s="844"/>
      <c r="B12" s="826"/>
      <c r="C12" s="845">
        <v>964</v>
      </c>
      <c r="D12" s="837" t="s">
        <v>101</v>
      </c>
      <c r="E12" s="846" t="s">
        <v>146</v>
      </c>
      <c r="F12" s="846" t="s">
        <v>8</v>
      </c>
      <c r="G12" s="846" t="s">
        <v>178</v>
      </c>
      <c r="H12" s="846" t="s">
        <v>122</v>
      </c>
      <c r="I12" s="847"/>
      <c r="J12" s="847"/>
      <c r="K12" s="847"/>
      <c r="L12" s="847"/>
      <c r="M12" s="847"/>
      <c r="N12" s="839"/>
      <c r="O12" s="839"/>
      <c r="P12" s="839"/>
      <c r="Q12" s="839"/>
      <c r="R12" s="839">
        <f>800+21.7+265.4+215.4+327.9-283.4</f>
        <v>1347</v>
      </c>
      <c r="S12" s="839">
        <v>500</v>
      </c>
      <c r="T12" s="839">
        <v>500</v>
      </c>
      <c r="U12" s="839">
        <v>500</v>
      </c>
      <c r="V12" s="840">
        <f t="shared" ref="V12:V78" si="3">SUM(I12:U12)</f>
        <v>2847</v>
      </c>
      <c r="W12" s="806"/>
      <c r="X12" s="841"/>
      <c r="Y12" s="842"/>
      <c r="Z12" s="843"/>
      <c r="AA12" s="843"/>
    </row>
    <row r="13" spans="1:27" ht="23.25" x14ac:dyDescent="0.2">
      <c r="A13" s="848"/>
      <c r="B13" s="826"/>
      <c r="C13" s="845">
        <v>964</v>
      </c>
      <c r="D13" s="837" t="s">
        <v>101</v>
      </c>
      <c r="E13" s="846" t="s">
        <v>146</v>
      </c>
      <c r="F13" s="846" t="s">
        <v>8</v>
      </c>
      <c r="G13" s="846" t="s">
        <v>178</v>
      </c>
      <c r="H13" s="846" t="s">
        <v>121</v>
      </c>
      <c r="I13" s="847">
        <v>417.6</v>
      </c>
      <c r="J13" s="847">
        <v>486</v>
      </c>
      <c r="K13" s="847">
        <v>0</v>
      </c>
      <c r="L13" s="847">
        <v>0</v>
      </c>
      <c r="M13" s="847">
        <v>0</v>
      </c>
      <c r="N13" s="839">
        <v>0</v>
      </c>
      <c r="O13" s="839">
        <v>0</v>
      </c>
      <c r="P13" s="839">
        <v>0</v>
      </c>
      <c r="Q13" s="839">
        <v>0</v>
      </c>
      <c r="R13" s="839">
        <v>0</v>
      </c>
      <c r="S13" s="839">
        <v>0</v>
      </c>
      <c r="T13" s="839">
        <v>0</v>
      </c>
      <c r="U13" s="839">
        <v>0</v>
      </c>
      <c r="V13" s="840">
        <f t="shared" si="3"/>
        <v>903.6</v>
      </c>
      <c r="W13" s="806"/>
    </row>
    <row r="14" spans="1:27" ht="24.75" customHeight="1" x14ac:dyDescent="0.2">
      <c r="A14" s="798" t="s">
        <v>87</v>
      </c>
      <c r="B14" s="826"/>
      <c r="C14" s="845">
        <v>964</v>
      </c>
      <c r="D14" s="849" t="s">
        <v>102</v>
      </c>
      <c r="E14" s="846" t="s">
        <v>146</v>
      </c>
      <c r="F14" s="846" t="s">
        <v>8</v>
      </c>
      <c r="G14" s="846" t="s">
        <v>429</v>
      </c>
      <c r="H14" s="846" t="s">
        <v>121</v>
      </c>
      <c r="I14" s="847"/>
      <c r="J14" s="847"/>
      <c r="K14" s="847"/>
      <c r="L14" s="847"/>
      <c r="M14" s="847"/>
      <c r="N14" s="847"/>
      <c r="O14" s="847"/>
      <c r="P14" s="847">
        <v>272.8</v>
      </c>
      <c r="Q14" s="847"/>
      <c r="R14" s="847"/>
      <c r="S14" s="847"/>
      <c r="T14" s="847"/>
      <c r="U14" s="847"/>
      <c r="V14" s="840">
        <f t="shared" si="3"/>
        <v>272.8</v>
      </c>
      <c r="W14" s="806"/>
    </row>
    <row r="15" spans="1:27" ht="24.75" customHeight="1" x14ac:dyDescent="0.2">
      <c r="A15" s="806"/>
      <c r="B15" s="826"/>
      <c r="C15" s="845">
        <v>964</v>
      </c>
      <c r="D15" s="849" t="s">
        <v>101</v>
      </c>
      <c r="E15" s="846" t="s">
        <v>146</v>
      </c>
      <c r="F15" s="846" t="s">
        <v>8</v>
      </c>
      <c r="G15" s="846" t="s">
        <v>179</v>
      </c>
      <c r="H15" s="846" t="s">
        <v>121</v>
      </c>
      <c r="I15" s="847">
        <v>0</v>
      </c>
      <c r="J15" s="847">
        <v>0</v>
      </c>
      <c r="K15" s="847">
        <v>0</v>
      </c>
      <c r="L15" s="847">
        <v>0</v>
      </c>
      <c r="M15" s="847">
        <v>0</v>
      </c>
      <c r="N15" s="839">
        <v>2356.5</v>
      </c>
      <c r="O15" s="839">
        <v>3636.9</v>
      </c>
      <c r="P15" s="839">
        <v>405.9</v>
      </c>
      <c r="Q15" s="839">
        <f>438.2+54.1+100-76.8</f>
        <v>515.5</v>
      </c>
      <c r="R15" s="839">
        <v>0</v>
      </c>
      <c r="S15" s="839">
        <v>0</v>
      </c>
      <c r="T15" s="839">
        <v>0</v>
      </c>
      <c r="U15" s="839">
        <v>0</v>
      </c>
      <c r="V15" s="840">
        <f t="shared" si="3"/>
        <v>6914.7999999999993</v>
      </c>
      <c r="W15" s="806"/>
    </row>
    <row r="16" spans="1:27" ht="24.75" customHeight="1" x14ac:dyDescent="0.2">
      <c r="A16" s="806"/>
      <c r="B16" s="826"/>
      <c r="C16" s="845">
        <v>964</v>
      </c>
      <c r="D16" s="849" t="s">
        <v>101</v>
      </c>
      <c r="E16" s="846" t="s">
        <v>146</v>
      </c>
      <c r="F16" s="846" t="s">
        <v>8</v>
      </c>
      <c r="G16" s="846" t="s">
        <v>429</v>
      </c>
      <c r="H16" s="846" t="s">
        <v>121</v>
      </c>
      <c r="I16" s="847">
        <v>0</v>
      </c>
      <c r="J16" s="847">
        <v>0</v>
      </c>
      <c r="K16" s="847">
        <v>0</v>
      </c>
      <c r="L16" s="847">
        <v>0</v>
      </c>
      <c r="M16" s="847">
        <v>0</v>
      </c>
      <c r="N16" s="839">
        <v>0</v>
      </c>
      <c r="O16" s="839">
        <v>0</v>
      </c>
      <c r="P16" s="839">
        <v>513.9</v>
      </c>
      <c r="Q16" s="839">
        <v>576.6</v>
      </c>
      <c r="R16" s="839">
        <v>0</v>
      </c>
      <c r="S16" s="839">
        <v>0</v>
      </c>
      <c r="T16" s="839">
        <v>0</v>
      </c>
      <c r="U16" s="839">
        <v>0</v>
      </c>
      <c r="V16" s="840">
        <f t="shared" si="3"/>
        <v>1090.5</v>
      </c>
      <c r="W16" s="806"/>
    </row>
    <row r="17" spans="1:28" ht="24.75" customHeight="1" x14ac:dyDescent="0.2">
      <c r="A17" s="806"/>
      <c r="B17" s="826"/>
      <c r="C17" s="845">
        <v>964</v>
      </c>
      <c r="D17" s="849" t="s">
        <v>102</v>
      </c>
      <c r="E17" s="846" t="s">
        <v>146</v>
      </c>
      <c r="F17" s="846" t="s">
        <v>8</v>
      </c>
      <c r="G17" s="846" t="s">
        <v>432</v>
      </c>
      <c r="H17" s="846" t="s">
        <v>122</v>
      </c>
      <c r="I17" s="847">
        <v>0</v>
      </c>
      <c r="J17" s="847">
        <v>0</v>
      </c>
      <c r="K17" s="847">
        <v>0</v>
      </c>
      <c r="L17" s="847">
        <v>0</v>
      </c>
      <c r="M17" s="847">
        <v>0</v>
      </c>
      <c r="N17" s="839">
        <v>0</v>
      </c>
      <c r="O17" s="839">
        <v>0</v>
      </c>
      <c r="P17" s="839">
        <v>1128.5</v>
      </c>
      <c r="Q17" s="839">
        <v>1389.7</v>
      </c>
      <c r="R17" s="839">
        <v>0</v>
      </c>
      <c r="S17" s="839">
        <v>0</v>
      </c>
      <c r="T17" s="839">
        <v>0</v>
      </c>
      <c r="U17" s="839">
        <v>0</v>
      </c>
      <c r="V17" s="840">
        <f t="shared" si="3"/>
        <v>2518.1999999999998</v>
      </c>
      <c r="W17" s="806"/>
    </row>
    <row r="18" spans="1:28" ht="24.75" customHeight="1" x14ac:dyDescent="0.35">
      <c r="A18" s="806"/>
      <c r="B18" s="826"/>
      <c r="C18" s="850" t="s">
        <v>119</v>
      </c>
      <c r="D18" s="838" t="s">
        <v>102</v>
      </c>
      <c r="E18" s="838" t="s">
        <v>146</v>
      </c>
      <c r="F18" s="838" t="s">
        <v>8</v>
      </c>
      <c r="G18" s="838" t="s">
        <v>187</v>
      </c>
      <c r="H18" s="838" t="s">
        <v>122</v>
      </c>
      <c r="I18" s="839"/>
      <c r="J18" s="839"/>
      <c r="K18" s="839"/>
      <c r="L18" s="839"/>
      <c r="M18" s="839">
        <v>11252.3</v>
      </c>
      <c r="N18" s="839">
        <v>12017.7</v>
      </c>
      <c r="O18" s="839">
        <v>12895.9</v>
      </c>
      <c r="P18" s="839">
        <v>2622.9</v>
      </c>
      <c r="Q18" s="839">
        <f>2524.9+602.7-450+61.2+44.4+32</f>
        <v>2815.2000000000003</v>
      </c>
      <c r="R18" s="839">
        <v>0</v>
      </c>
      <c r="S18" s="839">
        <v>0</v>
      </c>
      <c r="T18" s="839">
        <v>0</v>
      </c>
      <c r="U18" s="839">
        <v>0</v>
      </c>
      <c r="V18" s="840">
        <f t="shared" si="3"/>
        <v>41604</v>
      </c>
      <c r="W18" s="806"/>
      <c r="X18" s="842"/>
    </row>
    <row r="19" spans="1:28" ht="24.75" customHeight="1" x14ac:dyDescent="0.35">
      <c r="A19" s="806"/>
      <c r="B19" s="826"/>
      <c r="C19" s="850" t="s">
        <v>119</v>
      </c>
      <c r="D19" s="838" t="s">
        <v>101</v>
      </c>
      <c r="E19" s="838" t="s">
        <v>146</v>
      </c>
      <c r="F19" s="838" t="s">
        <v>8</v>
      </c>
      <c r="G19" s="838" t="s">
        <v>187</v>
      </c>
      <c r="H19" s="838" t="s">
        <v>122</v>
      </c>
      <c r="I19" s="839"/>
      <c r="J19" s="839"/>
      <c r="K19" s="839"/>
      <c r="L19" s="839"/>
      <c r="M19" s="839"/>
      <c r="N19" s="839"/>
      <c r="O19" s="839"/>
      <c r="P19" s="839"/>
      <c r="Q19" s="839"/>
      <c r="R19" s="839"/>
      <c r="S19" s="839">
        <v>335</v>
      </c>
      <c r="T19" s="839">
        <v>335</v>
      </c>
      <c r="U19" s="839">
        <v>335</v>
      </c>
      <c r="V19" s="840">
        <f t="shared" si="3"/>
        <v>1005</v>
      </c>
      <c r="W19" s="806"/>
      <c r="X19" s="842"/>
    </row>
    <row r="20" spans="1:28" ht="24.75" customHeight="1" x14ac:dyDescent="0.35">
      <c r="A20" s="806"/>
      <c r="B20" s="826"/>
      <c r="C20" s="850" t="s">
        <v>119</v>
      </c>
      <c r="D20" s="838" t="s">
        <v>101</v>
      </c>
      <c r="E20" s="838" t="s">
        <v>146</v>
      </c>
      <c r="F20" s="838" t="s">
        <v>8</v>
      </c>
      <c r="G20" s="838" t="s">
        <v>432</v>
      </c>
      <c r="H20" s="838" t="s">
        <v>122</v>
      </c>
      <c r="I20" s="839"/>
      <c r="J20" s="839"/>
      <c r="K20" s="839"/>
      <c r="L20" s="839"/>
      <c r="M20" s="839"/>
      <c r="N20" s="839"/>
      <c r="O20" s="839"/>
      <c r="P20" s="839"/>
      <c r="Q20" s="839"/>
      <c r="R20" s="839"/>
      <c r="S20" s="839">
        <f>1025.5+518.4</f>
        <v>1543.9</v>
      </c>
      <c r="T20" s="839">
        <v>1025.5</v>
      </c>
      <c r="U20" s="839">
        <v>1025.5</v>
      </c>
      <c r="V20" s="840">
        <f t="shared" si="3"/>
        <v>3594.9</v>
      </c>
      <c r="W20" s="806"/>
      <c r="X20" s="842"/>
    </row>
    <row r="21" spans="1:28" ht="24.75" customHeight="1" x14ac:dyDescent="0.35">
      <c r="A21" s="806"/>
      <c r="B21" s="826"/>
      <c r="C21" s="850" t="s">
        <v>119</v>
      </c>
      <c r="D21" s="838" t="s">
        <v>499</v>
      </c>
      <c r="E21" s="838" t="s">
        <v>146</v>
      </c>
      <c r="F21" s="838" t="s">
        <v>8</v>
      </c>
      <c r="G21" s="838" t="s">
        <v>187</v>
      </c>
      <c r="H21" s="838" t="s">
        <v>154</v>
      </c>
      <c r="I21" s="839"/>
      <c r="J21" s="839"/>
      <c r="K21" s="839"/>
      <c r="L21" s="839"/>
      <c r="M21" s="839"/>
      <c r="N21" s="839"/>
      <c r="O21" s="839"/>
      <c r="P21" s="839"/>
      <c r="Q21" s="839"/>
      <c r="R21" s="839">
        <f>120+20+130+3042.2+2.3+32.8+1288.1-32.8</f>
        <v>4602.5999999999995</v>
      </c>
      <c r="S21" s="839">
        <v>0</v>
      </c>
      <c r="T21" s="839">
        <v>0</v>
      </c>
      <c r="U21" s="839">
        <v>0</v>
      </c>
      <c r="V21" s="840">
        <f t="shared" si="3"/>
        <v>4602.5999999999995</v>
      </c>
      <c r="W21" s="806"/>
      <c r="X21" s="842"/>
    </row>
    <row r="22" spans="1:28" ht="24.75" customHeight="1" x14ac:dyDescent="0.2">
      <c r="A22" s="806"/>
      <c r="B22" s="826"/>
      <c r="C22" s="850" t="s">
        <v>119</v>
      </c>
      <c r="D22" s="838" t="s">
        <v>102</v>
      </c>
      <c r="E22" s="838" t="s">
        <v>146</v>
      </c>
      <c r="F22" s="838" t="s">
        <v>8</v>
      </c>
      <c r="G22" s="838" t="s">
        <v>187</v>
      </c>
      <c r="H22" s="838" t="s">
        <v>154</v>
      </c>
      <c r="I22" s="839"/>
      <c r="J22" s="839"/>
      <c r="K22" s="839"/>
      <c r="L22" s="839"/>
      <c r="M22" s="839">
        <v>2416.1</v>
      </c>
      <c r="N22" s="839"/>
      <c r="O22" s="839">
        <v>247.8</v>
      </c>
      <c r="P22" s="839">
        <v>798.5</v>
      </c>
      <c r="Q22" s="839">
        <f>632.7+450+100-44.4+500-32</f>
        <v>1606.3</v>
      </c>
      <c r="R22" s="839"/>
      <c r="S22" s="839"/>
      <c r="T22" s="839"/>
      <c r="U22" s="839"/>
      <c r="V22" s="840">
        <f t="shared" si="3"/>
        <v>5068.7</v>
      </c>
      <c r="W22" s="806"/>
      <c r="X22" s="824"/>
    </row>
    <row r="23" spans="1:28" ht="24.75" customHeight="1" x14ac:dyDescent="0.2">
      <c r="A23" s="806"/>
      <c r="B23" s="826"/>
      <c r="C23" s="845">
        <v>964</v>
      </c>
      <c r="D23" s="849" t="s">
        <v>101</v>
      </c>
      <c r="E23" s="846" t="s">
        <v>146</v>
      </c>
      <c r="F23" s="846" t="s">
        <v>8</v>
      </c>
      <c r="G23" s="846" t="s">
        <v>179</v>
      </c>
      <c r="H23" s="846" t="s">
        <v>123</v>
      </c>
      <c r="I23" s="847">
        <v>0</v>
      </c>
      <c r="J23" s="847">
        <v>0</v>
      </c>
      <c r="K23" s="847">
        <v>0</v>
      </c>
      <c r="L23" s="847">
        <v>0</v>
      </c>
      <c r="M23" s="847">
        <v>0</v>
      </c>
      <c r="N23" s="839">
        <v>0</v>
      </c>
      <c r="O23" s="839">
        <v>30.5</v>
      </c>
      <c r="P23" s="839">
        <v>999.5</v>
      </c>
      <c r="Q23" s="839">
        <f>802.1+418.1+6.7</f>
        <v>1226.9000000000001</v>
      </c>
      <c r="R23" s="839">
        <v>0</v>
      </c>
      <c r="S23" s="839">
        <v>0</v>
      </c>
      <c r="T23" s="839">
        <v>0</v>
      </c>
      <c r="U23" s="839">
        <v>0</v>
      </c>
      <c r="V23" s="840">
        <f t="shared" si="3"/>
        <v>2256.9</v>
      </c>
      <c r="W23" s="806"/>
    </row>
    <row r="24" spans="1:28" ht="24.75" customHeight="1" x14ac:dyDescent="0.5">
      <c r="A24" s="806"/>
      <c r="B24" s="826"/>
      <c r="C24" s="851">
        <v>964</v>
      </c>
      <c r="D24" s="837" t="s">
        <v>102</v>
      </c>
      <c r="E24" s="838" t="s">
        <v>146</v>
      </c>
      <c r="F24" s="838" t="s">
        <v>8</v>
      </c>
      <c r="G24" s="838" t="s">
        <v>179</v>
      </c>
      <c r="H24" s="838" t="s">
        <v>123</v>
      </c>
      <c r="I24" s="839">
        <v>0</v>
      </c>
      <c r="J24" s="839">
        <v>0</v>
      </c>
      <c r="K24" s="839">
        <v>74.900000000000006</v>
      </c>
      <c r="L24" s="839">
        <v>0</v>
      </c>
      <c r="M24" s="839"/>
      <c r="N24" s="839">
        <v>0</v>
      </c>
      <c r="O24" s="839">
        <v>0</v>
      </c>
      <c r="P24" s="839">
        <v>0</v>
      </c>
      <c r="Q24" s="839">
        <v>331.4</v>
      </c>
      <c r="R24" s="839">
        <v>0</v>
      </c>
      <c r="S24" s="839">
        <v>0</v>
      </c>
      <c r="T24" s="839">
        <v>0</v>
      </c>
      <c r="U24" s="839">
        <v>0</v>
      </c>
      <c r="V24" s="840">
        <f t="shared" si="3"/>
        <v>406.29999999999995</v>
      </c>
      <c r="W24" s="806"/>
      <c r="Y24" s="852" t="s">
        <v>404</v>
      </c>
      <c r="Z24" s="852" t="s">
        <v>405</v>
      </c>
      <c r="AA24" s="852" t="s">
        <v>417</v>
      </c>
      <c r="AB24" s="853" t="s">
        <v>406</v>
      </c>
    </row>
    <row r="25" spans="1:28" ht="24.75" customHeight="1" x14ac:dyDescent="0.5">
      <c r="A25" s="806"/>
      <c r="B25" s="826"/>
      <c r="C25" s="845">
        <v>964</v>
      </c>
      <c r="D25" s="849" t="s">
        <v>499</v>
      </c>
      <c r="E25" s="846" t="s">
        <v>500</v>
      </c>
      <c r="F25" s="846" t="s">
        <v>8</v>
      </c>
      <c r="G25" s="846" t="s">
        <v>187</v>
      </c>
      <c r="H25" s="846" t="s">
        <v>122</v>
      </c>
      <c r="I25" s="847"/>
      <c r="J25" s="847"/>
      <c r="K25" s="847"/>
      <c r="L25" s="847"/>
      <c r="M25" s="847"/>
      <c r="N25" s="839"/>
      <c r="O25" s="839"/>
      <c r="P25" s="839"/>
      <c r="Q25" s="839"/>
      <c r="R25" s="839">
        <f>3496.7+1093.7-21.7-2.3+389-32.8-215.4+385.7+283.4</f>
        <v>5376.2999999999993</v>
      </c>
      <c r="S25" s="839">
        <v>6178</v>
      </c>
      <c r="T25" s="839">
        <v>6178</v>
      </c>
      <c r="U25" s="839">
        <v>6178</v>
      </c>
      <c r="V25" s="840">
        <f t="shared" si="3"/>
        <v>23910.3</v>
      </c>
      <c r="W25" s="806"/>
      <c r="Y25" s="852"/>
      <c r="Z25" s="852"/>
      <c r="AA25" s="852"/>
      <c r="AB25" s="853"/>
    </row>
    <row r="26" spans="1:28" ht="24.75" customHeight="1" x14ac:dyDescent="0.5">
      <c r="A26" s="806"/>
      <c r="B26" s="826"/>
      <c r="C26" s="836">
        <v>964</v>
      </c>
      <c r="D26" s="837" t="s">
        <v>499</v>
      </c>
      <c r="E26" s="838" t="s">
        <v>146</v>
      </c>
      <c r="F26" s="838" t="s">
        <v>8</v>
      </c>
      <c r="G26" s="838" t="s">
        <v>501</v>
      </c>
      <c r="H26" s="838" t="s">
        <v>122</v>
      </c>
      <c r="I26" s="839"/>
      <c r="J26" s="839"/>
      <c r="K26" s="839"/>
      <c r="L26" s="839"/>
      <c r="M26" s="839"/>
      <c r="N26" s="839"/>
      <c r="O26" s="839"/>
      <c r="P26" s="839"/>
      <c r="Q26" s="839"/>
      <c r="R26" s="839">
        <f>2442.8-1093.7+181.5-49.4</f>
        <v>1481.2</v>
      </c>
      <c r="S26" s="839">
        <f>2283.9+517.8</f>
        <v>2801.7</v>
      </c>
      <c r="T26" s="839">
        <v>2283.9</v>
      </c>
      <c r="U26" s="839">
        <v>2283.9</v>
      </c>
      <c r="V26" s="840">
        <f t="shared" si="3"/>
        <v>8850.6999999999989</v>
      </c>
      <c r="W26" s="806"/>
      <c r="Y26" s="852"/>
      <c r="Z26" s="852"/>
      <c r="AA26" s="852"/>
      <c r="AB26" s="853"/>
    </row>
    <row r="27" spans="1:28" ht="24.75" customHeight="1" x14ac:dyDescent="0.5">
      <c r="A27" s="812"/>
      <c r="B27" s="826"/>
      <c r="C27" s="854">
        <v>964</v>
      </c>
      <c r="D27" s="837" t="s">
        <v>499</v>
      </c>
      <c r="E27" s="855" t="s">
        <v>146</v>
      </c>
      <c r="F27" s="855" t="s">
        <v>8</v>
      </c>
      <c r="G27" s="855" t="s">
        <v>432</v>
      </c>
      <c r="H27" s="855" t="s">
        <v>154</v>
      </c>
      <c r="I27" s="856"/>
      <c r="J27" s="856"/>
      <c r="K27" s="856"/>
      <c r="L27" s="856"/>
      <c r="M27" s="856"/>
      <c r="N27" s="857"/>
      <c r="O27" s="857"/>
      <c r="P27" s="857"/>
      <c r="Q27" s="857"/>
      <c r="R27" s="857">
        <v>32.799999999999997</v>
      </c>
      <c r="S27" s="857">
        <v>0</v>
      </c>
      <c r="T27" s="857">
        <v>0</v>
      </c>
      <c r="U27" s="857">
        <v>0</v>
      </c>
      <c r="V27" s="840">
        <f t="shared" si="3"/>
        <v>32.799999999999997</v>
      </c>
      <c r="W27" s="806"/>
      <c r="Y27" s="852"/>
      <c r="Z27" s="852"/>
      <c r="AA27" s="852"/>
      <c r="AB27" s="853"/>
    </row>
    <row r="28" spans="1:28" ht="108.75" customHeight="1" x14ac:dyDescent="0.2">
      <c r="A28" s="858" t="s">
        <v>430</v>
      </c>
      <c r="B28" s="859"/>
      <c r="C28" s="854">
        <v>964</v>
      </c>
      <c r="D28" s="860" t="s">
        <v>101</v>
      </c>
      <c r="E28" s="855" t="s">
        <v>146</v>
      </c>
      <c r="F28" s="855" t="s">
        <v>8</v>
      </c>
      <c r="G28" s="855" t="s">
        <v>431</v>
      </c>
      <c r="H28" s="855" t="s">
        <v>121</v>
      </c>
      <c r="I28" s="856">
        <v>0</v>
      </c>
      <c r="J28" s="856">
        <v>0</v>
      </c>
      <c r="K28" s="856">
        <v>0</v>
      </c>
      <c r="L28" s="856">
        <v>0</v>
      </c>
      <c r="M28" s="856">
        <v>0</v>
      </c>
      <c r="N28" s="857">
        <v>0</v>
      </c>
      <c r="O28" s="857">
        <v>0</v>
      </c>
      <c r="P28" s="857">
        <v>5537.1</v>
      </c>
      <c r="Q28" s="857">
        <f>5630.8+460.4-245.2+127.9</f>
        <v>5973.9</v>
      </c>
      <c r="R28" s="857">
        <v>0</v>
      </c>
      <c r="S28" s="857">
        <v>0</v>
      </c>
      <c r="T28" s="857">
        <v>0</v>
      </c>
      <c r="U28" s="857">
        <v>0</v>
      </c>
      <c r="V28" s="861">
        <f t="shared" si="3"/>
        <v>11511</v>
      </c>
      <c r="W28" s="806"/>
    </row>
    <row r="29" spans="1:28" ht="40.5" x14ac:dyDescent="0.2">
      <c r="A29" s="862" t="s">
        <v>180</v>
      </c>
      <c r="B29" s="859"/>
      <c r="C29" s="845">
        <v>964</v>
      </c>
      <c r="D29" s="849" t="s">
        <v>102</v>
      </c>
      <c r="E29" s="846" t="s">
        <v>146</v>
      </c>
      <c r="F29" s="846" t="s">
        <v>8</v>
      </c>
      <c r="G29" s="846" t="s">
        <v>446</v>
      </c>
      <c r="H29" s="846" t="s">
        <v>121</v>
      </c>
      <c r="I29" s="847">
        <v>357.6</v>
      </c>
      <c r="J29" s="847">
        <v>678.9</v>
      </c>
      <c r="K29" s="847">
        <v>1574.6</v>
      </c>
      <c r="L29" s="847">
        <v>754.4</v>
      </c>
      <c r="M29" s="847">
        <v>815.8</v>
      </c>
      <c r="N29" s="847">
        <f>369.5+7.2</f>
        <v>376.7</v>
      </c>
      <c r="O29" s="847">
        <v>1298</v>
      </c>
      <c r="P29" s="847">
        <v>698.2</v>
      </c>
      <c r="Q29" s="847">
        <f>554.9+55.5+23.5+49.6</f>
        <v>683.5</v>
      </c>
      <c r="R29" s="847">
        <f>607.7+20.9+41.8</f>
        <v>670.4</v>
      </c>
      <c r="S29" s="847">
        <f>646+85.6</f>
        <v>731.6</v>
      </c>
      <c r="T29" s="847">
        <v>646</v>
      </c>
      <c r="U29" s="847">
        <v>646</v>
      </c>
      <c r="V29" s="840">
        <f t="shared" si="3"/>
        <v>9931.6999999999989</v>
      </c>
      <c r="W29" s="806"/>
    </row>
    <row r="30" spans="1:28" ht="57" customHeight="1" x14ac:dyDescent="0.2">
      <c r="A30" s="863" t="s">
        <v>434</v>
      </c>
      <c r="B30" s="859"/>
      <c r="C30" s="845">
        <v>964</v>
      </c>
      <c r="D30" s="849" t="s">
        <v>102</v>
      </c>
      <c r="E30" s="846" t="s">
        <v>146</v>
      </c>
      <c r="F30" s="846" t="s">
        <v>8</v>
      </c>
      <c r="G30" s="846" t="s">
        <v>433</v>
      </c>
      <c r="H30" s="846" t="s">
        <v>122</v>
      </c>
      <c r="I30" s="847">
        <v>0</v>
      </c>
      <c r="J30" s="847">
        <v>0</v>
      </c>
      <c r="K30" s="847">
        <v>0</v>
      </c>
      <c r="L30" s="847">
        <v>0</v>
      </c>
      <c r="M30" s="847">
        <v>0</v>
      </c>
      <c r="N30" s="839">
        <v>0</v>
      </c>
      <c r="O30" s="839">
        <v>0</v>
      </c>
      <c r="P30" s="839">
        <v>14881.2</v>
      </c>
      <c r="Q30" s="839">
        <f>16202.9+797.7+126.9+405.5</f>
        <v>17533</v>
      </c>
      <c r="R30" s="839">
        <v>0</v>
      </c>
      <c r="S30" s="839">
        <v>0</v>
      </c>
      <c r="T30" s="839">
        <v>0</v>
      </c>
      <c r="U30" s="839">
        <v>0</v>
      </c>
      <c r="V30" s="840">
        <f t="shared" si="3"/>
        <v>32414.2</v>
      </c>
      <c r="W30" s="806"/>
    </row>
    <row r="31" spans="1:28" ht="57" customHeight="1" x14ac:dyDescent="0.2">
      <c r="A31" s="864"/>
      <c r="B31" s="859"/>
      <c r="C31" s="845">
        <v>964</v>
      </c>
      <c r="D31" s="849" t="s">
        <v>101</v>
      </c>
      <c r="E31" s="846" t="s">
        <v>146</v>
      </c>
      <c r="F31" s="846" t="s">
        <v>8</v>
      </c>
      <c r="G31" s="846" t="s">
        <v>433</v>
      </c>
      <c r="H31" s="846" t="s">
        <v>122</v>
      </c>
      <c r="I31" s="847"/>
      <c r="J31" s="847"/>
      <c r="K31" s="847"/>
      <c r="L31" s="847"/>
      <c r="M31" s="847"/>
      <c r="N31" s="847"/>
      <c r="O31" s="847"/>
      <c r="P31" s="847"/>
      <c r="Q31" s="847"/>
      <c r="R31" s="847">
        <f>4189.2+57.1+86+235.7+37.3+100</f>
        <v>4705.3</v>
      </c>
      <c r="S31" s="847">
        <f>10172+1531.7</f>
        <v>11703.7</v>
      </c>
      <c r="T31" s="847">
        <v>10172</v>
      </c>
      <c r="U31" s="847">
        <v>10172</v>
      </c>
      <c r="V31" s="840">
        <f t="shared" si="3"/>
        <v>36753</v>
      </c>
      <c r="W31" s="806"/>
    </row>
    <row r="32" spans="1:28" ht="57" customHeight="1" x14ac:dyDescent="0.2">
      <c r="A32" s="865"/>
      <c r="B32" s="859"/>
      <c r="C32" s="845">
        <v>964</v>
      </c>
      <c r="D32" s="849" t="s">
        <v>499</v>
      </c>
      <c r="E32" s="846" t="s">
        <v>146</v>
      </c>
      <c r="F32" s="846" t="s">
        <v>8</v>
      </c>
      <c r="G32" s="846" t="s">
        <v>433</v>
      </c>
      <c r="H32" s="846" t="s">
        <v>122</v>
      </c>
      <c r="I32" s="847"/>
      <c r="J32" s="847"/>
      <c r="K32" s="847"/>
      <c r="L32" s="847"/>
      <c r="M32" s="847"/>
      <c r="N32" s="847"/>
      <c r="O32" s="847"/>
      <c r="P32" s="847"/>
      <c r="Q32" s="847"/>
      <c r="R32" s="847">
        <f>19344.4+276.3+257.5-20+172.2+135.2+794.2+306.8+57</f>
        <v>21323.600000000002</v>
      </c>
      <c r="S32" s="847">
        <f>17302+2474.1</f>
        <v>19776.099999999999</v>
      </c>
      <c r="T32" s="847">
        <v>17302</v>
      </c>
      <c r="U32" s="847">
        <v>17302</v>
      </c>
      <c r="V32" s="840">
        <f t="shared" si="3"/>
        <v>75703.7</v>
      </c>
      <c r="W32" s="806"/>
    </row>
    <row r="33" spans="1:25" ht="48.75" customHeight="1" x14ac:dyDescent="0.2">
      <c r="A33" s="866" t="s">
        <v>257</v>
      </c>
      <c r="B33" s="859"/>
      <c r="C33" s="836">
        <v>964</v>
      </c>
      <c r="D33" s="837" t="s">
        <v>101</v>
      </c>
      <c r="E33" s="838" t="s">
        <v>146</v>
      </c>
      <c r="F33" s="838" t="s">
        <v>8</v>
      </c>
      <c r="G33" s="838" t="s">
        <v>256</v>
      </c>
      <c r="H33" s="838" t="s">
        <v>121</v>
      </c>
      <c r="I33" s="847">
        <v>0</v>
      </c>
      <c r="J33" s="847">
        <v>0</v>
      </c>
      <c r="K33" s="847">
        <v>0</v>
      </c>
      <c r="L33" s="847">
        <v>544.29999999999995</v>
      </c>
      <c r="M33" s="847">
        <v>569</v>
      </c>
      <c r="N33" s="847">
        <v>595.4</v>
      </c>
      <c r="O33" s="847"/>
      <c r="P33" s="847">
        <v>0</v>
      </c>
      <c r="Q33" s="847">
        <v>0</v>
      </c>
      <c r="R33" s="847">
        <v>0</v>
      </c>
      <c r="S33" s="847">
        <v>0</v>
      </c>
      <c r="T33" s="847">
        <v>0</v>
      </c>
      <c r="U33" s="847">
        <v>0</v>
      </c>
      <c r="V33" s="840">
        <f t="shared" si="3"/>
        <v>1708.6999999999998</v>
      </c>
      <c r="W33" s="806"/>
      <c r="Y33" s="824"/>
    </row>
    <row r="34" spans="1:25" ht="20.25" customHeight="1" x14ac:dyDescent="0.2">
      <c r="A34" s="863" t="s">
        <v>292</v>
      </c>
      <c r="B34" s="859"/>
      <c r="C34" s="845">
        <v>964</v>
      </c>
      <c r="D34" s="867">
        <v>1102</v>
      </c>
      <c r="E34" s="846" t="s">
        <v>146</v>
      </c>
      <c r="F34" s="846" t="s">
        <v>8</v>
      </c>
      <c r="G34" s="846" t="s">
        <v>182</v>
      </c>
      <c r="H34" s="846" t="s">
        <v>121</v>
      </c>
      <c r="I34" s="847">
        <v>0</v>
      </c>
      <c r="J34" s="847">
        <v>0</v>
      </c>
      <c r="K34" s="847">
        <v>0</v>
      </c>
      <c r="L34" s="847">
        <v>55.1</v>
      </c>
      <c r="M34" s="847">
        <v>155.19999999999999</v>
      </c>
      <c r="N34" s="847">
        <v>57.6</v>
      </c>
      <c r="O34" s="847"/>
      <c r="P34" s="847">
        <v>0</v>
      </c>
      <c r="Q34" s="847">
        <v>0</v>
      </c>
      <c r="R34" s="847">
        <v>0</v>
      </c>
      <c r="S34" s="847">
        <v>0</v>
      </c>
      <c r="T34" s="847">
        <v>0</v>
      </c>
      <c r="U34" s="847">
        <v>0</v>
      </c>
      <c r="V34" s="840">
        <f t="shared" si="3"/>
        <v>267.89999999999998</v>
      </c>
      <c r="W34" s="806"/>
      <c r="X34" s="868"/>
      <c r="Y34" s="824"/>
    </row>
    <row r="35" spans="1:25" ht="20.25" customHeight="1" x14ac:dyDescent="0.2">
      <c r="A35" s="864"/>
      <c r="B35" s="859"/>
      <c r="C35" s="845">
        <v>964</v>
      </c>
      <c r="D35" s="867">
        <v>1102</v>
      </c>
      <c r="E35" s="846" t="s">
        <v>146</v>
      </c>
      <c r="F35" s="846" t="s">
        <v>8</v>
      </c>
      <c r="G35" s="846" t="s">
        <v>380</v>
      </c>
      <c r="H35" s="846" t="s">
        <v>121</v>
      </c>
      <c r="I35" s="847">
        <v>0</v>
      </c>
      <c r="J35" s="847">
        <v>0</v>
      </c>
      <c r="K35" s="847">
        <v>0</v>
      </c>
      <c r="L35" s="847">
        <v>0</v>
      </c>
      <c r="M35" s="847">
        <v>0</v>
      </c>
      <c r="N35" s="839">
        <v>1120.5</v>
      </c>
      <c r="O35" s="839">
        <v>1229.5999999999999</v>
      </c>
      <c r="P35" s="839">
        <v>0</v>
      </c>
      <c r="Q35" s="839">
        <v>0</v>
      </c>
      <c r="R35" s="839">
        <v>0</v>
      </c>
      <c r="S35" s="839">
        <v>0</v>
      </c>
      <c r="T35" s="839">
        <v>0</v>
      </c>
      <c r="U35" s="839">
        <v>0</v>
      </c>
      <c r="V35" s="840">
        <f t="shared" si="3"/>
        <v>2350.1</v>
      </c>
      <c r="W35" s="806"/>
    </row>
    <row r="36" spans="1:25" ht="20.25" customHeight="1" x14ac:dyDescent="0.2">
      <c r="A36" s="864"/>
      <c r="B36" s="859"/>
      <c r="C36" s="845">
        <v>964</v>
      </c>
      <c r="D36" s="867">
        <v>1102</v>
      </c>
      <c r="E36" s="846" t="s">
        <v>146</v>
      </c>
      <c r="F36" s="846" t="s">
        <v>8</v>
      </c>
      <c r="G36" s="846" t="s">
        <v>182</v>
      </c>
      <c r="H36" s="846" t="s">
        <v>122</v>
      </c>
      <c r="I36" s="847">
        <v>0</v>
      </c>
      <c r="J36" s="847">
        <v>0</v>
      </c>
      <c r="K36" s="847">
        <v>0</v>
      </c>
      <c r="L36" s="847">
        <v>0</v>
      </c>
      <c r="M36" s="847">
        <v>0</v>
      </c>
      <c r="N36" s="847">
        <v>159.19999999999999</v>
      </c>
      <c r="O36" s="847">
        <v>0</v>
      </c>
      <c r="P36" s="847">
        <v>0</v>
      </c>
      <c r="Q36" s="847">
        <v>0</v>
      </c>
      <c r="R36" s="847">
        <v>0</v>
      </c>
      <c r="S36" s="847">
        <v>0</v>
      </c>
      <c r="T36" s="847">
        <v>0</v>
      </c>
      <c r="U36" s="847">
        <v>0</v>
      </c>
      <c r="V36" s="840">
        <f t="shared" si="3"/>
        <v>159.19999999999999</v>
      </c>
      <c r="W36" s="806"/>
      <c r="X36" s="868"/>
      <c r="Y36" s="824"/>
    </row>
    <row r="37" spans="1:25" ht="20.25" customHeight="1" x14ac:dyDescent="0.2">
      <c r="A37" s="865"/>
      <c r="B37" s="859"/>
      <c r="C37" s="850" t="s">
        <v>119</v>
      </c>
      <c r="D37" s="838" t="s">
        <v>258</v>
      </c>
      <c r="E37" s="838" t="s">
        <v>146</v>
      </c>
      <c r="F37" s="838" t="s">
        <v>8</v>
      </c>
      <c r="G37" s="838" t="s">
        <v>181</v>
      </c>
      <c r="H37" s="838" t="s">
        <v>122</v>
      </c>
      <c r="I37" s="839"/>
      <c r="J37" s="839"/>
      <c r="K37" s="839"/>
      <c r="L37" s="839"/>
      <c r="M37" s="839">
        <v>1793.5</v>
      </c>
      <c r="N37" s="839">
        <f>997.2+439.6+80+167.8</f>
        <v>1684.6000000000001</v>
      </c>
      <c r="O37" s="839">
        <v>1317.2</v>
      </c>
      <c r="P37" s="839">
        <v>0</v>
      </c>
      <c r="Q37" s="839">
        <v>0</v>
      </c>
      <c r="R37" s="839">
        <v>0</v>
      </c>
      <c r="S37" s="839">
        <v>0</v>
      </c>
      <c r="T37" s="839">
        <v>0</v>
      </c>
      <c r="U37" s="839">
        <v>0</v>
      </c>
      <c r="V37" s="840">
        <f t="shared" si="3"/>
        <v>4795.3</v>
      </c>
      <c r="W37" s="806"/>
      <c r="X37" s="824"/>
    </row>
    <row r="38" spans="1:25" ht="203.25" customHeight="1" x14ac:dyDescent="0.2">
      <c r="A38" s="869" t="s">
        <v>458</v>
      </c>
      <c r="B38" s="859"/>
      <c r="C38" s="850" t="s">
        <v>119</v>
      </c>
      <c r="D38" s="838" t="s">
        <v>258</v>
      </c>
      <c r="E38" s="838" t="s">
        <v>146</v>
      </c>
      <c r="F38" s="838" t="s">
        <v>8</v>
      </c>
      <c r="G38" s="838" t="s">
        <v>389</v>
      </c>
      <c r="H38" s="838" t="s">
        <v>122</v>
      </c>
      <c r="I38" s="839"/>
      <c r="J38" s="839"/>
      <c r="K38" s="839"/>
      <c r="L38" s="839"/>
      <c r="M38" s="839"/>
      <c r="N38" s="839">
        <v>42.3</v>
      </c>
      <c r="O38" s="839"/>
      <c r="P38" s="839"/>
      <c r="Q38" s="839"/>
      <c r="R38" s="839"/>
      <c r="S38" s="839"/>
      <c r="T38" s="839"/>
      <c r="U38" s="839"/>
      <c r="V38" s="840">
        <f t="shared" si="3"/>
        <v>42.3</v>
      </c>
      <c r="W38" s="806"/>
      <c r="X38" s="824"/>
    </row>
    <row r="39" spans="1:25" ht="28.5" customHeight="1" x14ac:dyDescent="0.2">
      <c r="A39" s="870" t="s">
        <v>287</v>
      </c>
      <c r="B39" s="859"/>
      <c r="C39" s="850" t="s">
        <v>119</v>
      </c>
      <c r="D39" s="838" t="s">
        <v>258</v>
      </c>
      <c r="E39" s="838" t="s">
        <v>146</v>
      </c>
      <c r="F39" s="838" t="s">
        <v>8</v>
      </c>
      <c r="G39" s="838" t="s">
        <v>288</v>
      </c>
      <c r="H39" s="838" t="s">
        <v>121</v>
      </c>
      <c r="I39" s="839"/>
      <c r="J39" s="839"/>
      <c r="K39" s="839"/>
      <c r="L39" s="839"/>
      <c r="M39" s="839">
        <v>14.8</v>
      </c>
      <c r="N39" s="839"/>
      <c r="O39" s="839"/>
      <c r="P39" s="839"/>
      <c r="Q39" s="839"/>
      <c r="R39" s="839"/>
      <c r="S39" s="839"/>
      <c r="T39" s="839"/>
      <c r="U39" s="839"/>
      <c r="V39" s="840">
        <f t="shared" si="3"/>
        <v>14.8</v>
      </c>
      <c r="W39" s="806"/>
      <c r="X39" s="824"/>
    </row>
    <row r="40" spans="1:25" ht="28.5" customHeight="1" x14ac:dyDescent="0.2">
      <c r="A40" s="871"/>
      <c r="B40" s="859"/>
      <c r="C40" s="850" t="s">
        <v>119</v>
      </c>
      <c r="D40" s="838" t="s">
        <v>258</v>
      </c>
      <c r="E40" s="838" t="s">
        <v>146</v>
      </c>
      <c r="F40" s="838" t="s">
        <v>8</v>
      </c>
      <c r="G40" s="838" t="s">
        <v>289</v>
      </c>
      <c r="H40" s="838" t="s">
        <v>122</v>
      </c>
      <c r="I40" s="839"/>
      <c r="J40" s="839"/>
      <c r="K40" s="839"/>
      <c r="L40" s="839"/>
      <c r="M40" s="839">
        <v>402.2</v>
      </c>
      <c r="N40" s="839"/>
      <c r="O40" s="839"/>
      <c r="P40" s="839"/>
      <c r="Q40" s="839"/>
      <c r="R40" s="839"/>
      <c r="S40" s="839"/>
      <c r="T40" s="839"/>
      <c r="U40" s="839"/>
      <c r="V40" s="840">
        <f t="shared" si="3"/>
        <v>402.2</v>
      </c>
      <c r="W40" s="806"/>
      <c r="X40" s="824"/>
    </row>
    <row r="41" spans="1:25" ht="28.5" customHeight="1" x14ac:dyDescent="0.2">
      <c r="A41" s="872"/>
      <c r="B41" s="859"/>
      <c r="C41" s="850" t="s">
        <v>119</v>
      </c>
      <c r="D41" s="838" t="s">
        <v>271</v>
      </c>
      <c r="E41" s="838" t="s">
        <v>146</v>
      </c>
      <c r="F41" s="838" t="s">
        <v>8</v>
      </c>
      <c r="G41" s="838" t="s">
        <v>288</v>
      </c>
      <c r="H41" s="838" t="s">
        <v>121</v>
      </c>
      <c r="I41" s="839"/>
      <c r="J41" s="839"/>
      <c r="K41" s="839"/>
      <c r="L41" s="839"/>
      <c r="M41" s="839">
        <v>24.8</v>
      </c>
      <c r="N41" s="839"/>
      <c r="O41" s="839"/>
      <c r="P41" s="839"/>
      <c r="Q41" s="839"/>
      <c r="R41" s="839"/>
      <c r="S41" s="839"/>
      <c r="T41" s="839"/>
      <c r="U41" s="839"/>
      <c r="V41" s="840">
        <f t="shared" si="3"/>
        <v>24.8</v>
      </c>
      <c r="W41" s="806"/>
      <c r="X41" s="824"/>
    </row>
    <row r="42" spans="1:25" ht="213" customHeight="1" x14ac:dyDescent="0.2">
      <c r="A42" s="869" t="s">
        <v>290</v>
      </c>
      <c r="B42" s="859"/>
      <c r="C42" s="850" t="s">
        <v>119</v>
      </c>
      <c r="D42" s="838" t="s">
        <v>258</v>
      </c>
      <c r="E42" s="838" t="s">
        <v>146</v>
      </c>
      <c r="F42" s="838" t="s">
        <v>8</v>
      </c>
      <c r="G42" s="838" t="s">
        <v>291</v>
      </c>
      <c r="H42" s="838" t="s">
        <v>122</v>
      </c>
      <c r="I42" s="839"/>
      <c r="J42" s="839"/>
      <c r="K42" s="839"/>
      <c r="L42" s="839"/>
      <c r="M42" s="839"/>
      <c r="N42" s="839">
        <v>962.6</v>
      </c>
      <c r="O42" s="839">
        <v>757.1</v>
      </c>
      <c r="P42" s="839"/>
      <c r="Q42" s="839"/>
      <c r="R42" s="839"/>
      <c r="S42" s="839"/>
      <c r="T42" s="839"/>
      <c r="U42" s="839"/>
      <c r="V42" s="840">
        <f t="shared" si="3"/>
        <v>1719.7</v>
      </c>
      <c r="W42" s="806"/>
      <c r="X42" s="824"/>
    </row>
    <row r="43" spans="1:25" ht="90" customHeight="1" x14ac:dyDescent="0.2">
      <c r="A43" s="870" t="s">
        <v>290</v>
      </c>
      <c r="B43" s="859"/>
      <c r="C43" s="850" t="s">
        <v>119</v>
      </c>
      <c r="D43" s="838" t="s">
        <v>271</v>
      </c>
      <c r="E43" s="838" t="s">
        <v>146</v>
      </c>
      <c r="F43" s="838" t="s">
        <v>8</v>
      </c>
      <c r="G43" s="838" t="s">
        <v>409</v>
      </c>
      <c r="H43" s="838" t="s">
        <v>121</v>
      </c>
      <c r="I43" s="839"/>
      <c r="J43" s="839"/>
      <c r="K43" s="839"/>
      <c r="L43" s="839"/>
      <c r="M43" s="839"/>
      <c r="N43" s="839"/>
      <c r="O43" s="839">
        <v>167.2</v>
      </c>
      <c r="P43" s="839"/>
      <c r="Q43" s="839"/>
      <c r="R43" s="839"/>
      <c r="S43" s="839"/>
      <c r="T43" s="839"/>
      <c r="U43" s="839"/>
      <c r="V43" s="840">
        <f t="shared" si="3"/>
        <v>167.2</v>
      </c>
      <c r="W43" s="806"/>
      <c r="X43" s="824"/>
    </row>
    <row r="44" spans="1:25" ht="117.75" customHeight="1" x14ac:dyDescent="0.2">
      <c r="A44" s="872"/>
      <c r="B44" s="859"/>
      <c r="C44" s="850" t="s">
        <v>119</v>
      </c>
      <c r="D44" s="838" t="s">
        <v>258</v>
      </c>
      <c r="E44" s="838" t="s">
        <v>146</v>
      </c>
      <c r="F44" s="838" t="s">
        <v>8</v>
      </c>
      <c r="G44" s="838" t="s">
        <v>409</v>
      </c>
      <c r="H44" s="838" t="s">
        <v>122</v>
      </c>
      <c r="I44" s="839"/>
      <c r="J44" s="839"/>
      <c r="K44" s="839"/>
      <c r="L44" s="839"/>
      <c r="M44" s="839"/>
      <c r="N44" s="839"/>
      <c r="O44" s="839">
        <v>133.80000000000001</v>
      </c>
      <c r="P44" s="839"/>
      <c r="Q44" s="839"/>
      <c r="R44" s="839"/>
      <c r="S44" s="839"/>
      <c r="T44" s="839"/>
      <c r="U44" s="839"/>
      <c r="V44" s="840">
        <f t="shared" si="3"/>
        <v>133.80000000000001</v>
      </c>
      <c r="W44" s="806"/>
      <c r="X44" s="824"/>
    </row>
    <row r="45" spans="1:25" ht="36" customHeight="1" x14ac:dyDescent="0.2">
      <c r="A45" s="870" t="s">
        <v>426</v>
      </c>
      <c r="B45" s="859"/>
      <c r="C45" s="850" t="s">
        <v>119</v>
      </c>
      <c r="D45" s="838" t="s">
        <v>258</v>
      </c>
      <c r="E45" s="838" t="s">
        <v>146</v>
      </c>
      <c r="F45" s="838" t="s">
        <v>8</v>
      </c>
      <c r="G45" s="838" t="s">
        <v>425</v>
      </c>
      <c r="H45" s="838" t="s">
        <v>121</v>
      </c>
      <c r="I45" s="839"/>
      <c r="J45" s="839"/>
      <c r="K45" s="839"/>
      <c r="L45" s="839"/>
      <c r="M45" s="839"/>
      <c r="N45" s="839"/>
      <c r="O45" s="839">
        <v>4</v>
      </c>
      <c r="P45" s="839"/>
      <c r="Q45" s="839"/>
      <c r="R45" s="839"/>
      <c r="S45" s="839"/>
      <c r="T45" s="839"/>
      <c r="U45" s="839"/>
      <c r="V45" s="840">
        <f t="shared" si="3"/>
        <v>4</v>
      </c>
      <c r="W45" s="806"/>
      <c r="X45" s="824"/>
    </row>
    <row r="46" spans="1:25" ht="36" customHeight="1" x14ac:dyDescent="0.2">
      <c r="A46" s="871"/>
      <c r="B46" s="859"/>
      <c r="C46" s="850" t="s">
        <v>119</v>
      </c>
      <c r="D46" s="838" t="s">
        <v>258</v>
      </c>
      <c r="E46" s="838" t="s">
        <v>146</v>
      </c>
      <c r="F46" s="838" t="s">
        <v>8</v>
      </c>
      <c r="G46" s="838" t="s">
        <v>425</v>
      </c>
      <c r="H46" s="838" t="s">
        <v>122</v>
      </c>
      <c r="I46" s="839"/>
      <c r="J46" s="839"/>
      <c r="K46" s="839"/>
      <c r="L46" s="839"/>
      <c r="M46" s="839"/>
      <c r="N46" s="839"/>
      <c r="O46" s="839">
        <v>26.9</v>
      </c>
      <c r="P46" s="839"/>
      <c r="Q46" s="839"/>
      <c r="R46" s="839"/>
      <c r="S46" s="839"/>
      <c r="T46" s="839"/>
      <c r="U46" s="839"/>
      <c r="V46" s="840">
        <f t="shared" si="3"/>
        <v>26.9</v>
      </c>
      <c r="W46" s="806"/>
      <c r="X46" s="824"/>
    </row>
    <row r="47" spans="1:25" ht="36" customHeight="1" x14ac:dyDescent="0.2">
      <c r="A47" s="872"/>
      <c r="B47" s="859"/>
      <c r="C47" s="850" t="s">
        <v>119</v>
      </c>
      <c r="D47" s="838" t="s">
        <v>271</v>
      </c>
      <c r="E47" s="838" t="s">
        <v>146</v>
      </c>
      <c r="F47" s="838" t="s">
        <v>8</v>
      </c>
      <c r="G47" s="838" t="s">
        <v>425</v>
      </c>
      <c r="H47" s="838" t="s">
        <v>121</v>
      </c>
      <c r="I47" s="839"/>
      <c r="J47" s="839"/>
      <c r="K47" s="839"/>
      <c r="L47" s="839"/>
      <c r="M47" s="839"/>
      <c r="N47" s="839"/>
      <c r="O47" s="839">
        <v>29.5</v>
      </c>
      <c r="P47" s="839"/>
      <c r="Q47" s="839"/>
      <c r="R47" s="839"/>
      <c r="S47" s="839"/>
      <c r="T47" s="839"/>
      <c r="U47" s="839"/>
      <c r="V47" s="840">
        <f t="shared" si="3"/>
        <v>29.5</v>
      </c>
      <c r="W47" s="806"/>
      <c r="X47" s="824"/>
    </row>
    <row r="48" spans="1:25" ht="148.5" customHeight="1" x14ac:dyDescent="0.2">
      <c r="A48" s="873" t="s">
        <v>497</v>
      </c>
      <c r="B48" s="859"/>
      <c r="C48" s="850" t="s">
        <v>119</v>
      </c>
      <c r="D48" s="838" t="s">
        <v>258</v>
      </c>
      <c r="E48" s="838" t="s">
        <v>146</v>
      </c>
      <c r="F48" s="838" t="s">
        <v>8</v>
      </c>
      <c r="G48" s="838" t="s">
        <v>496</v>
      </c>
      <c r="H48" s="838" t="s">
        <v>122</v>
      </c>
      <c r="I48" s="839"/>
      <c r="J48" s="839"/>
      <c r="K48" s="839"/>
      <c r="L48" s="839"/>
      <c r="M48" s="839"/>
      <c r="N48" s="839"/>
      <c r="O48" s="839"/>
      <c r="P48" s="839"/>
      <c r="Q48" s="839">
        <v>182.3</v>
      </c>
      <c r="R48" s="839"/>
      <c r="S48" s="839"/>
      <c r="T48" s="839"/>
      <c r="U48" s="839"/>
      <c r="V48" s="840">
        <f t="shared" si="3"/>
        <v>182.3</v>
      </c>
      <c r="W48" s="806"/>
      <c r="X48" s="824"/>
    </row>
    <row r="49" spans="1:28" ht="148.5" customHeight="1" x14ac:dyDescent="0.2">
      <c r="A49" s="873" t="s">
        <v>497</v>
      </c>
      <c r="B49" s="859"/>
      <c r="C49" s="850" t="s">
        <v>119</v>
      </c>
      <c r="D49" s="838" t="s">
        <v>271</v>
      </c>
      <c r="E49" s="838" t="s">
        <v>146</v>
      </c>
      <c r="F49" s="838" t="s">
        <v>8</v>
      </c>
      <c r="G49" s="838" t="s">
        <v>496</v>
      </c>
      <c r="H49" s="838" t="s">
        <v>121</v>
      </c>
      <c r="I49" s="839"/>
      <c r="J49" s="839"/>
      <c r="K49" s="839"/>
      <c r="L49" s="839"/>
      <c r="M49" s="839"/>
      <c r="N49" s="839"/>
      <c r="O49" s="839"/>
      <c r="P49" s="839"/>
      <c r="Q49" s="839">
        <v>202.6</v>
      </c>
      <c r="R49" s="839"/>
      <c r="S49" s="839"/>
      <c r="T49" s="839"/>
      <c r="U49" s="839"/>
      <c r="V49" s="840">
        <f t="shared" si="3"/>
        <v>202.6</v>
      </c>
      <c r="W49" s="806"/>
      <c r="X49" s="824"/>
    </row>
    <row r="50" spans="1:28" ht="101.25" customHeight="1" x14ac:dyDescent="0.2">
      <c r="A50" s="870" t="s">
        <v>403</v>
      </c>
      <c r="B50" s="859"/>
      <c r="C50" s="850" t="s">
        <v>119</v>
      </c>
      <c r="D50" s="838" t="s">
        <v>258</v>
      </c>
      <c r="E50" s="838" t="s">
        <v>146</v>
      </c>
      <c r="F50" s="838" t="s">
        <v>8</v>
      </c>
      <c r="G50" s="838" t="s">
        <v>402</v>
      </c>
      <c r="H50" s="838" t="s">
        <v>122</v>
      </c>
      <c r="I50" s="839"/>
      <c r="J50" s="839"/>
      <c r="K50" s="839"/>
      <c r="L50" s="839"/>
      <c r="M50" s="839"/>
      <c r="N50" s="839">
        <v>73.400000000000006</v>
      </c>
      <c r="O50" s="839"/>
      <c r="P50" s="839"/>
      <c r="Q50" s="839"/>
      <c r="R50" s="839"/>
      <c r="S50" s="839"/>
      <c r="T50" s="839"/>
      <c r="U50" s="839"/>
      <c r="V50" s="840">
        <f t="shared" si="3"/>
        <v>73.400000000000006</v>
      </c>
      <c r="W50" s="806"/>
      <c r="X50" s="824"/>
    </row>
    <row r="51" spans="1:28" ht="45.6" customHeight="1" x14ac:dyDescent="0.2">
      <c r="A51" s="872"/>
      <c r="B51" s="859"/>
      <c r="C51" s="850" t="s">
        <v>119</v>
      </c>
      <c r="D51" s="838" t="s">
        <v>258</v>
      </c>
      <c r="E51" s="838" t="s">
        <v>146</v>
      </c>
      <c r="F51" s="838" t="s">
        <v>8</v>
      </c>
      <c r="G51" s="838" t="s">
        <v>402</v>
      </c>
      <c r="H51" s="838" t="s">
        <v>121</v>
      </c>
      <c r="I51" s="839"/>
      <c r="J51" s="839"/>
      <c r="K51" s="839"/>
      <c r="L51" s="839"/>
      <c r="M51" s="839"/>
      <c r="N51" s="839">
        <v>15.5</v>
      </c>
      <c r="O51" s="839"/>
      <c r="P51" s="839"/>
      <c r="Q51" s="839"/>
      <c r="R51" s="839"/>
      <c r="S51" s="839"/>
      <c r="T51" s="839"/>
      <c r="U51" s="839"/>
      <c r="V51" s="840">
        <f t="shared" si="3"/>
        <v>15.5</v>
      </c>
      <c r="W51" s="806"/>
      <c r="X51" s="824"/>
    </row>
    <row r="52" spans="1:28" ht="40.5" customHeight="1" x14ac:dyDescent="0.2">
      <c r="A52" s="870" t="s">
        <v>397</v>
      </c>
      <c r="B52" s="859"/>
      <c r="C52" s="850" t="s">
        <v>119</v>
      </c>
      <c r="D52" s="838" t="s">
        <v>258</v>
      </c>
      <c r="E52" s="838" t="s">
        <v>146</v>
      </c>
      <c r="F52" s="838" t="s">
        <v>8</v>
      </c>
      <c r="G52" s="838" t="s">
        <v>398</v>
      </c>
      <c r="H52" s="838" t="s">
        <v>122</v>
      </c>
      <c r="I52" s="839"/>
      <c r="J52" s="839"/>
      <c r="K52" s="839"/>
      <c r="L52" s="839"/>
      <c r="M52" s="839"/>
      <c r="N52" s="839">
        <v>19.399999999999999</v>
      </c>
      <c r="O52" s="839"/>
      <c r="P52" s="839"/>
      <c r="Q52" s="839"/>
      <c r="R52" s="839"/>
      <c r="S52" s="839"/>
      <c r="T52" s="839"/>
      <c r="U52" s="839"/>
      <c r="V52" s="840">
        <f t="shared" si="3"/>
        <v>19.399999999999999</v>
      </c>
      <c r="W52" s="806"/>
      <c r="X52" s="824"/>
    </row>
    <row r="53" spans="1:28" ht="40.5" customHeight="1" x14ac:dyDescent="0.2">
      <c r="A53" s="872"/>
      <c r="B53" s="859"/>
      <c r="C53" s="850" t="s">
        <v>119</v>
      </c>
      <c r="D53" s="838" t="s">
        <v>258</v>
      </c>
      <c r="E53" s="838" t="s">
        <v>146</v>
      </c>
      <c r="F53" s="838" t="s">
        <v>8</v>
      </c>
      <c r="G53" s="838" t="s">
        <v>398</v>
      </c>
      <c r="H53" s="838" t="s">
        <v>121</v>
      </c>
      <c r="I53" s="839"/>
      <c r="J53" s="839"/>
      <c r="K53" s="839"/>
      <c r="L53" s="839"/>
      <c r="M53" s="839"/>
      <c r="N53" s="839">
        <v>4.2</v>
      </c>
      <c r="O53" s="839"/>
      <c r="P53" s="839"/>
      <c r="Q53" s="839"/>
      <c r="R53" s="839"/>
      <c r="S53" s="839"/>
      <c r="T53" s="839"/>
      <c r="U53" s="839"/>
      <c r="V53" s="840">
        <f t="shared" si="3"/>
        <v>4.2</v>
      </c>
      <c r="W53" s="806"/>
      <c r="X53" s="824"/>
    </row>
    <row r="54" spans="1:28" ht="40.5" customHeight="1" x14ac:dyDescent="0.2">
      <c r="A54" s="870" t="s">
        <v>427</v>
      </c>
      <c r="B54" s="859"/>
      <c r="C54" s="850" t="s">
        <v>119</v>
      </c>
      <c r="D54" s="838" t="s">
        <v>271</v>
      </c>
      <c r="E54" s="838" t="s">
        <v>146</v>
      </c>
      <c r="F54" s="838" t="s">
        <v>8</v>
      </c>
      <c r="G54" s="838" t="s">
        <v>418</v>
      </c>
      <c r="H54" s="838" t="s">
        <v>121</v>
      </c>
      <c r="I54" s="839"/>
      <c r="J54" s="839"/>
      <c r="K54" s="839"/>
      <c r="L54" s="839"/>
      <c r="M54" s="839"/>
      <c r="N54" s="839"/>
      <c r="O54" s="839">
        <v>220.6</v>
      </c>
      <c r="P54" s="839"/>
      <c r="Q54" s="839"/>
      <c r="R54" s="839"/>
      <c r="S54" s="839"/>
      <c r="T54" s="839"/>
      <c r="U54" s="839"/>
      <c r="V54" s="840">
        <f t="shared" si="3"/>
        <v>220.6</v>
      </c>
      <c r="W54" s="806"/>
      <c r="X54" s="824"/>
    </row>
    <row r="55" spans="1:28" ht="40.5" customHeight="1" x14ac:dyDescent="0.2">
      <c r="A55" s="872"/>
      <c r="B55" s="859"/>
      <c r="C55" s="850" t="s">
        <v>119</v>
      </c>
      <c r="D55" s="838" t="s">
        <v>258</v>
      </c>
      <c r="E55" s="838" t="s">
        <v>146</v>
      </c>
      <c r="F55" s="838" t="s">
        <v>8</v>
      </c>
      <c r="G55" s="838" t="s">
        <v>418</v>
      </c>
      <c r="H55" s="838" t="s">
        <v>122</v>
      </c>
      <c r="I55" s="839"/>
      <c r="J55" s="839"/>
      <c r="K55" s="839"/>
      <c r="L55" s="839"/>
      <c r="M55" s="839"/>
      <c r="N55" s="839"/>
      <c r="O55" s="839">
        <v>151.30000000000001</v>
      </c>
      <c r="P55" s="839"/>
      <c r="Q55" s="839"/>
      <c r="R55" s="839"/>
      <c r="S55" s="839"/>
      <c r="T55" s="839"/>
      <c r="U55" s="839"/>
      <c r="V55" s="840">
        <f t="shared" si="3"/>
        <v>151.30000000000001</v>
      </c>
      <c r="W55" s="806"/>
      <c r="X55" s="824"/>
    </row>
    <row r="56" spans="1:28" ht="125.25" customHeight="1" x14ac:dyDescent="0.2">
      <c r="A56" s="869" t="s">
        <v>293</v>
      </c>
      <c r="B56" s="859"/>
      <c r="C56" s="850" t="s">
        <v>119</v>
      </c>
      <c r="D56" s="838" t="s">
        <v>258</v>
      </c>
      <c r="E56" s="838" t="s">
        <v>146</v>
      </c>
      <c r="F56" s="838" t="s">
        <v>8</v>
      </c>
      <c r="G56" s="838" t="s">
        <v>294</v>
      </c>
      <c r="H56" s="838" t="s">
        <v>122</v>
      </c>
      <c r="I56" s="839"/>
      <c r="J56" s="839"/>
      <c r="K56" s="839"/>
      <c r="L56" s="839"/>
      <c r="M56" s="839">
        <v>310.60000000000002</v>
      </c>
      <c r="N56" s="839">
        <v>287.89999999999998</v>
      </c>
      <c r="O56" s="839"/>
      <c r="P56" s="839">
        <v>0</v>
      </c>
      <c r="Q56" s="839">
        <v>0</v>
      </c>
      <c r="R56" s="839">
        <v>0</v>
      </c>
      <c r="S56" s="839">
        <v>0</v>
      </c>
      <c r="T56" s="839">
        <v>0</v>
      </c>
      <c r="U56" s="839">
        <v>0</v>
      </c>
      <c r="V56" s="840">
        <f t="shared" si="3"/>
        <v>598.5</v>
      </c>
      <c r="W56" s="806"/>
      <c r="X56" s="824"/>
    </row>
    <row r="57" spans="1:28" ht="63" customHeight="1" x14ac:dyDescent="0.2">
      <c r="A57" s="869" t="s">
        <v>397</v>
      </c>
      <c r="B57" s="859"/>
      <c r="C57" s="850" t="s">
        <v>119</v>
      </c>
      <c r="D57" s="838" t="s">
        <v>271</v>
      </c>
      <c r="E57" s="838" t="s">
        <v>146</v>
      </c>
      <c r="F57" s="838" t="s">
        <v>8</v>
      </c>
      <c r="G57" s="838" t="s">
        <v>398</v>
      </c>
      <c r="H57" s="838" t="s">
        <v>121</v>
      </c>
      <c r="I57" s="839"/>
      <c r="J57" s="839"/>
      <c r="K57" s="839"/>
      <c r="L57" s="839"/>
      <c r="M57" s="839"/>
      <c r="N57" s="839">
        <v>19</v>
      </c>
      <c r="O57" s="839"/>
      <c r="P57" s="839"/>
      <c r="Q57" s="839"/>
      <c r="R57" s="839"/>
      <c r="S57" s="839"/>
      <c r="T57" s="839"/>
      <c r="U57" s="839"/>
      <c r="V57" s="840">
        <f t="shared" si="3"/>
        <v>19</v>
      </c>
      <c r="W57" s="806"/>
      <c r="X57" s="824"/>
    </row>
    <row r="58" spans="1:28" ht="123.75" customHeight="1" x14ac:dyDescent="0.2">
      <c r="A58" s="869" t="s">
        <v>293</v>
      </c>
      <c r="B58" s="859"/>
      <c r="C58" s="850" t="s">
        <v>119</v>
      </c>
      <c r="D58" s="838" t="s">
        <v>258</v>
      </c>
      <c r="E58" s="838" t="s">
        <v>146</v>
      </c>
      <c r="F58" s="838" t="s">
        <v>8</v>
      </c>
      <c r="G58" s="838" t="s">
        <v>386</v>
      </c>
      <c r="H58" s="838" t="s">
        <v>122</v>
      </c>
      <c r="I58" s="839"/>
      <c r="J58" s="839"/>
      <c r="K58" s="839"/>
      <c r="L58" s="839"/>
      <c r="M58" s="839">
        <v>333.8</v>
      </c>
      <c r="N58" s="839">
        <v>146.4</v>
      </c>
      <c r="O58" s="839"/>
      <c r="P58" s="839">
        <v>0</v>
      </c>
      <c r="Q58" s="839">
        <v>0</v>
      </c>
      <c r="R58" s="839">
        <v>0</v>
      </c>
      <c r="S58" s="839">
        <v>0</v>
      </c>
      <c r="T58" s="839">
        <v>0</v>
      </c>
      <c r="U58" s="839">
        <v>0</v>
      </c>
      <c r="V58" s="840">
        <f t="shared" si="3"/>
        <v>480.20000000000005</v>
      </c>
      <c r="W58" s="812"/>
      <c r="X58" s="824"/>
    </row>
    <row r="59" spans="1:28" ht="48.75" customHeight="1" x14ac:dyDescent="0.4">
      <c r="A59" s="874" t="s">
        <v>457</v>
      </c>
      <c r="B59" s="859"/>
      <c r="C59" s="851">
        <v>964</v>
      </c>
      <c r="D59" s="838" t="s">
        <v>258</v>
      </c>
      <c r="E59" s="838" t="s">
        <v>146</v>
      </c>
      <c r="F59" s="838" t="s">
        <v>8</v>
      </c>
      <c r="G59" s="838" t="s">
        <v>210</v>
      </c>
      <c r="H59" s="838" t="s">
        <v>123</v>
      </c>
      <c r="I59" s="839"/>
      <c r="J59" s="839"/>
      <c r="K59" s="839"/>
      <c r="L59" s="839">
        <v>3000</v>
      </c>
      <c r="M59" s="839"/>
      <c r="N59" s="839"/>
      <c r="O59" s="839">
        <v>4200</v>
      </c>
      <c r="P59" s="839"/>
      <c r="Q59" s="839"/>
      <c r="R59" s="839"/>
      <c r="S59" s="839"/>
      <c r="T59" s="839"/>
      <c r="U59" s="839"/>
      <c r="V59" s="840">
        <f t="shared" si="3"/>
        <v>7200</v>
      </c>
      <c r="W59" s="875" t="s">
        <v>487</v>
      </c>
      <c r="X59" s="876" t="s">
        <v>377</v>
      </c>
      <c r="Y59" s="877">
        <f>O11+O13+O33+O34+O29+O15+O23+O35+O24+O67+O63+O72+O60+O83+O76+O79+O92+O18+O22+O37+O58+O56</f>
        <v>22385.699999999997</v>
      </c>
      <c r="Z59" s="843">
        <f>ПР2ПП2!P11+ПР2ПП2!P12+ПР2ПП2!P17+ПР2ПП2!P18+ПР2ПП2!P19+ПР2ПП2!P20+ПР2ПП2!P35+ПР2ПП2!P37+ПР2ПП2!P43+ПР2ПП2!P44+ПР2ПП2!P24+ПР2ПП2!P58+ПР2ПП2!P42</f>
        <v>9855.7000000000007</v>
      </c>
      <c r="AA59" s="841">
        <f>ПР.2ПП4!P10+ПР.2ПП4!P13+ПР.2ПП4!P14+ПР.2ПП4!P15</f>
        <v>60.8</v>
      </c>
      <c r="AB59" s="843">
        <f>Y59+Z59+AA59</f>
        <v>32302.199999999997</v>
      </c>
    </row>
    <row r="60" spans="1:28" ht="48.75" customHeight="1" x14ac:dyDescent="0.2">
      <c r="A60" s="878"/>
      <c r="B60" s="859"/>
      <c r="C60" s="850" t="s">
        <v>119</v>
      </c>
      <c r="D60" s="838" t="s">
        <v>258</v>
      </c>
      <c r="E60" s="838" t="s">
        <v>146</v>
      </c>
      <c r="F60" s="838" t="s">
        <v>8</v>
      </c>
      <c r="G60" s="838" t="s">
        <v>259</v>
      </c>
      <c r="H60" s="838" t="s">
        <v>123</v>
      </c>
      <c r="I60" s="839"/>
      <c r="J60" s="839"/>
      <c r="K60" s="839"/>
      <c r="L60" s="839">
        <v>1893.4</v>
      </c>
      <c r="M60" s="839"/>
      <c r="N60" s="839"/>
      <c r="O60" s="839">
        <f>400+236.4</f>
        <v>636.4</v>
      </c>
      <c r="P60" s="839"/>
      <c r="Q60" s="839"/>
      <c r="R60" s="839"/>
      <c r="S60" s="839"/>
      <c r="T60" s="839"/>
      <c r="U60" s="839"/>
      <c r="V60" s="840">
        <f t="shared" si="3"/>
        <v>2529.8000000000002</v>
      </c>
      <c r="W60" s="879"/>
      <c r="X60" s="824"/>
      <c r="Z60" s="786" t="s">
        <v>407</v>
      </c>
      <c r="AA60" s="786" t="s">
        <v>408</v>
      </c>
    </row>
    <row r="61" spans="1:28" ht="48.75" customHeight="1" x14ac:dyDescent="0.5">
      <c r="A61" s="878"/>
      <c r="B61" s="859"/>
      <c r="C61" s="851">
        <v>964</v>
      </c>
      <c r="D61" s="838" t="s">
        <v>271</v>
      </c>
      <c r="E61" s="838" t="s">
        <v>146</v>
      </c>
      <c r="F61" s="838" t="s">
        <v>8</v>
      </c>
      <c r="G61" s="838" t="s">
        <v>210</v>
      </c>
      <c r="H61" s="838" t="s">
        <v>123</v>
      </c>
      <c r="I61" s="839"/>
      <c r="J61" s="839"/>
      <c r="K61" s="839"/>
      <c r="L61" s="839"/>
      <c r="M61" s="839">
        <v>1980</v>
      </c>
      <c r="N61" s="839"/>
      <c r="O61" s="839"/>
      <c r="P61" s="839">
        <v>3273.1</v>
      </c>
      <c r="Q61" s="839">
        <f>5000-5000</f>
        <v>0</v>
      </c>
      <c r="R61" s="839"/>
      <c r="S61" s="839"/>
      <c r="T61" s="839"/>
      <c r="U61" s="839"/>
      <c r="V61" s="840">
        <f t="shared" si="3"/>
        <v>5253.1</v>
      </c>
      <c r="W61" s="879"/>
      <c r="X61" s="824"/>
      <c r="Z61" s="880">
        <f>Y72+Z72+AA72</f>
        <v>0</v>
      </c>
      <c r="AA61" s="881">
        <f>Y59+Y67+Z67+Z59+AA72</f>
        <v>45158.600000000006</v>
      </c>
    </row>
    <row r="62" spans="1:28" ht="48.75" customHeight="1" x14ac:dyDescent="0.5">
      <c r="A62" s="878"/>
      <c r="B62" s="859"/>
      <c r="C62" s="851">
        <v>965</v>
      </c>
      <c r="D62" s="838" t="s">
        <v>271</v>
      </c>
      <c r="E62" s="838" t="s">
        <v>146</v>
      </c>
      <c r="F62" s="838" t="s">
        <v>8</v>
      </c>
      <c r="G62" s="838" t="s">
        <v>259</v>
      </c>
      <c r="H62" s="838" t="s">
        <v>123</v>
      </c>
      <c r="I62" s="839"/>
      <c r="J62" s="839"/>
      <c r="K62" s="839"/>
      <c r="L62" s="839"/>
      <c r="M62" s="839"/>
      <c r="N62" s="839"/>
      <c r="O62" s="839"/>
      <c r="P62" s="839"/>
      <c r="Q62" s="839">
        <v>5000</v>
      </c>
      <c r="R62" s="839"/>
      <c r="S62" s="839"/>
      <c r="T62" s="839"/>
      <c r="U62" s="839"/>
      <c r="V62" s="840">
        <f t="shared" si="3"/>
        <v>5000</v>
      </c>
      <c r="W62" s="879"/>
      <c r="X62" s="824"/>
      <c r="Z62" s="880"/>
      <c r="AA62" s="881"/>
    </row>
    <row r="63" spans="1:28" ht="48.75" customHeight="1" x14ac:dyDescent="0.4">
      <c r="A63" s="878"/>
      <c r="B63" s="859"/>
      <c r="C63" s="851">
        <v>964</v>
      </c>
      <c r="D63" s="838" t="s">
        <v>271</v>
      </c>
      <c r="E63" s="838" t="s">
        <v>146</v>
      </c>
      <c r="F63" s="838" t="s">
        <v>8</v>
      </c>
      <c r="G63" s="838" t="s">
        <v>259</v>
      </c>
      <c r="H63" s="838" t="s">
        <v>123</v>
      </c>
      <c r="I63" s="839"/>
      <c r="J63" s="839"/>
      <c r="K63" s="839"/>
      <c r="L63" s="839"/>
      <c r="M63" s="839">
        <v>2870</v>
      </c>
      <c r="N63" s="839"/>
      <c r="O63" s="839"/>
      <c r="P63" s="839">
        <v>172.4</v>
      </c>
      <c r="Q63" s="839">
        <v>500</v>
      </c>
      <c r="R63" s="839"/>
      <c r="S63" s="839"/>
      <c r="T63" s="839"/>
      <c r="U63" s="839"/>
      <c r="V63" s="840">
        <f t="shared" si="3"/>
        <v>3542.4</v>
      </c>
      <c r="W63" s="882"/>
      <c r="X63" s="876" t="s">
        <v>390</v>
      </c>
      <c r="Y63" s="883">
        <f>O99</f>
        <v>4015.9</v>
      </c>
      <c r="Z63" s="843">
        <f>ПР2ПП2!P62</f>
        <v>5142.1000000000004</v>
      </c>
      <c r="AA63" s="841"/>
      <c r="AB63" s="843">
        <f>Y63+Z63+AA63</f>
        <v>9158</v>
      </c>
    </row>
    <row r="64" spans="1:28" ht="48.75" customHeight="1" x14ac:dyDescent="0.4">
      <c r="A64" s="878"/>
      <c r="B64" s="859"/>
      <c r="C64" s="851">
        <v>964</v>
      </c>
      <c r="D64" s="838" t="s">
        <v>535</v>
      </c>
      <c r="E64" s="838" t="s">
        <v>146</v>
      </c>
      <c r="F64" s="838" t="s">
        <v>8</v>
      </c>
      <c r="G64" s="838" t="s">
        <v>259</v>
      </c>
      <c r="H64" s="838" t="s">
        <v>154</v>
      </c>
      <c r="I64" s="839"/>
      <c r="J64" s="839"/>
      <c r="K64" s="839"/>
      <c r="L64" s="839"/>
      <c r="M64" s="839"/>
      <c r="N64" s="839"/>
      <c r="O64" s="839"/>
      <c r="P64" s="839"/>
      <c r="Q64" s="839"/>
      <c r="R64" s="839">
        <v>9450</v>
      </c>
      <c r="S64" s="839"/>
      <c r="T64" s="839"/>
      <c r="U64" s="839"/>
      <c r="V64" s="840">
        <f t="shared" si="3"/>
        <v>9450</v>
      </c>
      <c r="W64" s="884"/>
      <c r="X64" s="876"/>
      <c r="Y64" s="883"/>
      <c r="Z64" s="843"/>
      <c r="AA64" s="841"/>
      <c r="AB64" s="843"/>
    </row>
    <row r="65" spans="1:28" ht="48.75" customHeight="1" x14ac:dyDescent="0.4">
      <c r="A65" s="885"/>
      <c r="B65" s="859"/>
      <c r="C65" s="851">
        <v>964</v>
      </c>
      <c r="D65" s="838" t="s">
        <v>535</v>
      </c>
      <c r="E65" s="838" t="s">
        <v>146</v>
      </c>
      <c r="F65" s="838" t="s">
        <v>8</v>
      </c>
      <c r="G65" s="838" t="s">
        <v>259</v>
      </c>
      <c r="H65" s="838" t="s">
        <v>154</v>
      </c>
      <c r="I65" s="839"/>
      <c r="J65" s="839"/>
      <c r="K65" s="839"/>
      <c r="L65" s="839"/>
      <c r="M65" s="839"/>
      <c r="N65" s="839"/>
      <c r="O65" s="839"/>
      <c r="P65" s="839"/>
      <c r="Q65" s="839"/>
      <c r="R65" s="839">
        <v>400</v>
      </c>
      <c r="S65" s="839"/>
      <c r="T65" s="839"/>
      <c r="U65" s="839"/>
      <c r="V65" s="840">
        <f t="shared" si="3"/>
        <v>400</v>
      </c>
      <c r="W65" s="884"/>
      <c r="X65" s="876"/>
      <c r="Y65" s="883"/>
      <c r="Z65" s="843"/>
      <c r="AA65" s="841"/>
      <c r="AB65" s="843"/>
    </row>
    <row r="66" spans="1:28" ht="58.9" customHeight="1" x14ac:dyDescent="0.2">
      <c r="A66" s="886" t="s">
        <v>211</v>
      </c>
      <c r="B66" s="859"/>
      <c r="C66" s="851">
        <v>964</v>
      </c>
      <c r="D66" s="837" t="s">
        <v>101</v>
      </c>
      <c r="E66" s="838" t="s">
        <v>146</v>
      </c>
      <c r="F66" s="838" t="s">
        <v>8</v>
      </c>
      <c r="G66" s="838" t="s">
        <v>212</v>
      </c>
      <c r="H66" s="838" t="s">
        <v>123</v>
      </c>
      <c r="I66" s="839">
        <v>0</v>
      </c>
      <c r="J66" s="839">
        <v>0</v>
      </c>
      <c r="K66" s="839">
        <v>375</v>
      </c>
      <c r="L66" s="839">
        <v>0</v>
      </c>
      <c r="M66" s="839">
        <v>0</v>
      </c>
      <c r="N66" s="839">
        <f>M66</f>
        <v>0</v>
      </c>
      <c r="O66" s="839">
        <v>0</v>
      </c>
      <c r="P66" s="839">
        <v>0</v>
      </c>
      <c r="Q66" s="839">
        <v>0</v>
      </c>
      <c r="R66" s="839">
        <v>0</v>
      </c>
      <c r="S66" s="839">
        <v>0</v>
      </c>
      <c r="T66" s="839">
        <v>0</v>
      </c>
      <c r="U66" s="839">
        <v>0</v>
      </c>
      <c r="V66" s="840">
        <f t="shared" si="3"/>
        <v>375</v>
      </c>
      <c r="W66" s="887" t="s">
        <v>474</v>
      </c>
      <c r="X66" s="824"/>
    </row>
    <row r="67" spans="1:28" ht="58.9" customHeight="1" x14ac:dyDescent="0.4">
      <c r="A67" s="888"/>
      <c r="B67" s="859"/>
      <c r="C67" s="851">
        <v>964</v>
      </c>
      <c r="D67" s="837" t="s">
        <v>101</v>
      </c>
      <c r="E67" s="838" t="s">
        <v>146</v>
      </c>
      <c r="F67" s="838" t="s">
        <v>8</v>
      </c>
      <c r="G67" s="838" t="s">
        <v>213</v>
      </c>
      <c r="H67" s="838" t="s">
        <v>123</v>
      </c>
      <c r="I67" s="839">
        <v>0</v>
      </c>
      <c r="J67" s="839">
        <v>0</v>
      </c>
      <c r="K67" s="839">
        <v>15</v>
      </c>
      <c r="L67" s="839">
        <v>0</v>
      </c>
      <c r="M67" s="839">
        <v>0</v>
      </c>
      <c r="N67" s="839">
        <f>M67</f>
        <v>0</v>
      </c>
      <c r="O67" s="839">
        <v>0</v>
      </c>
      <c r="P67" s="839">
        <v>0</v>
      </c>
      <c r="Q67" s="839">
        <v>0</v>
      </c>
      <c r="R67" s="839">
        <v>0</v>
      </c>
      <c r="S67" s="839">
        <v>0</v>
      </c>
      <c r="T67" s="839">
        <v>0</v>
      </c>
      <c r="U67" s="839">
        <v>0</v>
      </c>
      <c r="V67" s="840">
        <f t="shared" si="3"/>
        <v>15</v>
      </c>
      <c r="W67" s="889"/>
      <c r="X67" s="876" t="s">
        <v>376</v>
      </c>
      <c r="Y67" s="877">
        <f>O66+O59+O70+O75+O61+O82+O77+O90+O38+O39+O40+O41+O42+O43+O44+O50+O51+O52+O53+O57</f>
        <v>9739.9</v>
      </c>
      <c r="Z67" s="843">
        <f>ПР2ПП2!P40+ПР2ПП2!P41+ПР2ПП2!P21+ПР2ПП2!P22+ПР2ПП2!P23+ПР2ПП2!P25+ПР2ПП2!P57+ПР2ПП2!P59+ПР2ПП2!P26+ПР2ПП2!P27+ПР2ПП2!P30</f>
        <v>3177.3</v>
      </c>
      <c r="AA67" s="841">
        <f>ПР.2ПП4!P20+ПР.2ПП4!P19+ПР.2ПП4!P17+ПР.2ПП4!P16</f>
        <v>0</v>
      </c>
      <c r="AB67" s="843">
        <f>Y67+Z67+AA67</f>
        <v>12917.2</v>
      </c>
    </row>
    <row r="68" spans="1:28" ht="58.9" customHeight="1" x14ac:dyDescent="0.4">
      <c r="A68" s="886" t="s">
        <v>538</v>
      </c>
      <c r="B68" s="859"/>
      <c r="C68" s="851">
        <v>964</v>
      </c>
      <c r="D68" s="837" t="s">
        <v>101</v>
      </c>
      <c r="E68" s="838" t="s">
        <v>146</v>
      </c>
      <c r="F68" s="838" t="s">
        <v>8</v>
      </c>
      <c r="G68" s="838" t="s">
        <v>212</v>
      </c>
      <c r="H68" s="838" t="s">
        <v>123</v>
      </c>
      <c r="I68" s="839"/>
      <c r="J68" s="839"/>
      <c r="K68" s="839"/>
      <c r="L68" s="839"/>
      <c r="M68" s="839"/>
      <c r="N68" s="839"/>
      <c r="O68" s="839"/>
      <c r="P68" s="839"/>
      <c r="Q68" s="839"/>
      <c r="R68" s="839">
        <v>35000</v>
      </c>
      <c r="S68" s="839"/>
      <c r="T68" s="839"/>
      <c r="U68" s="839"/>
      <c r="V68" s="840">
        <f t="shared" si="3"/>
        <v>35000</v>
      </c>
      <c r="W68" s="890"/>
      <c r="X68" s="876"/>
      <c r="Y68" s="877"/>
      <c r="Z68" s="843"/>
      <c r="AA68" s="841"/>
      <c r="AB68" s="843"/>
    </row>
    <row r="69" spans="1:28" ht="58.9" customHeight="1" x14ac:dyDescent="0.4">
      <c r="A69" s="888"/>
      <c r="B69" s="859"/>
      <c r="C69" s="851">
        <v>964</v>
      </c>
      <c r="D69" s="837" t="s">
        <v>101</v>
      </c>
      <c r="E69" s="838" t="s">
        <v>146</v>
      </c>
      <c r="F69" s="838" t="s">
        <v>8</v>
      </c>
      <c r="G69" s="838" t="s">
        <v>213</v>
      </c>
      <c r="H69" s="838" t="s">
        <v>123</v>
      </c>
      <c r="I69" s="839"/>
      <c r="J69" s="839"/>
      <c r="K69" s="839"/>
      <c r="L69" s="839"/>
      <c r="M69" s="839"/>
      <c r="N69" s="839"/>
      <c r="O69" s="839"/>
      <c r="P69" s="839"/>
      <c r="Q69" s="839"/>
      <c r="R69" s="839">
        <v>1400</v>
      </c>
      <c r="S69" s="839"/>
      <c r="T69" s="839"/>
      <c r="U69" s="839"/>
      <c r="V69" s="840">
        <f t="shared" si="3"/>
        <v>1400</v>
      </c>
      <c r="W69" s="890"/>
      <c r="X69" s="876"/>
      <c r="Y69" s="877"/>
      <c r="Z69" s="843"/>
      <c r="AA69" s="841"/>
      <c r="AB69" s="843"/>
    </row>
    <row r="70" spans="1:28" ht="126.75" customHeight="1" x14ac:dyDescent="0.4">
      <c r="A70" s="874" t="s">
        <v>460</v>
      </c>
      <c r="B70" s="859"/>
      <c r="C70" s="851">
        <v>964</v>
      </c>
      <c r="D70" s="838" t="s">
        <v>258</v>
      </c>
      <c r="E70" s="838" t="s">
        <v>146</v>
      </c>
      <c r="F70" s="838" t="s">
        <v>8</v>
      </c>
      <c r="G70" s="838" t="s">
        <v>387</v>
      </c>
      <c r="H70" s="838" t="s">
        <v>154</v>
      </c>
      <c r="I70" s="839"/>
      <c r="J70" s="839"/>
      <c r="K70" s="839"/>
      <c r="L70" s="839"/>
      <c r="M70" s="839"/>
      <c r="N70" s="839">
        <v>2160.4</v>
      </c>
      <c r="O70" s="839"/>
      <c r="P70" s="839">
        <v>832.1</v>
      </c>
      <c r="Q70" s="839">
        <f>1120.5-1120.5</f>
        <v>0</v>
      </c>
      <c r="R70" s="839"/>
      <c r="S70" s="839"/>
      <c r="T70" s="839"/>
      <c r="U70" s="839"/>
      <c r="V70" s="840">
        <f t="shared" si="3"/>
        <v>2992.5</v>
      </c>
      <c r="W70" s="887" t="s">
        <v>472</v>
      </c>
      <c r="X70" s="876" t="s">
        <v>406</v>
      </c>
      <c r="Y70" s="877">
        <f>SUM(Y59:Y63)</f>
        <v>26401.599999999999</v>
      </c>
      <c r="Z70" s="877">
        <f>SUM(Z59:Z63)</f>
        <v>14997.800000000001</v>
      </c>
      <c r="AA70" s="877">
        <f>SUM(AA59:AA63)</f>
        <v>45219.400000000009</v>
      </c>
    </row>
    <row r="71" spans="1:28" ht="126.75" customHeight="1" x14ac:dyDescent="0.4">
      <c r="A71" s="878"/>
      <c r="B71" s="859"/>
      <c r="C71" s="851">
        <v>964</v>
      </c>
      <c r="D71" s="838" t="s">
        <v>258</v>
      </c>
      <c r="E71" s="838" t="s">
        <v>146</v>
      </c>
      <c r="F71" s="838" t="s">
        <v>8</v>
      </c>
      <c r="G71" s="838" t="s">
        <v>388</v>
      </c>
      <c r="H71" s="838" t="s">
        <v>154</v>
      </c>
      <c r="I71" s="839"/>
      <c r="J71" s="839"/>
      <c r="K71" s="839"/>
      <c r="L71" s="839"/>
      <c r="M71" s="839"/>
      <c r="N71" s="839"/>
      <c r="O71" s="839"/>
      <c r="P71" s="839"/>
      <c r="Q71" s="839">
        <v>1120.5</v>
      </c>
      <c r="R71" s="839"/>
      <c r="S71" s="839"/>
      <c r="T71" s="839"/>
      <c r="U71" s="839"/>
      <c r="V71" s="840">
        <f t="shared" si="3"/>
        <v>1120.5</v>
      </c>
      <c r="W71" s="891"/>
      <c r="X71" s="876"/>
      <c r="Y71" s="877"/>
      <c r="Z71" s="877"/>
      <c r="AA71" s="877"/>
    </row>
    <row r="72" spans="1:28" ht="141" customHeight="1" x14ac:dyDescent="0.35">
      <c r="A72" s="878"/>
      <c r="B72" s="859"/>
      <c r="C72" s="851">
        <v>964</v>
      </c>
      <c r="D72" s="838" t="s">
        <v>258</v>
      </c>
      <c r="E72" s="838" t="s">
        <v>146</v>
      </c>
      <c r="F72" s="838" t="s">
        <v>8</v>
      </c>
      <c r="G72" s="838" t="s">
        <v>388</v>
      </c>
      <c r="H72" s="838" t="s">
        <v>154</v>
      </c>
      <c r="I72" s="839"/>
      <c r="J72" s="839"/>
      <c r="K72" s="839"/>
      <c r="L72" s="839"/>
      <c r="M72" s="839"/>
      <c r="N72" s="839">
        <v>86.5</v>
      </c>
      <c r="O72" s="839"/>
      <c r="P72" s="839">
        <v>82.3</v>
      </c>
      <c r="Q72" s="839">
        <v>110.8</v>
      </c>
      <c r="R72" s="839"/>
      <c r="S72" s="839"/>
      <c r="T72" s="839"/>
      <c r="U72" s="839"/>
      <c r="V72" s="840">
        <f t="shared" si="3"/>
        <v>279.60000000000002</v>
      </c>
      <c r="W72" s="891"/>
      <c r="X72" s="824"/>
      <c r="Y72" s="892"/>
      <c r="Z72" s="843"/>
      <c r="AA72" s="841"/>
    </row>
    <row r="73" spans="1:28" ht="141" customHeight="1" x14ac:dyDescent="0.35">
      <c r="A73" s="878"/>
      <c r="B73" s="859"/>
      <c r="C73" s="851">
        <v>964</v>
      </c>
      <c r="D73" s="838" t="s">
        <v>535</v>
      </c>
      <c r="E73" s="838" t="s">
        <v>146</v>
      </c>
      <c r="F73" s="838" t="s">
        <v>8</v>
      </c>
      <c r="G73" s="838" t="s">
        <v>388</v>
      </c>
      <c r="H73" s="838" t="s">
        <v>154</v>
      </c>
      <c r="I73" s="839"/>
      <c r="J73" s="839"/>
      <c r="K73" s="839"/>
      <c r="L73" s="839"/>
      <c r="M73" s="839"/>
      <c r="N73" s="839"/>
      <c r="O73" s="839"/>
      <c r="P73" s="839"/>
      <c r="Q73" s="839"/>
      <c r="R73" s="839">
        <v>740.5</v>
      </c>
      <c r="S73" s="839"/>
      <c r="T73" s="839"/>
      <c r="U73" s="839"/>
      <c r="V73" s="840">
        <f t="shared" si="3"/>
        <v>740.5</v>
      </c>
      <c r="W73" s="891"/>
      <c r="X73" s="824"/>
      <c r="Y73" s="892"/>
      <c r="Z73" s="843"/>
      <c r="AA73" s="841"/>
    </row>
    <row r="74" spans="1:28" ht="141" customHeight="1" x14ac:dyDescent="0.35">
      <c r="A74" s="885"/>
      <c r="B74" s="859"/>
      <c r="C74" s="851">
        <v>964</v>
      </c>
      <c r="D74" s="838" t="s">
        <v>535</v>
      </c>
      <c r="E74" s="838" t="s">
        <v>146</v>
      </c>
      <c r="F74" s="838" t="s">
        <v>8</v>
      </c>
      <c r="G74" s="838" t="s">
        <v>388</v>
      </c>
      <c r="H74" s="838" t="s">
        <v>154</v>
      </c>
      <c r="I74" s="839"/>
      <c r="J74" s="839"/>
      <c r="K74" s="839"/>
      <c r="L74" s="839"/>
      <c r="M74" s="839"/>
      <c r="N74" s="839"/>
      <c r="O74" s="839"/>
      <c r="P74" s="839"/>
      <c r="Q74" s="839"/>
      <c r="R74" s="839">
        <v>48</v>
      </c>
      <c r="S74" s="839"/>
      <c r="T74" s="839"/>
      <c r="U74" s="839"/>
      <c r="V74" s="840">
        <f t="shared" si="3"/>
        <v>48</v>
      </c>
      <c r="W74" s="889"/>
      <c r="X74" s="824"/>
      <c r="Y74" s="892"/>
      <c r="Z74" s="843"/>
      <c r="AA74" s="841"/>
    </row>
    <row r="75" spans="1:28" ht="70.5" customHeight="1" x14ac:dyDescent="0.2">
      <c r="A75" s="870" t="s">
        <v>375</v>
      </c>
      <c r="B75" s="859"/>
      <c r="C75" s="851">
        <v>964</v>
      </c>
      <c r="D75" s="838" t="s">
        <v>258</v>
      </c>
      <c r="E75" s="838" t="s">
        <v>146</v>
      </c>
      <c r="F75" s="838" t="s">
        <v>8</v>
      </c>
      <c r="G75" s="838" t="s">
        <v>215</v>
      </c>
      <c r="H75" s="838" t="s">
        <v>154</v>
      </c>
      <c r="I75" s="839"/>
      <c r="J75" s="839"/>
      <c r="K75" s="839"/>
      <c r="L75" s="839"/>
      <c r="M75" s="839">
        <v>386.7</v>
      </c>
      <c r="N75" s="839">
        <v>358.4</v>
      </c>
      <c r="O75" s="839">
        <v>198.2</v>
      </c>
      <c r="P75" s="839">
        <v>673.5</v>
      </c>
      <c r="Q75" s="839"/>
      <c r="R75" s="839"/>
      <c r="S75" s="839"/>
      <c r="T75" s="839"/>
      <c r="U75" s="839"/>
      <c r="V75" s="840">
        <f t="shared" si="3"/>
        <v>1616.8</v>
      </c>
      <c r="W75" s="887" t="s">
        <v>477</v>
      </c>
      <c r="X75" s="824"/>
    </row>
    <row r="76" spans="1:28" ht="81" customHeight="1" x14ac:dyDescent="0.2">
      <c r="A76" s="872"/>
      <c r="B76" s="859"/>
      <c r="C76" s="850" t="s">
        <v>119</v>
      </c>
      <c r="D76" s="838" t="s">
        <v>258</v>
      </c>
      <c r="E76" s="838" t="s">
        <v>146</v>
      </c>
      <c r="F76" s="838" t="s">
        <v>8</v>
      </c>
      <c r="G76" s="838" t="s">
        <v>217</v>
      </c>
      <c r="H76" s="838" t="s">
        <v>154</v>
      </c>
      <c r="I76" s="839"/>
      <c r="J76" s="839"/>
      <c r="K76" s="839"/>
      <c r="L76" s="839"/>
      <c r="M76" s="839">
        <v>15.5</v>
      </c>
      <c r="N76" s="839">
        <v>24</v>
      </c>
      <c r="O76" s="839">
        <v>9</v>
      </c>
      <c r="P76" s="839">
        <v>31.5</v>
      </c>
      <c r="Q76" s="839"/>
      <c r="R76" s="839"/>
      <c r="S76" s="839"/>
      <c r="T76" s="839"/>
      <c r="U76" s="839"/>
      <c r="V76" s="840">
        <f t="shared" si="3"/>
        <v>80</v>
      </c>
      <c r="W76" s="889"/>
      <c r="X76" s="824"/>
    </row>
    <row r="77" spans="1:28" ht="108.75" customHeight="1" x14ac:dyDescent="0.2">
      <c r="A77" s="893" t="s">
        <v>461</v>
      </c>
      <c r="B77" s="859"/>
      <c r="C77" s="850" t="s">
        <v>119</v>
      </c>
      <c r="D77" s="838" t="s">
        <v>258</v>
      </c>
      <c r="E77" s="838" t="s">
        <v>146</v>
      </c>
      <c r="F77" s="838" t="s">
        <v>8</v>
      </c>
      <c r="G77" s="838" t="s">
        <v>254</v>
      </c>
      <c r="H77" s="838" t="s">
        <v>154</v>
      </c>
      <c r="I77" s="839"/>
      <c r="J77" s="839"/>
      <c r="K77" s="839"/>
      <c r="L77" s="839"/>
      <c r="M77" s="839"/>
      <c r="N77" s="839">
        <v>779.2</v>
      </c>
      <c r="O77" s="839">
        <v>283.60000000000002</v>
      </c>
      <c r="P77" s="839">
        <v>51.9</v>
      </c>
      <c r="Q77" s="839">
        <f>73.7-73.7</f>
        <v>0</v>
      </c>
      <c r="R77" s="839"/>
      <c r="S77" s="839"/>
      <c r="T77" s="839"/>
      <c r="U77" s="839"/>
      <c r="V77" s="840">
        <f t="shared" si="3"/>
        <v>1114.7000000000003</v>
      </c>
      <c r="W77" s="887" t="s">
        <v>473</v>
      </c>
      <c r="X77" s="824"/>
    </row>
    <row r="78" spans="1:28" ht="108.75" customHeight="1" x14ac:dyDescent="0.2">
      <c r="A78" s="894"/>
      <c r="B78" s="859"/>
      <c r="C78" s="850" t="s">
        <v>119</v>
      </c>
      <c r="D78" s="838" t="s">
        <v>258</v>
      </c>
      <c r="E78" s="838" t="s">
        <v>146</v>
      </c>
      <c r="F78" s="838" t="s">
        <v>8</v>
      </c>
      <c r="G78" s="838" t="s">
        <v>381</v>
      </c>
      <c r="H78" s="838" t="s">
        <v>154</v>
      </c>
      <c r="I78" s="839"/>
      <c r="J78" s="839"/>
      <c r="K78" s="839"/>
      <c r="L78" s="839"/>
      <c r="M78" s="839"/>
      <c r="N78" s="839"/>
      <c r="O78" s="839"/>
      <c r="P78" s="839"/>
      <c r="Q78" s="839">
        <v>73.7</v>
      </c>
      <c r="R78" s="839"/>
      <c r="S78" s="839"/>
      <c r="T78" s="839"/>
      <c r="U78" s="839"/>
      <c r="V78" s="840">
        <f t="shared" si="3"/>
        <v>73.7</v>
      </c>
      <c r="W78" s="891"/>
      <c r="X78" s="824"/>
    </row>
    <row r="79" spans="1:28" ht="121.5" customHeight="1" x14ac:dyDescent="0.2">
      <c r="A79" s="894"/>
      <c r="B79" s="859"/>
      <c r="C79" s="850" t="s">
        <v>119</v>
      </c>
      <c r="D79" s="838" t="s">
        <v>258</v>
      </c>
      <c r="E79" s="838" t="s">
        <v>146</v>
      </c>
      <c r="F79" s="838" t="s">
        <v>8</v>
      </c>
      <c r="G79" s="838" t="s">
        <v>381</v>
      </c>
      <c r="H79" s="838" t="s">
        <v>154</v>
      </c>
      <c r="I79" s="839"/>
      <c r="J79" s="839"/>
      <c r="K79" s="839"/>
      <c r="L79" s="839"/>
      <c r="M79" s="839"/>
      <c r="N79" s="839">
        <v>8</v>
      </c>
      <c r="O79" s="839">
        <v>2.9</v>
      </c>
      <c r="P79" s="839">
        <v>2.2000000000000002</v>
      </c>
      <c r="Q79" s="839">
        <v>3.1</v>
      </c>
      <c r="R79" s="839"/>
      <c r="S79" s="839"/>
      <c r="T79" s="839"/>
      <c r="U79" s="839"/>
      <c r="V79" s="840">
        <f t="shared" ref="V79:V99" si="4">SUM(I79:U79)</f>
        <v>16.200000000000003</v>
      </c>
      <c r="W79" s="891"/>
      <c r="X79" s="824"/>
    </row>
    <row r="80" spans="1:28" ht="121.5" customHeight="1" x14ac:dyDescent="0.2">
      <c r="A80" s="894"/>
      <c r="B80" s="859"/>
      <c r="C80" s="850" t="s">
        <v>119</v>
      </c>
      <c r="D80" s="838" t="s">
        <v>535</v>
      </c>
      <c r="E80" s="838" t="s">
        <v>146</v>
      </c>
      <c r="F80" s="838" t="s">
        <v>8</v>
      </c>
      <c r="G80" s="838" t="s">
        <v>381</v>
      </c>
      <c r="H80" s="838" t="s">
        <v>154</v>
      </c>
      <c r="I80" s="839"/>
      <c r="J80" s="839"/>
      <c r="K80" s="839"/>
      <c r="L80" s="839"/>
      <c r="M80" s="839"/>
      <c r="N80" s="839"/>
      <c r="O80" s="839"/>
      <c r="P80" s="839"/>
      <c r="Q80" s="839"/>
      <c r="R80" s="839">
        <v>162.1</v>
      </c>
      <c r="S80" s="839"/>
      <c r="T80" s="839"/>
      <c r="U80" s="839"/>
      <c r="V80" s="840">
        <f t="shared" si="4"/>
        <v>162.1</v>
      </c>
      <c r="W80" s="891"/>
      <c r="X80" s="824"/>
    </row>
    <row r="81" spans="1:24" ht="121.5" customHeight="1" x14ac:dyDescent="0.2">
      <c r="A81" s="895"/>
      <c r="B81" s="859"/>
      <c r="C81" s="850" t="s">
        <v>119</v>
      </c>
      <c r="D81" s="838" t="s">
        <v>535</v>
      </c>
      <c r="E81" s="838" t="s">
        <v>146</v>
      </c>
      <c r="F81" s="838" t="s">
        <v>8</v>
      </c>
      <c r="G81" s="838" t="s">
        <v>381</v>
      </c>
      <c r="H81" s="838" t="s">
        <v>154</v>
      </c>
      <c r="I81" s="839"/>
      <c r="J81" s="839"/>
      <c r="K81" s="839"/>
      <c r="L81" s="839"/>
      <c r="M81" s="839"/>
      <c r="N81" s="839"/>
      <c r="O81" s="839"/>
      <c r="P81" s="839"/>
      <c r="Q81" s="839"/>
      <c r="R81" s="839">
        <v>1.7</v>
      </c>
      <c r="S81" s="839"/>
      <c r="T81" s="839"/>
      <c r="U81" s="839"/>
      <c r="V81" s="840">
        <f t="shared" si="4"/>
        <v>1.7</v>
      </c>
      <c r="W81" s="889"/>
      <c r="X81" s="824"/>
    </row>
    <row r="82" spans="1:24" ht="36.75" customHeight="1" x14ac:dyDescent="0.2">
      <c r="A82" s="870" t="s">
        <v>270</v>
      </c>
      <c r="B82" s="859"/>
      <c r="C82" s="850" t="s">
        <v>119</v>
      </c>
      <c r="D82" s="838" t="s">
        <v>271</v>
      </c>
      <c r="E82" s="838" t="s">
        <v>146</v>
      </c>
      <c r="F82" s="838" t="s">
        <v>8</v>
      </c>
      <c r="G82" s="838" t="s">
        <v>272</v>
      </c>
      <c r="H82" s="838" t="s">
        <v>123</v>
      </c>
      <c r="I82" s="839"/>
      <c r="J82" s="839"/>
      <c r="K82" s="839"/>
      <c r="L82" s="839">
        <v>1030</v>
      </c>
      <c r="M82" s="839">
        <v>3800</v>
      </c>
      <c r="N82" s="839">
        <v>3000</v>
      </c>
      <c r="O82" s="839">
        <v>3000</v>
      </c>
      <c r="P82" s="839"/>
      <c r="Q82" s="839"/>
      <c r="R82" s="839"/>
      <c r="S82" s="839"/>
      <c r="T82" s="839"/>
      <c r="U82" s="839"/>
      <c r="V82" s="840">
        <f t="shared" si="4"/>
        <v>10830</v>
      </c>
      <c r="W82" s="887" t="s">
        <v>475</v>
      </c>
      <c r="X82" s="824"/>
    </row>
    <row r="83" spans="1:24" ht="33.75" customHeight="1" x14ac:dyDescent="0.35">
      <c r="A83" s="871"/>
      <c r="B83" s="859"/>
      <c r="C83" s="850" t="s">
        <v>119</v>
      </c>
      <c r="D83" s="838" t="s">
        <v>271</v>
      </c>
      <c r="E83" s="838" t="s">
        <v>146</v>
      </c>
      <c r="F83" s="838" t="s">
        <v>8</v>
      </c>
      <c r="G83" s="838" t="s">
        <v>273</v>
      </c>
      <c r="H83" s="838" t="s">
        <v>123</v>
      </c>
      <c r="I83" s="839"/>
      <c r="J83" s="839"/>
      <c r="K83" s="839"/>
      <c r="L83" s="839">
        <v>120.5</v>
      </c>
      <c r="M83" s="839">
        <v>879</v>
      </c>
      <c r="N83" s="839">
        <f>120+180</f>
        <v>300</v>
      </c>
      <c r="O83" s="839">
        <v>800</v>
      </c>
      <c r="P83" s="839"/>
      <c r="Q83" s="839"/>
      <c r="R83" s="839"/>
      <c r="S83" s="839"/>
      <c r="T83" s="839"/>
      <c r="U83" s="839"/>
      <c r="V83" s="840">
        <f t="shared" si="4"/>
        <v>2099.5</v>
      </c>
      <c r="W83" s="889"/>
      <c r="X83" s="842"/>
    </row>
    <row r="84" spans="1:24" ht="33.75" customHeight="1" x14ac:dyDescent="0.35">
      <c r="A84" s="871"/>
      <c r="B84" s="859"/>
      <c r="C84" s="850" t="s">
        <v>119</v>
      </c>
      <c r="D84" s="838" t="s">
        <v>535</v>
      </c>
      <c r="E84" s="838" t="s">
        <v>146</v>
      </c>
      <c r="F84" s="838" t="s">
        <v>8</v>
      </c>
      <c r="G84" s="838" t="s">
        <v>483</v>
      </c>
      <c r="H84" s="838" t="s">
        <v>154</v>
      </c>
      <c r="I84" s="839"/>
      <c r="J84" s="839"/>
      <c r="K84" s="839"/>
      <c r="L84" s="839"/>
      <c r="M84" s="839"/>
      <c r="N84" s="839"/>
      <c r="O84" s="839"/>
      <c r="P84" s="839"/>
      <c r="Q84" s="839"/>
      <c r="R84" s="839">
        <f>3850-3850</f>
        <v>0</v>
      </c>
      <c r="S84" s="839"/>
      <c r="T84" s="839"/>
      <c r="U84" s="839"/>
      <c r="V84" s="840">
        <f t="shared" si="4"/>
        <v>0</v>
      </c>
      <c r="W84" s="890"/>
      <c r="X84" s="842"/>
    </row>
    <row r="85" spans="1:24" ht="33.75" customHeight="1" x14ac:dyDescent="0.35">
      <c r="A85" s="871"/>
      <c r="B85" s="859"/>
      <c r="C85" s="850" t="s">
        <v>119</v>
      </c>
      <c r="D85" s="838" t="s">
        <v>535</v>
      </c>
      <c r="E85" s="838" t="s">
        <v>146</v>
      </c>
      <c r="F85" s="838" t="s">
        <v>8</v>
      </c>
      <c r="G85" s="838" t="s">
        <v>484</v>
      </c>
      <c r="H85" s="838" t="s">
        <v>154</v>
      </c>
      <c r="I85" s="839"/>
      <c r="J85" s="839"/>
      <c r="K85" s="839"/>
      <c r="L85" s="839"/>
      <c r="M85" s="839"/>
      <c r="N85" s="839"/>
      <c r="O85" s="839"/>
      <c r="P85" s="839"/>
      <c r="Q85" s="839"/>
      <c r="R85" s="839">
        <f>200-200</f>
        <v>0</v>
      </c>
      <c r="S85" s="839"/>
      <c r="T85" s="839"/>
      <c r="U85" s="839"/>
      <c r="V85" s="840">
        <f t="shared" si="4"/>
        <v>0</v>
      </c>
      <c r="W85" s="890"/>
      <c r="X85" s="842"/>
    </row>
    <row r="86" spans="1:24" ht="33.75" customHeight="1" x14ac:dyDescent="0.35">
      <c r="A86" s="871"/>
      <c r="B86" s="859"/>
      <c r="C86" s="850" t="s">
        <v>119</v>
      </c>
      <c r="D86" s="838" t="s">
        <v>271</v>
      </c>
      <c r="E86" s="838" t="s">
        <v>146</v>
      </c>
      <c r="F86" s="838" t="s">
        <v>8</v>
      </c>
      <c r="G86" s="838" t="s">
        <v>483</v>
      </c>
      <c r="H86" s="838" t="s">
        <v>123</v>
      </c>
      <c r="I86" s="839"/>
      <c r="J86" s="839"/>
      <c r="K86" s="839"/>
      <c r="L86" s="839"/>
      <c r="M86" s="839"/>
      <c r="N86" s="839"/>
      <c r="O86" s="839"/>
      <c r="P86" s="839"/>
      <c r="Q86" s="839"/>
      <c r="R86" s="839">
        <v>7700</v>
      </c>
      <c r="S86" s="839"/>
      <c r="T86" s="839"/>
      <c r="U86" s="839"/>
      <c r="V86" s="840">
        <f t="shared" si="4"/>
        <v>7700</v>
      </c>
      <c r="W86" s="890"/>
      <c r="X86" s="842"/>
    </row>
    <row r="87" spans="1:24" ht="33.75" customHeight="1" x14ac:dyDescent="0.35">
      <c r="A87" s="872"/>
      <c r="B87" s="859"/>
      <c r="C87" s="850" t="s">
        <v>119</v>
      </c>
      <c r="D87" s="838" t="s">
        <v>271</v>
      </c>
      <c r="E87" s="838" t="s">
        <v>146</v>
      </c>
      <c r="F87" s="838" t="s">
        <v>8</v>
      </c>
      <c r="G87" s="838" t="s">
        <v>484</v>
      </c>
      <c r="H87" s="838" t="s">
        <v>123</v>
      </c>
      <c r="I87" s="839"/>
      <c r="J87" s="839"/>
      <c r="K87" s="839"/>
      <c r="L87" s="839"/>
      <c r="M87" s="839"/>
      <c r="N87" s="839"/>
      <c r="O87" s="839"/>
      <c r="P87" s="839"/>
      <c r="Q87" s="839"/>
      <c r="R87" s="839">
        <v>400</v>
      </c>
      <c r="S87" s="839"/>
      <c r="T87" s="839"/>
      <c r="U87" s="839"/>
      <c r="V87" s="840">
        <f t="shared" si="4"/>
        <v>400</v>
      </c>
      <c r="W87" s="890"/>
      <c r="X87" s="842"/>
    </row>
    <row r="88" spans="1:24" ht="33.75" customHeight="1" x14ac:dyDescent="0.35">
      <c r="A88" s="870" t="s">
        <v>620</v>
      </c>
      <c r="B88" s="859"/>
      <c r="C88" s="850" t="s">
        <v>119</v>
      </c>
      <c r="D88" s="838" t="s">
        <v>535</v>
      </c>
      <c r="E88" s="838" t="s">
        <v>146</v>
      </c>
      <c r="F88" s="838" t="s">
        <v>8</v>
      </c>
      <c r="G88" s="838" t="s">
        <v>621</v>
      </c>
      <c r="H88" s="838" t="s">
        <v>154</v>
      </c>
      <c r="I88" s="839"/>
      <c r="J88" s="839"/>
      <c r="K88" s="839"/>
      <c r="L88" s="839"/>
      <c r="M88" s="839"/>
      <c r="N88" s="839"/>
      <c r="O88" s="839"/>
      <c r="P88" s="839"/>
      <c r="Q88" s="839"/>
      <c r="R88" s="839"/>
      <c r="S88" s="839">
        <v>3800</v>
      </c>
      <c r="T88" s="839"/>
      <c r="U88" s="839"/>
      <c r="V88" s="840">
        <f t="shared" si="4"/>
        <v>3800</v>
      </c>
      <c r="W88" s="890"/>
      <c r="X88" s="842"/>
    </row>
    <row r="89" spans="1:24" ht="33.75" customHeight="1" x14ac:dyDescent="0.35">
      <c r="A89" s="872"/>
      <c r="B89" s="859"/>
      <c r="C89" s="850" t="s">
        <v>119</v>
      </c>
      <c r="D89" s="838" t="s">
        <v>535</v>
      </c>
      <c r="E89" s="838" t="s">
        <v>146</v>
      </c>
      <c r="F89" s="838" t="s">
        <v>8</v>
      </c>
      <c r="G89" s="838" t="s">
        <v>622</v>
      </c>
      <c r="H89" s="838" t="s">
        <v>154</v>
      </c>
      <c r="I89" s="839"/>
      <c r="J89" s="839"/>
      <c r="K89" s="839"/>
      <c r="L89" s="839"/>
      <c r="M89" s="839"/>
      <c r="N89" s="839"/>
      <c r="O89" s="839"/>
      <c r="P89" s="839"/>
      <c r="Q89" s="839"/>
      <c r="R89" s="839"/>
      <c r="S89" s="839">
        <v>38.4</v>
      </c>
      <c r="T89" s="839"/>
      <c r="U89" s="839"/>
      <c r="V89" s="840">
        <f t="shared" si="4"/>
        <v>38.4</v>
      </c>
      <c r="W89" s="890"/>
      <c r="X89" s="842"/>
    </row>
    <row r="90" spans="1:24" ht="35.25" customHeight="1" x14ac:dyDescent="0.2">
      <c r="A90" s="870" t="s">
        <v>274</v>
      </c>
      <c r="B90" s="859"/>
      <c r="C90" s="850" t="s">
        <v>119</v>
      </c>
      <c r="D90" s="838" t="s">
        <v>271</v>
      </c>
      <c r="E90" s="838" t="s">
        <v>146</v>
      </c>
      <c r="F90" s="838" t="s">
        <v>8</v>
      </c>
      <c r="G90" s="838" t="s">
        <v>275</v>
      </c>
      <c r="H90" s="838" t="s">
        <v>123</v>
      </c>
      <c r="I90" s="839"/>
      <c r="J90" s="839"/>
      <c r="K90" s="839"/>
      <c r="L90" s="839">
        <v>500</v>
      </c>
      <c r="M90" s="839">
        <v>1000</v>
      </c>
      <c r="N90" s="839">
        <v>1000</v>
      </c>
      <c r="O90" s="839">
        <v>1000</v>
      </c>
      <c r="P90" s="839">
        <v>1000</v>
      </c>
      <c r="Q90" s="839">
        <v>1373</v>
      </c>
      <c r="R90" s="839"/>
      <c r="S90" s="839"/>
      <c r="T90" s="839"/>
      <c r="U90" s="839"/>
      <c r="V90" s="840">
        <f t="shared" si="4"/>
        <v>5873</v>
      </c>
      <c r="W90" s="875" t="s">
        <v>476</v>
      </c>
      <c r="X90" s="824"/>
    </row>
    <row r="91" spans="1:24" ht="35.25" customHeight="1" x14ac:dyDescent="0.2">
      <c r="A91" s="871"/>
      <c r="B91" s="859"/>
      <c r="C91" s="850" t="s">
        <v>119</v>
      </c>
      <c r="D91" s="838" t="s">
        <v>535</v>
      </c>
      <c r="E91" s="838" t="s">
        <v>146</v>
      </c>
      <c r="F91" s="838" t="s">
        <v>8</v>
      </c>
      <c r="G91" s="838" t="s">
        <v>275</v>
      </c>
      <c r="H91" s="838" t="s">
        <v>154</v>
      </c>
      <c r="I91" s="839"/>
      <c r="J91" s="839"/>
      <c r="K91" s="839"/>
      <c r="L91" s="839"/>
      <c r="M91" s="839"/>
      <c r="N91" s="839"/>
      <c r="O91" s="839"/>
      <c r="P91" s="839"/>
      <c r="Q91" s="839"/>
      <c r="R91" s="839">
        <v>674.1</v>
      </c>
      <c r="S91" s="839">
        <v>718.5</v>
      </c>
      <c r="T91" s="839"/>
      <c r="U91" s="839"/>
      <c r="V91" s="840">
        <f t="shared" si="4"/>
        <v>1392.6</v>
      </c>
      <c r="W91" s="879"/>
      <c r="X91" s="824"/>
    </row>
    <row r="92" spans="1:24" ht="29.25" customHeight="1" x14ac:dyDescent="0.2">
      <c r="A92" s="872"/>
      <c r="B92" s="859"/>
      <c r="C92" s="850" t="s">
        <v>119</v>
      </c>
      <c r="D92" s="838" t="s">
        <v>271</v>
      </c>
      <c r="E92" s="838" t="s">
        <v>146</v>
      </c>
      <c r="F92" s="838" t="s">
        <v>8</v>
      </c>
      <c r="G92" s="838" t="s">
        <v>276</v>
      </c>
      <c r="H92" s="838" t="s">
        <v>123</v>
      </c>
      <c r="I92" s="839"/>
      <c r="J92" s="839"/>
      <c r="K92" s="839"/>
      <c r="L92" s="839">
        <v>20</v>
      </c>
      <c r="M92" s="839">
        <v>40</v>
      </c>
      <c r="N92" s="839">
        <v>40</v>
      </c>
      <c r="O92" s="839">
        <v>42</v>
      </c>
      <c r="P92" s="839">
        <v>45</v>
      </c>
      <c r="Q92" s="839"/>
      <c r="R92" s="839"/>
      <c r="S92" s="839"/>
      <c r="T92" s="839"/>
      <c r="U92" s="839"/>
      <c r="V92" s="840">
        <f t="shared" si="4"/>
        <v>187</v>
      </c>
      <c r="W92" s="882"/>
      <c r="X92" s="824"/>
    </row>
    <row r="93" spans="1:24" ht="35.25" customHeight="1" x14ac:dyDescent="0.2">
      <c r="A93" s="870" t="s">
        <v>274</v>
      </c>
      <c r="B93" s="859"/>
      <c r="C93" s="850" t="s">
        <v>119</v>
      </c>
      <c r="D93" s="838" t="s">
        <v>271</v>
      </c>
      <c r="E93" s="838" t="s">
        <v>146</v>
      </c>
      <c r="F93" s="838" t="s">
        <v>8</v>
      </c>
      <c r="G93" s="838" t="s">
        <v>483</v>
      </c>
      <c r="H93" s="838" t="s">
        <v>123</v>
      </c>
      <c r="I93" s="839"/>
      <c r="J93" s="839"/>
      <c r="K93" s="839"/>
      <c r="L93" s="839"/>
      <c r="M93" s="839"/>
      <c r="N93" s="839"/>
      <c r="O93" s="839"/>
      <c r="P93" s="839"/>
      <c r="Q93" s="839">
        <v>4000</v>
      </c>
      <c r="R93" s="839"/>
      <c r="S93" s="839"/>
      <c r="T93" s="839"/>
      <c r="U93" s="839"/>
      <c r="V93" s="840">
        <f t="shared" si="4"/>
        <v>4000</v>
      </c>
      <c r="W93" s="875" t="s">
        <v>486</v>
      </c>
      <c r="X93" s="824"/>
    </row>
    <row r="94" spans="1:24" ht="29.25" customHeight="1" x14ac:dyDescent="0.2">
      <c r="A94" s="872"/>
      <c r="B94" s="859"/>
      <c r="C94" s="850" t="s">
        <v>119</v>
      </c>
      <c r="D94" s="838" t="s">
        <v>271</v>
      </c>
      <c r="E94" s="838" t="s">
        <v>146</v>
      </c>
      <c r="F94" s="838" t="s">
        <v>8</v>
      </c>
      <c r="G94" s="838" t="s">
        <v>484</v>
      </c>
      <c r="H94" s="838" t="s">
        <v>123</v>
      </c>
      <c r="I94" s="839"/>
      <c r="J94" s="839"/>
      <c r="K94" s="839"/>
      <c r="L94" s="839"/>
      <c r="M94" s="839"/>
      <c r="N94" s="839"/>
      <c r="O94" s="839"/>
      <c r="P94" s="839"/>
      <c r="Q94" s="839">
        <v>170</v>
      </c>
      <c r="R94" s="839"/>
      <c r="S94" s="839"/>
      <c r="T94" s="839"/>
      <c r="U94" s="839"/>
      <c r="V94" s="840">
        <f t="shared" si="4"/>
        <v>170</v>
      </c>
      <c r="W94" s="882"/>
      <c r="X94" s="824"/>
    </row>
    <row r="95" spans="1:24" ht="135.75" customHeight="1" x14ac:dyDescent="0.2">
      <c r="A95" s="896" t="s">
        <v>491</v>
      </c>
      <c r="B95" s="859"/>
      <c r="C95" s="850" t="s">
        <v>119</v>
      </c>
      <c r="D95" s="838" t="s">
        <v>258</v>
      </c>
      <c r="E95" s="838" t="s">
        <v>146</v>
      </c>
      <c r="F95" s="838" t="s">
        <v>8</v>
      </c>
      <c r="G95" s="838" t="s">
        <v>210</v>
      </c>
      <c r="H95" s="838" t="s">
        <v>154</v>
      </c>
      <c r="I95" s="839"/>
      <c r="J95" s="839"/>
      <c r="K95" s="839"/>
      <c r="L95" s="839"/>
      <c r="M95" s="839"/>
      <c r="N95" s="839"/>
      <c r="O95" s="839"/>
      <c r="P95" s="839"/>
      <c r="Q95" s="839">
        <f>4750-4750</f>
        <v>0</v>
      </c>
      <c r="R95" s="839"/>
      <c r="S95" s="839"/>
      <c r="T95" s="839"/>
      <c r="U95" s="839"/>
      <c r="V95" s="840">
        <f t="shared" si="4"/>
        <v>0</v>
      </c>
      <c r="W95" s="897" t="s">
        <v>494</v>
      </c>
      <c r="X95" s="824"/>
    </row>
    <row r="96" spans="1:24" ht="167.25" customHeight="1" x14ac:dyDescent="0.2">
      <c r="A96" s="896" t="s">
        <v>544</v>
      </c>
      <c r="B96" s="859"/>
      <c r="C96" s="850" t="s">
        <v>119</v>
      </c>
      <c r="D96" s="838" t="s">
        <v>271</v>
      </c>
      <c r="E96" s="838" t="s">
        <v>146</v>
      </c>
      <c r="F96" s="838" t="s">
        <v>8</v>
      </c>
      <c r="G96" s="838" t="s">
        <v>545</v>
      </c>
      <c r="H96" s="838" t="s">
        <v>123</v>
      </c>
      <c r="I96" s="839"/>
      <c r="J96" s="839"/>
      <c r="K96" s="839"/>
      <c r="L96" s="839"/>
      <c r="M96" s="839"/>
      <c r="N96" s="839"/>
      <c r="O96" s="839"/>
      <c r="P96" s="839"/>
      <c r="Q96" s="839">
        <f>4750-4750</f>
        <v>0</v>
      </c>
      <c r="R96" s="839">
        <v>6600</v>
      </c>
      <c r="S96" s="839"/>
      <c r="T96" s="839"/>
      <c r="U96" s="839"/>
      <c r="V96" s="840">
        <f t="shared" ref="V96" si="5">SUM(I96:U96)</f>
        <v>6600</v>
      </c>
      <c r="W96" s="897" t="s">
        <v>494</v>
      </c>
      <c r="X96" s="824"/>
    </row>
    <row r="97" spans="1:24" ht="135.75" customHeight="1" x14ac:dyDescent="0.2">
      <c r="A97" s="896" t="s">
        <v>491</v>
      </c>
      <c r="B97" s="859"/>
      <c r="C97" s="850" t="s">
        <v>119</v>
      </c>
      <c r="D97" s="838" t="s">
        <v>258</v>
      </c>
      <c r="E97" s="838" t="s">
        <v>146</v>
      </c>
      <c r="F97" s="838" t="s">
        <v>8</v>
      </c>
      <c r="G97" s="838" t="s">
        <v>259</v>
      </c>
      <c r="H97" s="838" t="s">
        <v>154</v>
      </c>
      <c r="I97" s="839"/>
      <c r="J97" s="839"/>
      <c r="K97" s="839"/>
      <c r="L97" s="839"/>
      <c r="M97" s="839"/>
      <c r="N97" s="839"/>
      <c r="O97" s="839"/>
      <c r="P97" s="839"/>
      <c r="Q97" s="839">
        <v>4750</v>
      </c>
      <c r="R97" s="839"/>
      <c r="S97" s="839"/>
      <c r="T97" s="839"/>
      <c r="U97" s="839"/>
      <c r="V97" s="840">
        <f t="shared" si="4"/>
        <v>4750</v>
      </c>
      <c r="W97" s="897"/>
      <c r="X97" s="824"/>
    </row>
    <row r="98" spans="1:24" ht="232.5" customHeight="1" x14ac:dyDescent="0.2">
      <c r="A98" s="896" t="s">
        <v>493</v>
      </c>
      <c r="B98" s="859"/>
      <c r="C98" s="850" t="s">
        <v>119</v>
      </c>
      <c r="D98" s="838" t="s">
        <v>258</v>
      </c>
      <c r="E98" s="838" t="s">
        <v>146</v>
      </c>
      <c r="F98" s="838" t="s">
        <v>8</v>
      </c>
      <c r="G98" s="838" t="s">
        <v>259</v>
      </c>
      <c r="H98" s="838" t="s">
        <v>154</v>
      </c>
      <c r="I98" s="839"/>
      <c r="J98" s="839"/>
      <c r="K98" s="839"/>
      <c r="L98" s="839"/>
      <c r="M98" s="839"/>
      <c r="N98" s="839"/>
      <c r="O98" s="839"/>
      <c r="P98" s="839"/>
      <c r="Q98" s="839">
        <v>250</v>
      </c>
      <c r="R98" s="839"/>
      <c r="S98" s="839"/>
      <c r="T98" s="839"/>
      <c r="U98" s="839"/>
      <c r="V98" s="840">
        <f t="shared" si="4"/>
        <v>250</v>
      </c>
      <c r="W98" s="897" t="s">
        <v>495</v>
      </c>
      <c r="X98" s="824"/>
    </row>
    <row r="99" spans="1:24" ht="23.25" x14ac:dyDescent="0.2">
      <c r="A99" s="869" t="s">
        <v>74</v>
      </c>
      <c r="B99" s="862"/>
      <c r="C99" s="850"/>
      <c r="D99" s="838"/>
      <c r="E99" s="838"/>
      <c r="F99" s="838"/>
      <c r="G99" s="838"/>
      <c r="H99" s="838"/>
      <c r="I99" s="839">
        <v>3536.3</v>
      </c>
      <c r="J99" s="839">
        <v>4708.5</v>
      </c>
      <c r="K99" s="839">
        <v>3801</v>
      </c>
      <c r="L99" s="839">
        <v>3369.6</v>
      </c>
      <c r="M99" s="839">
        <v>5229</v>
      </c>
      <c r="N99" s="839">
        <f>5579+281.1+13.1</f>
        <v>5873.2000000000007</v>
      </c>
      <c r="O99" s="839">
        <f>3642.8+352.5+20.6</f>
        <v>4015.9</v>
      </c>
      <c r="P99" s="839">
        <f>40.5+5824</f>
        <v>5864.5</v>
      </c>
      <c r="Q99" s="839">
        <v>7327.6</v>
      </c>
      <c r="R99" s="839">
        <f>(7523.2+24.8+235.5+407.1)+(10.6+90.9+201.5+579)</f>
        <v>9072.6</v>
      </c>
      <c r="S99" s="839">
        <f>8722.7+470+565</f>
        <v>9757.7000000000007</v>
      </c>
      <c r="T99" s="839">
        <f>8722.7+470+565</f>
        <v>9757.7000000000007</v>
      </c>
      <c r="U99" s="839">
        <f>8722.7+470+565</f>
        <v>9757.7000000000007</v>
      </c>
      <c r="V99" s="840">
        <f t="shared" si="4"/>
        <v>82071.299999999988</v>
      </c>
      <c r="W99" s="862"/>
      <c r="X99" s="824"/>
    </row>
    <row r="100" spans="1:24" ht="32.25" customHeight="1" x14ac:dyDescent="0.3">
      <c r="A100" s="898"/>
      <c r="B100" s="899"/>
      <c r="C100" s="899"/>
      <c r="D100" s="899"/>
      <c r="E100" s="899"/>
      <c r="F100" s="899"/>
      <c r="G100" s="900"/>
      <c r="H100" s="899"/>
      <c r="I100" s="901"/>
      <c r="J100" s="901"/>
      <c r="K100" s="901"/>
      <c r="L100" s="901"/>
      <c r="M100" s="902"/>
      <c r="N100" s="901"/>
      <c r="O100" s="901"/>
      <c r="P100" s="901"/>
      <c r="Q100" s="901"/>
      <c r="R100" s="901"/>
      <c r="S100" s="901"/>
      <c r="T100" s="901"/>
      <c r="U100" s="901"/>
      <c r="V100" s="901"/>
      <c r="W100" s="899"/>
    </row>
    <row r="101" spans="1:24" ht="48" customHeight="1" x14ac:dyDescent="0.2">
      <c r="A101" s="903" t="s">
        <v>248</v>
      </c>
      <c r="B101" s="903"/>
      <c r="C101" s="903"/>
      <c r="D101" s="903"/>
      <c r="E101" s="904"/>
      <c r="F101" s="904"/>
      <c r="G101" s="904"/>
      <c r="H101" s="904"/>
      <c r="I101" s="905"/>
      <c r="J101" s="905"/>
      <c r="K101" s="905"/>
      <c r="L101" s="905"/>
      <c r="M101" s="906"/>
      <c r="N101" s="907" t="s">
        <v>186</v>
      </c>
      <c r="O101" s="907"/>
      <c r="P101" s="907"/>
      <c r="Q101" s="907"/>
      <c r="R101" s="907"/>
      <c r="S101" s="907"/>
      <c r="T101" s="907"/>
      <c r="U101" s="907"/>
      <c r="V101" s="907"/>
    </row>
    <row r="102" spans="1:24" ht="152.25" hidden="1" customHeight="1" x14ac:dyDescent="0.2">
      <c r="A102" s="908"/>
      <c r="B102" s="908"/>
      <c r="C102" s="908"/>
      <c r="D102" s="908"/>
      <c r="E102" s="688"/>
      <c r="F102" s="688"/>
      <c r="G102" s="688"/>
      <c r="H102" s="688"/>
      <c r="I102" s="688"/>
      <c r="J102" s="688"/>
      <c r="K102" s="688"/>
      <c r="L102" s="688"/>
      <c r="M102" s="909"/>
      <c r="N102" s="688"/>
      <c r="O102" s="688"/>
      <c r="P102" s="688"/>
      <c r="Q102" s="688"/>
      <c r="R102" s="688"/>
      <c r="S102" s="910"/>
      <c r="T102" s="688"/>
      <c r="U102" s="688"/>
      <c r="V102" s="688"/>
      <c r="W102" s="688"/>
    </row>
  </sheetData>
  <mergeCells count="81">
    <mergeCell ref="W75:W76"/>
    <mergeCell ref="W82:W83"/>
    <mergeCell ref="W90:W92"/>
    <mergeCell ref="W77:W81"/>
    <mergeCell ref="W70:W74"/>
    <mergeCell ref="H2:J2"/>
    <mergeCell ref="K2:W2"/>
    <mergeCell ref="A3:W3"/>
    <mergeCell ref="R6:R7"/>
    <mergeCell ref="I5:V5"/>
    <mergeCell ref="I6:I7"/>
    <mergeCell ref="D6:D7"/>
    <mergeCell ref="M6:M7"/>
    <mergeCell ref="N6:N7"/>
    <mergeCell ref="C5:H5"/>
    <mergeCell ref="B5:B7"/>
    <mergeCell ref="L6:L7"/>
    <mergeCell ref="S6:S7"/>
    <mergeCell ref="T6:T7"/>
    <mergeCell ref="U6:U7"/>
    <mergeCell ref="W5:W7"/>
    <mergeCell ref="W59:W63"/>
    <mergeCell ref="A102:D102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3"/>
    <mergeCell ref="C6:C7"/>
    <mergeCell ref="A34:A37"/>
    <mergeCell ref="G9:G10"/>
    <mergeCell ref="W93:W94"/>
    <mergeCell ref="K1:W1"/>
    <mergeCell ref="K9:K10"/>
    <mergeCell ref="N101:V101"/>
    <mergeCell ref="V6:V7"/>
    <mergeCell ref="O6:O7"/>
    <mergeCell ref="P6:P7"/>
    <mergeCell ref="Q6:Q7"/>
    <mergeCell ref="N9:N10"/>
    <mergeCell ref="O9:O10"/>
    <mergeCell ref="V9:V10"/>
    <mergeCell ref="Q9:Q10"/>
    <mergeCell ref="P9:P10"/>
    <mergeCell ref="M9:M10"/>
    <mergeCell ref="W66:W67"/>
    <mergeCell ref="W9:W58"/>
    <mergeCell ref="L9:L10"/>
    <mergeCell ref="R9:R10"/>
    <mergeCell ref="A50:A51"/>
    <mergeCell ref="A30:A32"/>
    <mergeCell ref="U9:U10"/>
    <mergeCell ref="T9:T10"/>
    <mergeCell ref="S9:S10"/>
    <mergeCell ref="I9:I10"/>
    <mergeCell ref="J9:J10"/>
    <mergeCell ref="A39:A41"/>
    <mergeCell ref="A43:A44"/>
    <mergeCell ref="H9:H10"/>
    <mergeCell ref="A14:A27"/>
    <mergeCell ref="B8:B27"/>
    <mergeCell ref="A101:D101"/>
    <mergeCell ref="A45:A47"/>
    <mergeCell ref="A66:A67"/>
    <mergeCell ref="A68:A69"/>
    <mergeCell ref="A93:A94"/>
    <mergeCell ref="A59:A65"/>
    <mergeCell ref="A90:A92"/>
    <mergeCell ref="A75:A76"/>
    <mergeCell ref="A82:A87"/>
    <mergeCell ref="A77:A81"/>
    <mergeCell ref="A70:A74"/>
    <mergeCell ref="A54:A55"/>
    <mergeCell ref="A52:A53"/>
    <mergeCell ref="A88:A89"/>
  </mergeCells>
  <phoneticPr fontId="17" type="noConversion"/>
  <pageMargins left="0.35433070866141736" right="0.35433070866141736" top="0.78740157480314965" bottom="0.78740157480314965" header="0.51181102362204722" footer="0.51181102362204722"/>
  <pageSetup paperSize="9" scale="34" fitToHeight="0" orientation="landscape" r:id="rId1"/>
  <headerFooter alignWithMargins="0"/>
  <rowBreaks count="4" manualBreakCount="4">
    <brk id="27" max="20" man="1"/>
    <brk id="48" max="22" man="1"/>
    <brk id="69" max="22" man="1"/>
    <brk id="82" max="2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65"/>
  <sheetViews>
    <sheetView view="pageBreakPreview" zoomScale="75" zoomScaleNormal="75" zoomScaleSheetLayoutView="75" workbookViewId="0">
      <pane xSplit="9" topLeftCell="J1" activePane="topRight" state="frozen"/>
      <selection activeCell="A4" sqref="A4"/>
      <selection pane="topRight" sqref="A1:XFD1048576"/>
    </sheetView>
  </sheetViews>
  <sheetFormatPr defaultColWidth="9.140625" defaultRowHeight="152.25" customHeight="1" x14ac:dyDescent="0.2"/>
  <cols>
    <col min="1" max="1" width="6.5703125" style="1012" customWidth="1"/>
    <col min="2" max="2" width="48" style="786" customWidth="1"/>
    <col min="3" max="3" width="16.5703125" style="786" customWidth="1"/>
    <col min="4" max="4" width="9.28515625" style="786" customWidth="1"/>
    <col min="5" max="5" width="12" style="786" customWidth="1"/>
    <col min="6" max="6" width="7.85546875" style="786" customWidth="1"/>
    <col min="7" max="7" width="7.42578125" style="1013" customWidth="1"/>
    <col min="8" max="8" width="20.5703125" style="787" customWidth="1"/>
    <col min="9" max="9" width="16.140625" style="786" customWidth="1"/>
    <col min="10" max="14" width="15.28515625" style="786" customWidth="1"/>
    <col min="15" max="19" width="15.28515625" style="868" customWidth="1"/>
    <col min="20" max="20" width="15.28515625" style="1014" customWidth="1"/>
    <col min="21" max="22" width="15.28515625" style="868" customWidth="1"/>
    <col min="23" max="23" width="15.42578125" style="786" customWidth="1"/>
    <col min="24" max="24" width="24" style="786" customWidth="1"/>
    <col min="25" max="26" width="23" style="786" customWidth="1"/>
    <col min="27" max="27" width="15" style="786" bestFit="1" customWidth="1"/>
    <col min="28" max="28" width="5" style="786"/>
    <col min="29" max="30" width="19.85546875" style="786" customWidth="1"/>
    <col min="31" max="31" width="9.28515625" style="786" customWidth="1"/>
    <col min="32" max="16384" width="9.140625" style="786"/>
  </cols>
  <sheetData>
    <row r="1" spans="1:26" ht="77.25" customHeight="1" x14ac:dyDescent="0.2">
      <c r="A1" s="912"/>
      <c r="B1" s="796"/>
      <c r="C1" s="796"/>
      <c r="D1" s="796"/>
      <c r="E1" s="796"/>
      <c r="F1" s="796"/>
      <c r="G1" s="913"/>
      <c r="H1" s="914"/>
      <c r="I1" s="796"/>
      <c r="J1" s="796"/>
      <c r="K1" s="796"/>
      <c r="L1" s="915" t="s">
        <v>550</v>
      </c>
      <c r="M1" s="915"/>
      <c r="N1" s="915"/>
      <c r="O1" s="916"/>
      <c r="P1" s="916"/>
      <c r="Q1" s="916"/>
      <c r="R1" s="916"/>
      <c r="S1" s="916"/>
      <c r="T1" s="916"/>
      <c r="U1" s="916"/>
      <c r="V1" s="916"/>
      <c r="W1" s="916"/>
      <c r="X1" s="916"/>
    </row>
    <row r="2" spans="1:26" ht="44.25" customHeight="1" x14ac:dyDescent="0.2">
      <c r="A2" s="912"/>
      <c r="B2" s="796"/>
      <c r="C2" s="796"/>
      <c r="D2" s="796"/>
      <c r="E2" s="796"/>
      <c r="F2" s="796"/>
      <c r="G2" s="913"/>
      <c r="H2" s="914"/>
      <c r="I2" s="917"/>
      <c r="J2" s="917"/>
      <c r="K2" s="917"/>
      <c r="L2" s="918" t="s">
        <v>573</v>
      </c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9"/>
      <c r="X2" s="919"/>
    </row>
    <row r="3" spans="1:26" ht="28.5" customHeight="1" x14ac:dyDescent="0.2">
      <c r="A3" s="920" t="s">
        <v>570</v>
      </c>
      <c r="B3" s="920"/>
      <c r="C3" s="920"/>
      <c r="D3" s="920"/>
      <c r="E3" s="920"/>
      <c r="F3" s="920"/>
      <c r="G3" s="920"/>
      <c r="H3" s="920"/>
      <c r="I3" s="920"/>
      <c r="J3" s="920"/>
      <c r="K3" s="920"/>
      <c r="L3" s="920"/>
      <c r="M3" s="920"/>
      <c r="N3" s="920"/>
      <c r="O3" s="920"/>
      <c r="P3" s="920"/>
      <c r="Q3" s="920"/>
      <c r="R3" s="920"/>
      <c r="S3" s="920"/>
      <c r="T3" s="920"/>
      <c r="U3" s="920"/>
      <c r="V3" s="920"/>
      <c r="W3" s="920"/>
      <c r="X3" s="920"/>
    </row>
    <row r="4" spans="1:26" ht="17.25" customHeight="1" x14ac:dyDescent="0.25">
      <c r="A4" s="912"/>
      <c r="B4" s="921"/>
      <c r="C4" s="921"/>
      <c r="D4" s="921"/>
      <c r="E4" s="795"/>
      <c r="F4" s="795"/>
      <c r="G4" s="922"/>
      <c r="H4" s="923"/>
      <c r="I4" s="795"/>
      <c r="J4" s="795"/>
      <c r="K4" s="795"/>
      <c r="L4" s="796"/>
      <c r="M4" s="796"/>
      <c r="N4" s="796"/>
      <c r="O4" s="797"/>
      <c r="P4" s="797"/>
      <c r="Q4" s="797"/>
      <c r="R4" s="797"/>
      <c r="S4" s="797"/>
      <c r="T4" s="797"/>
      <c r="U4" s="797"/>
      <c r="V4" s="797"/>
      <c r="W4" s="796"/>
      <c r="X4" s="796"/>
    </row>
    <row r="5" spans="1:26" s="805" customFormat="1" ht="36" customHeight="1" x14ac:dyDescent="0.25">
      <c r="A5" s="924"/>
      <c r="B5" s="925" t="s">
        <v>88</v>
      </c>
      <c r="C5" s="925" t="s">
        <v>159</v>
      </c>
      <c r="D5" s="925" t="s">
        <v>48</v>
      </c>
      <c r="E5" s="925"/>
      <c r="F5" s="925"/>
      <c r="G5" s="925"/>
      <c r="H5" s="925"/>
      <c r="I5" s="925"/>
      <c r="J5" s="925" t="s">
        <v>79</v>
      </c>
      <c r="K5" s="925"/>
      <c r="L5" s="925"/>
      <c r="M5" s="925"/>
      <c r="N5" s="925"/>
      <c r="O5" s="925"/>
      <c r="P5" s="925"/>
      <c r="Q5" s="925"/>
      <c r="R5" s="925"/>
      <c r="S5" s="925"/>
      <c r="T5" s="925"/>
      <c r="U5" s="925"/>
      <c r="V5" s="925"/>
      <c r="W5" s="925"/>
      <c r="X5" s="925" t="s">
        <v>80</v>
      </c>
    </row>
    <row r="6" spans="1:26" s="805" customFormat="1" ht="15" customHeight="1" x14ac:dyDescent="0.25">
      <c r="A6" s="924"/>
      <c r="B6" s="925"/>
      <c r="C6" s="925"/>
      <c r="D6" s="925" t="s">
        <v>159</v>
      </c>
      <c r="E6" s="925" t="s">
        <v>45</v>
      </c>
      <c r="F6" s="925" t="s">
        <v>44</v>
      </c>
      <c r="G6" s="925"/>
      <c r="H6" s="925"/>
      <c r="I6" s="925" t="s">
        <v>43</v>
      </c>
      <c r="J6" s="926" t="s">
        <v>33</v>
      </c>
      <c r="K6" s="926" t="s">
        <v>219</v>
      </c>
      <c r="L6" s="926" t="s">
        <v>31</v>
      </c>
      <c r="M6" s="926" t="s">
        <v>115</v>
      </c>
      <c r="N6" s="810" t="s">
        <v>218</v>
      </c>
      <c r="O6" s="811" t="s">
        <v>415</v>
      </c>
      <c r="P6" s="811" t="s">
        <v>112</v>
      </c>
      <c r="Q6" s="811" t="s">
        <v>111</v>
      </c>
      <c r="R6" s="811" t="s">
        <v>110</v>
      </c>
      <c r="S6" s="811" t="s">
        <v>109</v>
      </c>
      <c r="T6" s="811" t="s">
        <v>108</v>
      </c>
      <c r="U6" s="811" t="s">
        <v>249</v>
      </c>
      <c r="V6" s="811" t="s">
        <v>539</v>
      </c>
      <c r="W6" s="925" t="s">
        <v>541</v>
      </c>
      <c r="X6" s="925"/>
    </row>
    <row r="7" spans="1:26" s="805" customFormat="1" ht="87.75" customHeight="1" x14ac:dyDescent="0.25">
      <c r="A7" s="924"/>
      <c r="B7" s="925"/>
      <c r="C7" s="925"/>
      <c r="D7" s="925"/>
      <c r="E7" s="925"/>
      <c r="F7" s="925"/>
      <c r="G7" s="925"/>
      <c r="H7" s="925"/>
      <c r="I7" s="925"/>
      <c r="J7" s="926"/>
      <c r="K7" s="926"/>
      <c r="L7" s="926"/>
      <c r="M7" s="926"/>
      <c r="N7" s="816"/>
      <c r="O7" s="817"/>
      <c r="P7" s="817"/>
      <c r="Q7" s="817"/>
      <c r="R7" s="817"/>
      <c r="S7" s="817"/>
      <c r="T7" s="817"/>
      <c r="U7" s="817"/>
      <c r="V7" s="817"/>
      <c r="W7" s="925"/>
      <c r="X7" s="925"/>
    </row>
    <row r="8" spans="1:26" ht="74.45" customHeight="1" x14ac:dyDescent="0.2">
      <c r="A8" s="927"/>
      <c r="B8" s="928" t="s">
        <v>169</v>
      </c>
      <c r="C8" s="929" t="s">
        <v>89</v>
      </c>
      <c r="D8" s="930">
        <v>964</v>
      </c>
      <c r="E8" s="931" t="s">
        <v>120</v>
      </c>
      <c r="F8" s="930" t="s">
        <v>120</v>
      </c>
      <c r="G8" s="363" t="s">
        <v>120</v>
      </c>
      <c r="H8" s="363" t="s">
        <v>120</v>
      </c>
      <c r="I8" s="363" t="s">
        <v>120</v>
      </c>
      <c r="J8" s="822">
        <f t="shared" ref="J8:O8" si="0">J9</f>
        <v>8322.9</v>
      </c>
      <c r="K8" s="822">
        <f t="shared" si="0"/>
        <v>8249</v>
      </c>
      <c r="L8" s="822">
        <f>L9</f>
        <v>9030.7400000000034</v>
      </c>
      <c r="M8" s="822">
        <f t="shared" si="0"/>
        <v>9893.5</v>
      </c>
      <c r="N8" s="822">
        <f t="shared" si="0"/>
        <v>11851</v>
      </c>
      <c r="O8" s="822">
        <f t="shared" si="0"/>
        <v>10606.100000000002</v>
      </c>
      <c r="P8" s="822">
        <f t="shared" ref="P8:V8" si="1">P9</f>
        <v>34832.899999999994</v>
      </c>
      <c r="Q8" s="822">
        <f t="shared" si="1"/>
        <v>56125.600000000006</v>
      </c>
      <c r="R8" s="822">
        <f t="shared" si="1"/>
        <v>25604.6</v>
      </c>
      <c r="S8" s="822">
        <f t="shared" si="1"/>
        <v>28050.400000000001</v>
      </c>
      <c r="T8" s="822">
        <f t="shared" si="1"/>
        <v>24027.4</v>
      </c>
      <c r="U8" s="822">
        <f t="shared" si="1"/>
        <v>18944.900000000001</v>
      </c>
      <c r="V8" s="822">
        <f t="shared" si="1"/>
        <v>18944.900000000001</v>
      </c>
      <c r="W8" s="822">
        <f>SUM(J8:V8)</f>
        <v>264483.94</v>
      </c>
      <c r="X8" s="932" t="s">
        <v>459</v>
      </c>
      <c r="Y8" s="786" t="s">
        <v>481</v>
      </c>
      <c r="Z8" s="786" t="s">
        <v>480</v>
      </c>
    </row>
    <row r="9" spans="1:26" ht="239.25" customHeight="1" x14ac:dyDescent="0.2">
      <c r="A9" s="364"/>
      <c r="B9" s="933" t="s">
        <v>644</v>
      </c>
      <c r="C9" s="934" t="s">
        <v>39</v>
      </c>
      <c r="D9" s="935"/>
      <c r="E9" s="935"/>
      <c r="F9" s="935"/>
      <c r="G9" s="931"/>
      <c r="H9" s="936"/>
      <c r="I9" s="935"/>
      <c r="J9" s="822">
        <f>J11+J12+J17+J18+J19+J20+J35+J37+J40+J41+J43+J44+J21+J22+J23+J24+J25+J62</f>
        <v>8322.9</v>
      </c>
      <c r="K9" s="822">
        <f>K11+K12+K17+K18+K19+K20+K35+K37+K41+K40+K43+K44+K21+K22+K23+K24+K25+K57+K58+K59+K42+K26+K62</f>
        <v>8249</v>
      </c>
      <c r="L9" s="822">
        <f>L11+L17+L19+L12+L20+L35+L37+L40+L41+L43+L44+L21+L22+L23+L24+L25+L57+L58+L59+L42+L26+L62</f>
        <v>9030.7400000000034</v>
      </c>
      <c r="M9" s="822">
        <f>M11+M12+M17+M18+M19+M20+M35+M37+M40+M41+M43+M44+M21+M22+M23+M24+M25+M57+M58+M59+M62</f>
        <v>9893.5</v>
      </c>
      <c r="N9" s="822">
        <f t="shared" ref="N9:U9" si="2">SUM(N11:N62)</f>
        <v>11851</v>
      </c>
      <c r="O9" s="822">
        <f t="shared" si="2"/>
        <v>10606.100000000002</v>
      </c>
      <c r="P9" s="822">
        <f t="shared" si="2"/>
        <v>34832.899999999994</v>
      </c>
      <c r="Q9" s="822">
        <f t="shared" si="2"/>
        <v>56125.600000000006</v>
      </c>
      <c r="R9" s="822">
        <f t="shared" si="2"/>
        <v>25604.6</v>
      </c>
      <c r="S9" s="822">
        <f>SUM(S11:S62)</f>
        <v>28050.400000000001</v>
      </c>
      <c r="T9" s="822">
        <f t="shared" si="2"/>
        <v>24027.4</v>
      </c>
      <c r="U9" s="822">
        <f t="shared" si="2"/>
        <v>18944.900000000001</v>
      </c>
      <c r="V9" s="822">
        <f t="shared" ref="V9" si="3">SUM(V11:V62)</f>
        <v>18944.900000000001</v>
      </c>
      <c r="W9" s="822">
        <f t="shared" ref="W9:W62" si="4">SUM(J9:V9)</f>
        <v>264483.94</v>
      </c>
      <c r="X9" s="937"/>
      <c r="Y9" s="938">
        <f>R9-R62</f>
        <v>16996.599999999999</v>
      </c>
      <c r="Z9" s="938">
        <f>S9-S62</f>
        <v>19918.800000000003</v>
      </c>
    </row>
    <row r="10" spans="1:26" ht="75" hidden="1" customHeight="1" x14ac:dyDescent="0.2">
      <c r="A10" s="364" t="s">
        <v>8</v>
      </c>
      <c r="B10" s="939" t="s">
        <v>125</v>
      </c>
      <c r="C10" s="939" t="s">
        <v>92</v>
      </c>
      <c r="D10" s="930">
        <v>964</v>
      </c>
      <c r="E10" s="931" t="s">
        <v>100</v>
      </c>
      <c r="F10" s="930" t="s">
        <v>120</v>
      </c>
      <c r="G10" s="363" t="s">
        <v>120</v>
      </c>
      <c r="H10" s="363" t="s">
        <v>120</v>
      </c>
      <c r="I10" s="363" t="s">
        <v>123</v>
      </c>
      <c r="J10" s="940">
        <v>870.62</v>
      </c>
      <c r="K10" s="940">
        <v>915.1</v>
      </c>
      <c r="L10" s="940">
        <v>961.7</v>
      </c>
      <c r="M10" s="940"/>
      <c r="N10" s="940"/>
      <c r="O10" s="940"/>
      <c r="P10" s="940"/>
      <c r="Q10" s="940"/>
      <c r="R10" s="940"/>
      <c r="S10" s="940"/>
      <c r="T10" s="940"/>
      <c r="U10" s="940"/>
      <c r="V10" s="940"/>
      <c r="W10" s="822">
        <f t="shared" si="4"/>
        <v>2747.42</v>
      </c>
      <c r="X10" s="937"/>
    </row>
    <row r="11" spans="1:26" ht="46.5" customHeight="1" x14ac:dyDescent="0.2">
      <c r="A11" s="941" t="s">
        <v>8</v>
      </c>
      <c r="B11" s="942" t="s">
        <v>126</v>
      </c>
      <c r="C11" s="943" t="s">
        <v>82</v>
      </c>
      <c r="D11" s="930">
        <v>964</v>
      </c>
      <c r="E11" s="944" t="s">
        <v>100</v>
      </c>
      <c r="F11" s="945" t="s">
        <v>146</v>
      </c>
      <c r="G11" s="364" t="s">
        <v>7</v>
      </c>
      <c r="H11" s="364" t="s">
        <v>179</v>
      </c>
      <c r="I11" s="364" t="s">
        <v>121</v>
      </c>
      <c r="J11" s="946">
        <v>0</v>
      </c>
      <c r="K11" s="946">
        <v>0</v>
      </c>
      <c r="L11" s="946">
        <v>5901.6</v>
      </c>
      <c r="M11" s="946">
        <v>6629.1</v>
      </c>
      <c r="N11" s="946">
        <v>7232.5</v>
      </c>
      <c r="O11" s="946">
        <v>6360.7</v>
      </c>
      <c r="P11" s="946">
        <v>6539.5</v>
      </c>
      <c r="Q11" s="946">
        <f>861.9-Q14</f>
        <v>735.9</v>
      </c>
      <c r="R11" s="946">
        <f>1060.1-R13-R14</f>
        <v>889.09999999999991</v>
      </c>
      <c r="S11" s="946">
        <f>1310.7-S13-S14-S15-S16-0.1</f>
        <v>1104.6000000000001</v>
      </c>
      <c r="T11" s="946">
        <f>1317.1-T13-T14-T15-T16</f>
        <v>1237.0999999999999</v>
      </c>
      <c r="U11" s="946">
        <f>1317.1-U13-U14-U15-U16</f>
        <v>1111.0999999999999</v>
      </c>
      <c r="V11" s="946">
        <f>1317.1-V13-V14-V15-V16</f>
        <v>1111.0999999999999</v>
      </c>
      <c r="W11" s="822">
        <f t="shared" si="4"/>
        <v>38852.299999999996</v>
      </c>
      <c r="X11" s="937"/>
    </row>
    <row r="12" spans="1:26" ht="36.75" customHeight="1" x14ac:dyDescent="0.2">
      <c r="A12" s="947"/>
      <c r="B12" s="948"/>
      <c r="C12" s="949"/>
      <c r="D12" s="930">
        <v>964</v>
      </c>
      <c r="E12" s="944" t="s">
        <v>100</v>
      </c>
      <c r="F12" s="945" t="s">
        <v>146</v>
      </c>
      <c r="G12" s="364" t="s">
        <v>7</v>
      </c>
      <c r="H12" s="364" t="s">
        <v>223</v>
      </c>
      <c r="I12" s="364" t="s">
        <v>121</v>
      </c>
      <c r="J12" s="946">
        <v>5439.7</v>
      </c>
      <c r="K12" s="946">
        <v>5540.1</v>
      </c>
      <c r="L12" s="946">
        <v>0</v>
      </c>
      <c r="M12" s="946">
        <v>0</v>
      </c>
      <c r="N12" s="946">
        <v>0</v>
      </c>
      <c r="O12" s="946">
        <v>0</v>
      </c>
      <c r="P12" s="946">
        <v>0</v>
      </c>
      <c r="Q12" s="946">
        <v>0</v>
      </c>
      <c r="R12" s="946">
        <v>0</v>
      </c>
      <c r="S12" s="946">
        <v>0</v>
      </c>
      <c r="T12" s="946">
        <v>0</v>
      </c>
      <c r="U12" s="946">
        <v>0</v>
      </c>
      <c r="V12" s="946">
        <v>0</v>
      </c>
      <c r="W12" s="822">
        <f t="shared" si="4"/>
        <v>10979.8</v>
      </c>
      <c r="X12" s="937"/>
    </row>
    <row r="13" spans="1:26" ht="46.5" customHeight="1" x14ac:dyDescent="0.2">
      <c r="A13" s="947"/>
      <c r="B13" s="934" t="s">
        <v>444</v>
      </c>
      <c r="C13" s="949"/>
      <c r="D13" s="930">
        <v>964</v>
      </c>
      <c r="E13" s="944" t="s">
        <v>100</v>
      </c>
      <c r="F13" s="945" t="s">
        <v>146</v>
      </c>
      <c r="G13" s="364" t="s">
        <v>7</v>
      </c>
      <c r="H13" s="364" t="s">
        <v>179</v>
      </c>
      <c r="I13" s="364" t="s">
        <v>121</v>
      </c>
      <c r="J13" s="946">
        <v>0</v>
      </c>
      <c r="K13" s="946">
        <v>0</v>
      </c>
      <c r="L13" s="946">
        <v>0</v>
      </c>
      <c r="M13" s="946">
        <v>0</v>
      </c>
      <c r="N13" s="946">
        <v>0</v>
      </c>
      <c r="O13" s="946">
        <v>0</v>
      </c>
      <c r="P13" s="946">
        <v>0</v>
      </c>
      <c r="Q13" s="946">
        <v>0</v>
      </c>
      <c r="R13" s="946">
        <v>45</v>
      </c>
      <c r="S13" s="946">
        <v>45</v>
      </c>
      <c r="T13" s="946">
        <v>45</v>
      </c>
      <c r="U13" s="946">
        <v>45</v>
      </c>
      <c r="V13" s="946">
        <v>45</v>
      </c>
      <c r="W13" s="822">
        <f t="shared" si="4"/>
        <v>225</v>
      </c>
      <c r="X13" s="937"/>
    </row>
    <row r="14" spans="1:26" ht="58.9" customHeight="1" x14ac:dyDescent="0.2">
      <c r="A14" s="947"/>
      <c r="B14" s="934" t="s">
        <v>445</v>
      </c>
      <c r="C14" s="949"/>
      <c r="D14" s="930">
        <v>964</v>
      </c>
      <c r="E14" s="944" t="s">
        <v>100</v>
      </c>
      <c r="F14" s="945" t="s">
        <v>146</v>
      </c>
      <c r="G14" s="364" t="s">
        <v>7</v>
      </c>
      <c r="H14" s="364" t="s">
        <v>179</v>
      </c>
      <c r="I14" s="364" t="s">
        <v>121</v>
      </c>
      <c r="J14" s="946">
        <v>0</v>
      </c>
      <c r="K14" s="946">
        <v>0</v>
      </c>
      <c r="L14" s="946">
        <v>0</v>
      </c>
      <c r="M14" s="946">
        <v>0</v>
      </c>
      <c r="N14" s="946">
        <v>0</v>
      </c>
      <c r="O14" s="946">
        <v>0</v>
      </c>
      <c r="P14" s="946">
        <v>0</v>
      </c>
      <c r="Q14" s="946">
        <v>126</v>
      </c>
      <c r="R14" s="946">
        <v>126</v>
      </c>
      <c r="S14" s="946">
        <v>126</v>
      </c>
      <c r="T14" s="946">
        <v>0</v>
      </c>
      <c r="U14" s="946">
        <v>126</v>
      </c>
      <c r="V14" s="946">
        <v>126</v>
      </c>
      <c r="W14" s="822">
        <f t="shared" si="4"/>
        <v>630</v>
      </c>
      <c r="X14" s="937"/>
    </row>
    <row r="15" spans="1:26" ht="40.15" customHeight="1" x14ac:dyDescent="0.2">
      <c r="A15" s="947"/>
      <c r="B15" s="950" t="s">
        <v>514</v>
      </c>
      <c r="C15" s="949"/>
      <c r="D15" s="930">
        <v>964</v>
      </c>
      <c r="E15" s="944" t="s">
        <v>100</v>
      </c>
      <c r="F15" s="945" t="s">
        <v>146</v>
      </c>
      <c r="G15" s="364" t="s">
        <v>7</v>
      </c>
      <c r="H15" s="364" t="s">
        <v>179</v>
      </c>
      <c r="I15" s="364" t="s">
        <v>121</v>
      </c>
      <c r="J15" s="946">
        <v>0</v>
      </c>
      <c r="K15" s="946">
        <v>0</v>
      </c>
      <c r="L15" s="946">
        <v>0</v>
      </c>
      <c r="M15" s="946">
        <v>0</v>
      </c>
      <c r="N15" s="946">
        <v>0</v>
      </c>
      <c r="O15" s="946">
        <v>0</v>
      </c>
      <c r="P15" s="946">
        <v>0</v>
      </c>
      <c r="Q15" s="946">
        <v>0</v>
      </c>
      <c r="R15" s="946">
        <v>0</v>
      </c>
      <c r="S15" s="946">
        <v>17</v>
      </c>
      <c r="T15" s="946">
        <v>17</v>
      </c>
      <c r="U15" s="946">
        <v>17</v>
      </c>
      <c r="V15" s="946">
        <v>17</v>
      </c>
      <c r="W15" s="822">
        <f t="shared" si="4"/>
        <v>68</v>
      </c>
      <c r="X15" s="937"/>
    </row>
    <row r="16" spans="1:26" ht="40.15" customHeight="1" x14ac:dyDescent="0.2">
      <c r="A16" s="951"/>
      <c r="B16" s="950" t="s">
        <v>582</v>
      </c>
      <c r="C16" s="949"/>
      <c r="D16" s="930">
        <v>964</v>
      </c>
      <c r="E16" s="944" t="s">
        <v>100</v>
      </c>
      <c r="F16" s="945" t="s">
        <v>146</v>
      </c>
      <c r="G16" s="364" t="s">
        <v>7</v>
      </c>
      <c r="H16" s="364" t="s">
        <v>179</v>
      </c>
      <c r="I16" s="364" t="s">
        <v>121</v>
      </c>
      <c r="J16" s="946">
        <v>0</v>
      </c>
      <c r="K16" s="946">
        <v>0</v>
      </c>
      <c r="L16" s="946">
        <v>0</v>
      </c>
      <c r="M16" s="946">
        <v>0</v>
      </c>
      <c r="N16" s="946">
        <v>0</v>
      </c>
      <c r="O16" s="946">
        <v>0</v>
      </c>
      <c r="P16" s="946">
        <v>0</v>
      </c>
      <c r="Q16" s="946">
        <v>0</v>
      </c>
      <c r="R16" s="946">
        <v>0</v>
      </c>
      <c r="S16" s="946">
        <v>18</v>
      </c>
      <c r="T16" s="946">
        <v>18</v>
      </c>
      <c r="U16" s="946">
        <v>18</v>
      </c>
      <c r="V16" s="946">
        <v>18</v>
      </c>
      <c r="W16" s="822">
        <f t="shared" si="4"/>
        <v>72</v>
      </c>
      <c r="X16" s="937"/>
    </row>
    <row r="17" spans="1:24" ht="30.75" customHeight="1" x14ac:dyDescent="0.2">
      <c r="A17" s="941" t="s">
        <v>7</v>
      </c>
      <c r="B17" s="942" t="s">
        <v>150</v>
      </c>
      <c r="C17" s="949"/>
      <c r="D17" s="930">
        <v>964</v>
      </c>
      <c r="E17" s="944" t="s">
        <v>100</v>
      </c>
      <c r="F17" s="945" t="s">
        <v>146</v>
      </c>
      <c r="G17" s="364" t="s">
        <v>7</v>
      </c>
      <c r="H17" s="364" t="s">
        <v>181</v>
      </c>
      <c r="I17" s="364" t="s">
        <v>121</v>
      </c>
      <c r="J17" s="946">
        <v>0</v>
      </c>
      <c r="K17" s="946">
        <v>0</v>
      </c>
      <c r="L17" s="946">
        <v>695.27</v>
      </c>
      <c r="M17" s="946">
        <v>812.9</v>
      </c>
      <c r="N17" s="946">
        <v>1155.4000000000001</v>
      </c>
      <c r="O17" s="946">
        <v>963.1</v>
      </c>
      <c r="P17" s="946">
        <v>1769.1</v>
      </c>
      <c r="Q17" s="946">
        <v>0</v>
      </c>
      <c r="R17" s="946">
        <v>0</v>
      </c>
      <c r="S17" s="946">
        <v>0</v>
      </c>
      <c r="T17" s="946">
        <v>0</v>
      </c>
      <c r="U17" s="946">
        <v>0</v>
      </c>
      <c r="V17" s="946">
        <v>0</v>
      </c>
      <c r="W17" s="822">
        <f t="shared" si="4"/>
        <v>5395.77</v>
      </c>
      <c r="X17" s="937"/>
    </row>
    <row r="18" spans="1:24" ht="30" customHeight="1" x14ac:dyDescent="0.2">
      <c r="A18" s="951"/>
      <c r="B18" s="948"/>
      <c r="C18" s="949"/>
      <c r="D18" s="930">
        <v>964</v>
      </c>
      <c r="E18" s="944" t="s">
        <v>100</v>
      </c>
      <c r="F18" s="945" t="s">
        <v>146</v>
      </c>
      <c r="G18" s="364" t="s">
        <v>7</v>
      </c>
      <c r="H18" s="364" t="s">
        <v>224</v>
      </c>
      <c r="I18" s="364" t="s">
        <v>121</v>
      </c>
      <c r="J18" s="946">
        <v>217.8</v>
      </c>
      <c r="K18" s="946">
        <v>329.8</v>
      </c>
      <c r="L18" s="946">
        <v>0</v>
      </c>
      <c r="M18" s="946">
        <v>0</v>
      </c>
      <c r="N18" s="946">
        <v>0</v>
      </c>
      <c r="O18" s="946">
        <v>0</v>
      </c>
      <c r="P18" s="946"/>
      <c r="Q18" s="946"/>
      <c r="R18" s="946"/>
      <c r="S18" s="946"/>
      <c r="T18" s="946"/>
      <c r="U18" s="946"/>
      <c r="V18" s="946"/>
      <c r="W18" s="822">
        <f t="shared" si="4"/>
        <v>547.6</v>
      </c>
      <c r="X18" s="937"/>
    </row>
    <row r="19" spans="1:24" ht="30.75" customHeight="1" x14ac:dyDescent="0.2">
      <c r="A19" s="941" t="s">
        <v>5</v>
      </c>
      <c r="B19" s="942" t="s">
        <v>152</v>
      </c>
      <c r="C19" s="952"/>
      <c r="D19" s="930">
        <v>964</v>
      </c>
      <c r="E19" s="944" t="s">
        <v>100</v>
      </c>
      <c r="F19" s="945" t="s">
        <v>146</v>
      </c>
      <c r="G19" s="364" t="s">
        <v>7</v>
      </c>
      <c r="H19" s="364" t="s">
        <v>182</v>
      </c>
      <c r="I19" s="364" t="s">
        <v>121</v>
      </c>
      <c r="J19" s="946">
        <v>0</v>
      </c>
      <c r="K19" s="946">
        <v>0</v>
      </c>
      <c r="L19" s="946">
        <v>198.47</v>
      </c>
      <c r="M19" s="946">
        <v>78.900000000000006</v>
      </c>
      <c r="N19" s="946">
        <v>78.400000000000006</v>
      </c>
      <c r="O19" s="946">
        <v>52</v>
      </c>
      <c r="P19" s="946"/>
      <c r="Q19" s="946">
        <v>0</v>
      </c>
      <c r="R19" s="946">
        <v>0</v>
      </c>
      <c r="S19" s="946">
        <v>0</v>
      </c>
      <c r="T19" s="946">
        <v>0</v>
      </c>
      <c r="U19" s="946">
        <v>0</v>
      </c>
      <c r="V19" s="946">
        <v>0</v>
      </c>
      <c r="W19" s="822">
        <f t="shared" si="4"/>
        <v>407.77</v>
      </c>
      <c r="X19" s="937"/>
    </row>
    <row r="20" spans="1:24" ht="27.75" customHeight="1" x14ac:dyDescent="0.2">
      <c r="A20" s="951"/>
      <c r="B20" s="948"/>
      <c r="C20" s="952"/>
      <c r="D20" s="930">
        <v>964</v>
      </c>
      <c r="E20" s="944" t="s">
        <v>100</v>
      </c>
      <c r="F20" s="945" t="s">
        <v>146</v>
      </c>
      <c r="G20" s="364" t="s">
        <v>7</v>
      </c>
      <c r="H20" s="364" t="s">
        <v>225</v>
      </c>
      <c r="I20" s="364" t="s">
        <v>121</v>
      </c>
      <c r="J20" s="946">
        <v>82.5</v>
      </c>
      <c r="K20" s="946">
        <v>247.5</v>
      </c>
      <c r="L20" s="946">
        <v>0</v>
      </c>
      <c r="M20" s="946">
        <v>0</v>
      </c>
      <c r="N20" s="946">
        <v>0</v>
      </c>
      <c r="O20" s="946">
        <v>0</v>
      </c>
      <c r="P20" s="946">
        <v>0</v>
      </c>
      <c r="Q20" s="946">
        <v>0</v>
      </c>
      <c r="R20" s="946">
        <v>0</v>
      </c>
      <c r="S20" s="946">
        <v>0</v>
      </c>
      <c r="T20" s="946">
        <v>0</v>
      </c>
      <c r="U20" s="946">
        <v>0</v>
      </c>
      <c r="V20" s="946">
        <v>0</v>
      </c>
      <c r="W20" s="822">
        <f t="shared" si="4"/>
        <v>330</v>
      </c>
      <c r="X20" s="937"/>
    </row>
    <row r="21" spans="1:24" ht="35.25" customHeight="1" x14ac:dyDescent="0.2">
      <c r="A21" s="941" t="s">
        <v>4</v>
      </c>
      <c r="B21" s="953" t="s">
        <v>206</v>
      </c>
      <c r="C21" s="952"/>
      <c r="D21" s="954">
        <v>964</v>
      </c>
      <c r="E21" s="365" t="s">
        <v>100</v>
      </c>
      <c r="F21" s="955" t="s">
        <v>146</v>
      </c>
      <c r="G21" s="365" t="s">
        <v>7</v>
      </c>
      <c r="H21" s="956">
        <v>10430</v>
      </c>
      <c r="I21" s="365" t="s">
        <v>121</v>
      </c>
      <c r="J21" s="957">
        <v>0</v>
      </c>
      <c r="K21" s="957">
        <f>240.7-240.7</f>
        <v>0</v>
      </c>
      <c r="L21" s="957">
        <v>0</v>
      </c>
      <c r="M21" s="957">
        <v>0</v>
      </c>
      <c r="N21" s="957">
        <v>671</v>
      </c>
      <c r="O21" s="957">
        <v>0</v>
      </c>
      <c r="P21" s="957">
        <v>0</v>
      </c>
      <c r="Q21" s="957">
        <v>0</v>
      </c>
      <c r="R21" s="957">
        <v>0</v>
      </c>
      <c r="S21" s="957">
        <v>0</v>
      </c>
      <c r="T21" s="957">
        <v>0</v>
      </c>
      <c r="U21" s="957">
        <v>0</v>
      </c>
      <c r="V21" s="957">
        <v>0</v>
      </c>
      <c r="W21" s="822">
        <f t="shared" si="4"/>
        <v>671</v>
      </c>
      <c r="X21" s="937"/>
    </row>
    <row r="22" spans="1:24" s="959" customFormat="1" ht="33.75" customHeight="1" x14ac:dyDescent="0.2">
      <c r="A22" s="951"/>
      <c r="B22" s="958"/>
      <c r="C22" s="952"/>
      <c r="D22" s="954">
        <v>964</v>
      </c>
      <c r="E22" s="365" t="s">
        <v>100</v>
      </c>
      <c r="F22" s="955" t="s">
        <v>146</v>
      </c>
      <c r="G22" s="365" t="s">
        <v>7</v>
      </c>
      <c r="H22" s="365" t="s">
        <v>207</v>
      </c>
      <c r="I22" s="365" t="s">
        <v>121</v>
      </c>
      <c r="J22" s="957">
        <v>0</v>
      </c>
      <c r="K22" s="957">
        <v>0</v>
      </c>
      <c r="L22" s="957">
        <v>240.7</v>
      </c>
      <c r="M22" s="957">
        <v>382.2</v>
      </c>
      <c r="N22" s="957">
        <v>0</v>
      </c>
      <c r="O22" s="957">
        <v>0</v>
      </c>
      <c r="P22" s="957">
        <v>0</v>
      </c>
      <c r="Q22" s="957">
        <v>0</v>
      </c>
      <c r="R22" s="957">
        <v>0</v>
      </c>
      <c r="S22" s="957">
        <v>0</v>
      </c>
      <c r="T22" s="957">
        <v>0</v>
      </c>
      <c r="U22" s="957">
        <v>0</v>
      </c>
      <c r="V22" s="957">
        <v>0</v>
      </c>
      <c r="W22" s="822">
        <f t="shared" si="4"/>
        <v>622.9</v>
      </c>
      <c r="X22" s="937"/>
    </row>
    <row r="23" spans="1:24" s="959" customFormat="1" ht="57.75" customHeight="1" x14ac:dyDescent="0.2">
      <c r="A23" s="364" t="s">
        <v>3</v>
      </c>
      <c r="B23" s="939" t="s">
        <v>153</v>
      </c>
      <c r="C23" s="952"/>
      <c r="D23" s="954">
        <v>964</v>
      </c>
      <c r="E23" s="365" t="s">
        <v>100</v>
      </c>
      <c r="F23" s="955" t="s">
        <v>146</v>
      </c>
      <c r="G23" s="365" t="s">
        <v>7</v>
      </c>
      <c r="H23" s="956">
        <v>7701</v>
      </c>
      <c r="I23" s="365" t="s">
        <v>121</v>
      </c>
      <c r="J23" s="957">
        <v>350</v>
      </c>
      <c r="K23" s="957">
        <v>0</v>
      </c>
      <c r="L23" s="957">
        <v>0</v>
      </c>
      <c r="M23" s="957">
        <v>0</v>
      </c>
      <c r="N23" s="957">
        <v>0</v>
      </c>
      <c r="O23" s="957">
        <v>0</v>
      </c>
      <c r="P23" s="957">
        <v>0</v>
      </c>
      <c r="Q23" s="957">
        <v>0</v>
      </c>
      <c r="R23" s="957">
        <v>0</v>
      </c>
      <c r="S23" s="957">
        <v>0</v>
      </c>
      <c r="T23" s="957">
        <v>0</v>
      </c>
      <c r="U23" s="957">
        <v>0</v>
      </c>
      <c r="V23" s="957">
        <v>0</v>
      </c>
      <c r="W23" s="822">
        <f t="shared" si="4"/>
        <v>350</v>
      </c>
      <c r="X23" s="937"/>
    </row>
    <row r="24" spans="1:24" s="959" customFormat="1" ht="88.5" customHeight="1" x14ac:dyDescent="0.2">
      <c r="A24" s="364" t="s">
        <v>139</v>
      </c>
      <c r="B24" s="960" t="s">
        <v>155</v>
      </c>
      <c r="C24" s="952"/>
      <c r="D24" s="954">
        <v>964</v>
      </c>
      <c r="E24" s="365" t="s">
        <v>100</v>
      </c>
      <c r="F24" s="955" t="s">
        <v>146</v>
      </c>
      <c r="G24" s="365" t="s">
        <v>7</v>
      </c>
      <c r="H24" s="956">
        <v>8857</v>
      </c>
      <c r="I24" s="365" t="s">
        <v>121</v>
      </c>
      <c r="J24" s="957">
        <v>3.5</v>
      </c>
      <c r="K24" s="957">
        <v>0</v>
      </c>
      <c r="L24" s="957">
        <v>0</v>
      </c>
      <c r="M24" s="957">
        <v>0</v>
      </c>
      <c r="N24" s="957">
        <v>0</v>
      </c>
      <c r="O24" s="957">
        <v>0</v>
      </c>
      <c r="P24" s="957">
        <v>0</v>
      </c>
      <c r="Q24" s="957">
        <v>0</v>
      </c>
      <c r="R24" s="957">
        <v>0</v>
      </c>
      <c r="S24" s="957">
        <v>0</v>
      </c>
      <c r="T24" s="957">
        <v>0</v>
      </c>
      <c r="U24" s="957">
        <v>0</v>
      </c>
      <c r="V24" s="957">
        <v>0</v>
      </c>
      <c r="W24" s="822">
        <f t="shared" si="4"/>
        <v>3.5</v>
      </c>
      <c r="X24" s="937"/>
    </row>
    <row r="25" spans="1:24" s="959" customFormat="1" ht="141" customHeight="1" x14ac:dyDescent="0.2">
      <c r="A25" s="367" t="s">
        <v>140</v>
      </c>
      <c r="B25" s="961" t="s">
        <v>428</v>
      </c>
      <c r="C25" s="952"/>
      <c r="D25" s="962">
        <v>964</v>
      </c>
      <c r="E25" s="366" t="s">
        <v>100</v>
      </c>
      <c r="F25" s="963" t="s">
        <v>146</v>
      </c>
      <c r="G25" s="366" t="s">
        <v>7</v>
      </c>
      <c r="H25" s="964">
        <v>1022</v>
      </c>
      <c r="I25" s="366" t="s">
        <v>121</v>
      </c>
      <c r="J25" s="965">
        <v>6.5</v>
      </c>
      <c r="K25" s="965">
        <v>0</v>
      </c>
      <c r="L25" s="965">
        <v>0</v>
      </c>
      <c r="M25" s="965">
        <v>0</v>
      </c>
      <c r="N25" s="965">
        <v>0</v>
      </c>
      <c r="O25" s="965">
        <v>0</v>
      </c>
      <c r="P25" s="965">
        <v>0</v>
      </c>
      <c r="Q25" s="965">
        <v>0</v>
      </c>
      <c r="R25" s="965">
        <v>0</v>
      </c>
      <c r="S25" s="965">
        <v>0</v>
      </c>
      <c r="T25" s="965">
        <v>0</v>
      </c>
      <c r="U25" s="965">
        <v>0</v>
      </c>
      <c r="V25" s="965">
        <v>0</v>
      </c>
      <c r="W25" s="822">
        <f t="shared" si="4"/>
        <v>6.5</v>
      </c>
      <c r="X25" s="937"/>
    </row>
    <row r="26" spans="1:24" s="959" customFormat="1" ht="72" x14ac:dyDescent="0.2">
      <c r="A26" s="364" t="s">
        <v>263</v>
      </c>
      <c r="B26" s="960" t="s">
        <v>298</v>
      </c>
      <c r="C26" s="952"/>
      <c r="D26" s="954">
        <v>964</v>
      </c>
      <c r="E26" s="364" t="s">
        <v>100</v>
      </c>
      <c r="F26" s="945" t="s">
        <v>146</v>
      </c>
      <c r="G26" s="364" t="s">
        <v>7</v>
      </c>
      <c r="H26" s="364" t="s">
        <v>299</v>
      </c>
      <c r="I26" s="364" t="s">
        <v>121</v>
      </c>
      <c r="J26" s="966"/>
      <c r="K26" s="957"/>
      <c r="L26" s="957"/>
      <c r="M26" s="957"/>
      <c r="N26" s="957">
        <v>258.7</v>
      </c>
      <c r="O26" s="957"/>
      <c r="P26" s="957"/>
      <c r="Q26" s="957"/>
      <c r="R26" s="957"/>
      <c r="S26" s="957"/>
      <c r="T26" s="957"/>
      <c r="U26" s="957"/>
      <c r="V26" s="957"/>
      <c r="W26" s="822">
        <f t="shared" si="4"/>
        <v>258.7</v>
      </c>
      <c r="X26" s="937"/>
    </row>
    <row r="27" spans="1:24" s="959" customFormat="1" ht="72" x14ac:dyDescent="0.2">
      <c r="A27" s="364" t="s">
        <v>264</v>
      </c>
      <c r="B27" s="960" t="s">
        <v>399</v>
      </c>
      <c r="C27" s="952"/>
      <c r="D27" s="954">
        <v>964</v>
      </c>
      <c r="E27" s="364" t="s">
        <v>100</v>
      </c>
      <c r="F27" s="945" t="s">
        <v>146</v>
      </c>
      <c r="G27" s="364" t="s">
        <v>7</v>
      </c>
      <c r="H27" s="364" t="s">
        <v>400</v>
      </c>
      <c r="I27" s="364" t="s">
        <v>121</v>
      </c>
      <c r="J27" s="966"/>
      <c r="K27" s="957"/>
      <c r="L27" s="957"/>
      <c r="M27" s="957"/>
      <c r="N27" s="957"/>
      <c r="O27" s="957">
        <v>49.6</v>
      </c>
      <c r="P27" s="957"/>
      <c r="Q27" s="957"/>
      <c r="R27" s="957"/>
      <c r="S27" s="957"/>
      <c r="T27" s="957"/>
      <c r="U27" s="957"/>
      <c r="V27" s="957"/>
      <c r="W27" s="822">
        <f t="shared" si="4"/>
        <v>49.6</v>
      </c>
      <c r="X27" s="937"/>
    </row>
    <row r="28" spans="1:24" s="959" customFormat="1" ht="97.5" customHeight="1" x14ac:dyDescent="0.2">
      <c r="A28" s="364" t="s">
        <v>265</v>
      </c>
      <c r="B28" s="960" t="s">
        <v>427</v>
      </c>
      <c r="C28" s="952"/>
      <c r="D28" s="954">
        <v>964</v>
      </c>
      <c r="E28" s="364" t="s">
        <v>100</v>
      </c>
      <c r="F28" s="945" t="s">
        <v>146</v>
      </c>
      <c r="G28" s="364" t="s">
        <v>7</v>
      </c>
      <c r="H28" s="364" t="s">
        <v>418</v>
      </c>
      <c r="I28" s="364" t="s">
        <v>121</v>
      </c>
      <c r="J28" s="966"/>
      <c r="K28" s="957"/>
      <c r="L28" s="957"/>
      <c r="M28" s="957"/>
      <c r="N28" s="957"/>
      <c r="O28" s="957"/>
      <c r="P28" s="957">
        <v>303.10000000000002</v>
      </c>
      <c r="Q28" s="957"/>
      <c r="R28" s="957"/>
      <c r="S28" s="957"/>
      <c r="T28" s="957"/>
      <c r="U28" s="957"/>
      <c r="V28" s="957"/>
      <c r="W28" s="822">
        <f t="shared" si="4"/>
        <v>303.10000000000002</v>
      </c>
      <c r="X28" s="937"/>
    </row>
    <row r="29" spans="1:24" s="959" customFormat="1" ht="234" customHeight="1" x14ac:dyDescent="0.2">
      <c r="A29" s="364" t="s">
        <v>266</v>
      </c>
      <c r="B29" s="960" t="s">
        <v>403</v>
      </c>
      <c r="C29" s="952"/>
      <c r="D29" s="954">
        <v>964</v>
      </c>
      <c r="E29" s="364" t="s">
        <v>100</v>
      </c>
      <c r="F29" s="945" t="s">
        <v>146</v>
      </c>
      <c r="G29" s="364" t="s">
        <v>7</v>
      </c>
      <c r="H29" s="364" t="s">
        <v>402</v>
      </c>
      <c r="I29" s="364" t="s">
        <v>121</v>
      </c>
      <c r="J29" s="966"/>
      <c r="K29" s="957"/>
      <c r="L29" s="957"/>
      <c r="M29" s="957"/>
      <c r="N29" s="957"/>
      <c r="O29" s="957">
        <v>6.2</v>
      </c>
      <c r="P29" s="957"/>
      <c r="Q29" s="957"/>
      <c r="R29" s="957"/>
      <c r="S29" s="957"/>
      <c r="T29" s="957"/>
      <c r="U29" s="957"/>
      <c r="V29" s="957"/>
      <c r="W29" s="822">
        <f t="shared" si="4"/>
        <v>6.2</v>
      </c>
      <c r="X29" s="937"/>
    </row>
    <row r="30" spans="1:24" s="959" customFormat="1" ht="243" customHeight="1" x14ac:dyDescent="0.2">
      <c r="A30" s="364" t="s">
        <v>267</v>
      </c>
      <c r="B30" s="960" t="s">
        <v>403</v>
      </c>
      <c r="C30" s="952"/>
      <c r="D30" s="954">
        <v>964</v>
      </c>
      <c r="E30" s="364" t="s">
        <v>100</v>
      </c>
      <c r="F30" s="945" t="s">
        <v>146</v>
      </c>
      <c r="G30" s="364" t="s">
        <v>7</v>
      </c>
      <c r="H30" s="364" t="s">
        <v>409</v>
      </c>
      <c r="I30" s="364" t="s">
        <v>121</v>
      </c>
      <c r="J30" s="966"/>
      <c r="K30" s="957"/>
      <c r="L30" s="957"/>
      <c r="M30" s="957"/>
      <c r="N30" s="957"/>
      <c r="O30" s="957"/>
      <c r="P30" s="957">
        <v>166.8</v>
      </c>
      <c r="Q30" s="957"/>
      <c r="R30" s="957"/>
      <c r="S30" s="957"/>
      <c r="T30" s="957"/>
      <c r="U30" s="957"/>
      <c r="V30" s="957"/>
      <c r="W30" s="822">
        <f t="shared" si="4"/>
        <v>166.8</v>
      </c>
      <c r="X30" s="937"/>
    </row>
    <row r="31" spans="1:24" s="959" customFormat="1" ht="101.25" customHeight="1" x14ac:dyDescent="0.2">
      <c r="A31" s="364" t="s">
        <v>284</v>
      </c>
      <c r="B31" s="967" t="s">
        <v>426</v>
      </c>
      <c r="C31" s="952"/>
      <c r="D31" s="954">
        <v>964</v>
      </c>
      <c r="E31" s="364" t="s">
        <v>100</v>
      </c>
      <c r="F31" s="945" t="s">
        <v>146</v>
      </c>
      <c r="G31" s="364" t="s">
        <v>7</v>
      </c>
      <c r="H31" s="364" t="s">
        <v>425</v>
      </c>
      <c r="I31" s="364" t="s">
        <v>121</v>
      </c>
      <c r="J31" s="966"/>
      <c r="K31" s="957"/>
      <c r="L31" s="957"/>
      <c r="M31" s="957"/>
      <c r="N31" s="957"/>
      <c r="O31" s="957"/>
      <c r="P31" s="957">
        <v>43.3</v>
      </c>
      <c r="Q31" s="957"/>
      <c r="R31" s="957"/>
      <c r="S31" s="957"/>
      <c r="T31" s="957"/>
      <c r="U31" s="957"/>
      <c r="V31" s="957"/>
      <c r="W31" s="822">
        <f t="shared" si="4"/>
        <v>43.3</v>
      </c>
      <c r="X31" s="937"/>
    </row>
    <row r="32" spans="1:24" s="959" customFormat="1" ht="175.5" customHeight="1" x14ac:dyDescent="0.2">
      <c r="A32" s="364"/>
      <c r="B32" s="967" t="s">
        <v>497</v>
      </c>
      <c r="C32" s="952"/>
      <c r="D32" s="954">
        <v>964</v>
      </c>
      <c r="E32" s="364" t="s">
        <v>498</v>
      </c>
      <c r="F32" s="945" t="s">
        <v>146</v>
      </c>
      <c r="G32" s="364" t="s">
        <v>7</v>
      </c>
      <c r="H32" s="364" t="s">
        <v>496</v>
      </c>
      <c r="I32" s="364" t="s">
        <v>121</v>
      </c>
      <c r="J32" s="966"/>
      <c r="K32" s="957"/>
      <c r="L32" s="957"/>
      <c r="M32" s="957"/>
      <c r="N32" s="957"/>
      <c r="O32" s="957"/>
      <c r="P32" s="957"/>
      <c r="Q32" s="957"/>
      <c r="R32" s="957">
        <v>222.9</v>
      </c>
      <c r="S32" s="957"/>
      <c r="T32" s="957"/>
      <c r="U32" s="957"/>
      <c r="V32" s="957"/>
      <c r="W32" s="822">
        <f t="shared" si="4"/>
        <v>222.9</v>
      </c>
      <c r="X32" s="937"/>
    </row>
    <row r="33" spans="1:24" s="959" customFormat="1" ht="117" customHeight="1" x14ac:dyDescent="0.25">
      <c r="A33" s="364" t="s">
        <v>295</v>
      </c>
      <c r="B33" s="968" t="s">
        <v>430</v>
      </c>
      <c r="C33" s="952"/>
      <c r="D33" s="954">
        <v>964</v>
      </c>
      <c r="E33" s="364" t="s">
        <v>100</v>
      </c>
      <c r="F33" s="945" t="s">
        <v>146</v>
      </c>
      <c r="G33" s="364" t="s">
        <v>7</v>
      </c>
      <c r="H33" s="364" t="s">
        <v>431</v>
      </c>
      <c r="I33" s="364" t="s">
        <v>121</v>
      </c>
      <c r="J33" s="966"/>
      <c r="K33" s="957"/>
      <c r="L33" s="957"/>
      <c r="M33" s="957"/>
      <c r="N33" s="957"/>
      <c r="O33" s="957"/>
      <c r="P33" s="957">
        <v>0</v>
      </c>
      <c r="Q33" s="957">
        <v>8451.4</v>
      </c>
      <c r="R33" s="957">
        <f>8717+751+118.4+248.1</f>
        <v>9834.5</v>
      </c>
      <c r="S33" s="957">
        <f>9994+188.6+219.2+576.4+118+85</f>
        <v>11181.2</v>
      </c>
      <c r="T33" s="957">
        <f>9651.2+2587.6</f>
        <v>12238.800000000001</v>
      </c>
      <c r="U33" s="957">
        <v>9651.2000000000007</v>
      </c>
      <c r="V33" s="957">
        <v>9651.2000000000007</v>
      </c>
      <c r="W33" s="822">
        <f t="shared" si="4"/>
        <v>61008.3</v>
      </c>
      <c r="X33" s="937"/>
    </row>
    <row r="34" spans="1:24" s="959" customFormat="1" ht="118.5" customHeight="1" x14ac:dyDescent="0.25">
      <c r="A34" s="364" t="s">
        <v>297</v>
      </c>
      <c r="B34" s="968" t="s">
        <v>430</v>
      </c>
      <c r="C34" s="952"/>
      <c r="D34" s="954">
        <v>964</v>
      </c>
      <c r="E34" s="364" t="s">
        <v>100</v>
      </c>
      <c r="F34" s="945" t="s">
        <v>146</v>
      </c>
      <c r="G34" s="364" t="s">
        <v>7</v>
      </c>
      <c r="H34" s="364" t="s">
        <v>443</v>
      </c>
      <c r="I34" s="364" t="s">
        <v>121</v>
      </c>
      <c r="J34" s="966"/>
      <c r="K34" s="957"/>
      <c r="L34" s="957"/>
      <c r="M34" s="957"/>
      <c r="N34" s="957"/>
      <c r="O34" s="957"/>
      <c r="P34" s="957">
        <v>0</v>
      </c>
      <c r="Q34" s="957">
        <v>1009.5</v>
      </c>
      <c r="R34" s="957">
        <v>1110.0999999999999</v>
      </c>
      <c r="S34" s="957">
        <f>1401.7-70</f>
        <v>1331.7</v>
      </c>
      <c r="T34" s="957">
        <f>1064.1-51.6</f>
        <v>1012.4999999999999</v>
      </c>
      <c r="U34" s="957">
        <v>1064.0999999999999</v>
      </c>
      <c r="V34" s="957">
        <v>1064.0999999999999</v>
      </c>
      <c r="W34" s="822">
        <f t="shared" si="4"/>
        <v>6592</v>
      </c>
      <c r="X34" s="937"/>
    </row>
    <row r="35" spans="1:24" ht="33" customHeight="1" x14ac:dyDescent="0.2">
      <c r="A35" s="941" t="s">
        <v>301</v>
      </c>
      <c r="B35" s="942" t="s">
        <v>156</v>
      </c>
      <c r="C35" s="952"/>
      <c r="D35" s="930">
        <v>964</v>
      </c>
      <c r="E35" s="944" t="s">
        <v>100</v>
      </c>
      <c r="F35" s="945" t="s">
        <v>146</v>
      </c>
      <c r="G35" s="364" t="s">
        <v>7</v>
      </c>
      <c r="H35" s="364" t="s">
        <v>179</v>
      </c>
      <c r="I35" s="364" t="s">
        <v>123</v>
      </c>
      <c r="J35" s="946">
        <v>0</v>
      </c>
      <c r="K35" s="946">
        <v>0</v>
      </c>
      <c r="L35" s="946">
        <v>549.79999999999995</v>
      </c>
      <c r="M35" s="946">
        <v>181.8</v>
      </c>
      <c r="N35" s="946">
        <v>870.4</v>
      </c>
      <c r="O35" s="946">
        <v>713.2</v>
      </c>
      <c r="P35" s="946">
        <v>1250</v>
      </c>
      <c r="Q35" s="946">
        <v>2033.4</v>
      </c>
      <c r="R35" s="946">
        <f>806+319</f>
        <v>1125</v>
      </c>
      <c r="S35" s="946">
        <f>1000+120</f>
        <v>1120</v>
      </c>
      <c r="T35" s="946">
        <v>1500</v>
      </c>
      <c r="U35" s="946">
        <v>1500</v>
      </c>
      <c r="V35" s="946">
        <v>1500</v>
      </c>
      <c r="W35" s="822">
        <f t="shared" si="4"/>
        <v>12343.6</v>
      </c>
      <c r="X35" s="937"/>
    </row>
    <row r="36" spans="1:24" ht="33" customHeight="1" x14ac:dyDescent="0.2">
      <c r="A36" s="947"/>
      <c r="B36" s="969"/>
      <c r="C36" s="952"/>
      <c r="D36" s="930">
        <v>964</v>
      </c>
      <c r="E36" s="944" t="s">
        <v>100</v>
      </c>
      <c r="F36" s="945" t="s">
        <v>146</v>
      </c>
      <c r="G36" s="364" t="s">
        <v>7</v>
      </c>
      <c r="H36" s="364" t="s">
        <v>429</v>
      </c>
      <c r="I36" s="364" t="s">
        <v>123</v>
      </c>
      <c r="J36" s="946"/>
      <c r="K36" s="946"/>
      <c r="L36" s="946"/>
      <c r="M36" s="946"/>
      <c r="N36" s="946"/>
      <c r="O36" s="946"/>
      <c r="P36" s="946"/>
      <c r="Q36" s="946"/>
      <c r="R36" s="946"/>
      <c r="S36" s="946">
        <v>70</v>
      </c>
      <c r="T36" s="946">
        <v>100</v>
      </c>
      <c r="U36" s="946">
        <v>0</v>
      </c>
      <c r="V36" s="946">
        <v>0</v>
      </c>
      <c r="W36" s="822">
        <f t="shared" si="4"/>
        <v>170</v>
      </c>
      <c r="X36" s="937"/>
    </row>
    <row r="37" spans="1:24" ht="33" customHeight="1" x14ac:dyDescent="0.2">
      <c r="A37" s="951"/>
      <c r="B37" s="948"/>
      <c r="C37" s="952"/>
      <c r="D37" s="930">
        <v>964</v>
      </c>
      <c r="E37" s="944" t="s">
        <v>100</v>
      </c>
      <c r="F37" s="945" t="s">
        <v>146</v>
      </c>
      <c r="G37" s="364" t="s">
        <v>7</v>
      </c>
      <c r="H37" s="364" t="s">
        <v>223</v>
      </c>
      <c r="I37" s="364" t="s">
        <v>123</v>
      </c>
      <c r="J37" s="946">
        <v>41.7</v>
      </c>
      <c r="K37" s="946">
        <v>563.20000000000005</v>
      </c>
      <c r="L37" s="946">
        <v>0</v>
      </c>
      <c r="M37" s="946">
        <v>0</v>
      </c>
      <c r="N37" s="946">
        <v>0</v>
      </c>
      <c r="O37" s="946">
        <v>0</v>
      </c>
      <c r="P37" s="946">
        <v>0</v>
      </c>
      <c r="Q37" s="946">
        <v>0</v>
      </c>
      <c r="R37" s="946">
        <v>0</v>
      </c>
      <c r="S37" s="946">
        <v>0</v>
      </c>
      <c r="T37" s="946">
        <v>0</v>
      </c>
      <c r="U37" s="946">
        <v>0</v>
      </c>
      <c r="V37" s="946">
        <v>0</v>
      </c>
      <c r="W37" s="822">
        <f t="shared" si="4"/>
        <v>604.90000000000009</v>
      </c>
      <c r="X37" s="970"/>
    </row>
    <row r="38" spans="1:24" s="959" customFormat="1" ht="40.15" customHeight="1" x14ac:dyDescent="0.2">
      <c r="A38" s="941" t="s">
        <v>435</v>
      </c>
      <c r="B38" s="953" t="s">
        <v>464</v>
      </c>
      <c r="C38" s="952"/>
      <c r="D38" s="954">
        <v>964</v>
      </c>
      <c r="E38" s="364" t="s">
        <v>100</v>
      </c>
      <c r="F38" s="945" t="s">
        <v>146</v>
      </c>
      <c r="G38" s="364" t="s">
        <v>7</v>
      </c>
      <c r="H38" s="364" t="s">
        <v>423</v>
      </c>
      <c r="I38" s="364" t="s">
        <v>123</v>
      </c>
      <c r="J38" s="966"/>
      <c r="K38" s="957"/>
      <c r="L38" s="957"/>
      <c r="M38" s="957"/>
      <c r="N38" s="957"/>
      <c r="O38" s="957"/>
      <c r="P38" s="957">
        <v>10000</v>
      </c>
      <c r="Q38" s="957">
        <v>3461.3</v>
      </c>
      <c r="R38" s="957"/>
      <c r="S38" s="957"/>
      <c r="T38" s="957"/>
      <c r="U38" s="957"/>
      <c r="V38" s="957"/>
      <c r="W38" s="822">
        <f t="shared" si="4"/>
        <v>13461.3</v>
      </c>
      <c r="X38" s="971" t="s">
        <v>466</v>
      </c>
    </row>
    <row r="39" spans="1:24" s="959" customFormat="1" ht="40.15" customHeight="1" x14ac:dyDescent="0.2">
      <c r="A39" s="951"/>
      <c r="B39" s="958"/>
      <c r="C39" s="952"/>
      <c r="D39" s="954">
        <v>964</v>
      </c>
      <c r="E39" s="364" t="s">
        <v>100</v>
      </c>
      <c r="F39" s="945" t="s">
        <v>146</v>
      </c>
      <c r="G39" s="364" t="s">
        <v>7</v>
      </c>
      <c r="H39" s="364" t="s">
        <v>422</v>
      </c>
      <c r="I39" s="364" t="s">
        <v>123</v>
      </c>
      <c r="J39" s="966"/>
      <c r="K39" s="957"/>
      <c r="L39" s="957"/>
      <c r="M39" s="957"/>
      <c r="N39" s="957"/>
      <c r="O39" s="957"/>
      <c r="P39" s="957">
        <v>6311.4</v>
      </c>
      <c r="Q39" s="957">
        <v>2183.4</v>
      </c>
      <c r="R39" s="957"/>
      <c r="S39" s="957"/>
      <c r="T39" s="957"/>
      <c r="U39" s="957"/>
      <c r="V39" s="957"/>
      <c r="W39" s="822">
        <f t="shared" si="4"/>
        <v>8494.7999999999993</v>
      </c>
      <c r="X39" s="972"/>
    </row>
    <row r="40" spans="1:24" ht="29.25" customHeight="1" x14ac:dyDescent="0.2">
      <c r="A40" s="941" t="s">
        <v>436</v>
      </c>
      <c r="B40" s="942" t="s">
        <v>149</v>
      </c>
      <c r="C40" s="952"/>
      <c r="D40" s="930">
        <v>964</v>
      </c>
      <c r="E40" s="944" t="s">
        <v>100</v>
      </c>
      <c r="F40" s="945" t="s">
        <v>146</v>
      </c>
      <c r="G40" s="364" t="s">
        <v>7</v>
      </c>
      <c r="H40" s="364" t="s">
        <v>226</v>
      </c>
      <c r="I40" s="364" t="s">
        <v>123</v>
      </c>
      <c r="J40" s="946">
        <v>592.1</v>
      </c>
      <c r="K40" s="946">
        <v>598.20000000000005</v>
      </c>
      <c r="L40" s="946">
        <v>0</v>
      </c>
      <c r="M40" s="946">
        <v>0</v>
      </c>
      <c r="N40" s="946">
        <v>0</v>
      </c>
      <c r="O40" s="946">
        <v>0</v>
      </c>
      <c r="P40" s="946">
        <v>0</v>
      </c>
      <c r="Q40" s="946">
        <v>0</v>
      </c>
      <c r="R40" s="946">
        <v>0</v>
      </c>
      <c r="S40" s="946">
        <v>0</v>
      </c>
      <c r="T40" s="946">
        <v>0</v>
      </c>
      <c r="U40" s="946">
        <v>0</v>
      </c>
      <c r="V40" s="946">
        <v>0</v>
      </c>
      <c r="W40" s="822">
        <f t="shared" si="4"/>
        <v>1190.3000000000002</v>
      </c>
      <c r="X40" s="971" t="s">
        <v>467</v>
      </c>
    </row>
    <row r="41" spans="1:24" ht="30.75" customHeight="1" x14ac:dyDescent="0.2">
      <c r="A41" s="951"/>
      <c r="B41" s="948"/>
      <c r="C41" s="952"/>
      <c r="D41" s="930">
        <v>964</v>
      </c>
      <c r="E41" s="944" t="s">
        <v>100</v>
      </c>
      <c r="F41" s="945" t="s">
        <v>146</v>
      </c>
      <c r="G41" s="364" t="s">
        <v>7</v>
      </c>
      <c r="H41" s="364" t="s">
        <v>183</v>
      </c>
      <c r="I41" s="364" t="s">
        <v>123</v>
      </c>
      <c r="J41" s="946">
        <v>0</v>
      </c>
      <c r="K41" s="946">
        <v>0</v>
      </c>
      <c r="L41" s="946">
        <v>589.29999999999995</v>
      </c>
      <c r="M41" s="946">
        <v>593.29999999999995</v>
      </c>
      <c r="N41" s="946">
        <v>825.9</v>
      </c>
      <c r="O41" s="946">
        <v>812.8</v>
      </c>
      <c r="P41" s="946">
        <v>810.5</v>
      </c>
      <c r="Q41" s="946">
        <v>781.8</v>
      </c>
      <c r="R41" s="946">
        <v>1016.4</v>
      </c>
      <c r="S41" s="946">
        <v>998.1</v>
      </c>
      <c r="T41" s="946">
        <v>967.2</v>
      </c>
      <c r="U41" s="946">
        <v>967.2</v>
      </c>
      <c r="V41" s="946">
        <v>967.2</v>
      </c>
      <c r="W41" s="822">
        <f t="shared" si="4"/>
        <v>9329.7000000000007</v>
      </c>
      <c r="X41" s="973"/>
    </row>
    <row r="42" spans="1:24" s="959" customFormat="1" ht="118.9" customHeight="1" x14ac:dyDescent="0.2">
      <c r="A42" s="364" t="s">
        <v>437</v>
      </c>
      <c r="B42" s="960" t="s">
        <v>296</v>
      </c>
      <c r="C42" s="952"/>
      <c r="D42" s="954">
        <v>964</v>
      </c>
      <c r="E42" s="364" t="s">
        <v>100</v>
      </c>
      <c r="F42" s="945" t="s">
        <v>146</v>
      </c>
      <c r="G42" s="364" t="s">
        <v>7</v>
      </c>
      <c r="H42" s="364" t="s">
        <v>374</v>
      </c>
      <c r="I42" s="364" t="s">
        <v>123</v>
      </c>
      <c r="J42" s="966"/>
      <c r="K42" s="957"/>
      <c r="L42" s="957"/>
      <c r="M42" s="957"/>
      <c r="N42" s="957">
        <v>165.2</v>
      </c>
      <c r="O42" s="957">
        <v>162.6</v>
      </c>
      <c r="P42" s="957">
        <v>202.6</v>
      </c>
      <c r="Q42" s="957">
        <v>202.6</v>
      </c>
      <c r="R42" s="957">
        <v>202.6</v>
      </c>
      <c r="S42" s="957">
        <f>160+30.1+0.1</f>
        <v>190.2</v>
      </c>
      <c r="T42" s="957">
        <v>184.3</v>
      </c>
      <c r="U42" s="957">
        <v>184.3</v>
      </c>
      <c r="V42" s="957">
        <v>184.3</v>
      </c>
      <c r="W42" s="822">
        <f t="shared" si="4"/>
        <v>1678.6999999999998</v>
      </c>
      <c r="X42" s="972"/>
    </row>
    <row r="43" spans="1:24" ht="33.75" customHeight="1" x14ac:dyDescent="0.2">
      <c r="A43" s="941" t="s">
        <v>438</v>
      </c>
      <c r="B43" s="974" t="s">
        <v>151</v>
      </c>
      <c r="C43" s="952"/>
      <c r="D43" s="930">
        <v>964</v>
      </c>
      <c r="E43" s="944" t="s">
        <v>100</v>
      </c>
      <c r="F43" s="945" t="s">
        <v>146</v>
      </c>
      <c r="G43" s="364" t="s">
        <v>7</v>
      </c>
      <c r="H43" s="364" t="s">
        <v>184</v>
      </c>
      <c r="I43" s="364" t="s">
        <v>123</v>
      </c>
      <c r="J43" s="946">
        <v>0</v>
      </c>
      <c r="K43" s="946">
        <v>0</v>
      </c>
      <c r="L43" s="946">
        <v>693.4</v>
      </c>
      <c r="M43" s="946">
        <v>623.29999999999995</v>
      </c>
      <c r="N43" s="946">
        <v>0</v>
      </c>
      <c r="O43" s="946">
        <v>0</v>
      </c>
      <c r="P43" s="946">
        <v>0</v>
      </c>
      <c r="Q43" s="946">
        <v>0</v>
      </c>
      <c r="R43" s="946">
        <v>0</v>
      </c>
      <c r="S43" s="946">
        <v>0</v>
      </c>
      <c r="T43" s="946">
        <v>0</v>
      </c>
      <c r="U43" s="946">
        <v>0</v>
      </c>
      <c r="V43" s="946">
        <v>0</v>
      </c>
      <c r="W43" s="822">
        <f t="shared" si="4"/>
        <v>1316.6999999999998</v>
      </c>
      <c r="X43" s="971" t="s">
        <v>468</v>
      </c>
    </row>
    <row r="44" spans="1:24" ht="87" customHeight="1" x14ac:dyDescent="0.2">
      <c r="A44" s="951"/>
      <c r="B44" s="975"/>
      <c r="C44" s="952"/>
      <c r="D44" s="930">
        <v>964</v>
      </c>
      <c r="E44" s="944" t="s">
        <v>100</v>
      </c>
      <c r="F44" s="945" t="s">
        <v>146</v>
      </c>
      <c r="G44" s="364" t="s">
        <v>7</v>
      </c>
      <c r="H44" s="364" t="s">
        <v>227</v>
      </c>
      <c r="I44" s="364" t="s">
        <v>123</v>
      </c>
      <c r="J44" s="946">
        <v>632</v>
      </c>
      <c r="K44" s="946">
        <v>658.6</v>
      </c>
      <c r="L44" s="946">
        <v>0</v>
      </c>
      <c r="M44" s="946">
        <v>0</v>
      </c>
      <c r="N44" s="946">
        <v>0</v>
      </c>
      <c r="O44" s="946">
        <v>0</v>
      </c>
      <c r="P44" s="946">
        <v>0</v>
      </c>
      <c r="Q44" s="946">
        <v>0</v>
      </c>
      <c r="R44" s="946">
        <v>0</v>
      </c>
      <c r="S44" s="946">
        <v>0</v>
      </c>
      <c r="T44" s="946">
        <v>0</v>
      </c>
      <c r="U44" s="946">
        <v>0</v>
      </c>
      <c r="V44" s="946">
        <v>0</v>
      </c>
      <c r="W44" s="822">
        <f t="shared" si="4"/>
        <v>1290.5999999999999</v>
      </c>
      <c r="X44" s="972"/>
    </row>
    <row r="45" spans="1:24" ht="86.25" customHeight="1" x14ac:dyDescent="0.2">
      <c r="A45" s="941" t="s">
        <v>439</v>
      </c>
      <c r="B45" s="976" t="s">
        <v>463</v>
      </c>
      <c r="C45" s="952"/>
      <c r="D45" s="930">
        <v>964</v>
      </c>
      <c r="E45" s="944" t="s">
        <v>100</v>
      </c>
      <c r="F45" s="945" t="s">
        <v>146</v>
      </c>
      <c r="G45" s="364" t="s">
        <v>7</v>
      </c>
      <c r="H45" s="364" t="s">
        <v>452</v>
      </c>
      <c r="I45" s="364" t="s">
        <v>123</v>
      </c>
      <c r="J45" s="946"/>
      <c r="K45" s="946"/>
      <c r="L45" s="946"/>
      <c r="M45" s="946"/>
      <c r="N45" s="946"/>
      <c r="O45" s="946"/>
      <c r="P45" s="946"/>
      <c r="Q45" s="946">
        <v>550</v>
      </c>
      <c r="R45" s="946"/>
      <c r="S45" s="946">
        <v>550</v>
      </c>
      <c r="T45" s="946"/>
      <c r="U45" s="946"/>
      <c r="V45" s="946"/>
      <c r="W45" s="822">
        <f t="shared" si="4"/>
        <v>1100</v>
      </c>
      <c r="X45" s="971" t="s">
        <v>469</v>
      </c>
    </row>
    <row r="46" spans="1:24" ht="63" customHeight="1" x14ac:dyDescent="0.2">
      <c r="A46" s="951"/>
      <c r="B46" s="977"/>
      <c r="C46" s="952"/>
      <c r="D46" s="930">
        <v>964</v>
      </c>
      <c r="E46" s="944" t="s">
        <v>100</v>
      </c>
      <c r="F46" s="945" t="s">
        <v>146</v>
      </c>
      <c r="G46" s="364" t="s">
        <v>7</v>
      </c>
      <c r="H46" s="364" t="s">
        <v>453</v>
      </c>
      <c r="I46" s="364" t="s">
        <v>123</v>
      </c>
      <c r="J46" s="946"/>
      <c r="K46" s="946"/>
      <c r="L46" s="946"/>
      <c r="M46" s="946"/>
      <c r="N46" s="946"/>
      <c r="O46" s="946"/>
      <c r="P46" s="946"/>
      <c r="Q46" s="946">
        <v>46.5</v>
      </c>
      <c r="R46" s="946"/>
      <c r="S46" s="946">
        <v>18</v>
      </c>
      <c r="T46" s="946"/>
      <c r="U46" s="946"/>
      <c r="V46" s="946"/>
      <c r="W46" s="822">
        <f t="shared" si="4"/>
        <v>64.5</v>
      </c>
      <c r="X46" s="972"/>
    </row>
    <row r="47" spans="1:24" ht="50.1" customHeight="1" x14ac:dyDescent="0.2">
      <c r="A47" s="978" t="s">
        <v>440</v>
      </c>
      <c r="B47" s="979" t="s">
        <v>489</v>
      </c>
      <c r="C47" s="952"/>
      <c r="D47" s="930">
        <v>964</v>
      </c>
      <c r="E47" s="944" t="s">
        <v>100</v>
      </c>
      <c r="F47" s="945" t="s">
        <v>146</v>
      </c>
      <c r="G47" s="980">
        <v>2</v>
      </c>
      <c r="H47" s="364" t="s">
        <v>488</v>
      </c>
      <c r="I47" s="980">
        <v>622</v>
      </c>
      <c r="J47" s="957"/>
      <c r="K47" s="957"/>
      <c r="L47" s="957"/>
      <c r="M47" s="957"/>
      <c r="N47" s="957"/>
      <c r="O47" s="957"/>
      <c r="P47" s="957"/>
      <c r="Q47" s="957"/>
      <c r="R47" s="957">
        <v>1600</v>
      </c>
      <c r="S47" s="957">
        <v>2400</v>
      </c>
      <c r="T47" s="957"/>
      <c r="U47" s="957"/>
      <c r="V47" s="957"/>
      <c r="W47" s="822">
        <f t="shared" si="4"/>
        <v>4000</v>
      </c>
      <c r="X47" s="971" t="s">
        <v>492</v>
      </c>
    </row>
    <row r="48" spans="1:24" ht="50.1" customHeight="1" x14ac:dyDescent="0.2">
      <c r="A48" s="981"/>
      <c r="B48" s="982"/>
      <c r="C48" s="952"/>
      <c r="D48" s="930">
        <v>964</v>
      </c>
      <c r="E48" s="944" t="s">
        <v>100</v>
      </c>
      <c r="F48" s="945" t="s">
        <v>146</v>
      </c>
      <c r="G48" s="364" t="s">
        <v>7</v>
      </c>
      <c r="H48" s="364" t="s">
        <v>490</v>
      </c>
      <c r="I48" s="364" t="s">
        <v>123</v>
      </c>
      <c r="J48" s="957"/>
      <c r="K48" s="957"/>
      <c r="L48" s="957"/>
      <c r="M48" s="957"/>
      <c r="N48" s="957"/>
      <c r="O48" s="957"/>
      <c r="P48" s="957"/>
      <c r="Q48" s="957"/>
      <c r="R48" s="957">
        <v>100</v>
      </c>
      <c r="S48" s="957">
        <v>24</v>
      </c>
      <c r="T48" s="957"/>
      <c r="U48" s="957"/>
      <c r="V48" s="957"/>
      <c r="W48" s="822">
        <f t="shared" si="4"/>
        <v>124</v>
      </c>
      <c r="X48" s="972"/>
    </row>
    <row r="49" spans="1:24" ht="26.25" hidden="1" customHeight="1" x14ac:dyDescent="0.25">
      <c r="A49" s="364"/>
      <c r="B49" s="983"/>
      <c r="C49" s="952"/>
      <c r="D49" s="930">
        <v>964</v>
      </c>
      <c r="E49" s="944" t="s">
        <v>100</v>
      </c>
      <c r="F49" s="945" t="s">
        <v>146</v>
      </c>
      <c r="G49" s="980">
        <v>2</v>
      </c>
      <c r="H49" s="364"/>
      <c r="I49" s="980"/>
      <c r="J49" s="966"/>
      <c r="K49" s="966"/>
      <c r="L49" s="966"/>
      <c r="M49" s="966"/>
      <c r="N49" s="966"/>
      <c r="O49" s="966"/>
      <c r="P49" s="966"/>
      <c r="Q49" s="966"/>
      <c r="R49" s="966"/>
      <c r="S49" s="966"/>
      <c r="T49" s="966"/>
      <c r="U49" s="966"/>
      <c r="V49" s="966"/>
      <c r="W49" s="822">
        <f t="shared" si="4"/>
        <v>0</v>
      </c>
      <c r="X49" s="984"/>
    </row>
    <row r="50" spans="1:24" ht="26.25" hidden="1" customHeight="1" x14ac:dyDescent="0.25">
      <c r="A50" s="364"/>
      <c r="B50" s="983"/>
      <c r="C50" s="952"/>
      <c r="D50" s="930">
        <v>964</v>
      </c>
      <c r="E50" s="944" t="s">
        <v>100</v>
      </c>
      <c r="F50" s="945" t="s">
        <v>146</v>
      </c>
      <c r="G50" s="980">
        <v>2</v>
      </c>
      <c r="H50" s="364"/>
      <c r="I50" s="980"/>
      <c r="J50" s="966"/>
      <c r="K50" s="966"/>
      <c r="L50" s="966"/>
      <c r="M50" s="966"/>
      <c r="N50" s="966"/>
      <c r="O50" s="966"/>
      <c r="P50" s="966"/>
      <c r="Q50" s="966"/>
      <c r="R50" s="966"/>
      <c r="S50" s="966"/>
      <c r="T50" s="966"/>
      <c r="U50" s="966"/>
      <c r="V50" s="966"/>
      <c r="W50" s="822">
        <f t="shared" si="4"/>
        <v>0</v>
      </c>
      <c r="X50" s="984"/>
    </row>
    <row r="51" spans="1:24" ht="26.25" hidden="1" customHeight="1" x14ac:dyDescent="0.25">
      <c r="A51" s="364"/>
      <c r="B51" s="983"/>
      <c r="C51" s="952"/>
      <c r="D51" s="930">
        <v>964</v>
      </c>
      <c r="E51" s="944" t="s">
        <v>100</v>
      </c>
      <c r="F51" s="945" t="s">
        <v>146</v>
      </c>
      <c r="G51" s="364" t="s">
        <v>7</v>
      </c>
      <c r="H51" s="364"/>
      <c r="I51" s="364"/>
      <c r="J51" s="957"/>
      <c r="K51" s="957"/>
      <c r="L51" s="957"/>
      <c r="M51" s="957"/>
      <c r="N51" s="957"/>
      <c r="O51" s="957"/>
      <c r="P51" s="957"/>
      <c r="Q51" s="957"/>
      <c r="R51" s="957"/>
      <c r="S51" s="957"/>
      <c r="T51" s="957"/>
      <c r="U51" s="957"/>
      <c r="V51" s="957"/>
      <c r="W51" s="822">
        <f t="shared" si="4"/>
        <v>0</v>
      </c>
      <c r="X51" s="984"/>
    </row>
    <row r="52" spans="1:24" ht="26.25" hidden="1" customHeight="1" x14ac:dyDescent="0.25">
      <c r="A52" s="364"/>
      <c r="B52" s="983"/>
      <c r="C52" s="952"/>
      <c r="D52" s="930">
        <v>964</v>
      </c>
      <c r="E52" s="944" t="s">
        <v>100</v>
      </c>
      <c r="F52" s="945" t="s">
        <v>146</v>
      </c>
      <c r="G52" s="980">
        <v>2</v>
      </c>
      <c r="H52" s="364"/>
      <c r="I52" s="980"/>
      <c r="J52" s="966"/>
      <c r="K52" s="966"/>
      <c r="L52" s="966"/>
      <c r="M52" s="966"/>
      <c r="N52" s="966"/>
      <c r="O52" s="966"/>
      <c r="P52" s="966"/>
      <c r="Q52" s="966"/>
      <c r="R52" s="966"/>
      <c r="S52" s="966"/>
      <c r="T52" s="966"/>
      <c r="U52" s="966"/>
      <c r="V52" s="966"/>
      <c r="W52" s="822">
        <f t="shared" si="4"/>
        <v>0</v>
      </c>
      <c r="X52" s="984"/>
    </row>
    <row r="53" spans="1:24" ht="26.25" hidden="1" customHeight="1" x14ac:dyDescent="0.25">
      <c r="A53" s="364"/>
      <c r="B53" s="983"/>
      <c r="C53" s="952"/>
      <c r="D53" s="930">
        <v>964</v>
      </c>
      <c r="E53" s="944" t="s">
        <v>100</v>
      </c>
      <c r="F53" s="945" t="s">
        <v>146</v>
      </c>
      <c r="G53" s="985">
        <v>2</v>
      </c>
      <c r="H53" s="986"/>
      <c r="I53" s="987"/>
      <c r="J53" s="988"/>
      <c r="K53" s="988"/>
      <c r="L53" s="988"/>
      <c r="M53" s="988"/>
      <c r="N53" s="988"/>
      <c r="O53" s="988"/>
      <c r="P53" s="988"/>
      <c r="Q53" s="988"/>
      <c r="R53" s="988"/>
      <c r="S53" s="988"/>
      <c r="T53" s="988"/>
      <c r="U53" s="988"/>
      <c r="V53" s="988"/>
      <c r="W53" s="822">
        <f t="shared" si="4"/>
        <v>0</v>
      </c>
      <c r="X53" s="984"/>
    </row>
    <row r="54" spans="1:24" ht="26.25" hidden="1" customHeight="1" x14ac:dyDescent="0.3">
      <c r="A54" s="364"/>
      <c r="B54" s="983"/>
      <c r="C54" s="952"/>
      <c r="D54" s="930">
        <v>964</v>
      </c>
      <c r="E54" s="944" t="s">
        <v>100</v>
      </c>
      <c r="F54" s="945" t="s">
        <v>146</v>
      </c>
      <c r="G54" s="985">
        <v>2</v>
      </c>
      <c r="H54" s="986"/>
      <c r="I54" s="987"/>
      <c r="J54" s="989"/>
      <c r="K54" s="989"/>
      <c r="L54" s="989"/>
      <c r="M54" s="989"/>
      <c r="N54" s="989"/>
      <c r="O54" s="989"/>
      <c r="P54" s="989"/>
      <c r="Q54" s="989"/>
      <c r="R54" s="989"/>
      <c r="S54" s="989"/>
      <c r="T54" s="989"/>
      <c r="U54" s="989"/>
      <c r="V54" s="989"/>
      <c r="W54" s="822">
        <f t="shared" si="4"/>
        <v>0</v>
      </c>
      <c r="X54" s="984"/>
    </row>
    <row r="55" spans="1:24" ht="26.25" hidden="1" customHeight="1" x14ac:dyDescent="0.25">
      <c r="A55" s="364"/>
      <c r="B55" s="983"/>
      <c r="C55" s="952"/>
      <c r="D55" s="930">
        <v>964</v>
      </c>
      <c r="E55" s="944" t="s">
        <v>100</v>
      </c>
      <c r="F55" s="945" t="s">
        <v>146</v>
      </c>
      <c r="G55" s="985">
        <v>2</v>
      </c>
      <c r="H55" s="986"/>
      <c r="I55" s="987"/>
      <c r="J55" s="966"/>
      <c r="K55" s="966"/>
      <c r="L55" s="966"/>
      <c r="M55" s="966"/>
      <c r="N55" s="966"/>
      <c r="O55" s="966"/>
      <c r="P55" s="966"/>
      <c r="Q55" s="966"/>
      <c r="R55" s="966"/>
      <c r="S55" s="966"/>
      <c r="T55" s="966"/>
      <c r="U55" s="966"/>
      <c r="V55" s="966"/>
      <c r="W55" s="822">
        <f t="shared" si="4"/>
        <v>0</v>
      </c>
      <c r="X55" s="984"/>
    </row>
    <row r="56" spans="1:24" ht="26.25" hidden="1" customHeight="1" x14ac:dyDescent="0.25">
      <c r="A56" s="364"/>
      <c r="B56" s="983"/>
      <c r="C56" s="952"/>
      <c r="D56" s="930">
        <v>964</v>
      </c>
      <c r="E56" s="990" t="s">
        <v>100</v>
      </c>
      <c r="F56" s="991" t="s">
        <v>5</v>
      </c>
      <c r="G56" s="367" t="s">
        <v>7</v>
      </c>
      <c r="H56" s="367" t="s">
        <v>177</v>
      </c>
      <c r="I56" s="367"/>
      <c r="J56" s="965"/>
      <c r="K56" s="965"/>
      <c r="L56" s="965"/>
      <c r="M56" s="965"/>
      <c r="N56" s="965"/>
      <c r="O56" s="965"/>
      <c r="P56" s="965"/>
      <c r="Q56" s="965"/>
      <c r="R56" s="965"/>
      <c r="S56" s="965"/>
      <c r="T56" s="965"/>
      <c r="U56" s="965"/>
      <c r="V56" s="965"/>
      <c r="W56" s="822">
        <f t="shared" si="4"/>
        <v>0</v>
      </c>
      <c r="X56" s="984"/>
    </row>
    <row r="57" spans="1:24" s="959" customFormat="1" ht="67.5" customHeight="1" x14ac:dyDescent="0.2">
      <c r="A57" s="941" t="s">
        <v>441</v>
      </c>
      <c r="B57" s="992" t="s">
        <v>462</v>
      </c>
      <c r="C57" s="952"/>
      <c r="D57" s="954">
        <v>964</v>
      </c>
      <c r="E57" s="364" t="s">
        <v>100</v>
      </c>
      <c r="F57" s="945" t="s">
        <v>146</v>
      </c>
      <c r="G57" s="364" t="s">
        <v>7</v>
      </c>
      <c r="H57" s="364" t="s">
        <v>268</v>
      </c>
      <c r="I57" s="364" t="s">
        <v>123</v>
      </c>
      <c r="J57" s="957"/>
      <c r="K57" s="957"/>
      <c r="L57" s="957"/>
      <c r="M57" s="957">
        <v>86.5</v>
      </c>
      <c r="N57" s="957"/>
      <c r="O57" s="957">
        <v>75.7</v>
      </c>
      <c r="P57" s="957">
        <v>2200</v>
      </c>
      <c r="Q57" s="957">
        <v>0</v>
      </c>
      <c r="R57" s="957">
        <v>200</v>
      </c>
      <c r="S57" s="957">
        <v>200</v>
      </c>
      <c r="T57" s="957">
        <v>0</v>
      </c>
      <c r="U57" s="957">
        <v>0</v>
      </c>
      <c r="V57" s="957">
        <v>0</v>
      </c>
      <c r="W57" s="822">
        <f t="shared" si="4"/>
        <v>2762.2</v>
      </c>
      <c r="X57" s="971" t="s">
        <v>470</v>
      </c>
    </row>
    <row r="58" spans="1:24" s="959" customFormat="1" ht="72.75" customHeight="1" x14ac:dyDescent="0.2">
      <c r="A58" s="951"/>
      <c r="B58" s="993"/>
      <c r="C58" s="952"/>
      <c r="D58" s="363" t="s">
        <v>119</v>
      </c>
      <c r="E58" s="364" t="s">
        <v>100</v>
      </c>
      <c r="F58" s="945" t="s">
        <v>146</v>
      </c>
      <c r="G58" s="364" t="s">
        <v>7</v>
      </c>
      <c r="H58" s="364" t="s">
        <v>269</v>
      </c>
      <c r="I58" s="364" t="s">
        <v>123</v>
      </c>
      <c r="J58" s="957"/>
      <c r="K58" s="957"/>
      <c r="L58" s="957"/>
      <c r="M58" s="957">
        <v>10</v>
      </c>
      <c r="N58" s="957"/>
      <c r="O58" s="957">
        <v>10</v>
      </c>
      <c r="P58" s="957">
        <v>94.5</v>
      </c>
      <c r="Q58" s="957">
        <v>0</v>
      </c>
      <c r="R58" s="957">
        <v>14</v>
      </c>
      <c r="S58" s="957">
        <v>14</v>
      </c>
      <c r="T58" s="957">
        <v>0</v>
      </c>
      <c r="U58" s="957">
        <v>0</v>
      </c>
      <c r="V58" s="957">
        <v>0</v>
      </c>
      <c r="W58" s="822">
        <f t="shared" si="4"/>
        <v>142.5</v>
      </c>
      <c r="X58" s="972"/>
    </row>
    <row r="59" spans="1:24" s="959" customFormat="1" ht="141.75" customHeight="1" x14ac:dyDescent="0.25">
      <c r="A59" s="364" t="s">
        <v>442</v>
      </c>
      <c r="B59" s="994" t="s">
        <v>285</v>
      </c>
      <c r="C59" s="952"/>
      <c r="D59" s="954">
        <v>964</v>
      </c>
      <c r="E59" s="365" t="s">
        <v>100</v>
      </c>
      <c r="F59" s="945" t="s">
        <v>146</v>
      </c>
      <c r="G59" s="364" t="s">
        <v>7</v>
      </c>
      <c r="H59" s="364" t="s">
        <v>286</v>
      </c>
      <c r="I59" s="364" t="s">
        <v>123</v>
      </c>
      <c r="J59" s="966"/>
      <c r="K59" s="957"/>
      <c r="L59" s="957"/>
      <c r="M59" s="957">
        <v>220</v>
      </c>
      <c r="N59" s="957"/>
      <c r="O59" s="957"/>
      <c r="P59" s="957"/>
      <c r="Q59" s="957"/>
      <c r="R59" s="957"/>
      <c r="S59" s="957"/>
      <c r="T59" s="957"/>
      <c r="U59" s="957"/>
      <c r="V59" s="957"/>
      <c r="W59" s="822">
        <f t="shared" si="4"/>
        <v>220</v>
      </c>
      <c r="X59" s="984"/>
    </row>
    <row r="60" spans="1:24" s="959" customFormat="1" ht="240" customHeight="1" x14ac:dyDescent="0.2">
      <c r="A60" s="364" t="s">
        <v>449</v>
      </c>
      <c r="B60" s="995" t="s">
        <v>485</v>
      </c>
      <c r="C60" s="952"/>
      <c r="D60" s="954">
        <v>964</v>
      </c>
      <c r="E60" s="364" t="s">
        <v>100</v>
      </c>
      <c r="F60" s="945" t="s">
        <v>146</v>
      </c>
      <c r="G60" s="364" t="s">
        <v>7</v>
      </c>
      <c r="H60" s="364" t="s">
        <v>478</v>
      </c>
      <c r="I60" s="364" t="s">
        <v>123</v>
      </c>
      <c r="J60" s="966"/>
      <c r="K60" s="957"/>
      <c r="L60" s="957"/>
      <c r="M60" s="957"/>
      <c r="N60" s="957"/>
      <c r="O60" s="957"/>
      <c r="P60" s="957">
        <v>0</v>
      </c>
      <c r="Q60" s="957">
        <v>0</v>
      </c>
      <c r="R60" s="957">
        <v>500</v>
      </c>
      <c r="S60" s="957">
        <v>500</v>
      </c>
      <c r="T60" s="957">
        <v>0</v>
      </c>
      <c r="U60" s="957">
        <v>0</v>
      </c>
      <c r="V60" s="957">
        <v>0</v>
      </c>
      <c r="W60" s="822">
        <f t="shared" si="4"/>
        <v>1000</v>
      </c>
      <c r="X60" s="996" t="s">
        <v>471</v>
      </c>
    </row>
    <row r="61" spans="1:24" s="959" customFormat="1" ht="240" customHeight="1" x14ac:dyDescent="0.2">
      <c r="A61" s="364" t="s">
        <v>450</v>
      </c>
      <c r="B61" s="995" t="s">
        <v>465</v>
      </c>
      <c r="C61" s="952"/>
      <c r="D61" s="954">
        <v>964</v>
      </c>
      <c r="E61" s="364" t="s">
        <v>100</v>
      </c>
      <c r="F61" s="945" t="s">
        <v>146</v>
      </c>
      <c r="G61" s="364" t="s">
        <v>7</v>
      </c>
      <c r="H61" s="364" t="s">
        <v>478</v>
      </c>
      <c r="I61" s="364" t="s">
        <v>123</v>
      </c>
      <c r="J61" s="966"/>
      <c r="K61" s="957"/>
      <c r="L61" s="957"/>
      <c r="M61" s="957"/>
      <c r="N61" s="957"/>
      <c r="O61" s="957"/>
      <c r="P61" s="957">
        <v>0</v>
      </c>
      <c r="Q61" s="957">
        <v>0</v>
      </c>
      <c r="R61" s="957">
        <v>11</v>
      </c>
      <c r="S61" s="957">
        <v>11</v>
      </c>
      <c r="T61" s="957">
        <v>0</v>
      </c>
      <c r="U61" s="957">
        <v>0</v>
      </c>
      <c r="V61" s="957">
        <v>0</v>
      </c>
      <c r="W61" s="822">
        <f t="shared" si="4"/>
        <v>22</v>
      </c>
      <c r="X61" s="996" t="s">
        <v>471</v>
      </c>
    </row>
    <row r="62" spans="1:24" s="959" customFormat="1" ht="27" customHeight="1" x14ac:dyDescent="0.2">
      <c r="A62" s="364" t="s">
        <v>451</v>
      </c>
      <c r="B62" s="960" t="s">
        <v>74</v>
      </c>
      <c r="C62" s="997"/>
      <c r="D62" s="954"/>
      <c r="E62" s="364"/>
      <c r="F62" s="945"/>
      <c r="G62" s="364"/>
      <c r="H62" s="364"/>
      <c r="I62" s="364"/>
      <c r="J62" s="957">
        <v>957.1</v>
      </c>
      <c r="K62" s="957">
        <v>311.60000000000002</v>
      </c>
      <c r="L62" s="957">
        <v>162.19999999999999</v>
      </c>
      <c r="M62" s="957">
        <v>275.5</v>
      </c>
      <c r="N62" s="957">
        <v>593.5</v>
      </c>
      <c r="O62" s="957">
        <f>15+4+178+1203.2</f>
        <v>1400.2</v>
      </c>
      <c r="P62" s="957">
        <f>15+1936.5+3190.6</f>
        <v>5142.1000000000004</v>
      </c>
      <c r="Q62" s="957">
        <v>36543.800000000003</v>
      </c>
      <c r="R62" s="957">
        <v>8608</v>
      </c>
      <c r="S62" s="957">
        <f>132.3+8.7+283.6+(2504.1+250)+(5240.9-288)</f>
        <v>8131.5999999999995</v>
      </c>
      <c r="T62" s="957">
        <f>92.7+(3600+276+39.6)+(2676.8+22.4)</f>
        <v>6707.5</v>
      </c>
      <c r="U62" s="957">
        <f>92.7+3600+276+283.6+8.7</f>
        <v>4261</v>
      </c>
      <c r="V62" s="957">
        <f>92.7+3600+276+283.6+8.7</f>
        <v>4261</v>
      </c>
      <c r="W62" s="822">
        <f t="shared" si="4"/>
        <v>77355.100000000006</v>
      </c>
      <c r="X62" s="998"/>
    </row>
    <row r="63" spans="1:24" s="959" customFormat="1" ht="39.6" customHeight="1" x14ac:dyDescent="0.25">
      <c r="A63" s="368"/>
      <c r="B63" s="999"/>
      <c r="C63" s="1000"/>
      <c r="D63" s="1001"/>
      <c r="E63" s="1002"/>
      <c r="F63" s="1003"/>
      <c r="G63" s="368"/>
      <c r="H63" s="368"/>
      <c r="I63" s="368"/>
      <c r="J63" s="1004"/>
      <c r="K63" s="1005"/>
      <c r="L63" s="1005"/>
      <c r="M63" s="1005"/>
      <c r="N63" s="1005"/>
      <c r="O63" s="1006"/>
      <c r="P63" s="1006"/>
      <c r="Q63" s="1006"/>
      <c r="R63" s="1006"/>
      <c r="S63" s="1006"/>
      <c r="T63" s="1006"/>
      <c r="U63" s="1006"/>
      <c r="V63" s="1006"/>
      <c r="W63" s="1005"/>
      <c r="X63" s="1007"/>
    </row>
    <row r="64" spans="1:24" ht="48.75" customHeight="1" x14ac:dyDescent="0.2">
      <c r="A64" s="1008" t="s">
        <v>248</v>
      </c>
      <c r="B64" s="1008"/>
      <c r="C64" s="1008"/>
      <c r="D64" s="1008"/>
      <c r="E64" s="905"/>
      <c r="F64" s="905"/>
      <c r="G64" s="1009"/>
      <c r="H64" s="905"/>
      <c r="I64" s="905"/>
      <c r="J64" s="1010"/>
      <c r="K64" s="905"/>
      <c r="L64" s="907" t="s">
        <v>186</v>
      </c>
      <c r="M64" s="907"/>
      <c r="N64" s="907"/>
      <c r="O64" s="907"/>
      <c r="P64" s="907"/>
      <c r="Q64" s="907"/>
      <c r="R64" s="907"/>
      <c r="S64" s="907"/>
      <c r="T64" s="907"/>
      <c r="U64" s="907"/>
      <c r="V64" s="907"/>
      <c r="W64" s="907"/>
      <c r="X64" s="907"/>
    </row>
    <row r="65" spans="1:24" ht="48.75" customHeight="1" x14ac:dyDescent="0.3">
      <c r="A65" s="912"/>
      <c r="B65" s="796"/>
      <c r="C65" s="796"/>
      <c r="D65" s="796"/>
      <c r="E65" s="796"/>
      <c r="F65" s="796"/>
      <c r="G65" s="913"/>
      <c r="H65" s="914"/>
      <c r="I65" s="796"/>
      <c r="J65" s="796"/>
      <c r="K65" s="796"/>
      <c r="L65" s="796"/>
      <c r="M65" s="796"/>
      <c r="N65" s="796"/>
      <c r="O65" s="797"/>
      <c r="P65" s="797"/>
      <c r="Q65" s="797"/>
      <c r="R65" s="797"/>
      <c r="S65" s="797"/>
      <c r="T65" s="797"/>
      <c r="U65" s="797"/>
      <c r="V65" s="797"/>
      <c r="W65" s="1011"/>
      <c r="X65" s="796"/>
    </row>
  </sheetData>
  <mergeCells count="60">
    <mergeCell ref="X40:X42"/>
    <mergeCell ref="B57:B58"/>
    <mergeCell ref="B45:B46"/>
    <mergeCell ref="X47:X48"/>
    <mergeCell ref="X57:X58"/>
    <mergeCell ref="L1:N1"/>
    <mergeCell ref="L64:X64"/>
    <mergeCell ref="E6:E7"/>
    <mergeCell ref="F6:H7"/>
    <mergeCell ref="W6:W7"/>
    <mergeCell ref="J5:W5"/>
    <mergeCell ref="P6:P7"/>
    <mergeCell ref="I6:I7"/>
    <mergeCell ref="J6:J7"/>
    <mergeCell ref="Q6:Q7"/>
    <mergeCell ref="I2:K2"/>
    <mergeCell ref="L2:X2"/>
    <mergeCell ref="A3:X3"/>
    <mergeCell ref="X5:X7"/>
    <mergeCell ref="O6:O7"/>
    <mergeCell ref="R6:R7"/>
    <mergeCell ref="A64:D64"/>
    <mergeCell ref="B21:B22"/>
    <mergeCell ref="B19:B20"/>
    <mergeCell ref="M6:M7"/>
    <mergeCell ref="N6:N7"/>
    <mergeCell ref="L6:L7"/>
    <mergeCell ref="A21:A22"/>
    <mergeCell ref="A19:A20"/>
    <mergeCell ref="A5:A7"/>
    <mergeCell ref="D6:D7"/>
    <mergeCell ref="B5:B7"/>
    <mergeCell ref="A17:A18"/>
    <mergeCell ref="A40:A41"/>
    <mergeCell ref="D5:I5"/>
    <mergeCell ref="C11:C18"/>
    <mergeCell ref="A57:A58"/>
    <mergeCell ref="X38:X39"/>
    <mergeCell ref="X45:X46"/>
    <mergeCell ref="T6:T7"/>
    <mergeCell ref="B35:B37"/>
    <mergeCell ref="A35:A37"/>
    <mergeCell ref="B40:B41"/>
    <mergeCell ref="B11:B12"/>
    <mergeCell ref="B17:B18"/>
    <mergeCell ref="K6:K7"/>
    <mergeCell ref="C5:C7"/>
    <mergeCell ref="S6:S7"/>
    <mergeCell ref="B38:B39"/>
    <mergeCell ref="A38:A39"/>
    <mergeCell ref="X8:X37"/>
    <mergeCell ref="B43:B44"/>
    <mergeCell ref="X43:X44"/>
    <mergeCell ref="V6:V7"/>
    <mergeCell ref="U6:U7"/>
    <mergeCell ref="A43:A44"/>
    <mergeCell ref="A45:A46"/>
    <mergeCell ref="A47:A48"/>
    <mergeCell ref="B47:B48"/>
    <mergeCell ref="A11:A16"/>
  </mergeCells>
  <phoneticPr fontId="17" type="noConversion"/>
  <pageMargins left="0.15748031496062992" right="0.15748031496062992" top="0.59055118110236227" bottom="0.59055118110236227" header="0.51181102362204722" footer="0.51181102362204722"/>
  <pageSetup paperSize="9" scale="37" fitToHeight="0" orientation="landscape" r:id="rId1"/>
  <headerFooter alignWithMargins="0"/>
  <rowBreaks count="2" manualBreakCount="2">
    <brk id="24" max="23" man="1"/>
    <brk id="30" max="2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view="pageBreakPreview" topLeftCell="A20" zoomScale="70" zoomScaleNormal="60" zoomScaleSheetLayoutView="70" workbookViewId="0">
      <selection sqref="A1:XFD1048576"/>
    </sheetView>
  </sheetViews>
  <sheetFormatPr defaultColWidth="17.42578125" defaultRowHeight="114" customHeight="1" x14ac:dyDescent="0.25"/>
  <cols>
    <col min="1" max="1" width="42.5703125" style="793" customWidth="1"/>
    <col min="2" max="2" width="17.42578125" style="793" customWidth="1"/>
    <col min="3" max="3" width="7" style="793" customWidth="1"/>
    <col min="4" max="4" width="7.42578125" style="793" customWidth="1"/>
    <col min="5" max="5" width="6.140625" style="793" customWidth="1"/>
    <col min="6" max="6" width="5.7109375" style="793" customWidth="1"/>
    <col min="7" max="7" width="10.28515625" style="794" customWidth="1"/>
    <col min="8" max="8" width="7.7109375" style="793" customWidth="1"/>
    <col min="9" max="9" width="13.140625" style="793" customWidth="1"/>
    <col min="10" max="10" width="10.28515625" style="793" customWidth="1"/>
    <col min="11" max="11" width="11.85546875" style="793" customWidth="1"/>
    <col min="12" max="12" width="11" style="793" customWidth="1"/>
    <col min="13" max="13" width="13.28515625" style="793" customWidth="1"/>
    <col min="14" max="21" width="12.28515625" style="793" customWidth="1"/>
    <col min="22" max="22" width="16.7109375" style="793" customWidth="1"/>
    <col min="23" max="23" width="31" style="793" customWidth="1"/>
    <col min="24" max="16384" width="17.42578125" style="793"/>
  </cols>
  <sheetData>
    <row r="1" spans="1:24" ht="29.25" customHeight="1" x14ac:dyDescent="0.25">
      <c r="K1" s="1015"/>
      <c r="L1" s="1016"/>
      <c r="M1" s="1016"/>
      <c r="N1" s="1016"/>
      <c r="O1" s="1016"/>
      <c r="P1" s="1016"/>
      <c r="Q1" s="1016"/>
      <c r="R1" s="1016"/>
      <c r="S1" s="1016"/>
      <c r="T1" s="1016"/>
      <c r="U1" s="1016"/>
      <c r="V1" s="1016"/>
      <c r="W1" s="1016"/>
    </row>
    <row r="2" spans="1:24" ht="62.25" customHeight="1" x14ac:dyDescent="0.25">
      <c r="A2" s="786"/>
      <c r="B2" s="786"/>
      <c r="C2" s="786"/>
      <c r="D2" s="786"/>
      <c r="E2" s="786"/>
      <c r="F2" s="786"/>
      <c r="G2" s="787"/>
      <c r="H2" s="789"/>
      <c r="I2" s="1017"/>
      <c r="J2" s="1017"/>
      <c r="K2" s="790" t="s">
        <v>574</v>
      </c>
      <c r="L2" s="790"/>
      <c r="M2" s="790"/>
      <c r="N2" s="790"/>
      <c r="O2" s="790"/>
      <c r="P2" s="790"/>
      <c r="Q2" s="790"/>
      <c r="R2" s="790"/>
      <c r="S2" s="790"/>
      <c r="T2" s="790"/>
      <c r="U2" s="790"/>
      <c r="V2" s="790"/>
      <c r="W2" s="790"/>
    </row>
    <row r="3" spans="1:24" ht="51.75" customHeight="1" x14ac:dyDescent="0.25">
      <c r="A3" s="1018" t="s">
        <v>575</v>
      </c>
      <c r="B3" s="1018"/>
      <c r="C3" s="1018"/>
      <c r="D3" s="1018"/>
      <c r="E3" s="1018"/>
      <c r="F3" s="1018"/>
      <c r="G3" s="1018"/>
      <c r="H3" s="1018"/>
      <c r="I3" s="1018"/>
      <c r="J3" s="1018"/>
      <c r="K3" s="1018"/>
      <c r="L3" s="1018"/>
      <c r="M3" s="1018"/>
      <c r="N3" s="1018"/>
      <c r="O3" s="1018"/>
      <c r="P3" s="1018"/>
      <c r="Q3" s="1018"/>
      <c r="R3" s="1018"/>
      <c r="S3" s="1018"/>
      <c r="T3" s="1018"/>
      <c r="U3" s="1018"/>
      <c r="V3" s="1018"/>
      <c r="W3" s="1018"/>
    </row>
    <row r="4" spans="1:24" ht="114" hidden="1" customHeight="1" x14ac:dyDescent="0.25">
      <c r="A4" s="1019"/>
      <c r="B4" s="1019"/>
      <c r="C4" s="1019"/>
      <c r="D4" s="786"/>
      <c r="E4" s="786"/>
      <c r="F4" s="786"/>
      <c r="G4" s="787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</row>
    <row r="5" spans="1:24" s="1021" customFormat="1" ht="114" customHeight="1" x14ac:dyDescent="0.25">
      <c r="A5" s="1020" t="s">
        <v>78</v>
      </c>
      <c r="B5" s="1020" t="s">
        <v>159</v>
      </c>
      <c r="C5" s="1020" t="s">
        <v>48</v>
      </c>
      <c r="D5" s="1020"/>
      <c r="E5" s="1020"/>
      <c r="F5" s="1020"/>
      <c r="G5" s="1020"/>
      <c r="H5" s="1020"/>
      <c r="I5" s="1020" t="s">
        <v>79</v>
      </c>
      <c r="J5" s="1020"/>
      <c r="K5" s="1020"/>
      <c r="L5" s="1020"/>
      <c r="M5" s="1020"/>
      <c r="N5" s="1020"/>
      <c r="O5" s="1020"/>
      <c r="P5" s="1020"/>
      <c r="Q5" s="1020"/>
      <c r="R5" s="1020"/>
      <c r="S5" s="1020"/>
      <c r="T5" s="1020"/>
      <c r="U5" s="1020"/>
      <c r="V5" s="1020"/>
      <c r="W5" s="1020" t="s">
        <v>80</v>
      </c>
    </row>
    <row r="6" spans="1:24" s="1021" customFormat="1" ht="111" customHeight="1" x14ac:dyDescent="0.25">
      <c r="A6" s="1020"/>
      <c r="B6" s="1020"/>
      <c r="C6" s="1020" t="s">
        <v>159</v>
      </c>
      <c r="D6" s="1020" t="s">
        <v>45</v>
      </c>
      <c r="E6" s="1020" t="s">
        <v>44</v>
      </c>
      <c r="F6" s="1020"/>
      <c r="G6" s="1020"/>
      <c r="H6" s="1020" t="s">
        <v>43</v>
      </c>
      <c r="I6" s="1020" t="s">
        <v>33</v>
      </c>
      <c r="J6" s="1022" t="s">
        <v>219</v>
      </c>
      <c r="K6" s="1022" t="s">
        <v>31</v>
      </c>
      <c r="L6" s="1022" t="s">
        <v>222</v>
      </c>
      <c r="M6" s="887" t="s">
        <v>221</v>
      </c>
      <c r="N6" s="887" t="s">
        <v>220</v>
      </c>
      <c r="O6" s="1023" t="s">
        <v>112</v>
      </c>
      <c r="P6" s="1023" t="s">
        <v>111</v>
      </c>
      <c r="Q6" s="1023" t="s">
        <v>110</v>
      </c>
      <c r="R6" s="1023" t="s">
        <v>109</v>
      </c>
      <c r="S6" s="1023" t="s">
        <v>108</v>
      </c>
      <c r="T6" s="1023" t="s">
        <v>249</v>
      </c>
      <c r="U6" s="1023" t="s">
        <v>539</v>
      </c>
      <c r="V6" s="1020" t="s">
        <v>540</v>
      </c>
      <c r="W6" s="1020"/>
    </row>
    <row r="7" spans="1:24" s="1021" customFormat="1" ht="51" hidden="1" customHeight="1" x14ac:dyDescent="0.25">
      <c r="A7" s="1020"/>
      <c r="B7" s="1020"/>
      <c r="C7" s="1020"/>
      <c r="D7" s="1020"/>
      <c r="E7" s="1020"/>
      <c r="F7" s="1020"/>
      <c r="G7" s="1020"/>
      <c r="H7" s="1020"/>
      <c r="I7" s="1020"/>
      <c r="J7" s="1022"/>
      <c r="K7" s="1022"/>
      <c r="L7" s="1022"/>
      <c r="M7" s="889"/>
      <c r="N7" s="889"/>
      <c r="O7" s="1024"/>
      <c r="P7" s="1024"/>
      <c r="Q7" s="1024"/>
      <c r="R7" s="1024"/>
      <c r="S7" s="1024"/>
      <c r="T7" s="1024"/>
      <c r="U7" s="1024"/>
      <c r="V7" s="1020"/>
      <c r="W7" s="1020"/>
    </row>
    <row r="8" spans="1:24" ht="114" customHeight="1" x14ac:dyDescent="0.25">
      <c r="A8" s="1025" t="s">
        <v>81</v>
      </c>
      <c r="B8" s="1026" t="s">
        <v>82</v>
      </c>
      <c r="C8" s="1027">
        <v>964</v>
      </c>
      <c r="D8" s="1027" t="s">
        <v>83</v>
      </c>
      <c r="E8" s="1027" t="s">
        <v>83</v>
      </c>
      <c r="F8" s="1027" t="s">
        <v>83</v>
      </c>
      <c r="G8" s="1028" t="s">
        <v>83</v>
      </c>
      <c r="H8" s="1027" t="s">
        <v>83</v>
      </c>
      <c r="I8" s="1029">
        <f>I9+I14</f>
        <v>17259.451000000001</v>
      </c>
      <c r="J8" s="1029">
        <f>J9+J14</f>
        <v>15169.133</v>
      </c>
      <c r="K8" s="1029">
        <f>K9+K14</f>
        <v>16271.446</v>
      </c>
      <c r="L8" s="1029"/>
      <c r="M8" s="1029"/>
      <c r="N8" s="1029"/>
      <c r="O8" s="1029"/>
      <c r="P8" s="1029"/>
      <c r="Q8" s="1029"/>
      <c r="R8" s="1029"/>
      <c r="S8" s="1029"/>
      <c r="T8" s="1029"/>
      <c r="U8" s="1029"/>
      <c r="V8" s="1029">
        <f>K8+J8+I8</f>
        <v>48700.03</v>
      </c>
      <c r="W8" s="1027" t="s">
        <v>83</v>
      </c>
    </row>
    <row r="9" spans="1:24" ht="114" customHeight="1" x14ac:dyDescent="0.25">
      <c r="A9" s="1025" t="s">
        <v>84</v>
      </c>
      <c r="B9" s="1026"/>
      <c r="C9" s="1027">
        <v>964</v>
      </c>
      <c r="D9" s="1027" t="s">
        <v>120</v>
      </c>
      <c r="E9" s="1027" t="s">
        <v>120</v>
      </c>
      <c r="F9" s="1027" t="s">
        <v>120</v>
      </c>
      <c r="G9" s="1028" t="s">
        <v>120</v>
      </c>
      <c r="H9" s="1027" t="s">
        <v>120</v>
      </c>
      <c r="I9" s="1029">
        <f>I10+I11+I12</f>
        <v>5336.2510000000002</v>
      </c>
      <c r="J9" s="1029">
        <f>J10+J11+J12</f>
        <v>796.13300000000004</v>
      </c>
      <c r="K9" s="1029">
        <f>K10+K11+K12</f>
        <v>838.66800000000001</v>
      </c>
      <c r="L9" s="1029"/>
      <c r="M9" s="1029"/>
      <c r="N9" s="1029"/>
      <c r="O9" s="1029"/>
      <c r="P9" s="1029"/>
      <c r="Q9" s="1029"/>
      <c r="R9" s="1029"/>
      <c r="S9" s="1029"/>
      <c r="T9" s="1029"/>
      <c r="U9" s="1029"/>
      <c r="V9" s="1029">
        <f>SUM(I9:U9)</f>
        <v>6971.0519999999997</v>
      </c>
      <c r="W9" s="1027"/>
    </row>
    <row r="10" spans="1:24" ht="114" customHeight="1" x14ac:dyDescent="0.25">
      <c r="A10" s="1030" t="s">
        <v>128</v>
      </c>
      <c r="B10" s="1026" t="s">
        <v>82</v>
      </c>
      <c r="C10" s="1031">
        <v>964</v>
      </c>
      <c r="D10" s="1032" t="s">
        <v>101</v>
      </c>
      <c r="E10" s="1031" t="s">
        <v>120</v>
      </c>
      <c r="F10" s="1033" t="s">
        <v>120</v>
      </c>
      <c r="G10" s="1033" t="s">
        <v>120</v>
      </c>
      <c r="H10" s="1033" t="s">
        <v>121</v>
      </c>
      <c r="I10" s="1034">
        <v>386.7</v>
      </c>
      <c r="J10" s="1034">
        <v>425.35500000000002</v>
      </c>
      <c r="K10" s="1034">
        <v>467.89</v>
      </c>
      <c r="L10" s="1034"/>
      <c r="M10" s="1034"/>
      <c r="N10" s="1034"/>
      <c r="O10" s="1034"/>
      <c r="P10" s="1034"/>
      <c r="Q10" s="1034"/>
      <c r="R10" s="1034"/>
      <c r="S10" s="1034"/>
      <c r="T10" s="1034"/>
      <c r="U10" s="1034"/>
      <c r="V10" s="1029">
        <f t="shared" ref="V10:V31" si="0">SUM(I10:U10)</f>
        <v>1279.9450000000002</v>
      </c>
      <c r="W10" s="1035" t="s">
        <v>85</v>
      </c>
    </row>
    <row r="11" spans="1:24" ht="70.150000000000006" customHeight="1" x14ac:dyDescent="0.25">
      <c r="A11" s="1036" t="s">
        <v>127</v>
      </c>
      <c r="B11" s="1037" t="s">
        <v>82</v>
      </c>
      <c r="C11" s="1031">
        <v>964</v>
      </c>
      <c r="D11" s="1032" t="s">
        <v>102</v>
      </c>
      <c r="E11" s="1033" t="s">
        <v>120</v>
      </c>
      <c r="F11" s="1033" t="s">
        <v>120</v>
      </c>
      <c r="G11" s="1033" t="s">
        <v>120</v>
      </c>
      <c r="H11" s="1033" t="s">
        <v>121</v>
      </c>
      <c r="I11" s="1034">
        <f>357.536</f>
        <v>357.536</v>
      </c>
      <c r="J11" s="1034">
        <f>370.778</f>
        <v>370.77800000000002</v>
      </c>
      <c r="K11" s="1034">
        <f>370.778</f>
        <v>370.77800000000002</v>
      </c>
      <c r="L11" s="1034"/>
      <c r="M11" s="1034"/>
      <c r="N11" s="1034"/>
      <c r="O11" s="1034"/>
      <c r="P11" s="1034"/>
      <c r="Q11" s="1034"/>
      <c r="R11" s="1034"/>
      <c r="S11" s="1034"/>
      <c r="T11" s="1034"/>
      <c r="U11" s="1034"/>
      <c r="V11" s="1029">
        <f t="shared" si="0"/>
        <v>1099.0920000000001</v>
      </c>
      <c r="W11" s="1030" t="s">
        <v>86</v>
      </c>
    </row>
    <row r="12" spans="1:24" ht="85.15" customHeight="1" x14ac:dyDescent="0.25">
      <c r="A12" s="1036"/>
      <c r="B12" s="1037"/>
      <c r="C12" s="1031">
        <v>964</v>
      </c>
      <c r="D12" s="1032" t="s">
        <v>102</v>
      </c>
      <c r="E12" s="1033" t="s">
        <v>120</v>
      </c>
      <c r="F12" s="1033" t="s">
        <v>120</v>
      </c>
      <c r="G12" s="1033" t="s">
        <v>120</v>
      </c>
      <c r="H12" s="1033" t="s">
        <v>123</v>
      </c>
      <c r="I12" s="1034">
        <v>4592.0150000000003</v>
      </c>
      <c r="J12" s="1034">
        <v>0</v>
      </c>
      <c r="K12" s="1034">
        <v>0</v>
      </c>
      <c r="L12" s="1034"/>
      <c r="M12" s="1034"/>
      <c r="N12" s="1034"/>
      <c r="O12" s="1034"/>
      <c r="P12" s="1034"/>
      <c r="Q12" s="1034"/>
      <c r="R12" s="1034"/>
      <c r="S12" s="1034"/>
      <c r="T12" s="1034"/>
      <c r="U12" s="1034"/>
      <c r="V12" s="1029">
        <f t="shared" si="0"/>
        <v>4592.0150000000003</v>
      </c>
      <c r="W12" s="1030"/>
    </row>
    <row r="13" spans="1:24" ht="64.150000000000006" customHeight="1" x14ac:dyDescent="0.25">
      <c r="A13" s="1025" t="s">
        <v>136</v>
      </c>
      <c r="B13" s="1037" t="s">
        <v>82</v>
      </c>
      <c r="C13" s="1031"/>
      <c r="D13" s="1032"/>
      <c r="E13" s="1033"/>
      <c r="F13" s="1033"/>
      <c r="G13" s="1033"/>
      <c r="H13" s="1033"/>
      <c r="I13" s="1029">
        <f>I15+I16+I18+I19+I20+I21+I22+I23+I26+I27+I28+I29+I30+I31+I32+I33+I34+I35</f>
        <v>11923.2</v>
      </c>
      <c r="J13" s="1029">
        <f>J15+J16+J18+J19+J20+J21+J22+J23+J26+J27+J28+J29+J30+J31+J32+J33+J34+J35</f>
        <v>14373</v>
      </c>
      <c r="K13" s="1029">
        <f t="shared" ref="K13:U13" si="1">K14</f>
        <v>15432.778</v>
      </c>
      <c r="L13" s="1029">
        <f t="shared" si="1"/>
        <v>14178.100000000002</v>
      </c>
      <c r="M13" s="1029">
        <f t="shared" si="1"/>
        <v>0</v>
      </c>
      <c r="N13" s="1029">
        <f t="shared" si="1"/>
        <v>0</v>
      </c>
      <c r="O13" s="1029">
        <f t="shared" si="1"/>
        <v>0</v>
      </c>
      <c r="P13" s="1029">
        <f t="shared" si="1"/>
        <v>0</v>
      </c>
      <c r="Q13" s="1029">
        <f t="shared" si="1"/>
        <v>0</v>
      </c>
      <c r="R13" s="1029">
        <f t="shared" si="1"/>
        <v>0</v>
      </c>
      <c r="S13" s="1029">
        <f t="shared" si="1"/>
        <v>0</v>
      </c>
      <c r="T13" s="1029">
        <f t="shared" si="1"/>
        <v>0</v>
      </c>
      <c r="U13" s="1029">
        <f t="shared" si="1"/>
        <v>0</v>
      </c>
      <c r="V13" s="1029">
        <f t="shared" si="0"/>
        <v>55907.078000000009</v>
      </c>
      <c r="W13" s="1038"/>
      <c r="X13" s="1039"/>
    </row>
    <row r="14" spans="1:24" ht="114" customHeight="1" x14ac:dyDescent="0.25">
      <c r="A14" s="1040" t="s">
        <v>645</v>
      </c>
      <c r="B14" s="1037"/>
      <c r="C14" s="1031"/>
      <c r="D14" s="1032"/>
      <c r="E14" s="1033"/>
      <c r="F14" s="1031"/>
      <c r="G14" s="1033"/>
      <c r="H14" s="1033"/>
      <c r="I14" s="1029">
        <f t="shared" ref="I14:O14" si="2">I15+I16+I18+I19+I20+I21+I22+I23+I26+I27+I28+I29+I30+I32+I33+I34+I35+I36</f>
        <v>11923.2</v>
      </c>
      <c r="J14" s="1029">
        <f t="shared" si="2"/>
        <v>14373</v>
      </c>
      <c r="K14" s="1029">
        <f t="shared" si="2"/>
        <v>15432.778</v>
      </c>
      <c r="L14" s="1029">
        <f>L15+L16+L17+L18+L19+L20+L21+L22+L23+L26+L27+L28+L29+L30+L32+L33+L34+L35+L36+L37+L38+L39</f>
        <v>14178.100000000002</v>
      </c>
      <c r="M14" s="1029">
        <f t="shared" si="2"/>
        <v>0</v>
      </c>
      <c r="N14" s="1029">
        <f t="shared" si="2"/>
        <v>0</v>
      </c>
      <c r="O14" s="1029">
        <f t="shared" si="2"/>
        <v>0</v>
      </c>
      <c r="P14" s="1029">
        <f t="shared" ref="P14:U14" si="3">P15+P16+P18+P19+P20+P21+P22+P23+P26+P27+P28+P29+P30+P32+P33+P34+P35+P36</f>
        <v>0</v>
      </c>
      <c r="Q14" s="1029">
        <f t="shared" si="3"/>
        <v>0</v>
      </c>
      <c r="R14" s="1029">
        <f t="shared" si="3"/>
        <v>0</v>
      </c>
      <c r="S14" s="1029">
        <f t="shared" si="3"/>
        <v>0</v>
      </c>
      <c r="T14" s="1029">
        <f t="shared" si="3"/>
        <v>0</v>
      </c>
      <c r="U14" s="1029">
        <f t="shared" si="3"/>
        <v>0</v>
      </c>
      <c r="V14" s="1029">
        <f>SUM(I14:U14)</f>
        <v>55907.078000000009</v>
      </c>
      <c r="W14" s="1035"/>
      <c r="X14" s="1039"/>
    </row>
    <row r="15" spans="1:24" ht="46.9" customHeight="1" x14ac:dyDescent="0.25">
      <c r="A15" s="1041" t="s">
        <v>228</v>
      </c>
      <c r="B15" s="1036" t="s">
        <v>82</v>
      </c>
      <c r="C15" s="1031">
        <v>964</v>
      </c>
      <c r="D15" s="1032" t="s">
        <v>260</v>
      </c>
      <c r="E15" s="1033" t="s">
        <v>146</v>
      </c>
      <c r="F15" s="1033" t="s">
        <v>5</v>
      </c>
      <c r="G15" s="1033" t="s">
        <v>187</v>
      </c>
      <c r="H15" s="1033" t="s">
        <v>122</v>
      </c>
      <c r="I15" s="1034">
        <v>0</v>
      </c>
      <c r="J15" s="1034">
        <v>0</v>
      </c>
      <c r="K15" s="1034">
        <v>11940.2</v>
      </c>
      <c r="L15" s="1034">
        <f>11677.2+51</f>
        <v>11728.2</v>
      </c>
      <c r="M15" s="1034">
        <v>0</v>
      </c>
      <c r="N15" s="1034">
        <v>0</v>
      </c>
      <c r="O15" s="1034">
        <v>0</v>
      </c>
      <c r="P15" s="1034">
        <v>0</v>
      </c>
      <c r="Q15" s="1034">
        <v>0</v>
      </c>
      <c r="R15" s="1034">
        <v>0</v>
      </c>
      <c r="S15" s="1034">
        <v>0</v>
      </c>
      <c r="T15" s="1034">
        <v>0</v>
      </c>
      <c r="U15" s="1034">
        <v>0</v>
      </c>
      <c r="V15" s="1029">
        <f t="shared" si="0"/>
        <v>23668.400000000001</v>
      </c>
      <c r="W15" s="1042"/>
      <c r="X15" s="1039"/>
    </row>
    <row r="16" spans="1:24" ht="49.15" customHeight="1" x14ac:dyDescent="0.25">
      <c r="A16" s="1043"/>
      <c r="B16" s="1036"/>
      <c r="C16" s="1031">
        <v>964</v>
      </c>
      <c r="D16" s="1032" t="s">
        <v>103</v>
      </c>
      <c r="E16" s="1033" t="s">
        <v>146</v>
      </c>
      <c r="F16" s="1033" t="s">
        <v>5</v>
      </c>
      <c r="G16" s="1033" t="s">
        <v>229</v>
      </c>
      <c r="H16" s="1033" t="s">
        <v>122</v>
      </c>
      <c r="I16" s="1034">
        <v>10908.9</v>
      </c>
      <c r="J16" s="1034">
        <v>12006.7</v>
      </c>
      <c r="K16" s="1034">
        <v>0</v>
      </c>
      <c r="L16" s="1034">
        <v>0</v>
      </c>
      <c r="M16" s="1034">
        <v>0</v>
      </c>
      <c r="N16" s="1034">
        <v>0</v>
      </c>
      <c r="O16" s="1034">
        <v>0</v>
      </c>
      <c r="P16" s="1034">
        <v>0</v>
      </c>
      <c r="Q16" s="1034">
        <v>0</v>
      </c>
      <c r="R16" s="1034">
        <v>0</v>
      </c>
      <c r="S16" s="1034">
        <v>0</v>
      </c>
      <c r="T16" s="1034">
        <v>0</v>
      </c>
      <c r="U16" s="1034">
        <v>0</v>
      </c>
      <c r="V16" s="1029">
        <f t="shared" si="0"/>
        <v>22915.599999999999</v>
      </c>
      <c r="W16" s="1042"/>
      <c r="X16" s="1039"/>
    </row>
    <row r="17" spans="1:24" ht="49.15" customHeight="1" x14ac:dyDescent="0.25">
      <c r="A17" s="1044"/>
      <c r="B17" s="1036"/>
      <c r="C17" s="1033">
        <v>964</v>
      </c>
      <c r="D17" s="1033" t="s">
        <v>260</v>
      </c>
      <c r="E17" s="1033" t="s">
        <v>146</v>
      </c>
      <c r="F17" s="1033" t="s">
        <v>5</v>
      </c>
      <c r="G17" s="1033" t="s">
        <v>187</v>
      </c>
      <c r="H17" s="1033" t="s">
        <v>154</v>
      </c>
      <c r="I17" s="1034"/>
      <c r="J17" s="1034"/>
      <c r="K17" s="1034"/>
      <c r="L17" s="1034">
        <f>252.6-51</f>
        <v>201.6</v>
      </c>
      <c r="M17" s="1034">
        <v>0</v>
      </c>
      <c r="N17" s="1034">
        <v>0</v>
      </c>
      <c r="O17" s="1034">
        <v>0</v>
      </c>
      <c r="P17" s="1034">
        <v>0</v>
      </c>
      <c r="Q17" s="1034">
        <v>0</v>
      </c>
      <c r="R17" s="1034">
        <v>0</v>
      </c>
      <c r="S17" s="1034">
        <v>0</v>
      </c>
      <c r="T17" s="1034">
        <v>0</v>
      </c>
      <c r="U17" s="1034">
        <v>0</v>
      </c>
      <c r="V17" s="1029">
        <f t="shared" si="0"/>
        <v>201.6</v>
      </c>
      <c r="W17" s="1042"/>
      <c r="X17" s="1039"/>
    </row>
    <row r="18" spans="1:24" ht="50.45" customHeight="1" x14ac:dyDescent="0.25">
      <c r="A18" s="1041" t="s">
        <v>231</v>
      </c>
      <c r="B18" s="1036"/>
      <c r="C18" s="1031">
        <v>964</v>
      </c>
      <c r="D18" s="1032" t="s">
        <v>260</v>
      </c>
      <c r="E18" s="1033" t="s">
        <v>146</v>
      </c>
      <c r="F18" s="1033" t="s">
        <v>5</v>
      </c>
      <c r="G18" s="1033" t="s">
        <v>181</v>
      </c>
      <c r="H18" s="1033" t="s">
        <v>122</v>
      </c>
      <c r="I18" s="1034">
        <v>0</v>
      </c>
      <c r="J18" s="1034">
        <v>0</v>
      </c>
      <c r="K18" s="1034">
        <v>1314.2</v>
      </c>
      <c r="L18" s="1034">
        <v>1356</v>
      </c>
      <c r="M18" s="1034">
        <v>0</v>
      </c>
      <c r="N18" s="1034">
        <v>0</v>
      </c>
      <c r="O18" s="1034">
        <v>0</v>
      </c>
      <c r="P18" s="1034">
        <v>0</v>
      </c>
      <c r="Q18" s="1034">
        <v>0</v>
      </c>
      <c r="R18" s="1034">
        <v>0</v>
      </c>
      <c r="S18" s="1034">
        <v>0</v>
      </c>
      <c r="T18" s="1034">
        <v>0</v>
      </c>
      <c r="U18" s="1034">
        <v>0</v>
      </c>
      <c r="V18" s="1029">
        <f t="shared" si="0"/>
        <v>2670.2</v>
      </c>
      <c r="W18" s="1042"/>
      <c r="X18" s="1039"/>
    </row>
    <row r="19" spans="1:24" ht="50.45" customHeight="1" x14ac:dyDescent="0.25">
      <c r="A19" s="1044"/>
      <c r="B19" s="1036"/>
      <c r="C19" s="1031">
        <v>964</v>
      </c>
      <c r="D19" s="1032" t="s">
        <v>103</v>
      </c>
      <c r="E19" s="1033" t="s">
        <v>146</v>
      </c>
      <c r="F19" s="1033" t="s">
        <v>5</v>
      </c>
      <c r="G19" s="1033" t="s">
        <v>230</v>
      </c>
      <c r="H19" s="1033" t="s">
        <v>122</v>
      </c>
      <c r="I19" s="1034">
        <v>347</v>
      </c>
      <c r="J19" s="1034">
        <v>846.7</v>
      </c>
      <c r="K19" s="1034">
        <v>0</v>
      </c>
      <c r="L19" s="1034">
        <v>0</v>
      </c>
      <c r="M19" s="1034">
        <v>0</v>
      </c>
      <c r="N19" s="1034">
        <v>0</v>
      </c>
      <c r="O19" s="1034">
        <v>0</v>
      </c>
      <c r="P19" s="1034">
        <v>0</v>
      </c>
      <c r="Q19" s="1034">
        <v>0</v>
      </c>
      <c r="R19" s="1034">
        <v>0</v>
      </c>
      <c r="S19" s="1034">
        <v>0</v>
      </c>
      <c r="T19" s="1034">
        <v>0</v>
      </c>
      <c r="U19" s="1034">
        <v>0</v>
      </c>
      <c r="V19" s="1029">
        <f t="shared" si="0"/>
        <v>1193.7</v>
      </c>
      <c r="W19" s="1042"/>
      <c r="X19" s="1039"/>
    </row>
    <row r="20" spans="1:24" ht="50.45" customHeight="1" x14ac:dyDescent="0.25">
      <c r="A20" s="1041" t="s">
        <v>233</v>
      </c>
      <c r="B20" s="1036"/>
      <c r="C20" s="1031">
        <v>964</v>
      </c>
      <c r="D20" s="1032" t="s">
        <v>260</v>
      </c>
      <c r="E20" s="1033" t="s">
        <v>146</v>
      </c>
      <c r="F20" s="1033" t="s">
        <v>5</v>
      </c>
      <c r="G20" s="1045" t="s">
        <v>182</v>
      </c>
      <c r="H20" s="1033" t="s">
        <v>122</v>
      </c>
      <c r="I20" s="1034">
        <v>0</v>
      </c>
      <c r="J20" s="1034">
        <v>0</v>
      </c>
      <c r="K20" s="1034">
        <v>67.16</v>
      </c>
      <c r="L20" s="1034">
        <v>98.9</v>
      </c>
      <c r="M20" s="1034">
        <v>0</v>
      </c>
      <c r="N20" s="1034">
        <v>0</v>
      </c>
      <c r="O20" s="1034">
        <v>0</v>
      </c>
      <c r="P20" s="1034">
        <v>0</v>
      </c>
      <c r="Q20" s="1034">
        <v>0</v>
      </c>
      <c r="R20" s="1034">
        <v>0</v>
      </c>
      <c r="S20" s="1034">
        <v>0</v>
      </c>
      <c r="T20" s="1034">
        <v>0</v>
      </c>
      <c r="U20" s="1034">
        <v>0</v>
      </c>
      <c r="V20" s="1029">
        <f t="shared" si="0"/>
        <v>166.06</v>
      </c>
      <c r="W20" s="1042"/>
      <c r="X20" s="1039"/>
    </row>
    <row r="21" spans="1:24" ht="48" customHeight="1" x14ac:dyDescent="0.25">
      <c r="A21" s="1044"/>
      <c r="B21" s="1026"/>
      <c r="C21" s="1031">
        <v>964</v>
      </c>
      <c r="D21" s="1032" t="s">
        <v>103</v>
      </c>
      <c r="E21" s="1033" t="s">
        <v>146</v>
      </c>
      <c r="F21" s="1033" t="s">
        <v>5</v>
      </c>
      <c r="G21" s="1045" t="s">
        <v>232</v>
      </c>
      <c r="H21" s="1033" t="s">
        <v>122</v>
      </c>
      <c r="I21" s="1034">
        <v>126.7</v>
      </c>
      <c r="J21" s="1034">
        <v>128</v>
      </c>
      <c r="K21" s="1034">
        <v>0</v>
      </c>
      <c r="L21" s="1034">
        <v>0</v>
      </c>
      <c r="M21" s="1034">
        <v>0</v>
      </c>
      <c r="N21" s="1034">
        <v>0</v>
      </c>
      <c r="O21" s="1034">
        <v>0</v>
      </c>
      <c r="P21" s="1034">
        <v>0</v>
      </c>
      <c r="Q21" s="1034">
        <v>0</v>
      </c>
      <c r="R21" s="1034">
        <v>0</v>
      </c>
      <c r="S21" s="1034">
        <v>0</v>
      </c>
      <c r="T21" s="1034">
        <v>0</v>
      </c>
      <c r="U21" s="1034">
        <v>0</v>
      </c>
      <c r="V21" s="1029">
        <f t="shared" si="0"/>
        <v>254.7</v>
      </c>
      <c r="W21" s="1035"/>
      <c r="X21" s="1039"/>
    </row>
    <row r="22" spans="1:24" ht="111.6" customHeight="1" x14ac:dyDescent="0.25">
      <c r="A22" s="1046" t="s">
        <v>188</v>
      </c>
      <c r="B22" s="1026"/>
      <c r="C22" s="1031">
        <v>964</v>
      </c>
      <c r="D22" s="1032" t="s">
        <v>103</v>
      </c>
      <c r="E22" s="1033" t="s">
        <v>146</v>
      </c>
      <c r="F22" s="1033" t="s">
        <v>5</v>
      </c>
      <c r="G22" s="1045" t="s">
        <v>189</v>
      </c>
      <c r="H22" s="1033" t="s">
        <v>122</v>
      </c>
      <c r="I22" s="1034">
        <v>0</v>
      </c>
      <c r="J22" s="1034">
        <v>0</v>
      </c>
      <c r="K22" s="1034">
        <v>286.238</v>
      </c>
      <c r="L22" s="1034">
        <v>291.5</v>
      </c>
      <c r="M22" s="1034">
        <v>0</v>
      </c>
      <c r="N22" s="1034">
        <v>0</v>
      </c>
      <c r="O22" s="1034">
        <v>0</v>
      </c>
      <c r="P22" s="1034">
        <v>0</v>
      </c>
      <c r="Q22" s="1034">
        <v>0</v>
      </c>
      <c r="R22" s="1034">
        <v>0</v>
      </c>
      <c r="S22" s="1034">
        <v>0</v>
      </c>
      <c r="T22" s="1034">
        <v>0</v>
      </c>
      <c r="U22" s="1034">
        <v>0</v>
      </c>
      <c r="V22" s="1029">
        <f t="shared" si="0"/>
        <v>577.73800000000006</v>
      </c>
      <c r="W22" s="1047"/>
      <c r="X22" s="1039"/>
    </row>
    <row r="23" spans="1:24" ht="31.15" customHeight="1" x14ac:dyDescent="0.25">
      <c r="A23" s="1041" t="s">
        <v>157</v>
      </c>
      <c r="B23" s="1048"/>
      <c r="C23" s="1031">
        <v>964</v>
      </c>
      <c r="D23" s="1032" t="s">
        <v>103</v>
      </c>
      <c r="E23" s="1033" t="s">
        <v>146</v>
      </c>
      <c r="F23" s="1033" t="s">
        <v>5</v>
      </c>
      <c r="G23" s="1033" t="s">
        <v>187</v>
      </c>
      <c r="H23" s="1033" t="s">
        <v>154</v>
      </c>
      <c r="I23" s="1049">
        <v>0</v>
      </c>
      <c r="J23" s="1049">
        <v>0</v>
      </c>
      <c r="K23" s="1049">
        <v>412.4</v>
      </c>
      <c r="L23" s="1049">
        <v>0</v>
      </c>
      <c r="M23" s="1049">
        <v>0</v>
      </c>
      <c r="N23" s="1049">
        <v>0</v>
      </c>
      <c r="O23" s="1049">
        <v>0</v>
      </c>
      <c r="P23" s="1049">
        <v>0</v>
      </c>
      <c r="Q23" s="1049">
        <v>0</v>
      </c>
      <c r="R23" s="1049">
        <v>0</v>
      </c>
      <c r="S23" s="1049">
        <v>0</v>
      </c>
      <c r="T23" s="1049">
        <v>0</v>
      </c>
      <c r="U23" s="1049">
        <v>0</v>
      </c>
      <c r="V23" s="1029">
        <f t="shared" si="0"/>
        <v>412.4</v>
      </c>
      <c r="W23" s="1050"/>
      <c r="X23" s="1039"/>
    </row>
    <row r="24" spans="1:24" ht="31.15" customHeight="1" x14ac:dyDescent="0.25">
      <c r="A24" s="1043"/>
      <c r="B24" s="1048"/>
      <c r="C24" s="1031">
        <v>964</v>
      </c>
      <c r="D24" s="1032" t="s">
        <v>103</v>
      </c>
      <c r="E24" s="1033" t="s">
        <v>146</v>
      </c>
      <c r="F24" s="1033" t="s">
        <v>5</v>
      </c>
      <c r="G24" s="1033">
        <v>1022</v>
      </c>
      <c r="H24" s="1033" t="s">
        <v>122</v>
      </c>
      <c r="I24" s="1034">
        <v>15.1</v>
      </c>
      <c r="J24" s="1034">
        <v>0</v>
      </c>
      <c r="K24" s="1034">
        <v>0</v>
      </c>
      <c r="L24" s="1034">
        <v>0</v>
      </c>
      <c r="M24" s="1034">
        <v>0</v>
      </c>
      <c r="N24" s="1034">
        <v>0</v>
      </c>
      <c r="O24" s="1034"/>
      <c r="P24" s="1034"/>
      <c r="Q24" s="1034"/>
      <c r="R24" s="1034"/>
      <c r="S24" s="1034"/>
      <c r="T24" s="1034"/>
      <c r="U24" s="1034"/>
      <c r="V24" s="1029">
        <f t="shared" ref="V24:V30" si="4">SUM(I24:U24)</f>
        <v>15.1</v>
      </c>
      <c r="W24" s="1050"/>
      <c r="X24" s="1039"/>
    </row>
    <row r="25" spans="1:24" ht="31.15" customHeight="1" x14ac:dyDescent="0.25">
      <c r="A25" s="1043"/>
      <c r="B25" s="1048"/>
      <c r="C25" s="1031">
        <v>964</v>
      </c>
      <c r="D25" s="1032" t="s">
        <v>103</v>
      </c>
      <c r="E25" s="1033" t="s">
        <v>146</v>
      </c>
      <c r="F25" s="1033" t="s">
        <v>5</v>
      </c>
      <c r="G25" s="1033">
        <v>8062</v>
      </c>
      <c r="H25" s="1033" t="s">
        <v>154</v>
      </c>
      <c r="I25" s="1034">
        <v>0</v>
      </c>
      <c r="J25" s="1034">
        <v>1036.5</v>
      </c>
      <c r="K25" s="1034">
        <v>0</v>
      </c>
      <c r="L25" s="1034">
        <v>0</v>
      </c>
      <c r="M25" s="1034">
        <v>0</v>
      </c>
      <c r="N25" s="1034">
        <v>0</v>
      </c>
      <c r="O25" s="1034"/>
      <c r="P25" s="1034"/>
      <c r="Q25" s="1034"/>
      <c r="R25" s="1034"/>
      <c r="S25" s="1034"/>
      <c r="T25" s="1034"/>
      <c r="U25" s="1034"/>
      <c r="V25" s="1029">
        <f t="shared" si="4"/>
        <v>1036.5</v>
      </c>
      <c r="W25" s="1050"/>
      <c r="X25" s="1039"/>
    </row>
    <row r="26" spans="1:24" ht="31.15" customHeight="1" x14ac:dyDescent="0.25">
      <c r="A26" s="1044"/>
      <c r="B26" s="1048"/>
      <c r="C26" s="1031">
        <v>964</v>
      </c>
      <c r="D26" s="1032" t="s">
        <v>103</v>
      </c>
      <c r="E26" s="1033" t="s">
        <v>146</v>
      </c>
      <c r="F26" s="1033" t="s">
        <v>5</v>
      </c>
      <c r="G26" s="1033" t="s">
        <v>229</v>
      </c>
      <c r="H26" s="1033" t="s">
        <v>154</v>
      </c>
      <c r="I26" s="1034">
        <v>172</v>
      </c>
      <c r="J26" s="1034">
        <v>1214.3</v>
      </c>
      <c r="K26" s="1034">
        <v>0</v>
      </c>
      <c r="L26" s="1034">
        <v>0</v>
      </c>
      <c r="M26" s="1034">
        <v>0</v>
      </c>
      <c r="N26" s="1034">
        <v>0</v>
      </c>
      <c r="O26" s="1034">
        <v>0</v>
      </c>
      <c r="P26" s="1034">
        <v>0</v>
      </c>
      <c r="Q26" s="1034">
        <v>0</v>
      </c>
      <c r="R26" s="1034">
        <v>0</v>
      </c>
      <c r="S26" s="1034">
        <v>0</v>
      </c>
      <c r="T26" s="1034">
        <v>0</v>
      </c>
      <c r="U26" s="1034">
        <v>0</v>
      </c>
      <c r="V26" s="1029">
        <f t="shared" si="4"/>
        <v>1386.3</v>
      </c>
      <c r="W26" s="1050"/>
      <c r="X26" s="1039"/>
    </row>
    <row r="27" spans="1:24" ht="31.15" customHeight="1" x14ac:dyDescent="0.25">
      <c r="A27" s="1026" t="s">
        <v>157</v>
      </c>
      <c r="B27" s="1048"/>
      <c r="C27" s="1031">
        <v>964</v>
      </c>
      <c r="D27" s="1032" t="s">
        <v>103</v>
      </c>
      <c r="E27" s="1033" t="s">
        <v>146</v>
      </c>
      <c r="F27" s="1033" t="s">
        <v>5</v>
      </c>
      <c r="G27" s="1033" t="s">
        <v>236</v>
      </c>
      <c r="H27" s="1033" t="s">
        <v>154</v>
      </c>
      <c r="I27" s="1034">
        <v>0</v>
      </c>
      <c r="J27" s="1034">
        <v>177.3</v>
      </c>
      <c r="K27" s="1034">
        <v>0</v>
      </c>
      <c r="L27" s="1034">
        <v>0</v>
      </c>
      <c r="M27" s="1034">
        <v>0</v>
      </c>
      <c r="N27" s="1034">
        <v>0</v>
      </c>
      <c r="O27" s="1034">
        <v>0</v>
      </c>
      <c r="P27" s="1034">
        <v>0</v>
      </c>
      <c r="Q27" s="1034">
        <v>0</v>
      </c>
      <c r="R27" s="1034">
        <v>0</v>
      </c>
      <c r="S27" s="1034">
        <v>0</v>
      </c>
      <c r="T27" s="1034">
        <v>0</v>
      </c>
      <c r="U27" s="1034">
        <v>0</v>
      </c>
      <c r="V27" s="1029">
        <f t="shared" si="4"/>
        <v>177.3</v>
      </c>
      <c r="W27" s="1050"/>
      <c r="X27" s="1039"/>
    </row>
    <row r="28" spans="1:24" ht="183.6" customHeight="1" x14ac:dyDescent="0.25">
      <c r="A28" s="1051" t="s">
        <v>176</v>
      </c>
      <c r="B28" s="1048"/>
      <c r="C28" s="1031">
        <v>964</v>
      </c>
      <c r="D28" s="1032" t="s">
        <v>103</v>
      </c>
      <c r="E28" s="1033" t="s">
        <v>146</v>
      </c>
      <c r="F28" s="1033" t="s">
        <v>5</v>
      </c>
      <c r="G28" s="1052">
        <v>1022</v>
      </c>
      <c r="H28" s="1033" t="s">
        <v>122</v>
      </c>
      <c r="I28" s="1034">
        <v>15.1</v>
      </c>
      <c r="J28" s="1034">
        <v>0</v>
      </c>
      <c r="K28" s="1034">
        <v>0</v>
      </c>
      <c r="L28" s="1034">
        <v>0</v>
      </c>
      <c r="M28" s="1034">
        <v>0</v>
      </c>
      <c r="N28" s="1034">
        <v>0</v>
      </c>
      <c r="O28" s="1034">
        <v>0</v>
      </c>
      <c r="P28" s="1034">
        <v>0</v>
      </c>
      <c r="Q28" s="1034">
        <v>0</v>
      </c>
      <c r="R28" s="1034">
        <v>0</v>
      </c>
      <c r="S28" s="1034">
        <v>0</v>
      </c>
      <c r="T28" s="1034">
        <v>0</v>
      </c>
      <c r="U28" s="1034">
        <v>0</v>
      </c>
      <c r="V28" s="1029">
        <f t="shared" si="4"/>
        <v>15.1</v>
      </c>
      <c r="W28" s="1050"/>
      <c r="X28" s="1039"/>
    </row>
    <row r="29" spans="1:24" ht="79.150000000000006" customHeight="1" x14ac:dyDescent="0.25">
      <c r="A29" s="1026" t="s">
        <v>234</v>
      </c>
      <c r="B29" s="1048"/>
      <c r="C29" s="1031">
        <v>964</v>
      </c>
      <c r="D29" s="1032" t="s">
        <v>103</v>
      </c>
      <c r="E29" s="1033" t="s">
        <v>146</v>
      </c>
      <c r="F29" s="1033" t="s">
        <v>5</v>
      </c>
      <c r="G29" s="1033" t="s">
        <v>235</v>
      </c>
      <c r="H29" s="1033" t="s">
        <v>154</v>
      </c>
      <c r="I29" s="1034">
        <v>350</v>
      </c>
      <c r="J29" s="1034">
        <v>0</v>
      </c>
      <c r="K29" s="1034">
        <v>0</v>
      </c>
      <c r="L29" s="1034">
        <v>0</v>
      </c>
      <c r="M29" s="1034">
        <v>0</v>
      </c>
      <c r="N29" s="1034">
        <v>0</v>
      </c>
      <c r="O29" s="1034">
        <v>0</v>
      </c>
      <c r="P29" s="1034">
        <v>0</v>
      </c>
      <c r="Q29" s="1034">
        <v>0</v>
      </c>
      <c r="R29" s="1034">
        <v>0</v>
      </c>
      <c r="S29" s="1034">
        <v>0</v>
      </c>
      <c r="T29" s="1034">
        <v>0</v>
      </c>
      <c r="U29" s="1034">
        <v>0</v>
      </c>
      <c r="V29" s="1029">
        <f t="shared" si="4"/>
        <v>350</v>
      </c>
      <c r="W29" s="1050"/>
      <c r="X29" s="1039"/>
    </row>
    <row r="30" spans="1:24" ht="100.9" customHeight="1" x14ac:dyDescent="0.25">
      <c r="A30" s="1026" t="s">
        <v>237</v>
      </c>
      <c r="B30" s="1048"/>
      <c r="C30" s="1031">
        <v>964</v>
      </c>
      <c r="D30" s="1032" t="s">
        <v>103</v>
      </c>
      <c r="E30" s="1033" t="s">
        <v>146</v>
      </c>
      <c r="F30" s="1033" t="s">
        <v>5</v>
      </c>
      <c r="G30" s="1052">
        <v>8856</v>
      </c>
      <c r="H30" s="1033" t="s">
        <v>154</v>
      </c>
      <c r="I30" s="1034">
        <v>3.5</v>
      </c>
      <c r="J30" s="1034">
        <v>0</v>
      </c>
      <c r="K30" s="1034">
        <v>0</v>
      </c>
      <c r="L30" s="1034">
        <v>0</v>
      </c>
      <c r="M30" s="1034">
        <v>0</v>
      </c>
      <c r="N30" s="1034">
        <v>0</v>
      </c>
      <c r="O30" s="1034">
        <v>0</v>
      </c>
      <c r="P30" s="1034">
        <v>0</v>
      </c>
      <c r="Q30" s="1034">
        <v>0</v>
      </c>
      <c r="R30" s="1034">
        <v>0</v>
      </c>
      <c r="S30" s="1034">
        <v>0</v>
      </c>
      <c r="T30" s="1034">
        <v>0</v>
      </c>
      <c r="U30" s="1034">
        <v>0</v>
      </c>
      <c r="V30" s="1029">
        <f t="shared" si="4"/>
        <v>3.5</v>
      </c>
      <c r="W30" s="1050"/>
      <c r="X30" s="1039"/>
    </row>
    <row r="31" spans="1:24" ht="56.45" customHeight="1" x14ac:dyDescent="0.25">
      <c r="A31" s="1026" t="s">
        <v>157</v>
      </c>
      <c r="B31" s="1048"/>
      <c r="C31" s="1031">
        <v>964</v>
      </c>
      <c r="D31" s="1032" t="s">
        <v>103</v>
      </c>
      <c r="E31" s="1033" t="s">
        <v>146</v>
      </c>
      <c r="F31" s="1033" t="s">
        <v>5</v>
      </c>
      <c r="G31" s="1052">
        <v>8062</v>
      </c>
      <c r="H31" s="1033" t="s">
        <v>154</v>
      </c>
      <c r="I31" s="1034">
        <v>0</v>
      </c>
      <c r="J31" s="1034">
        <v>0</v>
      </c>
      <c r="K31" s="1034">
        <v>0</v>
      </c>
      <c r="L31" s="1034">
        <v>0</v>
      </c>
      <c r="M31" s="1034">
        <v>0</v>
      </c>
      <c r="N31" s="1034">
        <v>0</v>
      </c>
      <c r="O31" s="1034"/>
      <c r="P31" s="1034"/>
      <c r="Q31" s="1034"/>
      <c r="R31" s="1034"/>
      <c r="S31" s="1034"/>
      <c r="T31" s="1034"/>
      <c r="U31" s="1034"/>
      <c r="V31" s="1029">
        <f t="shared" si="0"/>
        <v>0</v>
      </c>
      <c r="W31" s="1050"/>
      <c r="X31" s="1039"/>
    </row>
    <row r="32" spans="1:24" ht="120.6" customHeight="1" x14ac:dyDescent="0.25">
      <c r="A32" s="1046" t="s">
        <v>208</v>
      </c>
      <c r="B32" s="1048"/>
      <c r="C32" s="1031">
        <v>964</v>
      </c>
      <c r="D32" s="1032" t="s">
        <v>103</v>
      </c>
      <c r="E32" s="1033" t="s">
        <v>146</v>
      </c>
      <c r="F32" s="1033" t="s">
        <v>5</v>
      </c>
      <c r="G32" s="1033" t="s">
        <v>210</v>
      </c>
      <c r="H32" s="1033" t="s">
        <v>154</v>
      </c>
      <c r="I32" s="1034">
        <v>0</v>
      </c>
      <c r="J32" s="1034">
        <v>0</v>
      </c>
      <c r="K32" s="1034">
        <v>1000</v>
      </c>
      <c r="L32" s="1034">
        <v>0</v>
      </c>
      <c r="M32" s="1034">
        <v>0</v>
      </c>
      <c r="N32" s="1034">
        <v>0</v>
      </c>
      <c r="O32" s="1034">
        <v>0</v>
      </c>
      <c r="P32" s="1034">
        <v>0</v>
      </c>
      <c r="Q32" s="1034">
        <v>0</v>
      </c>
      <c r="R32" s="1034">
        <v>0</v>
      </c>
      <c r="S32" s="1034">
        <v>0</v>
      </c>
      <c r="T32" s="1034">
        <v>0</v>
      </c>
      <c r="U32" s="1034">
        <v>0</v>
      </c>
      <c r="V32" s="1029">
        <f t="shared" ref="V32:V39" si="5">SUM(I32:U32)</f>
        <v>1000</v>
      </c>
      <c r="W32" s="1050"/>
      <c r="X32" s="1039"/>
    </row>
    <row r="33" spans="1:24" ht="124.9" customHeight="1" x14ac:dyDescent="0.25">
      <c r="A33" s="1026" t="s">
        <v>209</v>
      </c>
      <c r="B33" s="1048"/>
      <c r="C33" s="1031">
        <v>964</v>
      </c>
      <c r="D33" s="1032" t="s">
        <v>103</v>
      </c>
      <c r="E33" s="1033" t="s">
        <v>146</v>
      </c>
      <c r="F33" s="1033" t="s">
        <v>5</v>
      </c>
      <c r="G33" s="1033" t="s">
        <v>210</v>
      </c>
      <c r="H33" s="1033" t="s">
        <v>154</v>
      </c>
      <c r="I33" s="1034">
        <v>0</v>
      </c>
      <c r="J33" s="1034">
        <v>0</v>
      </c>
      <c r="K33" s="1034">
        <v>97</v>
      </c>
      <c r="L33" s="1034">
        <v>0</v>
      </c>
      <c r="M33" s="1034">
        <v>0</v>
      </c>
      <c r="N33" s="1034">
        <v>0</v>
      </c>
      <c r="O33" s="1034">
        <v>0</v>
      </c>
      <c r="P33" s="1034">
        <v>0</v>
      </c>
      <c r="Q33" s="1034">
        <v>0</v>
      </c>
      <c r="R33" s="1034">
        <v>0</v>
      </c>
      <c r="S33" s="1034">
        <v>0</v>
      </c>
      <c r="T33" s="1034">
        <v>0</v>
      </c>
      <c r="U33" s="1034">
        <v>0</v>
      </c>
      <c r="V33" s="1029">
        <f t="shared" si="5"/>
        <v>97</v>
      </c>
      <c r="W33" s="1050"/>
      <c r="X33" s="1039"/>
    </row>
    <row r="34" spans="1:24" ht="44.45" customHeight="1" x14ac:dyDescent="0.25">
      <c r="A34" s="1053" t="s">
        <v>214</v>
      </c>
      <c r="B34" s="1048"/>
      <c r="C34" s="1031">
        <v>964</v>
      </c>
      <c r="D34" s="1032" t="s">
        <v>103</v>
      </c>
      <c r="E34" s="1033" t="s">
        <v>146</v>
      </c>
      <c r="F34" s="1033" t="s">
        <v>5</v>
      </c>
      <c r="G34" s="1033" t="s">
        <v>215</v>
      </c>
      <c r="H34" s="1033" t="s">
        <v>154</v>
      </c>
      <c r="I34" s="1034">
        <v>0</v>
      </c>
      <c r="J34" s="1034">
        <v>0</v>
      </c>
      <c r="K34" s="1034">
        <v>127</v>
      </c>
      <c r="L34" s="1034">
        <v>0</v>
      </c>
      <c r="M34" s="1034">
        <v>0</v>
      </c>
      <c r="N34" s="1034">
        <v>0</v>
      </c>
      <c r="O34" s="1034">
        <v>0</v>
      </c>
      <c r="P34" s="1034">
        <v>0</v>
      </c>
      <c r="Q34" s="1034">
        <v>0</v>
      </c>
      <c r="R34" s="1034">
        <v>0</v>
      </c>
      <c r="S34" s="1034">
        <v>0</v>
      </c>
      <c r="T34" s="1034">
        <v>0</v>
      </c>
      <c r="U34" s="1034">
        <v>0</v>
      </c>
      <c r="V34" s="1029">
        <f t="shared" si="5"/>
        <v>127</v>
      </c>
      <c r="W34" s="1050"/>
      <c r="X34" s="1039"/>
    </row>
    <row r="35" spans="1:24" ht="114" customHeight="1" x14ac:dyDescent="0.25">
      <c r="A35" s="1026" t="s">
        <v>216</v>
      </c>
      <c r="B35" s="1048"/>
      <c r="C35" s="1031">
        <v>964</v>
      </c>
      <c r="D35" s="1032" t="s">
        <v>103</v>
      </c>
      <c r="E35" s="1033" t="s">
        <v>146</v>
      </c>
      <c r="F35" s="1033" t="s">
        <v>5</v>
      </c>
      <c r="G35" s="1033" t="s">
        <v>217</v>
      </c>
      <c r="H35" s="1033" t="s">
        <v>154</v>
      </c>
      <c r="I35" s="1034">
        <v>0</v>
      </c>
      <c r="J35" s="1034">
        <v>0</v>
      </c>
      <c r="K35" s="1034">
        <v>5.08</v>
      </c>
      <c r="L35" s="1034">
        <v>0</v>
      </c>
      <c r="M35" s="1034">
        <v>0</v>
      </c>
      <c r="N35" s="1034">
        <v>0</v>
      </c>
      <c r="O35" s="1034">
        <v>0</v>
      </c>
      <c r="P35" s="1034">
        <v>0</v>
      </c>
      <c r="Q35" s="1034">
        <v>0</v>
      </c>
      <c r="R35" s="1034">
        <v>0</v>
      </c>
      <c r="S35" s="1034">
        <v>0</v>
      </c>
      <c r="T35" s="1034">
        <v>0</v>
      </c>
      <c r="U35" s="1034">
        <v>0</v>
      </c>
      <c r="V35" s="1029">
        <f t="shared" si="5"/>
        <v>5.08</v>
      </c>
      <c r="W35" s="1050"/>
      <c r="X35" s="1039"/>
    </row>
    <row r="36" spans="1:24" ht="114" customHeight="1" x14ac:dyDescent="0.25">
      <c r="A36" s="1046" t="s">
        <v>253</v>
      </c>
      <c r="B36" s="1048"/>
      <c r="C36" s="1031">
        <v>964</v>
      </c>
      <c r="D36" s="1032" t="s">
        <v>103</v>
      </c>
      <c r="E36" s="1033" t="s">
        <v>146</v>
      </c>
      <c r="F36" s="1033" t="s">
        <v>5</v>
      </c>
      <c r="G36" s="1033" t="s">
        <v>254</v>
      </c>
      <c r="H36" s="1033" t="s">
        <v>154</v>
      </c>
      <c r="I36" s="1034">
        <v>0</v>
      </c>
      <c r="J36" s="1034">
        <v>0</v>
      </c>
      <c r="K36" s="1034">
        <v>183.5</v>
      </c>
      <c r="L36" s="1034">
        <v>0</v>
      </c>
      <c r="M36" s="1034">
        <v>0</v>
      </c>
      <c r="N36" s="1034">
        <v>0</v>
      </c>
      <c r="O36" s="1034">
        <v>0</v>
      </c>
      <c r="P36" s="1034">
        <v>0</v>
      </c>
      <c r="Q36" s="1034">
        <v>0</v>
      </c>
      <c r="R36" s="1034">
        <v>0</v>
      </c>
      <c r="S36" s="1034">
        <v>0</v>
      </c>
      <c r="T36" s="1034">
        <v>0</v>
      </c>
      <c r="U36" s="1034">
        <v>0</v>
      </c>
      <c r="V36" s="1029">
        <f t="shared" si="5"/>
        <v>183.5</v>
      </c>
      <c r="W36" s="1050"/>
      <c r="X36" s="1039"/>
    </row>
    <row r="37" spans="1:24" ht="96.6" customHeight="1" x14ac:dyDescent="0.25">
      <c r="A37" s="1046" t="s">
        <v>261</v>
      </c>
      <c r="B37" s="1048"/>
      <c r="C37" s="1031">
        <v>964</v>
      </c>
      <c r="D37" s="1033" t="s">
        <v>260</v>
      </c>
      <c r="E37" s="1033" t="s">
        <v>146</v>
      </c>
      <c r="F37" s="1033" t="s">
        <v>5</v>
      </c>
      <c r="G37" s="1033" t="s">
        <v>262</v>
      </c>
      <c r="H37" s="1033" t="s">
        <v>122</v>
      </c>
      <c r="I37" s="1034"/>
      <c r="J37" s="1034"/>
      <c r="K37" s="1034"/>
      <c r="L37" s="1034">
        <v>392.7</v>
      </c>
      <c r="M37" s="1034">
        <v>0</v>
      </c>
      <c r="N37" s="1034">
        <v>0</v>
      </c>
      <c r="O37" s="1034">
        <v>0</v>
      </c>
      <c r="P37" s="1034">
        <v>0</v>
      </c>
      <c r="Q37" s="1034">
        <v>0</v>
      </c>
      <c r="R37" s="1034">
        <v>0</v>
      </c>
      <c r="S37" s="1034">
        <v>0</v>
      </c>
      <c r="T37" s="1034">
        <v>0</v>
      </c>
      <c r="U37" s="1034">
        <v>0</v>
      </c>
      <c r="V37" s="1029">
        <f t="shared" si="5"/>
        <v>392.7</v>
      </c>
      <c r="W37" s="1050"/>
      <c r="X37" s="1039"/>
    </row>
    <row r="38" spans="1:24" ht="136.9" customHeight="1" x14ac:dyDescent="0.25">
      <c r="A38" s="1046" t="s">
        <v>281</v>
      </c>
      <c r="B38" s="1048"/>
      <c r="C38" s="1031">
        <v>964</v>
      </c>
      <c r="D38" s="1033" t="s">
        <v>282</v>
      </c>
      <c r="E38" s="1033" t="s">
        <v>146</v>
      </c>
      <c r="F38" s="1033" t="s">
        <v>5</v>
      </c>
      <c r="G38" s="1033" t="s">
        <v>215</v>
      </c>
      <c r="H38" s="1033" t="s">
        <v>154</v>
      </c>
      <c r="I38" s="1034"/>
      <c r="J38" s="1034"/>
      <c r="K38" s="1034"/>
      <c r="L38" s="1034">
        <v>105</v>
      </c>
      <c r="M38" s="1034">
        <v>0</v>
      </c>
      <c r="N38" s="1034">
        <v>0</v>
      </c>
      <c r="O38" s="1034">
        <v>0</v>
      </c>
      <c r="P38" s="1034">
        <v>0</v>
      </c>
      <c r="Q38" s="1034">
        <v>0</v>
      </c>
      <c r="R38" s="1034">
        <v>0</v>
      </c>
      <c r="S38" s="1034">
        <v>0</v>
      </c>
      <c r="T38" s="1034">
        <v>0</v>
      </c>
      <c r="U38" s="1034">
        <v>0</v>
      </c>
      <c r="V38" s="1029">
        <f t="shared" si="5"/>
        <v>105</v>
      </c>
      <c r="W38" s="1050"/>
      <c r="X38" s="1039"/>
    </row>
    <row r="39" spans="1:24" ht="160.9" customHeight="1" x14ac:dyDescent="0.25">
      <c r="A39" s="1046" t="s">
        <v>283</v>
      </c>
      <c r="B39" s="1048"/>
      <c r="C39" s="1031">
        <v>964</v>
      </c>
      <c r="D39" s="1033" t="s">
        <v>282</v>
      </c>
      <c r="E39" s="1033" t="s">
        <v>146</v>
      </c>
      <c r="F39" s="1033" t="s">
        <v>5</v>
      </c>
      <c r="G39" s="1033" t="s">
        <v>217</v>
      </c>
      <c r="H39" s="1033" t="s">
        <v>154</v>
      </c>
      <c r="I39" s="1034"/>
      <c r="J39" s="1034"/>
      <c r="K39" s="1034"/>
      <c r="L39" s="1034">
        <v>4.2</v>
      </c>
      <c r="M39" s="1034">
        <v>0</v>
      </c>
      <c r="N39" s="1034">
        <v>0</v>
      </c>
      <c r="O39" s="1034">
        <v>0</v>
      </c>
      <c r="P39" s="1034">
        <v>0</v>
      </c>
      <c r="Q39" s="1034">
        <v>0</v>
      </c>
      <c r="R39" s="1034">
        <v>0</v>
      </c>
      <c r="S39" s="1034">
        <v>0</v>
      </c>
      <c r="T39" s="1034">
        <v>0</v>
      </c>
      <c r="U39" s="1034">
        <v>0</v>
      </c>
      <c r="V39" s="1029">
        <f t="shared" si="5"/>
        <v>4.2</v>
      </c>
      <c r="W39" s="1050"/>
      <c r="X39" s="1039"/>
    </row>
    <row r="40" spans="1:24" ht="33.75" customHeight="1" x14ac:dyDescent="0.25">
      <c r="A40" s="1054"/>
      <c r="B40" s="1055"/>
      <c r="C40" s="1056"/>
      <c r="D40" s="1057"/>
      <c r="E40" s="1058"/>
      <c r="F40" s="1058"/>
      <c r="G40" s="1058"/>
      <c r="H40" s="1058"/>
      <c r="I40" s="1059"/>
      <c r="J40" s="1059"/>
      <c r="K40" s="1059"/>
      <c r="L40" s="1059"/>
      <c r="M40" s="1059"/>
      <c r="N40" s="1059"/>
      <c r="O40" s="1059"/>
      <c r="P40" s="1059"/>
      <c r="Q40" s="1059"/>
      <c r="R40" s="1059"/>
      <c r="S40" s="1059"/>
      <c r="T40" s="1059"/>
      <c r="U40" s="1059"/>
      <c r="V40" s="1059"/>
      <c r="W40" s="1060"/>
      <c r="X40" s="1039"/>
    </row>
    <row r="41" spans="1:24" ht="78.75" customHeight="1" x14ac:dyDescent="0.25">
      <c r="A41" s="903" t="s">
        <v>246</v>
      </c>
      <c r="B41" s="903"/>
      <c r="C41" s="903"/>
      <c r="D41" s="903"/>
      <c r="E41" s="904"/>
      <c r="F41" s="904"/>
      <c r="G41" s="904"/>
      <c r="H41" s="904"/>
      <c r="I41" s="904"/>
      <c r="J41" s="904"/>
      <c r="K41" s="1061" t="s">
        <v>247</v>
      </c>
      <c r="L41" s="1061"/>
      <c r="M41" s="1061"/>
      <c r="N41" s="1061"/>
      <c r="O41" s="1061"/>
      <c r="P41" s="1061"/>
      <c r="Q41" s="1061"/>
      <c r="R41" s="1061"/>
      <c r="S41" s="1061"/>
      <c r="T41" s="1061"/>
      <c r="U41" s="1061"/>
      <c r="V41" s="1061"/>
      <c r="W41" s="786"/>
    </row>
    <row r="42" spans="1:24" ht="114" customHeight="1" x14ac:dyDescent="0.25">
      <c r="A42" s="908"/>
      <c r="B42" s="908"/>
      <c r="C42" s="908"/>
      <c r="D42" s="908"/>
      <c r="E42" s="688"/>
      <c r="F42" s="688"/>
      <c r="G42" s="688"/>
      <c r="H42" s="688"/>
      <c r="I42" s="688"/>
      <c r="J42" s="688"/>
      <c r="K42" s="688"/>
      <c r="L42" s="688"/>
      <c r="M42" s="688"/>
      <c r="N42" s="688"/>
      <c r="O42" s="688"/>
      <c r="P42" s="688"/>
      <c r="Q42" s="688"/>
      <c r="R42" s="688"/>
      <c r="S42" s="688"/>
      <c r="T42" s="688"/>
      <c r="U42" s="688"/>
      <c r="V42" s="688"/>
      <c r="W42" s="68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V41"/>
    <mergeCell ref="K1:W1"/>
    <mergeCell ref="H2:J2"/>
    <mergeCell ref="I5:V5"/>
    <mergeCell ref="K2:W2"/>
    <mergeCell ref="L6:L7"/>
    <mergeCell ref="M6:M7"/>
    <mergeCell ref="J6:J7"/>
    <mergeCell ref="A3:W3"/>
    <mergeCell ref="W5:W7"/>
    <mergeCell ref="B5:B7"/>
    <mergeCell ref="V6:V7"/>
    <mergeCell ref="N6:N7"/>
    <mergeCell ref="K6:K7"/>
    <mergeCell ref="W15:W20"/>
    <mergeCell ref="B15:B20"/>
  </mergeCells>
  <phoneticPr fontId="17" type="noConversion"/>
  <pageMargins left="0.55118110236220474" right="0.55118110236220474" top="0.78740157480314965" bottom="0.78740157480314965" header="0.51181102362204722" footer="0.51181102362204722"/>
  <pageSetup paperSize="9" scale="43" orientation="landscape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27"/>
  <sheetViews>
    <sheetView view="pageBreakPreview" zoomScale="80" zoomScaleNormal="85" zoomScaleSheetLayoutView="80" workbookViewId="0">
      <selection sqref="A1:XFD1048576"/>
    </sheetView>
  </sheetViews>
  <sheetFormatPr defaultColWidth="9.140625" defaultRowHeight="15" x14ac:dyDescent="0.25"/>
  <cols>
    <col min="1" max="1" width="7.7109375" style="1062" customWidth="1"/>
    <col min="2" max="2" width="30.85546875" style="1063" customWidth="1"/>
    <col min="3" max="3" width="16.140625" style="1063" customWidth="1"/>
    <col min="4" max="5" width="9.140625" style="1063"/>
    <col min="6" max="6" width="4.5703125" style="1063" customWidth="1"/>
    <col min="7" max="7" width="2.42578125" style="1063" customWidth="1"/>
    <col min="8" max="8" width="7.5703125" style="1063" customWidth="1"/>
    <col min="9" max="9" width="10.28515625" style="1063" customWidth="1"/>
    <col min="10" max="10" width="13.5703125" style="1063" customWidth="1"/>
    <col min="11" max="11" width="13.28515625" style="1063" customWidth="1"/>
    <col min="12" max="19" width="14.5703125" style="1063" customWidth="1"/>
    <col min="20" max="20" width="14.5703125" style="1123" customWidth="1"/>
    <col min="21" max="22" width="14.5703125" style="1063" customWidth="1"/>
    <col min="23" max="23" width="15.140625" style="1063" customWidth="1"/>
    <col min="24" max="24" width="26.28515625" style="1063" customWidth="1"/>
    <col min="25" max="25" width="14.42578125" style="1063" customWidth="1"/>
    <col min="26" max="16384" width="9.140625" style="1063"/>
  </cols>
  <sheetData>
    <row r="1" spans="1:25" ht="30.75" customHeight="1" x14ac:dyDescent="0.25">
      <c r="L1" s="1064" t="s">
        <v>550</v>
      </c>
      <c r="M1" s="1064"/>
      <c r="N1" s="1064"/>
      <c r="O1" s="1064"/>
      <c r="P1" s="1064"/>
      <c r="Q1" s="1064"/>
      <c r="R1" s="1064"/>
      <c r="S1" s="1064"/>
      <c r="T1" s="1064"/>
      <c r="U1" s="1064"/>
      <c r="V1" s="1064"/>
      <c r="W1" s="1064"/>
      <c r="X1" s="1064"/>
    </row>
    <row r="2" spans="1:25" ht="55.5" customHeight="1" x14ac:dyDescent="0.25">
      <c r="E2" s="1065"/>
      <c r="F2" s="1066"/>
      <c r="G2" s="1066"/>
      <c r="L2" s="1067" t="s">
        <v>553</v>
      </c>
      <c r="M2" s="1067"/>
      <c r="N2" s="1067"/>
      <c r="O2" s="1067"/>
      <c r="P2" s="1067"/>
      <c r="Q2" s="1067"/>
      <c r="R2" s="1067"/>
      <c r="S2" s="1067"/>
      <c r="T2" s="1067"/>
      <c r="U2" s="1067"/>
      <c r="V2" s="1067"/>
      <c r="W2" s="1067"/>
      <c r="X2" s="1067"/>
      <c r="Y2" s="1068"/>
    </row>
    <row r="3" spans="1:25" ht="39" customHeight="1" x14ac:dyDescent="0.25">
      <c r="A3" s="1069" t="s">
        <v>577</v>
      </c>
      <c r="B3" s="1069"/>
      <c r="C3" s="1069"/>
      <c r="D3" s="1069"/>
      <c r="E3" s="1069"/>
      <c r="F3" s="1069"/>
      <c r="G3" s="1069"/>
      <c r="H3" s="1069"/>
      <c r="I3" s="1069"/>
      <c r="J3" s="1069"/>
      <c r="K3" s="1069"/>
      <c r="L3" s="1069"/>
      <c r="M3" s="1069"/>
      <c r="N3" s="1069"/>
      <c r="O3" s="1069"/>
      <c r="P3" s="1069"/>
      <c r="Q3" s="1069"/>
      <c r="R3" s="1069"/>
      <c r="S3" s="1069"/>
      <c r="T3" s="1069"/>
      <c r="U3" s="1069"/>
      <c r="V3" s="1069"/>
      <c r="W3" s="1069"/>
      <c r="X3" s="1069"/>
    </row>
    <row r="4" spans="1:25" ht="12" customHeight="1" x14ac:dyDescent="0.25">
      <c r="A4" s="1070"/>
      <c r="B4" s="1071"/>
      <c r="C4" s="1071"/>
      <c r="D4" s="1071"/>
      <c r="E4" s="1071"/>
      <c r="F4" s="1070"/>
      <c r="G4" s="1071"/>
      <c r="H4" s="1071"/>
      <c r="I4" s="1071"/>
      <c r="J4" s="1071"/>
      <c r="K4" s="1071"/>
      <c r="L4" s="1071"/>
      <c r="M4" s="1071"/>
      <c r="N4" s="1071"/>
      <c r="O4" s="1071"/>
      <c r="P4" s="1071"/>
      <c r="Q4" s="1071"/>
      <c r="R4" s="1071"/>
      <c r="S4" s="1071"/>
      <c r="T4" s="1071"/>
      <c r="U4" s="1071"/>
      <c r="V4" s="1071"/>
      <c r="W4" s="1071"/>
      <c r="X4" s="1071"/>
    </row>
    <row r="5" spans="1:25" ht="18" customHeight="1" x14ac:dyDescent="0.25">
      <c r="A5" s="1072" t="s">
        <v>36</v>
      </c>
      <c r="B5" s="1073" t="s">
        <v>49</v>
      </c>
      <c r="C5" s="1074" t="s">
        <v>160</v>
      </c>
      <c r="D5" s="1074" t="s">
        <v>48</v>
      </c>
      <c r="E5" s="1074"/>
      <c r="F5" s="1074"/>
      <c r="G5" s="1074"/>
      <c r="H5" s="1074"/>
      <c r="I5" s="1074"/>
      <c r="J5" s="1075" t="s">
        <v>47</v>
      </c>
      <c r="K5" s="1076"/>
      <c r="L5" s="1076"/>
      <c r="M5" s="1076"/>
      <c r="N5" s="1076"/>
      <c r="O5" s="1076"/>
      <c r="P5" s="1076"/>
      <c r="Q5" s="1076"/>
      <c r="R5" s="1076"/>
      <c r="S5" s="1076"/>
      <c r="T5" s="1076"/>
      <c r="U5" s="1076"/>
      <c r="V5" s="1076"/>
      <c r="W5" s="1077"/>
      <c r="X5" s="1074" t="s">
        <v>46</v>
      </c>
    </row>
    <row r="6" spans="1:25" ht="33" customHeight="1" x14ac:dyDescent="0.25">
      <c r="A6" s="1072"/>
      <c r="B6" s="1078"/>
      <c r="C6" s="1074"/>
      <c r="D6" s="1079" t="s">
        <v>159</v>
      </c>
      <c r="E6" s="1079" t="s">
        <v>45</v>
      </c>
      <c r="F6" s="1075" t="s">
        <v>44</v>
      </c>
      <c r="G6" s="1076"/>
      <c r="H6" s="1077"/>
      <c r="I6" s="1079" t="s">
        <v>43</v>
      </c>
      <c r="J6" s="1079" t="s">
        <v>33</v>
      </c>
      <c r="K6" s="1079" t="s">
        <v>32</v>
      </c>
      <c r="L6" s="1079" t="s">
        <v>31</v>
      </c>
      <c r="M6" s="1079" t="s">
        <v>115</v>
      </c>
      <c r="N6" s="1079" t="s">
        <v>114</v>
      </c>
      <c r="O6" s="1079" t="s">
        <v>113</v>
      </c>
      <c r="P6" s="1079" t="s">
        <v>112</v>
      </c>
      <c r="Q6" s="1079" t="s">
        <v>111</v>
      </c>
      <c r="R6" s="1079" t="s">
        <v>110</v>
      </c>
      <c r="S6" s="1079" t="s">
        <v>109</v>
      </c>
      <c r="T6" s="1079" t="s">
        <v>108</v>
      </c>
      <c r="U6" s="1079" t="s">
        <v>249</v>
      </c>
      <c r="V6" s="1079" t="s">
        <v>539</v>
      </c>
      <c r="W6" s="1079" t="s">
        <v>542</v>
      </c>
      <c r="X6" s="1074"/>
    </row>
    <row r="7" spans="1:25" ht="15.75" customHeight="1" x14ac:dyDescent="0.25">
      <c r="A7" s="1080"/>
      <c r="B7" s="1081" t="s">
        <v>42</v>
      </c>
      <c r="C7" s="1082"/>
      <c r="D7" s="1082"/>
      <c r="E7" s="1082"/>
      <c r="F7" s="1082"/>
      <c r="G7" s="1082"/>
      <c r="H7" s="1082"/>
      <c r="I7" s="1082"/>
      <c r="J7" s="1082"/>
      <c r="K7" s="1082"/>
      <c r="L7" s="1082"/>
      <c r="M7" s="1082"/>
      <c r="N7" s="1082"/>
      <c r="O7" s="1082"/>
      <c r="P7" s="1082"/>
      <c r="Q7" s="1082"/>
      <c r="R7" s="1082"/>
      <c r="S7" s="1082"/>
      <c r="T7" s="1082"/>
      <c r="U7" s="1082"/>
      <c r="V7" s="1082"/>
      <c r="W7" s="1083"/>
      <c r="X7" s="1079"/>
    </row>
    <row r="8" spans="1:25" ht="42" customHeight="1" x14ac:dyDescent="0.25">
      <c r="A8" s="1084" t="s">
        <v>8</v>
      </c>
      <c r="B8" s="1081" t="s">
        <v>646</v>
      </c>
      <c r="C8" s="1082"/>
      <c r="D8" s="1082"/>
      <c r="E8" s="1082"/>
      <c r="F8" s="1082"/>
      <c r="G8" s="1082"/>
      <c r="H8" s="1082"/>
      <c r="I8" s="1082"/>
      <c r="J8" s="1082"/>
      <c r="K8" s="1082"/>
      <c r="L8" s="1082"/>
      <c r="M8" s="1082"/>
      <c r="N8" s="1082"/>
      <c r="O8" s="1082"/>
      <c r="P8" s="1082"/>
      <c r="Q8" s="1082"/>
      <c r="R8" s="1082"/>
      <c r="S8" s="1082"/>
      <c r="T8" s="1082"/>
      <c r="U8" s="1082"/>
      <c r="V8" s="1082"/>
      <c r="W8" s="1083"/>
      <c r="X8" s="1085"/>
    </row>
    <row r="9" spans="1:25" ht="55.5" customHeight="1" x14ac:dyDescent="0.2">
      <c r="A9" s="1086" t="s">
        <v>130</v>
      </c>
      <c r="B9" s="1073" t="s">
        <v>129</v>
      </c>
      <c r="C9" s="1087" t="s">
        <v>82</v>
      </c>
      <c r="D9" s="1080" t="s">
        <v>119</v>
      </c>
      <c r="E9" s="1088" t="s">
        <v>104</v>
      </c>
      <c r="F9" s="1089" t="s">
        <v>145</v>
      </c>
      <c r="G9" s="1090"/>
      <c r="H9" s="1091"/>
      <c r="I9" s="1088" t="s">
        <v>255</v>
      </c>
      <c r="J9" s="1092">
        <v>0</v>
      </c>
      <c r="K9" s="1092">
        <v>0</v>
      </c>
      <c r="L9" s="1092">
        <v>1635.2</v>
      </c>
      <c r="M9" s="1092">
        <v>1669</v>
      </c>
      <c r="N9" s="1092">
        <v>1760.7</v>
      </c>
      <c r="O9" s="1092">
        <f>2047.6+106</f>
        <v>2153.6</v>
      </c>
      <c r="P9" s="1092">
        <f>1594.1+472.1</f>
        <v>2066.1999999999998</v>
      </c>
      <c r="Q9" s="1092">
        <v>2621.3000000000002</v>
      </c>
      <c r="R9" s="1092">
        <f>2483.4+750-63</f>
        <v>3170.4</v>
      </c>
      <c r="S9" s="1092">
        <f>3326+112-160-40</f>
        <v>3238</v>
      </c>
      <c r="T9" s="1092">
        <f>3231.6+369.8</f>
        <v>3601.4</v>
      </c>
      <c r="U9" s="1092">
        <v>3231.6</v>
      </c>
      <c r="V9" s="1092">
        <v>3231.6</v>
      </c>
      <c r="W9" s="1092">
        <f>SUM(J9:V9)</f>
        <v>28379</v>
      </c>
      <c r="X9" s="1093" t="s">
        <v>41</v>
      </c>
      <c r="Y9" s="1094"/>
    </row>
    <row r="10" spans="1:25" ht="44.25" customHeight="1" x14ac:dyDescent="0.2">
      <c r="A10" s="1095"/>
      <c r="B10" s="1096"/>
      <c r="C10" s="1097"/>
      <c r="D10" s="1080" t="s">
        <v>119</v>
      </c>
      <c r="E10" s="1088" t="s">
        <v>104</v>
      </c>
      <c r="F10" s="1089" t="s">
        <v>238</v>
      </c>
      <c r="G10" s="1090"/>
      <c r="H10" s="1091"/>
      <c r="I10" s="1088" t="s">
        <v>255</v>
      </c>
      <c r="J10" s="1092">
        <v>997</v>
      </c>
      <c r="K10" s="1092">
        <v>1641.2</v>
      </c>
      <c r="L10" s="1092">
        <v>0</v>
      </c>
      <c r="M10" s="1092">
        <v>0</v>
      </c>
      <c r="N10" s="1092">
        <f>-O15</f>
        <v>0</v>
      </c>
      <c r="O10" s="1092">
        <v>0</v>
      </c>
      <c r="P10" s="1092"/>
      <c r="Q10" s="1092"/>
      <c r="R10" s="1092"/>
      <c r="S10" s="1092"/>
      <c r="T10" s="1092"/>
      <c r="U10" s="1092"/>
      <c r="V10" s="1092"/>
      <c r="W10" s="1092">
        <f t="shared" ref="W10:W22" si="0">SUM(J10:V10)</f>
        <v>2638.2</v>
      </c>
      <c r="X10" s="1098"/>
      <c r="Y10" s="1094"/>
    </row>
    <row r="11" spans="1:25" ht="48" hidden="1" customHeight="1" x14ac:dyDescent="0.2">
      <c r="A11" s="1095"/>
      <c r="B11" s="1096"/>
      <c r="C11" s="1097"/>
      <c r="D11" s="1080" t="s">
        <v>119</v>
      </c>
      <c r="E11" s="1088" t="s">
        <v>104</v>
      </c>
      <c r="F11" s="1089" t="s">
        <v>238</v>
      </c>
      <c r="G11" s="1090"/>
      <c r="H11" s="1091"/>
      <c r="I11" s="1088" t="s">
        <v>131</v>
      </c>
      <c r="J11" s="1092">
        <v>0</v>
      </c>
      <c r="K11" s="1092">
        <v>0</v>
      </c>
      <c r="L11" s="1092">
        <v>0</v>
      </c>
      <c r="M11" s="1092">
        <v>0</v>
      </c>
      <c r="N11" s="1092">
        <v>0</v>
      </c>
      <c r="O11" s="1092">
        <v>0</v>
      </c>
      <c r="P11" s="1092"/>
      <c r="Q11" s="1092"/>
      <c r="R11" s="1092"/>
      <c r="S11" s="1092"/>
      <c r="T11" s="1092"/>
      <c r="U11" s="1092"/>
      <c r="V11" s="1092"/>
      <c r="W11" s="1092">
        <f t="shared" si="0"/>
        <v>0</v>
      </c>
      <c r="X11" s="1098"/>
      <c r="Y11" s="1094"/>
    </row>
    <row r="12" spans="1:25" ht="53.25" hidden="1" customHeight="1" x14ac:dyDescent="0.2">
      <c r="A12" s="1095"/>
      <c r="B12" s="1096"/>
      <c r="C12" s="1097"/>
      <c r="D12" s="1080" t="s">
        <v>119</v>
      </c>
      <c r="E12" s="1088" t="s">
        <v>104</v>
      </c>
      <c r="F12" s="1089" t="s">
        <v>145</v>
      </c>
      <c r="G12" s="1090"/>
      <c r="H12" s="1091"/>
      <c r="I12" s="1088" t="s">
        <v>131</v>
      </c>
      <c r="J12" s="1092">
        <v>0</v>
      </c>
      <c r="K12" s="1092">
        <v>0</v>
      </c>
      <c r="L12" s="1092">
        <v>0</v>
      </c>
      <c r="M12" s="1092">
        <v>0</v>
      </c>
      <c r="N12" s="1092">
        <v>0</v>
      </c>
      <c r="O12" s="1092">
        <v>0</v>
      </c>
      <c r="P12" s="1092"/>
      <c r="Q12" s="1092"/>
      <c r="R12" s="1092"/>
      <c r="S12" s="1092"/>
      <c r="T12" s="1092"/>
      <c r="U12" s="1092"/>
      <c r="V12" s="1092"/>
      <c r="W12" s="1092">
        <f t="shared" si="0"/>
        <v>0</v>
      </c>
      <c r="X12" s="1098"/>
      <c r="Y12" s="1094"/>
    </row>
    <row r="13" spans="1:25" ht="52.5" customHeight="1" x14ac:dyDescent="0.2">
      <c r="A13" s="1095"/>
      <c r="B13" s="1096"/>
      <c r="C13" s="1097"/>
      <c r="D13" s="1080" t="s">
        <v>119</v>
      </c>
      <c r="E13" s="1088" t="s">
        <v>104</v>
      </c>
      <c r="F13" s="1089" t="s">
        <v>238</v>
      </c>
      <c r="G13" s="1090"/>
      <c r="H13" s="1091"/>
      <c r="I13" s="1088" t="s">
        <v>124</v>
      </c>
      <c r="J13" s="1092">
        <v>100</v>
      </c>
      <c r="K13" s="1092">
        <v>61.8</v>
      </c>
      <c r="L13" s="1092">
        <v>0</v>
      </c>
      <c r="M13" s="1092">
        <v>0</v>
      </c>
      <c r="N13" s="1092">
        <v>0</v>
      </c>
      <c r="O13" s="1092">
        <v>0</v>
      </c>
      <c r="P13" s="1092"/>
      <c r="Q13" s="1092"/>
      <c r="R13" s="1092"/>
      <c r="S13" s="1092"/>
      <c r="T13" s="1092"/>
      <c r="U13" s="1092"/>
      <c r="V13" s="1092"/>
      <c r="W13" s="1092">
        <f t="shared" si="0"/>
        <v>161.80000000000001</v>
      </c>
      <c r="X13" s="1098"/>
      <c r="Y13" s="1094"/>
    </row>
    <row r="14" spans="1:25" ht="49.5" customHeight="1" x14ac:dyDescent="0.2">
      <c r="A14" s="1095"/>
      <c r="B14" s="1096"/>
      <c r="C14" s="1097"/>
      <c r="D14" s="1080" t="s">
        <v>119</v>
      </c>
      <c r="E14" s="1088" t="s">
        <v>104</v>
      </c>
      <c r="F14" s="1089" t="s">
        <v>145</v>
      </c>
      <c r="G14" s="1090"/>
      <c r="H14" s="1091"/>
      <c r="I14" s="1088" t="s">
        <v>124</v>
      </c>
      <c r="J14" s="1092">
        <v>0</v>
      </c>
      <c r="K14" s="1092">
        <v>0</v>
      </c>
      <c r="L14" s="1092">
        <v>153.80000000000001</v>
      </c>
      <c r="M14" s="1092">
        <v>39</v>
      </c>
      <c r="N14" s="1092">
        <v>46</v>
      </c>
      <c r="O14" s="1092">
        <v>24.4</v>
      </c>
      <c r="P14" s="1092">
        <v>60.8</v>
      </c>
      <c r="Q14" s="1092">
        <v>167.3</v>
      </c>
      <c r="R14" s="1092">
        <v>64</v>
      </c>
      <c r="S14" s="1092">
        <v>104.5</v>
      </c>
      <c r="T14" s="1092">
        <v>104.1</v>
      </c>
      <c r="U14" s="1092">
        <v>104.1</v>
      </c>
      <c r="V14" s="1092">
        <v>104.1</v>
      </c>
      <c r="W14" s="1092">
        <f t="shared" si="0"/>
        <v>972.1</v>
      </c>
      <c r="X14" s="1098"/>
      <c r="Y14" s="1099"/>
    </row>
    <row r="15" spans="1:25" ht="29.25" customHeight="1" x14ac:dyDescent="0.2">
      <c r="A15" s="1100"/>
      <c r="B15" s="1078"/>
      <c r="C15" s="1101"/>
      <c r="D15" s="1080" t="s">
        <v>119</v>
      </c>
      <c r="E15" s="1088" t="s">
        <v>104</v>
      </c>
      <c r="F15" s="1089" t="s">
        <v>145</v>
      </c>
      <c r="G15" s="1090"/>
      <c r="H15" s="1091"/>
      <c r="I15" s="1088" t="s">
        <v>158</v>
      </c>
      <c r="J15" s="1092">
        <v>90.5</v>
      </c>
      <c r="K15" s="1092"/>
      <c r="L15" s="1092"/>
      <c r="M15" s="1092"/>
      <c r="N15" s="1092">
        <v>0.1</v>
      </c>
      <c r="O15" s="1092"/>
      <c r="P15" s="1092"/>
      <c r="Q15" s="1092"/>
      <c r="R15" s="1092"/>
      <c r="S15" s="1092"/>
      <c r="T15" s="1092"/>
      <c r="U15" s="1092"/>
      <c r="V15" s="1092"/>
      <c r="W15" s="1092">
        <f t="shared" si="0"/>
        <v>90.6</v>
      </c>
      <c r="X15" s="1098"/>
      <c r="Y15" s="1094"/>
    </row>
    <row r="16" spans="1:25" ht="82.9" customHeight="1" x14ac:dyDescent="0.2">
      <c r="A16" s="1102" t="s">
        <v>300</v>
      </c>
      <c r="B16" s="1103" t="s">
        <v>298</v>
      </c>
      <c r="C16" s="1104"/>
      <c r="D16" s="1080" t="s">
        <v>119</v>
      </c>
      <c r="E16" s="1088" t="s">
        <v>104</v>
      </c>
      <c r="F16" s="1089" t="s">
        <v>373</v>
      </c>
      <c r="G16" s="1090"/>
      <c r="H16" s="1091"/>
      <c r="I16" s="1088" t="s">
        <v>255</v>
      </c>
      <c r="J16" s="1092"/>
      <c r="K16" s="1092"/>
      <c r="L16" s="1092"/>
      <c r="M16" s="1092" t="s">
        <v>637</v>
      </c>
      <c r="N16" s="1092">
        <v>67.8</v>
      </c>
      <c r="O16" s="1092"/>
      <c r="P16" s="1092"/>
      <c r="Q16" s="1092"/>
      <c r="R16" s="1092"/>
      <c r="S16" s="1092"/>
      <c r="T16" s="1092"/>
      <c r="U16" s="1092"/>
      <c r="V16" s="1092"/>
      <c r="W16" s="1092">
        <f t="shared" si="0"/>
        <v>67.8</v>
      </c>
      <c r="X16" s="1098"/>
      <c r="Y16" s="1094"/>
    </row>
    <row r="17" spans="1:25" ht="96" customHeight="1" x14ac:dyDescent="0.2">
      <c r="A17" s="1102" t="s">
        <v>382</v>
      </c>
      <c r="B17" s="1103" t="s">
        <v>399</v>
      </c>
      <c r="C17" s="1104"/>
      <c r="D17" s="1080" t="s">
        <v>119</v>
      </c>
      <c r="E17" s="1088" t="s">
        <v>104</v>
      </c>
      <c r="F17" s="1089" t="s">
        <v>401</v>
      </c>
      <c r="G17" s="1090"/>
      <c r="H17" s="1091"/>
      <c r="I17" s="1088" t="s">
        <v>255</v>
      </c>
      <c r="J17" s="1092"/>
      <c r="K17" s="1092"/>
      <c r="L17" s="1092"/>
      <c r="M17" s="1092"/>
      <c r="N17" s="1092"/>
      <c r="O17" s="1092">
        <v>27.3</v>
      </c>
      <c r="P17" s="1092"/>
      <c r="Q17" s="1092"/>
      <c r="R17" s="1092"/>
      <c r="S17" s="1092"/>
      <c r="T17" s="1092"/>
      <c r="U17" s="1092"/>
      <c r="V17" s="1092"/>
      <c r="W17" s="1092">
        <f t="shared" si="0"/>
        <v>27.3</v>
      </c>
      <c r="X17" s="1098"/>
      <c r="Y17" s="1094"/>
    </row>
    <row r="18" spans="1:25" ht="82.9" customHeight="1" x14ac:dyDescent="0.2">
      <c r="A18" s="1102" t="s">
        <v>383</v>
      </c>
      <c r="B18" s="1103" t="s">
        <v>420</v>
      </c>
      <c r="C18" s="1104"/>
      <c r="D18" s="1080" t="s">
        <v>119</v>
      </c>
      <c r="E18" s="1088" t="s">
        <v>104</v>
      </c>
      <c r="F18" s="1089" t="s">
        <v>421</v>
      </c>
      <c r="G18" s="1090"/>
      <c r="H18" s="1091"/>
      <c r="I18" s="1088" t="s">
        <v>255</v>
      </c>
      <c r="J18" s="1092"/>
      <c r="K18" s="1092"/>
      <c r="L18" s="1092"/>
      <c r="M18" s="1092"/>
      <c r="N18" s="1092"/>
      <c r="O18" s="1092"/>
      <c r="P18" s="1092">
        <v>269.3</v>
      </c>
      <c r="Q18" s="1092"/>
      <c r="R18" s="1092"/>
      <c r="S18" s="1092"/>
      <c r="T18" s="1092"/>
      <c r="U18" s="1092"/>
      <c r="V18" s="1092"/>
      <c r="W18" s="1092">
        <f t="shared" si="0"/>
        <v>269.3</v>
      </c>
      <c r="X18" s="1098"/>
      <c r="Y18" s="1094"/>
    </row>
    <row r="19" spans="1:25" ht="218.25" customHeight="1" x14ac:dyDescent="0.2">
      <c r="A19" s="1102" t="s">
        <v>416</v>
      </c>
      <c r="B19" s="1105" t="s">
        <v>379</v>
      </c>
      <c r="C19" s="1104"/>
      <c r="D19" s="1080" t="s">
        <v>119</v>
      </c>
      <c r="E19" s="1088" t="s">
        <v>104</v>
      </c>
      <c r="F19" s="1089" t="s">
        <v>378</v>
      </c>
      <c r="G19" s="1090"/>
      <c r="H19" s="1091"/>
      <c r="I19" s="1088" t="s">
        <v>255</v>
      </c>
      <c r="J19" s="1092"/>
      <c r="K19" s="1092"/>
      <c r="L19" s="1092"/>
      <c r="M19" s="1092"/>
      <c r="N19" s="1092">
        <v>128.30000000000001</v>
      </c>
      <c r="O19" s="1092"/>
      <c r="P19" s="1092"/>
      <c r="Q19" s="1092"/>
      <c r="R19" s="1092"/>
      <c r="S19" s="1092"/>
      <c r="T19" s="1092"/>
      <c r="U19" s="1092"/>
      <c r="V19" s="1092"/>
      <c r="W19" s="1092">
        <f t="shared" si="0"/>
        <v>128.30000000000001</v>
      </c>
      <c r="X19" s="1098"/>
      <c r="Y19" s="1094"/>
    </row>
    <row r="20" spans="1:25" ht="180" customHeight="1" x14ac:dyDescent="0.2">
      <c r="A20" s="1102" t="s">
        <v>419</v>
      </c>
      <c r="B20" s="1106" t="s">
        <v>384</v>
      </c>
      <c r="C20" s="1104"/>
      <c r="D20" s="1080" t="s">
        <v>119</v>
      </c>
      <c r="E20" s="1088" t="s">
        <v>104</v>
      </c>
      <c r="F20" s="1089" t="s">
        <v>385</v>
      </c>
      <c r="G20" s="1090"/>
      <c r="H20" s="1091"/>
      <c r="I20" s="1088" t="s">
        <v>255</v>
      </c>
      <c r="J20" s="1092"/>
      <c r="K20" s="1092"/>
      <c r="L20" s="1092"/>
      <c r="M20" s="1092"/>
      <c r="N20" s="1092"/>
      <c r="O20" s="1092">
        <v>36.4</v>
      </c>
      <c r="P20" s="1092"/>
      <c r="Q20" s="1092"/>
      <c r="R20" s="1092"/>
      <c r="S20" s="1092"/>
      <c r="T20" s="1092"/>
      <c r="U20" s="1092"/>
      <c r="V20" s="1092"/>
      <c r="W20" s="1092">
        <f t="shared" si="0"/>
        <v>36.4</v>
      </c>
      <c r="X20" s="1107"/>
      <c r="Y20" s="1094"/>
    </row>
    <row r="21" spans="1:25" ht="18" x14ac:dyDescent="0.25">
      <c r="A21" s="1080"/>
      <c r="B21" s="1108" t="s">
        <v>40</v>
      </c>
      <c r="C21" s="1109"/>
      <c r="D21" s="1108"/>
      <c r="E21" s="1110"/>
      <c r="F21" s="1089"/>
      <c r="G21" s="1090"/>
      <c r="H21" s="1091"/>
      <c r="I21" s="1110"/>
      <c r="J21" s="1092">
        <f>J15+J14+J13+J12+J11+J10</f>
        <v>1187.5</v>
      </c>
      <c r="K21" s="1092">
        <f>K15+K14+K13+K12+K11+K10</f>
        <v>1703</v>
      </c>
      <c r="L21" s="1092">
        <f>L14+L12+L9</f>
        <v>1789</v>
      </c>
      <c r="M21" s="1092">
        <f>M14+M12+M9</f>
        <v>1708</v>
      </c>
      <c r="N21" s="1092">
        <f>N14+N12+N9+N16+N15+N19</f>
        <v>2002.8999999999999</v>
      </c>
      <c r="O21" s="1092">
        <f>O14+O12+O9+O16+O20+O17</f>
        <v>2241.7000000000003</v>
      </c>
      <c r="P21" s="1092">
        <f>P14+P12+P9+P16+P18</f>
        <v>2396.3000000000002</v>
      </c>
      <c r="Q21" s="1092">
        <f t="shared" ref="Q21:V21" si="1">Q14+Q12+Q9+Q16</f>
        <v>2788.6000000000004</v>
      </c>
      <c r="R21" s="1092">
        <f t="shared" si="1"/>
        <v>3234.4</v>
      </c>
      <c r="S21" s="1092">
        <f t="shared" si="1"/>
        <v>3342.5</v>
      </c>
      <c r="T21" s="1092">
        <f t="shared" si="1"/>
        <v>3705.5</v>
      </c>
      <c r="U21" s="1092">
        <f t="shared" si="1"/>
        <v>3335.7</v>
      </c>
      <c r="V21" s="1092">
        <f t="shared" si="1"/>
        <v>3335.7</v>
      </c>
      <c r="W21" s="1092">
        <f t="shared" si="0"/>
        <v>32770.800000000003</v>
      </c>
      <c r="X21" s="1111"/>
      <c r="Y21" s="1112"/>
    </row>
    <row r="22" spans="1:25" ht="18" x14ac:dyDescent="0.25">
      <c r="A22" s="1080"/>
      <c r="B22" s="1108" t="s">
        <v>91</v>
      </c>
      <c r="C22" s="1108"/>
      <c r="D22" s="1108"/>
      <c r="E22" s="1110"/>
      <c r="F22" s="1089"/>
      <c r="G22" s="1090"/>
      <c r="H22" s="1091"/>
      <c r="I22" s="1110"/>
      <c r="J22" s="1092">
        <f t="shared" ref="J22:P22" si="2">J21</f>
        <v>1187.5</v>
      </c>
      <c r="K22" s="1092">
        <f t="shared" si="2"/>
        <v>1703</v>
      </c>
      <c r="L22" s="1092">
        <f t="shared" si="2"/>
        <v>1789</v>
      </c>
      <c r="M22" s="1092">
        <f t="shared" si="2"/>
        <v>1708</v>
      </c>
      <c r="N22" s="1092">
        <f t="shared" si="2"/>
        <v>2002.8999999999999</v>
      </c>
      <c r="O22" s="1092">
        <f t="shared" si="2"/>
        <v>2241.7000000000003</v>
      </c>
      <c r="P22" s="1092">
        <f t="shared" si="2"/>
        <v>2396.3000000000002</v>
      </c>
      <c r="Q22" s="1092">
        <f t="shared" ref="Q22:V22" si="3">Q21</f>
        <v>2788.6000000000004</v>
      </c>
      <c r="R22" s="1092">
        <f t="shared" si="3"/>
        <v>3234.4</v>
      </c>
      <c r="S22" s="1092">
        <f t="shared" si="3"/>
        <v>3342.5</v>
      </c>
      <c r="T22" s="1092">
        <f t="shared" si="3"/>
        <v>3705.5</v>
      </c>
      <c r="U22" s="1092">
        <f t="shared" si="3"/>
        <v>3335.7</v>
      </c>
      <c r="V22" s="1092">
        <f t="shared" si="3"/>
        <v>3335.7</v>
      </c>
      <c r="W22" s="1092">
        <f t="shared" si="0"/>
        <v>32770.800000000003</v>
      </c>
      <c r="X22" s="1108"/>
      <c r="Y22" s="1112"/>
    </row>
    <row r="23" spans="1:25" s="1116" customFormat="1" ht="35.25" customHeight="1" x14ac:dyDescent="0.25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5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5"/>
    </row>
    <row r="24" spans="1:25" s="1116" customFormat="1" ht="60.75" customHeight="1" x14ac:dyDescent="0.25">
      <c r="A24" s="685" t="s">
        <v>252</v>
      </c>
      <c r="B24" s="685"/>
      <c r="C24" s="685"/>
      <c r="D24" s="685"/>
      <c r="E24" s="686"/>
      <c r="F24" s="686"/>
      <c r="G24" s="686"/>
      <c r="H24" s="686"/>
      <c r="I24" s="686"/>
      <c r="J24" s="1117"/>
      <c r="K24" s="686"/>
      <c r="L24" s="687" t="s">
        <v>186</v>
      </c>
      <c r="M24" s="687"/>
      <c r="N24" s="687"/>
      <c r="O24" s="687"/>
      <c r="P24" s="687"/>
      <c r="Q24" s="687"/>
      <c r="R24" s="687"/>
      <c r="S24" s="687"/>
      <c r="T24" s="687"/>
      <c r="U24" s="687"/>
      <c r="V24" s="687"/>
      <c r="W24" s="687"/>
      <c r="X24" s="687"/>
    </row>
    <row r="25" spans="1:25" s="1116" customFormat="1" ht="35.25" customHeight="1" x14ac:dyDescent="0.25">
      <c r="A25" s="1118"/>
      <c r="L25" s="1119"/>
      <c r="M25" s="1119"/>
      <c r="N25" s="1119"/>
      <c r="O25" s="1119"/>
      <c r="P25" s="1119"/>
      <c r="Q25" s="1119"/>
      <c r="R25" s="1119"/>
      <c r="S25" s="1119"/>
      <c r="T25" s="1120"/>
      <c r="U25" s="1119"/>
      <c r="V25" s="1119"/>
      <c r="X25" s="1119"/>
    </row>
    <row r="26" spans="1:25" s="1116" customFormat="1" ht="35.25" customHeight="1" x14ac:dyDescent="0.25">
      <c r="A26" s="1118"/>
      <c r="J26" s="1121"/>
      <c r="T26" s="1122"/>
    </row>
    <row r="27" spans="1:25" x14ac:dyDescent="0.25">
      <c r="J27" s="1112"/>
      <c r="Y27" s="1112"/>
    </row>
  </sheetData>
  <mergeCells count="33">
    <mergeCell ref="B7:W7"/>
    <mergeCell ref="B9:B15"/>
    <mergeCell ref="F13:H13"/>
    <mergeCell ref="F11:H11"/>
    <mergeCell ref="F18:H18"/>
    <mergeCell ref="F15:H15"/>
    <mergeCell ref="F12:H12"/>
    <mergeCell ref="F10:H10"/>
    <mergeCell ref="F16:H16"/>
    <mergeCell ref="B8:W8"/>
    <mergeCell ref="L1:X1"/>
    <mergeCell ref="E2:G2"/>
    <mergeCell ref="L2:X2"/>
    <mergeCell ref="A3:X3"/>
    <mergeCell ref="A5:A6"/>
    <mergeCell ref="J5:W5"/>
    <mergeCell ref="X5:X6"/>
    <mergeCell ref="C5:C6"/>
    <mergeCell ref="F6:H6"/>
    <mergeCell ref="B5:B6"/>
    <mergeCell ref="D5:I5"/>
    <mergeCell ref="A24:D24"/>
    <mergeCell ref="L24:X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X9:X20"/>
  </mergeCells>
  <phoneticPr fontId="17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view="pageBreakPreview" topLeftCell="A22" zoomScale="60" zoomScaleNormal="85" workbookViewId="0">
      <selection activeCell="B28" sqref="B28"/>
    </sheetView>
  </sheetViews>
  <sheetFormatPr defaultRowHeight="14.25" x14ac:dyDescent="0.2"/>
  <cols>
    <col min="1" max="1" width="9.140625" style="1127"/>
    <col min="2" max="2" width="66.28515625" style="1127" customWidth="1"/>
    <col min="3" max="3" width="19.5703125" style="1127" customWidth="1"/>
    <col min="4" max="4" width="23.5703125" style="1127" customWidth="1"/>
    <col min="5" max="5" width="13.7109375" style="1127" customWidth="1"/>
    <col min="6" max="7" width="13" style="1127" customWidth="1"/>
    <col min="8" max="8" width="12.7109375" style="1127" customWidth="1"/>
    <col min="9" max="9" width="12.42578125" style="1127" customWidth="1"/>
    <col min="10" max="10" width="12.28515625" style="1127" customWidth="1"/>
    <col min="11" max="11" width="14.140625" style="1127" customWidth="1"/>
    <col min="12" max="12" width="13" style="1127" customWidth="1"/>
    <col min="13" max="13" width="13.85546875" style="1127" customWidth="1"/>
    <col min="14" max="15" width="11.5703125" style="1127" customWidth="1"/>
    <col min="16" max="16" width="12.140625" style="1127" customWidth="1"/>
    <col min="17" max="17" width="14" style="1127" customWidth="1"/>
    <col min="18" max="16384" width="9.140625" style="1127"/>
  </cols>
  <sheetData>
    <row r="1" spans="1:17" x14ac:dyDescent="0.2">
      <c r="A1" s="1124"/>
      <c r="B1" s="1124"/>
      <c r="C1" s="1124"/>
      <c r="D1" s="1124"/>
      <c r="E1" s="1124"/>
      <c r="F1" s="1125"/>
      <c r="G1" s="1126"/>
      <c r="H1" s="1126"/>
      <c r="I1" s="1126"/>
      <c r="J1" s="1126"/>
      <c r="K1" s="1126"/>
      <c r="L1" s="1124"/>
      <c r="M1" s="1124"/>
      <c r="N1" s="1124"/>
      <c r="O1" s="1124"/>
      <c r="P1" s="1124"/>
      <c r="Q1" s="1124"/>
    </row>
    <row r="2" spans="1:17" ht="62.25" customHeight="1" x14ac:dyDescent="0.2">
      <c r="A2" s="1128"/>
      <c r="B2" s="1128"/>
      <c r="C2" s="1128"/>
      <c r="D2" s="1128"/>
      <c r="E2" s="1128"/>
      <c r="J2" s="1129"/>
      <c r="K2" s="1128"/>
      <c r="L2" s="1128"/>
      <c r="M2" s="1130" t="s">
        <v>559</v>
      </c>
      <c r="N2" s="1130"/>
      <c r="O2" s="1130"/>
      <c r="P2" s="1130"/>
      <c r="Q2" s="1131"/>
    </row>
    <row r="3" spans="1:17" ht="15" x14ac:dyDescent="0.2">
      <c r="A3" s="1132"/>
      <c r="B3" s="1132"/>
      <c r="C3" s="1132"/>
      <c r="D3" s="1132"/>
      <c r="E3" s="1132"/>
      <c r="F3" s="1132"/>
      <c r="G3" s="1132"/>
      <c r="H3" s="1132"/>
      <c r="I3" s="1124"/>
      <c r="J3" s="1124"/>
      <c r="K3" s="1124"/>
      <c r="L3" s="1124"/>
      <c r="M3" s="1124"/>
      <c r="N3" s="1124"/>
      <c r="O3" s="1124"/>
      <c r="P3" s="1124"/>
      <c r="Q3" s="1124"/>
    </row>
    <row r="4" spans="1:17" ht="22.5" customHeight="1" x14ac:dyDescent="0.25">
      <c r="A4" s="1133" t="s">
        <v>560</v>
      </c>
      <c r="B4" s="1133"/>
      <c r="C4" s="1133"/>
      <c r="D4" s="1133"/>
      <c r="E4" s="1133"/>
      <c r="F4" s="1133"/>
      <c r="G4" s="1133"/>
      <c r="H4" s="1133"/>
      <c r="I4" s="1134"/>
      <c r="J4" s="1134"/>
      <c r="K4" s="1134"/>
      <c r="L4" s="1134"/>
      <c r="M4" s="1134"/>
      <c r="N4" s="1134"/>
      <c r="O4" s="1134"/>
      <c r="P4" s="1135"/>
      <c r="Q4" s="1135"/>
    </row>
    <row r="5" spans="1:17" x14ac:dyDescent="0.2">
      <c r="A5" s="1124"/>
      <c r="B5" s="1124"/>
      <c r="C5" s="1124"/>
      <c r="D5" s="1124"/>
      <c r="E5" s="1124"/>
      <c r="F5" s="1124"/>
      <c r="G5" s="1124"/>
      <c r="H5" s="1124"/>
      <c r="I5" s="1124"/>
      <c r="J5" s="1124"/>
      <c r="K5" s="1124"/>
      <c r="L5" s="1136"/>
      <c r="M5" s="1124"/>
      <c r="N5" s="1124"/>
      <c r="O5" s="1124"/>
      <c r="P5" s="1124"/>
      <c r="Q5" s="1124"/>
    </row>
    <row r="6" spans="1:17" ht="15" customHeight="1" x14ac:dyDescent="0.2">
      <c r="A6" s="1137" t="s">
        <v>17</v>
      </c>
      <c r="B6" s="1137" t="s">
        <v>16</v>
      </c>
      <c r="C6" s="1138" t="s">
        <v>15</v>
      </c>
      <c r="D6" s="1138" t="s">
        <v>14</v>
      </c>
      <c r="E6" s="1138" t="s">
        <v>13</v>
      </c>
      <c r="F6" s="1138" t="s">
        <v>12</v>
      </c>
      <c r="G6" s="1138" t="s">
        <v>11</v>
      </c>
      <c r="H6" s="1138" t="s">
        <v>163</v>
      </c>
      <c r="I6" s="1138" t="s">
        <v>239</v>
      </c>
      <c r="J6" s="1138" t="s">
        <v>240</v>
      </c>
      <c r="K6" s="1138" t="s">
        <v>280</v>
      </c>
      <c r="L6" s="1139" t="s">
        <v>111</v>
      </c>
      <c r="M6" s="1139" t="s">
        <v>110</v>
      </c>
      <c r="N6" s="1139" t="s">
        <v>109</v>
      </c>
      <c r="O6" s="1139" t="s">
        <v>108</v>
      </c>
      <c r="P6" s="1139" t="s">
        <v>249</v>
      </c>
      <c r="Q6" s="1139" t="s">
        <v>539</v>
      </c>
    </row>
    <row r="7" spans="1:17" x14ac:dyDescent="0.2">
      <c r="A7" s="1137"/>
      <c r="B7" s="1137"/>
      <c r="C7" s="1138"/>
      <c r="D7" s="1138"/>
      <c r="E7" s="1138" t="s">
        <v>10</v>
      </c>
      <c r="F7" s="1138" t="s">
        <v>10</v>
      </c>
      <c r="G7" s="1138" t="s">
        <v>10</v>
      </c>
      <c r="H7" s="1138" t="s">
        <v>10</v>
      </c>
      <c r="I7" s="1138" t="s">
        <v>10</v>
      </c>
      <c r="J7" s="1138" t="s">
        <v>10</v>
      </c>
      <c r="K7" s="1138" t="s">
        <v>10</v>
      </c>
      <c r="L7" s="1139"/>
      <c r="M7" s="1139"/>
      <c r="N7" s="1140"/>
      <c r="O7" s="1139"/>
      <c r="P7" s="1139"/>
      <c r="Q7" s="1139"/>
    </row>
    <row r="8" spans="1:17" ht="26.25" customHeight="1" x14ac:dyDescent="0.2">
      <c r="A8" s="1141" t="s">
        <v>579</v>
      </c>
      <c r="B8" s="1142"/>
      <c r="C8" s="1142"/>
      <c r="D8" s="1142"/>
      <c r="E8" s="1142"/>
      <c r="F8" s="1142"/>
      <c r="G8" s="1142"/>
      <c r="H8" s="1142"/>
      <c r="I8" s="1142"/>
      <c r="J8" s="1142"/>
      <c r="K8" s="1142"/>
      <c r="L8" s="1142"/>
      <c r="M8" s="1142"/>
      <c r="N8" s="1142"/>
      <c r="O8" s="1142"/>
      <c r="P8" s="1142"/>
      <c r="Q8" s="1143"/>
    </row>
    <row r="9" spans="1:17" ht="35.25" customHeight="1" x14ac:dyDescent="0.2">
      <c r="A9" s="1144"/>
      <c r="B9" s="1145" t="s">
        <v>9</v>
      </c>
      <c r="C9" s="1146" t="s">
        <v>345</v>
      </c>
      <c r="D9" s="1147"/>
      <c r="E9" s="1147"/>
      <c r="F9" s="1147"/>
      <c r="G9" s="1147"/>
      <c r="H9" s="1147"/>
      <c r="I9" s="1147"/>
      <c r="J9" s="1147"/>
      <c r="K9" s="1147"/>
      <c r="L9" s="1147"/>
      <c r="M9" s="1147"/>
      <c r="N9" s="1147"/>
      <c r="O9" s="1147"/>
      <c r="P9" s="1147"/>
      <c r="Q9" s="1148"/>
    </row>
    <row r="10" spans="1:17" ht="26.25" customHeight="1" x14ac:dyDescent="0.2">
      <c r="A10" s="714"/>
      <c r="B10" s="1149" t="s">
        <v>23</v>
      </c>
      <c r="C10" s="1150"/>
      <c r="D10" s="1150"/>
      <c r="E10" s="1150"/>
      <c r="F10" s="1150"/>
      <c r="G10" s="1150"/>
      <c r="H10" s="1150"/>
      <c r="I10" s="1150"/>
      <c r="J10" s="1150"/>
      <c r="K10" s="1151"/>
      <c r="L10" s="1151"/>
      <c r="M10" s="1151"/>
      <c r="N10" s="1152"/>
      <c r="O10" s="1151"/>
      <c r="P10" s="1153"/>
      <c r="Q10" s="1153"/>
    </row>
    <row r="11" spans="1:17" ht="60.75" customHeight="1" x14ac:dyDescent="0.2">
      <c r="A11" s="714" t="s">
        <v>336</v>
      </c>
      <c r="B11" s="1154" t="s">
        <v>563</v>
      </c>
      <c r="C11" s="713" t="s">
        <v>2</v>
      </c>
      <c r="D11" s="1155" t="s">
        <v>0</v>
      </c>
      <c r="E11" s="713">
        <v>29.5</v>
      </c>
      <c r="F11" s="714" t="s">
        <v>318</v>
      </c>
      <c r="G11" s="714" t="s">
        <v>319</v>
      </c>
      <c r="H11" s="714" t="s">
        <v>320</v>
      </c>
      <c r="I11" s="715" t="s">
        <v>321</v>
      </c>
      <c r="J11" s="714" t="s">
        <v>447</v>
      </c>
      <c r="K11" s="716" t="s">
        <v>448</v>
      </c>
      <c r="L11" s="716" t="s">
        <v>454</v>
      </c>
      <c r="M11" s="718" t="s">
        <v>503</v>
      </c>
      <c r="N11" s="718" t="s">
        <v>624</v>
      </c>
      <c r="O11" s="718" t="s">
        <v>504</v>
      </c>
      <c r="P11" s="718" t="s">
        <v>504</v>
      </c>
      <c r="Q11" s="1156" t="s">
        <v>546</v>
      </c>
    </row>
    <row r="12" spans="1:17" ht="90" customHeight="1" x14ac:dyDescent="0.2">
      <c r="A12" s="714" t="s">
        <v>337</v>
      </c>
      <c r="B12" s="722" t="s">
        <v>6</v>
      </c>
      <c r="C12" s="713" t="s">
        <v>2</v>
      </c>
      <c r="D12" s="1155" t="s">
        <v>0</v>
      </c>
      <c r="E12" s="723">
        <v>6.6</v>
      </c>
      <c r="F12" s="723">
        <v>6.89</v>
      </c>
      <c r="G12" s="724">
        <v>8.6999999999999993</v>
      </c>
      <c r="H12" s="724">
        <v>8.6999999999999993</v>
      </c>
      <c r="I12" s="725">
        <v>8.8000000000000007</v>
      </c>
      <c r="J12" s="724">
        <v>8.9</v>
      </c>
      <c r="K12" s="726">
        <v>9</v>
      </c>
      <c r="L12" s="726">
        <v>17.5</v>
      </c>
      <c r="M12" s="728">
        <v>18.100000000000001</v>
      </c>
      <c r="N12" s="728">
        <v>18.399999999999999</v>
      </c>
      <c r="O12" s="728">
        <v>18.5</v>
      </c>
      <c r="P12" s="728">
        <v>18.600000000000001</v>
      </c>
      <c r="Q12" s="1157">
        <v>18.7</v>
      </c>
    </row>
    <row r="13" spans="1:17" ht="59.25" customHeight="1" x14ac:dyDescent="0.2">
      <c r="A13" s="715" t="s">
        <v>338</v>
      </c>
      <c r="B13" s="722" t="s">
        <v>502</v>
      </c>
      <c r="C13" s="1158" t="s">
        <v>2</v>
      </c>
      <c r="D13" s="1159" t="s">
        <v>0</v>
      </c>
      <c r="E13" s="732">
        <v>0</v>
      </c>
      <c r="F13" s="732">
        <v>0</v>
      </c>
      <c r="G13" s="714">
        <v>0</v>
      </c>
      <c r="H13" s="714">
        <v>0</v>
      </c>
      <c r="I13" s="715">
        <v>0</v>
      </c>
      <c r="J13" s="714">
        <v>0</v>
      </c>
      <c r="K13" s="714">
        <v>0</v>
      </c>
      <c r="L13" s="714">
        <v>0</v>
      </c>
      <c r="M13" s="734" t="s">
        <v>324</v>
      </c>
      <c r="N13" s="734" t="s">
        <v>625</v>
      </c>
      <c r="O13" s="734" t="s">
        <v>625</v>
      </c>
      <c r="P13" s="734" t="s">
        <v>625</v>
      </c>
      <c r="Q13" s="715" t="s">
        <v>625</v>
      </c>
    </row>
    <row r="14" spans="1:17" ht="49.5" customHeight="1" x14ac:dyDescent="0.2">
      <c r="A14" s="1158" t="s">
        <v>339</v>
      </c>
      <c r="B14" s="722" t="s">
        <v>505</v>
      </c>
      <c r="C14" s="1160" t="s">
        <v>2</v>
      </c>
      <c r="D14" s="1159" t="s">
        <v>0</v>
      </c>
      <c r="E14" s="732">
        <v>0</v>
      </c>
      <c r="F14" s="732">
        <v>0</v>
      </c>
      <c r="G14" s="714">
        <v>0</v>
      </c>
      <c r="H14" s="714">
        <v>0</v>
      </c>
      <c r="I14" s="715">
        <v>0</v>
      </c>
      <c r="J14" s="714">
        <v>0</v>
      </c>
      <c r="K14" s="714">
        <v>0</v>
      </c>
      <c r="L14" s="714">
        <v>0</v>
      </c>
      <c r="M14" s="734" t="s">
        <v>324</v>
      </c>
      <c r="N14" s="734" t="s">
        <v>626</v>
      </c>
      <c r="O14" s="734" t="s">
        <v>627</v>
      </c>
      <c r="P14" s="734" t="s">
        <v>627</v>
      </c>
      <c r="Q14" s="715" t="s">
        <v>627</v>
      </c>
    </row>
    <row r="15" spans="1:17" ht="82.5" customHeight="1" x14ac:dyDescent="0.2">
      <c r="A15" s="1158" t="s">
        <v>340</v>
      </c>
      <c r="B15" s="1161" t="s">
        <v>323</v>
      </c>
      <c r="C15" s="1160" t="s">
        <v>2</v>
      </c>
      <c r="D15" s="1159" t="s">
        <v>0</v>
      </c>
      <c r="E15" s="723">
        <v>0</v>
      </c>
      <c r="F15" s="715" t="s">
        <v>324</v>
      </c>
      <c r="G15" s="714" t="s">
        <v>324</v>
      </c>
      <c r="H15" s="714" t="s">
        <v>324</v>
      </c>
      <c r="I15" s="715" t="s">
        <v>325</v>
      </c>
      <c r="J15" s="714">
        <v>0.66</v>
      </c>
      <c r="K15" s="714">
        <v>0.68</v>
      </c>
      <c r="L15" s="714" t="s">
        <v>456</v>
      </c>
      <c r="M15" s="734" t="s">
        <v>506</v>
      </c>
      <c r="N15" s="734" t="s">
        <v>628</v>
      </c>
      <c r="O15" s="734" t="s">
        <v>628</v>
      </c>
      <c r="P15" s="734" t="s">
        <v>628</v>
      </c>
      <c r="Q15" s="715" t="s">
        <v>628</v>
      </c>
    </row>
    <row r="16" spans="1:17" ht="105" customHeight="1" x14ac:dyDescent="0.2">
      <c r="A16" s="713" t="s">
        <v>341</v>
      </c>
      <c r="B16" s="1162" t="s">
        <v>326</v>
      </c>
      <c r="C16" s="1144" t="s">
        <v>332</v>
      </c>
      <c r="D16" s="1155" t="s">
        <v>0</v>
      </c>
      <c r="E16" s="713">
        <v>0</v>
      </c>
      <c r="F16" s="713">
        <v>0</v>
      </c>
      <c r="G16" s="713">
        <v>0</v>
      </c>
      <c r="H16" s="714" t="s">
        <v>324</v>
      </c>
      <c r="I16" s="715" t="s">
        <v>327</v>
      </c>
      <c r="J16" s="714" t="s">
        <v>328</v>
      </c>
      <c r="K16" s="714" t="s">
        <v>329</v>
      </c>
      <c r="L16" s="714" t="s">
        <v>455</v>
      </c>
      <c r="M16" s="734" t="s">
        <v>507</v>
      </c>
      <c r="N16" s="734" t="s">
        <v>508</v>
      </c>
      <c r="O16" s="734" t="s">
        <v>509</v>
      </c>
      <c r="P16" s="734" t="s">
        <v>510</v>
      </c>
      <c r="Q16" s="715" t="s">
        <v>547</v>
      </c>
    </row>
    <row r="17" spans="1:17" ht="85.5" customHeight="1" x14ac:dyDescent="0.2">
      <c r="A17" s="1158" t="s">
        <v>342</v>
      </c>
      <c r="B17" s="1162" t="s">
        <v>638</v>
      </c>
      <c r="C17" s="1144" t="s">
        <v>2</v>
      </c>
      <c r="D17" s="1155" t="s">
        <v>0</v>
      </c>
      <c r="E17" s="732">
        <v>0</v>
      </c>
      <c r="F17" s="732">
        <v>0</v>
      </c>
      <c r="G17" s="714">
        <v>0</v>
      </c>
      <c r="H17" s="714">
        <v>0</v>
      </c>
      <c r="I17" s="715">
        <v>0</v>
      </c>
      <c r="J17" s="714">
        <v>0</v>
      </c>
      <c r="K17" s="714">
        <v>0</v>
      </c>
      <c r="L17" s="714">
        <v>0</v>
      </c>
      <c r="M17" s="734" t="s">
        <v>324</v>
      </c>
      <c r="N17" s="734" t="s">
        <v>629</v>
      </c>
      <c r="O17" s="734" t="s">
        <v>629</v>
      </c>
      <c r="P17" s="734" t="s">
        <v>629</v>
      </c>
      <c r="Q17" s="715" t="s">
        <v>629</v>
      </c>
    </row>
    <row r="18" spans="1:17" ht="53.25" customHeight="1" x14ac:dyDescent="0.2">
      <c r="A18" s="713" t="s">
        <v>343</v>
      </c>
      <c r="B18" s="1162" t="s">
        <v>334</v>
      </c>
      <c r="C18" s="1144" t="s">
        <v>2</v>
      </c>
      <c r="D18" s="1155" t="s">
        <v>0</v>
      </c>
      <c r="E18" s="732">
        <v>0</v>
      </c>
      <c r="F18" s="732">
        <v>0</v>
      </c>
      <c r="G18" s="714">
        <v>0</v>
      </c>
      <c r="H18" s="714">
        <v>0</v>
      </c>
      <c r="I18" s="715">
        <v>0</v>
      </c>
      <c r="J18" s="714">
        <v>0</v>
      </c>
      <c r="K18" s="714">
        <v>0</v>
      </c>
      <c r="L18" s="714">
        <v>0</v>
      </c>
      <c r="M18" s="734" t="s">
        <v>324</v>
      </c>
      <c r="N18" s="734" t="s">
        <v>513</v>
      </c>
      <c r="O18" s="734" t="s">
        <v>630</v>
      </c>
      <c r="P18" s="734" t="s">
        <v>630</v>
      </c>
      <c r="Q18" s="715" t="s">
        <v>630</v>
      </c>
    </row>
    <row r="19" spans="1:17" ht="15.75" customHeight="1" x14ac:dyDescent="0.25">
      <c r="A19" s="1163" t="s">
        <v>578</v>
      </c>
      <c r="B19" s="1163"/>
      <c r="C19" s="1163"/>
      <c r="D19" s="1163"/>
      <c r="E19" s="1163"/>
      <c r="F19" s="1163"/>
      <c r="G19" s="1163"/>
      <c r="H19" s="1163"/>
      <c r="I19" s="1164"/>
      <c r="J19" s="1164"/>
      <c r="K19" s="1164"/>
      <c r="L19" s="1164"/>
      <c r="M19" s="1164"/>
      <c r="N19" s="1164"/>
      <c r="O19" s="1164"/>
      <c r="P19" s="1164"/>
      <c r="Q19" s="1164"/>
    </row>
    <row r="20" spans="1:17" ht="9.75" customHeight="1" x14ac:dyDescent="0.3">
      <c r="A20" s="1165"/>
      <c r="B20" s="1166"/>
      <c r="C20" s="1166"/>
      <c r="D20" s="1166"/>
      <c r="E20" s="1167"/>
      <c r="F20" s="1168"/>
      <c r="G20" s="1168"/>
      <c r="H20" s="1168"/>
      <c r="I20" s="1168"/>
      <c r="J20" s="1168"/>
      <c r="K20" s="1168"/>
      <c r="L20" s="1168"/>
      <c r="M20" s="1168"/>
      <c r="N20" s="1168"/>
      <c r="O20" s="1168"/>
      <c r="P20" s="1168"/>
      <c r="Q20" s="1168"/>
    </row>
    <row r="21" spans="1:17" x14ac:dyDescent="0.2">
      <c r="A21" s="1169" t="s">
        <v>27</v>
      </c>
      <c r="B21" s="1170" t="s">
        <v>26</v>
      </c>
      <c r="C21" s="1171" t="s">
        <v>15</v>
      </c>
      <c r="D21" s="1171" t="s">
        <v>14</v>
      </c>
      <c r="E21" s="1171">
        <v>2014</v>
      </c>
      <c r="F21" s="1171">
        <v>2015</v>
      </c>
      <c r="G21" s="1171">
        <v>2016</v>
      </c>
      <c r="H21" s="1171">
        <v>2017</v>
      </c>
      <c r="I21" s="1172">
        <v>2018</v>
      </c>
      <c r="J21" s="1172">
        <v>2019</v>
      </c>
      <c r="K21" s="1171">
        <v>2020</v>
      </c>
      <c r="L21" s="1171">
        <v>2021</v>
      </c>
      <c r="M21" s="1171">
        <v>2022</v>
      </c>
      <c r="N21" s="1171">
        <v>2023</v>
      </c>
      <c r="O21" s="1171">
        <v>2024</v>
      </c>
      <c r="P21" s="1173">
        <v>2025</v>
      </c>
      <c r="Q21" s="1171">
        <v>2026</v>
      </c>
    </row>
    <row r="22" spans="1:17" x14ac:dyDescent="0.2">
      <c r="A22" s="1169"/>
      <c r="B22" s="1170"/>
      <c r="C22" s="1171"/>
      <c r="D22" s="1171"/>
      <c r="E22" s="1171"/>
      <c r="F22" s="1171"/>
      <c r="G22" s="1171"/>
      <c r="H22" s="1171"/>
      <c r="I22" s="1174"/>
      <c r="J22" s="1172"/>
      <c r="K22" s="1171"/>
      <c r="L22" s="1171"/>
      <c r="M22" s="1171"/>
      <c r="N22" s="1171"/>
      <c r="O22" s="1171"/>
      <c r="P22" s="1173"/>
      <c r="Q22" s="1171"/>
    </row>
    <row r="23" spans="1:17" ht="24.75" customHeight="1" x14ac:dyDescent="0.2">
      <c r="A23" s="282"/>
      <c r="B23" s="1175" t="s">
        <v>565</v>
      </c>
      <c r="C23" s="1176" t="s">
        <v>147</v>
      </c>
      <c r="D23" s="1177"/>
      <c r="E23" s="1177"/>
      <c r="F23" s="1177"/>
      <c r="G23" s="1177"/>
      <c r="H23" s="1177"/>
      <c r="I23" s="1177"/>
      <c r="J23" s="1177"/>
      <c r="K23" s="1177"/>
      <c r="L23" s="1177"/>
      <c r="M23" s="1177"/>
      <c r="N23" s="1177"/>
      <c r="O23" s="1178"/>
      <c r="P23" s="1178"/>
      <c r="Q23" s="1179"/>
    </row>
    <row r="24" spans="1:17" ht="24" customHeight="1" x14ac:dyDescent="0.2">
      <c r="A24" s="1180"/>
      <c r="B24" s="1181" t="s">
        <v>23</v>
      </c>
      <c r="C24" s="1182"/>
      <c r="D24" s="1182"/>
      <c r="E24" s="1182"/>
      <c r="F24" s="1182"/>
      <c r="G24" s="1182"/>
      <c r="H24" s="1182"/>
      <c r="I24" s="1182"/>
      <c r="J24" s="1182"/>
      <c r="K24" s="283"/>
      <c r="L24" s="283"/>
      <c r="M24" s="283"/>
      <c r="N24" s="283"/>
      <c r="O24" s="283"/>
      <c r="P24" s="284"/>
      <c r="Q24" s="283"/>
    </row>
    <row r="25" spans="1:17" ht="53.25" customHeight="1" x14ac:dyDescent="0.2">
      <c r="A25" s="1183" t="s">
        <v>8</v>
      </c>
      <c r="B25" s="1184" t="s">
        <v>306</v>
      </c>
      <c r="C25" s="1185" t="s">
        <v>19</v>
      </c>
      <c r="D25" s="1185" t="s">
        <v>18</v>
      </c>
      <c r="E25" s="1186">
        <v>35</v>
      </c>
      <c r="F25" s="1186">
        <v>90</v>
      </c>
      <c r="G25" s="1186">
        <v>100</v>
      </c>
      <c r="H25" s="1186">
        <v>100</v>
      </c>
      <c r="I25" s="1186">
        <v>60</v>
      </c>
      <c r="J25" s="1186">
        <v>60</v>
      </c>
      <c r="K25" s="1187">
        <v>60</v>
      </c>
      <c r="L25" s="1187">
        <v>60</v>
      </c>
      <c r="M25" s="1187">
        <v>75</v>
      </c>
      <c r="N25" s="1187">
        <v>76</v>
      </c>
      <c r="O25" s="1187">
        <v>75</v>
      </c>
      <c r="P25" s="1188">
        <v>75</v>
      </c>
      <c r="Q25" s="1187">
        <v>75</v>
      </c>
    </row>
    <row r="26" spans="1:17" ht="79.5" customHeight="1" x14ac:dyDescent="0.2">
      <c r="A26" s="1183" t="s">
        <v>7</v>
      </c>
      <c r="B26" s="1189" t="s">
        <v>307</v>
      </c>
      <c r="C26" s="1185" t="s">
        <v>19</v>
      </c>
      <c r="D26" s="1185" t="s">
        <v>21</v>
      </c>
      <c r="E26" s="1186">
        <v>0</v>
      </c>
      <c r="F26" s="1186">
        <v>0</v>
      </c>
      <c r="G26" s="1186">
        <v>0</v>
      </c>
      <c r="H26" s="1186">
        <v>0</v>
      </c>
      <c r="I26" s="1186">
        <v>21</v>
      </c>
      <c r="J26" s="1186">
        <v>21</v>
      </c>
      <c r="K26" s="1186">
        <v>15</v>
      </c>
      <c r="L26" s="1187">
        <v>17</v>
      </c>
      <c r="M26" s="1187">
        <v>19</v>
      </c>
      <c r="N26" s="1187">
        <v>13</v>
      </c>
      <c r="O26" s="1187">
        <v>8</v>
      </c>
      <c r="P26" s="1188">
        <v>5</v>
      </c>
      <c r="Q26" s="1187">
        <v>5</v>
      </c>
    </row>
    <row r="27" spans="1:17" ht="81" customHeight="1" x14ac:dyDescent="0.2">
      <c r="A27" s="1183" t="s">
        <v>5</v>
      </c>
      <c r="B27" s="1189" t="s">
        <v>304</v>
      </c>
      <c r="C27" s="1185" t="s">
        <v>19</v>
      </c>
      <c r="D27" s="1185" t="s">
        <v>21</v>
      </c>
      <c r="E27" s="1190">
        <v>0</v>
      </c>
      <c r="F27" s="1190">
        <v>0</v>
      </c>
      <c r="G27" s="1190">
        <v>0</v>
      </c>
      <c r="H27" s="1190">
        <v>0</v>
      </c>
      <c r="I27" s="1190">
        <v>20</v>
      </c>
      <c r="J27" s="1190">
        <v>20</v>
      </c>
      <c r="K27" s="1190">
        <v>10</v>
      </c>
      <c r="L27" s="1187">
        <v>11</v>
      </c>
      <c r="M27" s="1187">
        <v>12</v>
      </c>
      <c r="N27" s="1187">
        <v>16</v>
      </c>
      <c r="O27" s="1187">
        <v>8</v>
      </c>
      <c r="P27" s="1188">
        <v>7</v>
      </c>
      <c r="Q27" s="1187">
        <v>7</v>
      </c>
    </row>
    <row r="28" spans="1:17" ht="76.5" customHeight="1" x14ac:dyDescent="0.2">
      <c r="A28" s="1183" t="s">
        <v>4</v>
      </c>
      <c r="B28" s="1191" t="s">
        <v>335</v>
      </c>
      <c r="C28" s="1185" t="s">
        <v>19</v>
      </c>
      <c r="D28" s="1185" t="s">
        <v>21</v>
      </c>
      <c r="E28" s="1186">
        <v>0</v>
      </c>
      <c r="F28" s="1186">
        <v>0</v>
      </c>
      <c r="G28" s="1186">
        <v>0</v>
      </c>
      <c r="H28" s="1186">
        <v>0</v>
      </c>
      <c r="I28" s="1186">
        <v>17</v>
      </c>
      <c r="J28" s="1186">
        <v>17</v>
      </c>
      <c r="K28" s="1186">
        <v>8</v>
      </c>
      <c r="L28" s="1187">
        <v>9</v>
      </c>
      <c r="M28" s="1187">
        <v>10</v>
      </c>
      <c r="N28" s="1187">
        <v>19</v>
      </c>
      <c r="O28" s="1187">
        <v>11</v>
      </c>
      <c r="P28" s="1188">
        <v>10</v>
      </c>
      <c r="Q28" s="1187">
        <v>10</v>
      </c>
    </row>
    <row r="29" spans="1:17" ht="38.25" customHeight="1" x14ac:dyDescent="0.2">
      <c r="A29" s="1183" t="s">
        <v>3</v>
      </c>
      <c r="B29" s="1191" t="s">
        <v>635</v>
      </c>
      <c r="C29" s="1185" t="s">
        <v>1</v>
      </c>
      <c r="D29" s="1185" t="s">
        <v>21</v>
      </c>
      <c r="E29" s="1186">
        <v>0</v>
      </c>
      <c r="F29" s="1186">
        <v>0</v>
      </c>
      <c r="G29" s="1186">
        <v>0</v>
      </c>
      <c r="H29" s="1186">
        <v>0</v>
      </c>
      <c r="I29" s="1186">
        <v>0</v>
      </c>
      <c r="J29" s="1186">
        <v>0</v>
      </c>
      <c r="K29" s="1187">
        <v>0</v>
      </c>
      <c r="L29" s="1187">
        <v>0</v>
      </c>
      <c r="M29" s="1187">
        <v>0</v>
      </c>
      <c r="N29" s="1187">
        <v>30</v>
      </c>
      <c r="O29" s="1187">
        <v>30</v>
      </c>
      <c r="P29" s="1188">
        <v>30</v>
      </c>
      <c r="Q29" s="1187">
        <v>30</v>
      </c>
    </row>
    <row r="30" spans="1:17" ht="35.25" customHeight="1" x14ac:dyDescent="0.2">
      <c r="A30" s="1183" t="s">
        <v>139</v>
      </c>
      <c r="B30" s="1183" t="s">
        <v>632</v>
      </c>
      <c r="C30" s="1185" t="s">
        <v>19</v>
      </c>
      <c r="D30" s="1185" t="s">
        <v>18</v>
      </c>
      <c r="E30" s="1186">
        <v>0</v>
      </c>
      <c r="F30" s="1186">
        <v>0</v>
      </c>
      <c r="G30" s="1186">
        <v>0</v>
      </c>
      <c r="H30" s="1186">
        <v>0</v>
      </c>
      <c r="I30" s="1186">
        <v>0</v>
      </c>
      <c r="J30" s="1186">
        <v>0</v>
      </c>
      <c r="K30" s="1187">
        <v>0</v>
      </c>
      <c r="L30" s="1187">
        <v>0</v>
      </c>
      <c r="M30" s="1187">
        <v>0</v>
      </c>
      <c r="N30" s="1187">
        <v>10</v>
      </c>
      <c r="O30" s="1187">
        <v>10</v>
      </c>
      <c r="P30" s="1188">
        <v>10</v>
      </c>
      <c r="Q30" s="1187">
        <v>10</v>
      </c>
    </row>
    <row r="31" spans="1:17" ht="33.75" customHeight="1" x14ac:dyDescent="0.2">
      <c r="A31" s="1192" t="s">
        <v>580</v>
      </c>
      <c r="B31" s="1192"/>
      <c r="C31" s="1192"/>
      <c r="D31" s="1192"/>
      <c r="E31" s="1192"/>
      <c r="F31" s="1192"/>
      <c r="G31" s="1192"/>
      <c r="H31" s="1192"/>
      <c r="I31" s="1193"/>
      <c r="J31" s="1193"/>
      <c r="K31" s="1193"/>
      <c r="L31" s="1193"/>
      <c r="M31" s="1193"/>
      <c r="N31" s="1193"/>
      <c r="O31" s="1193"/>
      <c r="P31" s="1193"/>
      <c r="Q31" s="1193"/>
    </row>
    <row r="32" spans="1:17" ht="29.25" customHeight="1" x14ac:dyDescent="0.2">
      <c r="A32" s="1137" t="s">
        <v>17</v>
      </c>
      <c r="B32" s="1137" t="s">
        <v>16</v>
      </c>
      <c r="C32" s="1194" t="s">
        <v>15</v>
      </c>
      <c r="D32" s="1194" t="s">
        <v>14</v>
      </c>
      <c r="E32" s="1194" t="s">
        <v>13</v>
      </c>
      <c r="F32" s="1194" t="s">
        <v>12</v>
      </c>
      <c r="G32" s="1194" t="s">
        <v>11</v>
      </c>
      <c r="H32" s="1194" t="s">
        <v>163</v>
      </c>
      <c r="I32" s="1194" t="s">
        <v>239</v>
      </c>
      <c r="J32" s="1194" t="s">
        <v>113</v>
      </c>
      <c r="K32" s="1195" t="s">
        <v>112</v>
      </c>
      <c r="L32" s="1195" t="s">
        <v>111</v>
      </c>
      <c r="M32" s="1195" t="s">
        <v>110</v>
      </c>
      <c r="N32" s="1195" t="s">
        <v>109</v>
      </c>
      <c r="O32" s="1195" t="s">
        <v>108</v>
      </c>
      <c r="P32" s="1195" t="s">
        <v>249</v>
      </c>
      <c r="Q32" s="1195" t="s">
        <v>539</v>
      </c>
    </row>
    <row r="33" spans="1:17" ht="15" hidden="1" customHeight="1" x14ac:dyDescent="0.2">
      <c r="A33" s="1137"/>
      <c r="B33" s="1137"/>
      <c r="C33" s="1194"/>
      <c r="D33" s="1194"/>
      <c r="E33" s="1194" t="s">
        <v>10</v>
      </c>
      <c r="F33" s="1194" t="s">
        <v>10</v>
      </c>
      <c r="G33" s="1194" t="s">
        <v>10</v>
      </c>
      <c r="H33" s="1194" t="s">
        <v>10</v>
      </c>
      <c r="I33" s="1194" t="s">
        <v>10</v>
      </c>
      <c r="J33" s="1194"/>
      <c r="K33" s="1196"/>
      <c r="L33" s="1196"/>
      <c r="M33" s="1196"/>
      <c r="N33" s="1196"/>
      <c r="O33" s="1196"/>
      <c r="P33" s="1196"/>
      <c r="Q33" s="1196"/>
    </row>
    <row r="34" spans="1:17" ht="21" customHeight="1" x14ac:dyDescent="0.2">
      <c r="A34" s="1144"/>
      <c r="B34" s="1144" t="s">
        <v>9</v>
      </c>
      <c r="C34" s="1197" t="s">
        <v>135</v>
      </c>
      <c r="D34" s="1198"/>
      <c r="E34" s="1198"/>
      <c r="F34" s="1198"/>
      <c r="G34" s="1198"/>
      <c r="H34" s="1198"/>
      <c r="I34" s="1198"/>
      <c r="J34" s="1198"/>
      <c r="K34" s="1198"/>
      <c r="L34" s="1198"/>
      <c r="M34" s="1198"/>
      <c r="N34" s="1198"/>
      <c r="O34" s="1198"/>
      <c r="P34" s="1198"/>
      <c r="Q34" s="1199"/>
    </row>
    <row r="35" spans="1:17" ht="21.75" customHeight="1" x14ac:dyDescent="0.2">
      <c r="A35" s="714"/>
      <c r="B35" s="1149" t="s">
        <v>23</v>
      </c>
      <c r="C35" s="1158"/>
      <c r="D35" s="1158"/>
      <c r="E35" s="1158"/>
      <c r="F35" s="1158"/>
      <c r="G35" s="1158"/>
      <c r="H35" s="1158"/>
      <c r="I35" s="1158"/>
      <c r="J35" s="1158"/>
      <c r="K35" s="1200"/>
      <c r="L35" s="1200"/>
      <c r="M35" s="1200"/>
      <c r="N35" s="1200"/>
      <c r="O35" s="1200"/>
      <c r="P35" s="1200"/>
      <c r="Q35" s="1200"/>
    </row>
    <row r="36" spans="1:17" ht="50.25" customHeight="1" x14ac:dyDescent="0.2">
      <c r="A36" s="714" t="s">
        <v>8</v>
      </c>
      <c r="B36" s="1201" t="s">
        <v>242</v>
      </c>
      <c r="C36" s="1159" t="s">
        <v>1</v>
      </c>
      <c r="D36" s="1159" t="s">
        <v>0</v>
      </c>
      <c r="E36" s="1159">
        <v>707</v>
      </c>
      <c r="F36" s="1159">
        <v>677</v>
      </c>
      <c r="G36" s="1159">
        <v>670</v>
      </c>
      <c r="H36" s="1202">
        <v>670</v>
      </c>
      <c r="I36" s="1202">
        <v>0</v>
      </c>
      <c r="J36" s="1202">
        <v>0</v>
      </c>
      <c r="K36" s="1202">
        <v>0</v>
      </c>
      <c r="L36" s="1202">
        <v>0</v>
      </c>
      <c r="M36" s="1202">
        <v>0</v>
      </c>
      <c r="N36" s="1202">
        <v>0</v>
      </c>
      <c r="O36" s="1202">
        <v>0</v>
      </c>
      <c r="P36" s="1202">
        <v>0</v>
      </c>
      <c r="Q36" s="1202">
        <v>0</v>
      </c>
    </row>
    <row r="37" spans="1:17" ht="38.25" customHeight="1" x14ac:dyDescent="0.2">
      <c r="A37" s="714" t="s">
        <v>7</v>
      </c>
      <c r="B37" s="1203" t="s">
        <v>243</v>
      </c>
      <c r="C37" s="1159" t="s">
        <v>1</v>
      </c>
      <c r="D37" s="1159" t="s">
        <v>0</v>
      </c>
      <c r="E37" s="1159">
        <v>5</v>
      </c>
      <c r="F37" s="1159">
        <v>6</v>
      </c>
      <c r="G37" s="1159">
        <v>6</v>
      </c>
      <c r="H37" s="1202">
        <v>7</v>
      </c>
      <c r="I37" s="1202">
        <v>0</v>
      </c>
      <c r="J37" s="1202">
        <v>0</v>
      </c>
      <c r="K37" s="1202">
        <v>0</v>
      </c>
      <c r="L37" s="1202">
        <v>0</v>
      </c>
      <c r="M37" s="1202">
        <v>0</v>
      </c>
      <c r="N37" s="1202">
        <v>0</v>
      </c>
      <c r="O37" s="1202">
        <v>0</v>
      </c>
      <c r="P37" s="1202">
        <v>0</v>
      </c>
      <c r="Q37" s="1202">
        <v>0</v>
      </c>
    </row>
    <row r="38" spans="1:17" ht="36" customHeight="1" x14ac:dyDescent="0.2">
      <c r="A38" s="714" t="s">
        <v>5</v>
      </c>
      <c r="B38" s="1201" t="s">
        <v>244</v>
      </c>
      <c r="C38" s="1159" t="s">
        <v>2</v>
      </c>
      <c r="D38" s="1159" t="s">
        <v>0</v>
      </c>
      <c r="E38" s="1204">
        <v>3</v>
      </c>
      <c r="F38" s="1204">
        <v>5</v>
      </c>
      <c r="G38" s="1204">
        <v>10</v>
      </c>
      <c r="H38" s="1204">
        <v>10</v>
      </c>
      <c r="I38" s="1202">
        <v>0</v>
      </c>
      <c r="J38" s="1202">
        <v>0</v>
      </c>
      <c r="K38" s="1202">
        <v>0</v>
      </c>
      <c r="L38" s="1202">
        <v>0</v>
      </c>
      <c r="M38" s="1202">
        <v>0</v>
      </c>
      <c r="N38" s="1202">
        <v>0</v>
      </c>
      <c r="O38" s="1202">
        <v>0</v>
      </c>
      <c r="P38" s="1202">
        <v>0</v>
      </c>
      <c r="Q38" s="1202">
        <v>0</v>
      </c>
    </row>
    <row r="39" spans="1:17" ht="35.25" customHeight="1" x14ac:dyDescent="0.2">
      <c r="A39" s="714" t="s">
        <v>4</v>
      </c>
      <c r="B39" s="1205" t="s">
        <v>245</v>
      </c>
      <c r="C39" s="1158" t="s">
        <v>1</v>
      </c>
      <c r="D39" s="1159" t="s">
        <v>0</v>
      </c>
      <c r="E39" s="1206">
        <v>6</v>
      </c>
      <c r="F39" s="1206">
        <v>8</v>
      </c>
      <c r="G39" s="1206">
        <v>10</v>
      </c>
      <c r="H39" s="1206">
        <v>10</v>
      </c>
      <c r="I39" s="1202">
        <v>0</v>
      </c>
      <c r="J39" s="1202">
        <v>0</v>
      </c>
      <c r="K39" s="1202">
        <v>0</v>
      </c>
      <c r="L39" s="1202">
        <v>0</v>
      </c>
      <c r="M39" s="1202">
        <v>0</v>
      </c>
      <c r="N39" s="1202">
        <v>0</v>
      </c>
      <c r="O39" s="1202">
        <v>0</v>
      </c>
      <c r="P39" s="1202">
        <v>0</v>
      </c>
      <c r="Q39" s="1202">
        <v>0</v>
      </c>
    </row>
    <row r="40" spans="1:17" ht="30" customHeight="1" x14ac:dyDescent="0.2">
      <c r="A40" s="1192" t="s">
        <v>581</v>
      </c>
      <c r="B40" s="1192"/>
      <c r="C40" s="1192"/>
      <c r="D40" s="1192"/>
      <c r="E40" s="1192"/>
      <c r="F40" s="1192"/>
      <c r="G40" s="1192"/>
      <c r="H40" s="1192"/>
      <c r="I40" s="1193"/>
      <c r="J40" s="1193"/>
      <c r="K40" s="1193"/>
      <c r="L40" s="1193"/>
      <c r="M40" s="1193"/>
      <c r="N40" s="1193"/>
      <c r="O40" s="1193"/>
      <c r="P40" s="1193"/>
      <c r="Q40" s="1193"/>
    </row>
    <row r="41" spans="1:17" ht="28.5" x14ac:dyDescent="0.2">
      <c r="A41" s="1207" t="s">
        <v>36</v>
      </c>
      <c r="B41" s="1207" t="s">
        <v>35</v>
      </c>
      <c r="C41" s="1207" t="s">
        <v>34</v>
      </c>
      <c r="D41" s="1207" t="s">
        <v>14</v>
      </c>
      <c r="E41" s="1207" t="s">
        <v>33</v>
      </c>
      <c r="F41" s="1207" t="s">
        <v>32</v>
      </c>
      <c r="G41" s="1207" t="s">
        <v>31</v>
      </c>
      <c r="H41" s="1207" t="s">
        <v>115</v>
      </c>
      <c r="I41" s="1208" t="s">
        <v>114</v>
      </c>
      <c r="J41" s="1208" t="s">
        <v>113</v>
      </c>
      <c r="K41" s="1209" t="s">
        <v>112</v>
      </c>
      <c r="L41" s="1209" t="s">
        <v>111</v>
      </c>
      <c r="M41" s="1209" t="s">
        <v>110</v>
      </c>
      <c r="N41" s="1209" t="s">
        <v>109</v>
      </c>
      <c r="O41" s="1209" t="s">
        <v>108</v>
      </c>
      <c r="P41" s="1210" t="s">
        <v>249</v>
      </c>
      <c r="Q41" s="1209" t="s">
        <v>539</v>
      </c>
    </row>
    <row r="42" spans="1:17" ht="26.25" customHeight="1" x14ac:dyDescent="0.2">
      <c r="A42" s="1209"/>
      <c r="B42" s="1207" t="s">
        <v>565</v>
      </c>
      <c r="C42" s="1211" t="s">
        <v>147</v>
      </c>
      <c r="D42" s="1212"/>
      <c r="E42" s="1212"/>
      <c r="F42" s="1212"/>
      <c r="G42" s="1212"/>
      <c r="H42" s="1212"/>
      <c r="I42" s="1212"/>
      <c r="J42" s="1212"/>
      <c r="K42" s="1212"/>
      <c r="L42" s="1212"/>
      <c r="M42" s="1212"/>
      <c r="N42" s="1212"/>
      <c r="O42" s="1212"/>
      <c r="P42" s="1212"/>
      <c r="Q42" s="1213"/>
    </row>
    <row r="43" spans="1:17" ht="39.75" customHeight="1" x14ac:dyDescent="0.2">
      <c r="A43" s="1214">
        <v>1</v>
      </c>
      <c r="B43" s="1209" t="s">
        <v>347</v>
      </c>
      <c r="C43" s="1207" t="s">
        <v>29</v>
      </c>
      <c r="D43" s="1207" t="s">
        <v>30</v>
      </c>
      <c r="E43" s="1215">
        <v>5</v>
      </c>
      <c r="F43" s="1215">
        <v>5</v>
      </c>
      <c r="G43" s="1215">
        <v>5</v>
      </c>
      <c r="H43" s="1215">
        <v>5</v>
      </c>
      <c r="I43" s="1216">
        <v>5</v>
      </c>
      <c r="J43" s="1216">
        <v>5</v>
      </c>
      <c r="K43" s="1217">
        <v>5</v>
      </c>
      <c r="L43" s="1217">
        <v>5</v>
      </c>
      <c r="M43" s="1217">
        <v>5</v>
      </c>
      <c r="N43" s="1217">
        <v>5</v>
      </c>
      <c r="O43" s="1217">
        <v>5</v>
      </c>
      <c r="P43" s="1218">
        <v>5</v>
      </c>
      <c r="Q43" s="1219">
        <v>5</v>
      </c>
    </row>
    <row r="44" spans="1:17" ht="33.75" customHeight="1" x14ac:dyDescent="0.2">
      <c r="A44" s="1220">
        <v>2</v>
      </c>
      <c r="B44" s="1219" t="s">
        <v>367</v>
      </c>
      <c r="C44" s="1220" t="s">
        <v>29</v>
      </c>
      <c r="D44" s="1221" t="s">
        <v>144</v>
      </c>
      <c r="E44" s="1222">
        <v>5</v>
      </c>
      <c r="F44" s="1222">
        <v>5</v>
      </c>
      <c r="G44" s="1222">
        <v>5</v>
      </c>
      <c r="H44" s="1222">
        <v>5</v>
      </c>
      <c r="I44" s="1223">
        <v>5</v>
      </c>
      <c r="J44" s="1223">
        <v>5</v>
      </c>
      <c r="K44" s="1219">
        <v>5</v>
      </c>
      <c r="L44" s="1217">
        <v>5</v>
      </c>
      <c r="M44" s="1217">
        <v>5</v>
      </c>
      <c r="N44" s="1217">
        <v>5</v>
      </c>
      <c r="O44" s="1217">
        <v>5</v>
      </c>
      <c r="P44" s="1218">
        <v>5</v>
      </c>
      <c r="Q44" s="1219">
        <v>5</v>
      </c>
    </row>
    <row r="45" spans="1:17" ht="174" customHeight="1" x14ac:dyDescent="0.2">
      <c r="A45" s="1214">
        <v>3</v>
      </c>
      <c r="B45" s="1209" t="s">
        <v>143</v>
      </c>
      <c r="C45" s="1214" t="s">
        <v>29</v>
      </c>
      <c r="D45" s="1224" t="s">
        <v>28</v>
      </c>
      <c r="E45" s="1215">
        <v>5</v>
      </c>
      <c r="F45" s="1215">
        <v>5</v>
      </c>
      <c r="G45" s="1215">
        <v>5</v>
      </c>
      <c r="H45" s="1215">
        <v>5</v>
      </c>
      <c r="I45" s="1216">
        <v>5</v>
      </c>
      <c r="J45" s="1216">
        <v>5</v>
      </c>
      <c r="K45" s="1217">
        <v>5</v>
      </c>
      <c r="L45" s="1217">
        <v>5</v>
      </c>
      <c r="M45" s="1217">
        <v>5</v>
      </c>
      <c r="N45" s="1217">
        <v>5</v>
      </c>
      <c r="O45" s="1217">
        <v>5</v>
      </c>
      <c r="P45" s="1218">
        <v>5</v>
      </c>
      <c r="Q45" s="1219">
        <v>5</v>
      </c>
    </row>
    <row r="48" spans="1:17" ht="75" customHeight="1" x14ac:dyDescent="0.2">
      <c r="A48" s="1225" t="s">
        <v>63</v>
      </c>
      <c r="B48" s="1225"/>
      <c r="C48" s="1226"/>
      <c r="D48" s="1226"/>
      <c r="E48" s="64"/>
      <c r="F48" s="1227" t="s">
        <v>186</v>
      </c>
      <c r="G48" s="1227"/>
      <c r="H48" s="64"/>
      <c r="I48" s="64"/>
    </row>
  </sheetData>
  <mergeCells count="65">
    <mergeCell ref="F1:K1"/>
    <mergeCell ref="M2:P2"/>
    <mergeCell ref="A3:H3"/>
    <mergeCell ref="A6:A7"/>
    <mergeCell ref="B6:B7"/>
    <mergeCell ref="C6:C7"/>
    <mergeCell ref="D6:D7"/>
    <mergeCell ref="E6:E7"/>
    <mergeCell ref="F6:F7"/>
    <mergeCell ref="A4:Q4"/>
    <mergeCell ref="C9:Q9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A8:Q8"/>
    <mergeCell ref="A21:A22"/>
    <mergeCell ref="B21:B22"/>
    <mergeCell ref="C21:C22"/>
    <mergeCell ref="D21:D22"/>
    <mergeCell ref="E21:E22"/>
    <mergeCell ref="A32:A33"/>
    <mergeCell ref="B32:B33"/>
    <mergeCell ref="C32:C33"/>
    <mergeCell ref="D32:D33"/>
    <mergeCell ref="E32:E33"/>
    <mergeCell ref="K32:K33"/>
    <mergeCell ref="L32:L33"/>
    <mergeCell ref="O21:O22"/>
    <mergeCell ref="P21:P22"/>
    <mergeCell ref="Q21:Q22"/>
    <mergeCell ref="C23:Q23"/>
    <mergeCell ref="F32:F33"/>
    <mergeCell ref="I21:I22"/>
    <mergeCell ref="J21:J22"/>
    <mergeCell ref="K21:K22"/>
    <mergeCell ref="L21:L22"/>
    <mergeCell ref="M21:M22"/>
    <mergeCell ref="N21:N22"/>
    <mergeCell ref="F21:F22"/>
    <mergeCell ref="G21:G22"/>
    <mergeCell ref="H21:H22"/>
    <mergeCell ref="A31:Q31"/>
    <mergeCell ref="A19:Q19"/>
    <mergeCell ref="A40:Q40"/>
    <mergeCell ref="A48:B48"/>
    <mergeCell ref="F48:G48"/>
    <mergeCell ref="C42:Q42"/>
    <mergeCell ref="M32:M33"/>
    <mergeCell ref="N32:N33"/>
    <mergeCell ref="O32:O33"/>
    <mergeCell ref="P32:P33"/>
    <mergeCell ref="Q32:Q33"/>
    <mergeCell ref="C34:Q34"/>
    <mergeCell ref="G32:G33"/>
    <mergeCell ref="H32:H33"/>
    <mergeCell ref="I32:I33"/>
    <mergeCell ref="J32:J33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4"/>
  <sheetViews>
    <sheetView view="pageBreakPreview" topLeftCell="A4" zoomScale="70" zoomScaleSheetLayoutView="70" workbookViewId="0">
      <selection activeCell="F9" sqref="F9"/>
    </sheetView>
  </sheetViews>
  <sheetFormatPr defaultColWidth="9.140625" defaultRowHeight="12.75" outlineLevelRow="1" x14ac:dyDescent="0.2"/>
  <cols>
    <col min="1" max="1" width="18.140625" style="671" customWidth="1"/>
    <col min="2" max="2" width="20.28515625" style="671" customWidth="1"/>
    <col min="3" max="3" width="36.28515625" style="671" customWidth="1"/>
    <col min="4" max="4" width="16.28515625" style="671" customWidth="1"/>
    <col min="5" max="5" width="15.42578125" style="671" customWidth="1"/>
    <col min="6" max="7" width="15" style="671" customWidth="1"/>
    <col min="8" max="8" width="15.140625" style="671" customWidth="1"/>
    <col min="9" max="13" width="16.28515625" style="671" customWidth="1"/>
    <col min="14" max="14" width="16.28515625" style="672" customWidth="1"/>
    <col min="15" max="16" width="16.28515625" style="671" customWidth="1"/>
    <col min="17" max="17" width="21.42578125" style="671" customWidth="1"/>
    <col min="18" max="18" width="13.7109375" style="671" customWidth="1"/>
    <col min="19" max="20" width="13.7109375" style="671" hidden="1" customWidth="1"/>
    <col min="21" max="21" width="0" style="671" hidden="1" customWidth="1"/>
    <col min="22" max="22" width="13.140625" style="671" bestFit="1" customWidth="1"/>
    <col min="23" max="23" width="17.5703125" style="671" customWidth="1"/>
    <col min="24" max="24" width="13.5703125" style="671" customWidth="1"/>
    <col min="25" max="25" width="11.5703125" style="671" customWidth="1"/>
    <col min="26" max="26" width="11.7109375" style="671" customWidth="1"/>
    <col min="27" max="16384" width="9.140625" style="671"/>
  </cols>
  <sheetData>
    <row r="1" spans="1:28" ht="73.5" customHeight="1" x14ac:dyDescent="0.2">
      <c r="D1" s="673" t="s">
        <v>550</v>
      </c>
      <c r="E1" s="673"/>
      <c r="F1" s="673"/>
      <c r="G1" s="663"/>
      <c r="H1" s="663"/>
      <c r="I1" s="663"/>
      <c r="J1" s="663"/>
      <c r="K1" s="663"/>
      <c r="L1" s="663"/>
      <c r="M1" s="662"/>
      <c r="N1" s="662"/>
      <c r="O1" s="662"/>
      <c r="P1" s="663"/>
      <c r="Q1" s="663"/>
    </row>
    <row r="2" spans="1:28" ht="44.25" customHeight="1" x14ac:dyDescent="0.2">
      <c r="A2" s="674"/>
      <c r="B2" s="674"/>
      <c r="C2" s="674"/>
      <c r="D2" s="675" t="s">
        <v>566</v>
      </c>
      <c r="E2" s="675"/>
      <c r="F2" s="675"/>
      <c r="G2" s="675"/>
      <c r="H2" s="675"/>
      <c r="I2" s="675"/>
      <c r="J2" s="675"/>
      <c r="K2" s="675"/>
      <c r="L2" s="675"/>
      <c r="M2" s="675"/>
      <c r="N2" s="675"/>
      <c r="O2" s="675"/>
      <c r="P2" s="675"/>
      <c r="Q2" s="675"/>
      <c r="R2" s="675"/>
    </row>
    <row r="3" spans="1:28" ht="70.5" customHeight="1" x14ac:dyDescent="0.2">
      <c r="A3" s="676" t="s">
        <v>551</v>
      </c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</row>
    <row r="4" spans="1:28" ht="15" x14ac:dyDescent="0.2">
      <c r="A4" s="664"/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</row>
    <row r="5" spans="1:28" ht="24.6" customHeight="1" x14ac:dyDescent="0.2">
      <c r="A5" s="677" t="s">
        <v>66</v>
      </c>
      <c r="B5" s="677" t="s">
        <v>67</v>
      </c>
      <c r="C5" s="677" t="s">
        <v>68</v>
      </c>
      <c r="D5" s="677" t="s">
        <v>69</v>
      </c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</row>
    <row r="6" spans="1:28" ht="57.75" customHeight="1" x14ac:dyDescent="0.2">
      <c r="A6" s="677"/>
      <c r="B6" s="677"/>
      <c r="C6" s="677"/>
      <c r="D6" s="665" t="s">
        <v>33</v>
      </c>
      <c r="E6" s="665" t="s">
        <v>32</v>
      </c>
      <c r="F6" s="665" t="s">
        <v>31</v>
      </c>
      <c r="G6" s="665" t="s">
        <v>115</v>
      </c>
      <c r="H6" s="665" t="s">
        <v>114</v>
      </c>
      <c r="I6" s="665" t="s">
        <v>113</v>
      </c>
      <c r="J6" s="665" t="s">
        <v>112</v>
      </c>
      <c r="K6" s="665" t="s">
        <v>111</v>
      </c>
      <c r="L6" s="665" t="s">
        <v>110</v>
      </c>
      <c r="M6" s="665" t="s">
        <v>109</v>
      </c>
      <c r="N6" s="665" t="s">
        <v>108</v>
      </c>
      <c r="O6" s="665" t="s">
        <v>249</v>
      </c>
      <c r="P6" s="665" t="s">
        <v>539</v>
      </c>
      <c r="Q6" s="665" t="s">
        <v>543</v>
      </c>
    </row>
    <row r="7" spans="1:28" ht="15.75" customHeight="1" x14ac:dyDescent="0.2">
      <c r="A7" s="627" t="s">
        <v>54</v>
      </c>
      <c r="B7" s="627" t="s">
        <v>141</v>
      </c>
      <c r="C7" s="678" t="s">
        <v>70</v>
      </c>
      <c r="D7" s="666">
        <f>D11+D12+D10</f>
        <v>25745.1</v>
      </c>
      <c r="E7" s="666">
        <f>E11+E12+E10</f>
        <v>30198.400000000001</v>
      </c>
      <c r="F7" s="666">
        <f>F10+F11+F12</f>
        <v>32554.9</v>
      </c>
      <c r="G7" s="666">
        <f>G11+G12+G10</f>
        <v>38095.9</v>
      </c>
      <c r="H7" s="666">
        <f t="shared" ref="H7:K7" si="0">H10+H11+H12</f>
        <v>48615.399999999994</v>
      </c>
      <c r="I7" s="666">
        <f t="shared" si="0"/>
        <v>47095</v>
      </c>
      <c r="J7" s="666">
        <f t="shared" si="0"/>
        <v>73803</v>
      </c>
      <c r="K7" s="666">
        <f t="shared" si="0"/>
        <v>99874.3</v>
      </c>
      <c r="L7" s="666">
        <f>L10+L11+L12</f>
        <v>88128.6</v>
      </c>
      <c r="M7" s="666">
        <f>M10+M11+M12</f>
        <v>142581.1</v>
      </c>
      <c r="N7" s="666">
        <f>N10+N11+N12</f>
        <v>85617.5</v>
      </c>
      <c r="O7" s="666">
        <f>O10+O11+O12</f>
        <v>70480.700000000012</v>
      </c>
      <c r="P7" s="666">
        <f>P10+P11+P12</f>
        <v>70480.700000000012</v>
      </c>
      <c r="Q7" s="666">
        <f>SUM(D7:P7)</f>
        <v>853270.59999999986</v>
      </c>
      <c r="R7" s="679"/>
      <c r="V7" s="680"/>
      <c r="W7" s="680"/>
    </row>
    <row r="8" spans="1:28" ht="15.75" x14ac:dyDescent="0.2">
      <c r="A8" s="629"/>
      <c r="B8" s="629"/>
      <c r="C8" s="678" t="s">
        <v>71</v>
      </c>
      <c r="D8" s="667"/>
      <c r="E8" s="667"/>
      <c r="F8" s="667"/>
      <c r="G8" s="667"/>
      <c r="H8" s="667"/>
      <c r="I8" s="667"/>
      <c r="J8" s="667"/>
      <c r="K8" s="667"/>
      <c r="L8" s="667"/>
      <c r="M8" s="667"/>
      <c r="N8" s="667"/>
      <c r="O8" s="667"/>
      <c r="P8" s="667"/>
      <c r="Q8" s="666">
        <f t="shared" ref="Q8:Q41" si="1">SUM(D8:P8)</f>
        <v>0</v>
      </c>
      <c r="R8" s="679"/>
    </row>
    <row r="9" spans="1:28" ht="15.75" outlineLevel="1" x14ac:dyDescent="0.2">
      <c r="A9" s="629"/>
      <c r="B9" s="629"/>
      <c r="C9" s="681" t="s">
        <v>72</v>
      </c>
      <c r="D9" s="667">
        <v>0</v>
      </c>
      <c r="E9" s="667">
        <v>0</v>
      </c>
      <c r="F9" s="667">
        <v>0</v>
      </c>
      <c r="G9" s="667"/>
      <c r="H9" s="667"/>
      <c r="I9" s="667"/>
      <c r="J9" s="667"/>
      <c r="K9" s="667"/>
      <c r="L9" s="667"/>
      <c r="M9" s="667"/>
      <c r="N9" s="667"/>
      <c r="O9" s="667"/>
      <c r="P9" s="667"/>
      <c r="Q9" s="666">
        <f t="shared" si="1"/>
        <v>0</v>
      </c>
      <c r="R9" s="679"/>
      <c r="S9" s="679"/>
      <c r="T9" s="679"/>
      <c r="U9" s="679"/>
      <c r="V9" s="679"/>
      <c r="W9" s="679"/>
      <c r="X9" s="679"/>
      <c r="Y9" s="679"/>
    </row>
    <row r="10" spans="1:28" ht="15.75" outlineLevel="1" x14ac:dyDescent="0.2">
      <c r="A10" s="629"/>
      <c r="B10" s="629"/>
      <c r="C10" s="681" t="s">
        <v>73</v>
      </c>
      <c r="D10" s="667">
        <f>D24+D31</f>
        <v>1292.0999999999999</v>
      </c>
      <c r="E10" s="667">
        <f>E31+E24</f>
        <v>775.5</v>
      </c>
      <c r="F10" s="667">
        <f>F17+F24+F31</f>
        <v>2515.5</v>
      </c>
      <c r="G10" s="667">
        <f>G17+G24+G31+G38</f>
        <v>6309.7</v>
      </c>
      <c r="H10" s="667">
        <f>H17+H24+H31+H38</f>
        <v>9560.2000000000007</v>
      </c>
      <c r="I10" s="667">
        <f t="shared" ref="I10:O10" si="2">I17+I24+I38</f>
        <v>9442.4</v>
      </c>
      <c r="J10" s="667">
        <f t="shared" si="2"/>
        <v>23965.199999999997</v>
      </c>
      <c r="K10" s="667">
        <f t="shared" si="2"/>
        <v>10623.7</v>
      </c>
      <c r="L10" s="667">
        <f>L17+L24+L38</f>
        <v>20241.399999999998</v>
      </c>
      <c r="M10" s="667">
        <f>M17+M24+M38</f>
        <v>58374.799999999996</v>
      </c>
      <c r="N10" s="667">
        <f>N17+N24+N38</f>
        <v>5485.7</v>
      </c>
      <c r="O10" s="667">
        <f t="shared" si="2"/>
        <v>967.2</v>
      </c>
      <c r="P10" s="667">
        <f t="shared" ref="P10" si="3">P17+P24+P38</f>
        <v>967.2</v>
      </c>
      <c r="Q10" s="666">
        <f t="shared" si="1"/>
        <v>150520.60000000003</v>
      </c>
      <c r="R10" s="679"/>
      <c r="S10" s="679"/>
      <c r="T10" s="679"/>
      <c r="U10" s="679"/>
      <c r="V10" s="679"/>
      <c r="W10" s="679"/>
      <c r="X10" s="679"/>
      <c r="Y10" s="679"/>
      <c r="Z10" s="679"/>
      <c r="AA10" s="679"/>
      <c r="AB10" s="679"/>
    </row>
    <row r="11" spans="1:28" ht="15.75" outlineLevel="1" x14ac:dyDescent="0.2">
      <c r="A11" s="629"/>
      <c r="B11" s="629"/>
      <c r="C11" s="681" t="s">
        <v>74</v>
      </c>
      <c r="D11" s="667">
        <f>D18+D25</f>
        <v>4493.4000000000005</v>
      </c>
      <c r="E11" s="667">
        <f>E18+E25+E32</f>
        <v>5020.1000000000004</v>
      </c>
      <c r="F11" s="667">
        <f>F18+F25</f>
        <v>3963.2</v>
      </c>
      <c r="G11" s="667">
        <f>G18+G25</f>
        <v>3645.1</v>
      </c>
      <c r="H11" s="667">
        <f>H18+H25+H32</f>
        <v>5822.5</v>
      </c>
      <c r="I11" s="667">
        <f t="shared" ref="I11:O11" si="4">I18+I25</f>
        <v>7273.4000000000005</v>
      </c>
      <c r="J11" s="667">
        <f t="shared" si="4"/>
        <v>9158</v>
      </c>
      <c r="K11" s="667">
        <f t="shared" si="4"/>
        <v>42408.3</v>
      </c>
      <c r="L11" s="667">
        <f t="shared" si="4"/>
        <v>15935.6</v>
      </c>
      <c r="M11" s="667">
        <f>M18+M25</f>
        <v>17204.2</v>
      </c>
      <c r="N11" s="667">
        <f t="shared" si="4"/>
        <v>16465.2</v>
      </c>
      <c r="O11" s="667">
        <f t="shared" si="4"/>
        <v>14018.7</v>
      </c>
      <c r="P11" s="667">
        <f t="shared" ref="P11" si="5">P18+P25</f>
        <v>14018.7</v>
      </c>
      <c r="Q11" s="666">
        <f t="shared" si="1"/>
        <v>159426.40000000002</v>
      </c>
      <c r="R11" s="679"/>
      <c r="V11" s="680"/>
      <c r="W11" s="682"/>
    </row>
    <row r="12" spans="1:28" ht="15.75" customHeight="1" outlineLevel="1" x14ac:dyDescent="0.2">
      <c r="A12" s="629"/>
      <c r="B12" s="629"/>
      <c r="C12" s="681" t="s">
        <v>133</v>
      </c>
      <c r="D12" s="667">
        <f>D19+D26+D40+D33</f>
        <v>19959.599999999999</v>
      </c>
      <c r="E12" s="667">
        <f>E40+E33+E26+E19</f>
        <v>24402.800000000003</v>
      </c>
      <c r="F12" s="667">
        <f>F26+F33+F40+F19</f>
        <v>26076.2</v>
      </c>
      <c r="G12" s="667">
        <f>G40+G33+G26+G19</f>
        <v>28141.100000000002</v>
      </c>
      <c r="H12" s="667">
        <f>H40+H33+H26+H19</f>
        <v>33232.699999999997</v>
      </c>
      <c r="I12" s="667">
        <f>I19+I26+I40</f>
        <v>30379.200000000004</v>
      </c>
      <c r="J12" s="667">
        <f t="shared" ref="J12:O12" si="6">J40+J33+J26+J19</f>
        <v>40679.800000000003</v>
      </c>
      <c r="K12" s="667">
        <f t="shared" si="6"/>
        <v>46842.3</v>
      </c>
      <c r="L12" s="667">
        <f>L40+L33+L26+L19</f>
        <v>51951.600000000006</v>
      </c>
      <c r="M12" s="667">
        <f>M40+M33+M26+M19</f>
        <v>67002.100000000006</v>
      </c>
      <c r="N12" s="667">
        <f t="shared" si="6"/>
        <v>63666.600000000006</v>
      </c>
      <c r="O12" s="667">
        <f t="shared" si="6"/>
        <v>55494.8</v>
      </c>
      <c r="P12" s="667">
        <f t="shared" ref="P12" si="7">P40+P33+P26+P19</f>
        <v>55494.8</v>
      </c>
      <c r="Q12" s="666">
        <f t="shared" si="1"/>
        <v>543323.6</v>
      </c>
      <c r="R12" s="679"/>
      <c r="V12" s="680"/>
      <c r="W12" s="680"/>
      <c r="X12" s="680"/>
    </row>
    <row r="13" spans="1:28" ht="15.75" outlineLevel="1" x14ac:dyDescent="0.2">
      <c r="A13" s="629"/>
      <c r="B13" s="629"/>
      <c r="C13" s="681" t="s">
        <v>75</v>
      </c>
      <c r="D13" s="667">
        <v>0</v>
      </c>
      <c r="E13" s="667">
        <v>0</v>
      </c>
      <c r="F13" s="667">
        <v>0</v>
      </c>
      <c r="G13" s="667"/>
      <c r="H13" s="667"/>
      <c r="I13" s="667"/>
      <c r="J13" s="667"/>
      <c r="K13" s="667"/>
      <c r="L13" s="667"/>
      <c r="M13" s="667"/>
      <c r="N13" s="667"/>
      <c r="O13" s="667"/>
      <c r="P13" s="667"/>
      <c r="Q13" s="666">
        <f t="shared" si="1"/>
        <v>0</v>
      </c>
      <c r="R13" s="679"/>
      <c r="V13" s="680"/>
      <c r="W13" s="680"/>
    </row>
    <row r="14" spans="1:28" ht="15.75" customHeight="1" x14ac:dyDescent="0.2">
      <c r="A14" s="627" t="s">
        <v>57</v>
      </c>
      <c r="B14" s="627" t="s">
        <v>172</v>
      </c>
      <c r="C14" s="678" t="s">
        <v>70</v>
      </c>
      <c r="D14" s="666">
        <f>D18+D19</f>
        <v>4311.5</v>
      </c>
      <c r="E14" s="666">
        <f>E18+E19</f>
        <v>5873.4</v>
      </c>
      <c r="F14" s="666">
        <f t="shared" ref="F14:K14" si="8">F17+F18+F19</f>
        <v>6302.4</v>
      </c>
      <c r="G14" s="666">
        <f t="shared" si="8"/>
        <v>12316.3</v>
      </c>
      <c r="H14" s="666">
        <f t="shared" si="8"/>
        <v>34761.5</v>
      </c>
      <c r="I14" s="666">
        <f t="shared" si="8"/>
        <v>34247.200000000004</v>
      </c>
      <c r="J14" s="666">
        <f t="shared" si="8"/>
        <v>36573.800000000003</v>
      </c>
      <c r="K14" s="666">
        <f t="shared" si="8"/>
        <v>40960.100000000006</v>
      </c>
      <c r="L14" s="666">
        <f>L17+L18+L19</f>
        <v>59289.599999999999</v>
      </c>
      <c r="M14" s="666">
        <f>M17+M18+M19</f>
        <v>111188.19999999998</v>
      </c>
      <c r="N14" s="666">
        <f>N17+N18+N19</f>
        <v>57884.600000000006</v>
      </c>
      <c r="O14" s="666">
        <f>O17+O18+O19</f>
        <v>48200.100000000006</v>
      </c>
      <c r="P14" s="666">
        <f>P17+P18+P19</f>
        <v>48200.100000000006</v>
      </c>
      <c r="Q14" s="666">
        <f t="shared" si="1"/>
        <v>500108.79999999993</v>
      </c>
      <c r="R14" s="679"/>
      <c r="V14" s="680"/>
      <c r="W14" s="680"/>
    </row>
    <row r="15" spans="1:28" ht="15.75" x14ac:dyDescent="0.2">
      <c r="A15" s="629"/>
      <c r="B15" s="629"/>
      <c r="C15" s="678" t="s">
        <v>71</v>
      </c>
      <c r="D15" s="667"/>
      <c r="E15" s="667"/>
      <c r="F15" s="667"/>
      <c r="G15" s="667"/>
      <c r="H15" s="667"/>
      <c r="I15" s="667"/>
      <c r="J15" s="667"/>
      <c r="K15" s="667"/>
      <c r="L15" s="667"/>
      <c r="M15" s="667"/>
      <c r="N15" s="667"/>
      <c r="O15" s="667"/>
      <c r="P15" s="667"/>
      <c r="Q15" s="666">
        <f t="shared" si="1"/>
        <v>0</v>
      </c>
      <c r="R15" s="679"/>
      <c r="W15" s="680"/>
    </row>
    <row r="16" spans="1:28" ht="15.75" x14ac:dyDescent="0.2">
      <c r="A16" s="629"/>
      <c r="B16" s="629"/>
      <c r="C16" s="681" t="s">
        <v>72</v>
      </c>
      <c r="D16" s="667">
        <v>0</v>
      </c>
      <c r="E16" s="667">
        <v>0</v>
      </c>
      <c r="F16" s="667">
        <v>0</v>
      </c>
      <c r="G16" s="667"/>
      <c r="H16" s="667"/>
      <c r="I16" s="667"/>
      <c r="J16" s="667"/>
      <c r="K16" s="667"/>
      <c r="L16" s="667"/>
      <c r="M16" s="667"/>
      <c r="N16" s="667"/>
      <c r="O16" s="667"/>
      <c r="P16" s="667"/>
      <c r="Q16" s="666">
        <f t="shared" si="1"/>
        <v>0</v>
      </c>
      <c r="R16" s="679"/>
      <c r="W16" s="680"/>
    </row>
    <row r="17" spans="1:24" ht="15.75" x14ac:dyDescent="0.2">
      <c r="A17" s="629"/>
      <c r="B17" s="629"/>
      <c r="C17" s="681" t="s">
        <v>73</v>
      </c>
      <c r="D17" s="667">
        <v>0</v>
      </c>
      <c r="E17" s="667">
        <v>0</v>
      </c>
      <c r="F17" s="667">
        <v>375</v>
      </c>
      <c r="G17" s="667">
        <f>3000+1030+500</f>
        <v>4530</v>
      </c>
      <c r="H17" s="667">
        <f>[14]ПР2ПП1!M27+[14]ПР2ПП1!M28+[14]ПР2ПП1!M30+[14]ПР2ПП1!M35+[14]ПР2ПП1!M38+[14]ПР2ПП1!M39+[14]ПР2ПП1!M40++[14]ПР2ПП1!M41</f>
        <v>7608.5</v>
      </c>
      <c r="I17" s="667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667">
        <f>ПР2ПП1!O59+ПР2ПП1!O75+ПР2ПП1!O82+ПР2ПП1!O77+ПР2ПП1!O90+ПР2ПП1!O42+ПР2ПП1!O43+ПР2ПП1!O44+ПР2ПП1!O45+ПР2ПП1!O46+ПР2ПП1!O47+ПР2ПП1!O54+ПР2ПП1!O55</f>
        <v>10172.199999999999</v>
      </c>
      <c r="K17" s="667">
        <f>ПР2ПП1!P61+ПР2ПП1!P70+ПР2ПП1!P75+ПР2ПП1!P77+ПР2ПП1!P90</f>
        <v>5830.5999999999995</v>
      </c>
      <c r="L17" s="667">
        <f>ПР2ПП1!Q48+ПР2ПП1!Q49+ПР2ПП1!Q62+ПР2ПП1!Q71+ПР2ПП1!Q78+ПР2ПП1!Q90+ПР2ПП1!Q93+ПР2ПП1!Q97</f>
        <v>16702.099999999999</v>
      </c>
      <c r="M17" s="667">
        <f>ПР2ПП1!R64+ПР2ПП1!R68+ПР2ПП1!R73+ПР2ПП1!R80+ПР2ПП1!R86+ПР2ПП1!R91</f>
        <v>53726.7</v>
      </c>
      <c r="N17" s="667">
        <f>ПР2ПП1!S88+ПР2ПП1!S91</f>
        <v>4518.5</v>
      </c>
      <c r="O17" s="667">
        <f>ПР2ПП1!T66+ПР2ПП1!T59+ПР2ПП1!T70+ПР2ПП1!T75+ПР2ПП1!T61+ПР2ПП1!T82+ПР2ПП1!T77+ПР2ПП1!T90+ПР2ПП1!T38+ПР2ПП1!T39+ПР2ПП1!T40+ПР2ПП1!T41+ПР2ПП1!T42+ПР2ПП1!T43+ПР2ПП1!T44+ПР2ПП1!T50+ПР2ПП1!T51+ПР2ПП1!T52+ПР2ПП1!T53+ПР2ПП1!T54+ПР2ПП1!T55+ПР2ПП1!T57</f>
        <v>0</v>
      </c>
      <c r="P17" s="667">
        <f>ПР2ПП1!U66+ПР2ПП1!U59+ПР2ПП1!U70+ПР2ПП1!U75+ПР2ПП1!U61+ПР2ПП1!U82+ПР2ПП1!U77+ПР2ПП1!U90+ПР2ПП1!U38+ПР2ПП1!U39+ПР2ПП1!U40+ПР2ПП1!U41+ПР2ПП1!U42+ПР2ПП1!U43+ПР2ПП1!U44+ПР2ПП1!U50+ПР2ПП1!U51+ПР2ПП1!U52+ПР2ПП1!U53+ПР2ПП1!U54+ПР2ПП1!U55+ПР2ПП1!U57</f>
        <v>0</v>
      </c>
      <c r="Q17" s="666">
        <f>SUM(D17:P17)</f>
        <v>111898</v>
      </c>
      <c r="R17" s="679"/>
      <c r="W17" s="680"/>
      <c r="X17" s="680"/>
    </row>
    <row r="18" spans="1:24" ht="15.75" x14ac:dyDescent="0.2">
      <c r="A18" s="629"/>
      <c r="B18" s="629"/>
      <c r="C18" s="681" t="s">
        <v>74</v>
      </c>
      <c r="D18" s="667">
        <v>3536.3</v>
      </c>
      <c r="E18" s="667">
        <v>4708.5</v>
      </c>
      <c r="F18" s="667">
        <v>3801</v>
      </c>
      <c r="G18" s="667">
        <v>3369.6</v>
      </c>
      <c r="H18" s="667">
        <f>[14]ПР2ПП1!M54</f>
        <v>5229</v>
      </c>
      <c r="I18" s="667">
        <f>[14]ПР2ПП1!N54</f>
        <v>5873.2000000000007</v>
      </c>
      <c r="J18" s="667">
        <f>ПР2ПП1!O99</f>
        <v>4015.9</v>
      </c>
      <c r="K18" s="667">
        <f>ПР2ПП1!P99</f>
        <v>5864.5</v>
      </c>
      <c r="L18" s="667">
        <f>ПР2ПП1!Q99</f>
        <v>7327.6</v>
      </c>
      <c r="M18" s="667">
        <f>ПР2ПП1!R99</f>
        <v>9072.6</v>
      </c>
      <c r="N18" s="667">
        <f>ПР2ПП1!S99</f>
        <v>9757.7000000000007</v>
      </c>
      <c r="O18" s="667">
        <f>ПР2ПП1!T99</f>
        <v>9757.7000000000007</v>
      </c>
      <c r="P18" s="667">
        <f>ПР2ПП1!U99</f>
        <v>9757.7000000000007</v>
      </c>
      <c r="Q18" s="666">
        <f t="shared" si="1"/>
        <v>82071.299999999988</v>
      </c>
      <c r="R18" s="679"/>
      <c r="V18" s="680"/>
      <c r="W18" s="680"/>
    </row>
    <row r="19" spans="1:24" ht="15.75" customHeight="1" x14ac:dyDescent="0.2">
      <c r="A19" s="629"/>
      <c r="B19" s="629"/>
      <c r="C19" s="681" t="s">
        <v>133</v>
      </c>
      <c r="D19" s="667">
        <v>775.2</v>
      </c>
      <c r="E19" s="667">
        <v>1164.9000000000001</v>
      </c>
      <c r="F19" s="667">
        <v>2126.4</v>
      </c>
      <c r="G19" s="667">
        <v>4416.7</v>
      </c>
      <c r="H19" s="667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667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667">
        <f>ПР2ПП1!O37+ПР2ПП1!O22+ПР2ПП1!O18+ПР2ПП1!O92+ПР2ПП1!O79+ПР2ПП1!O76+ПР2ПП1!O83+ПР2ПП1!O60+ПР2ПП1!O35+ПР2ПП1!O15+ПР2ПП1!O29+ПР2ПП1!O11+ПР2ПП1!O23</f>
        <v>22385.7</v>
      </c>
      <c r="K19" s="667">
        <f>ПР2ПП1!P11+ПР2ПП1!P14+ПР2ПП1!P15+ПР2ПП1!P16+ПР2ПП1!P17+ПР2ПП1!P18+ПР2ПП1!P22+ПР2ПП1!P23+ПР2ПП1!P28+ПР2ПП1!P29+ПР2ПП1!P30+ПР2ПП1!P63+ПР2ПП1!P67+ПР2ПП1!P72+ПР2ПП1!P76+ПР2ПП1!P79+ПР2ПП1!P92</f>
        <v>29265.000000000004</v>
      </c>
      <c r="L19" s="667">
        <f>ПР2ПП1!Q8-'Информация МЗ+ИЦ+ПД'!L18-'Информация МЗ+ИЦ+ПД'!L17</f>
        <v>35259.9</v>
      </c>
      <c r="M19" s="667">
        <f>ПР2ПП1!R12+ПР2ПП1!R21+ПР2ПП1!R25+ПР2ПП1!R26+ПР2ПП1!R27+ПР2ПП1!R29+ПР2ПП1!R31+ПР2ПП1!R32+ПР2ПП1!R65+ПР2ПП1!R69+ПР2ПП1!R74+ПР2ПП1!R81+ПР2ПП1!R87+ПР2ПП1!R96</f>
        <v>48388.899999999994</v>
      </c>
      <c r="N19" s="667">
        <f>ПР2ПП1!S12+ПР2ПП1!S19+ПР2ПП1!S20+ПР2ПП1!S25+ПР2ПП1!S26+ПР2ПП1!S29+ПР2ПП1!S31+ПР2ПП1!S32+ПР2ПП1!S89</f>
        <v>43608.4</v>
      </c>
      <c r="O19" s="667">
        <f>ПР2ПП1!T12+ПР2ПП1!T19+ПР2ПП1!T20+ПР2ПП1!T25+ПР2ПП1!T26+ПР2ПП1!T29+ПР2ПП1!T31+ПР2ПП1!T32</f>
        <v>38442.400000000001</v>
      </c>
      <c r="P19" s="667">
        <f>ПР2ПП1!U12+ПР2ПП1!U19+ПР2ПП1!U20+ПР2ПП1!U25+ПР2ПП1!U26+ПР2ПП1!U29+ПР2ПП1!U31+ПР2ПП1!U32</f>
        <v>38442.400000000001</v>
      </c>
      <c r="Q19" s="666">
        <f t="shared" si="1"/>
        <v>306139.5</v>
      </c>
      <c r="R19" s="679"/>
    </row>
    <row r="20" spans="1:24" ht="15.75" x14ac:dyDescent="0.2">
      <c r="A20" s="629"/>
      <c r="B20" s="629"/>
      <c r="C20" s="681" t="s">
        <v>75</v>
      </c>
      <c r="D20" s="667">
        <v>0</v>
      </c>
      <c r="E20" s="667">
        <v>0</v>
      </c>
      <c r="F20" s="667">
        <v>0</v>
      </c>
      <c r="G20" s="667"/>
      <c r="H20" s="667"/>
      <c r="I20" s="667"/>
      <c r="J20" s="667"/>
      <c r="K20" s="667"/>
      <c r="L20" s="667"/>
      <c r="M20" s="667"/>
      <c r="N20" s="667"/>
      <c r="O20" s="667"/>
      <c r="P20" s="667"/>
      <c r="Q20" s="666">
        <f t="shared" si="1"/>
        <v>0</v>
      </c>
      <c r="R20" s="679"/>
    </row>
    <row r="21" spans="1:24" ht="15.75" customHeight="1" x14ac:dyDescent="0.2">
      <c r="A21" s="627" t="s">
        <v>59</v>
      </c>
      <c r="B21" s="627" t="s">
        <v>60</v>
      </c>
      <c r="C21" s="678" t="s">
        <v>70</v>
      </c>
      <c r="D21" s="666">
        <f>D25+D26+D24</f>
        <v>8322.9</v>
      </c>
      <c r="E21" s="666">
        <f>E25+E26+E24</f>
        <v>8249</v>
      </c>
      <c r="F21" s="666">
        <f t="shared" ref="F21:K21" si="9">F24+F25+F26</f>
        <v>9030.7000000000007</v>
      </c>
      <c r="G21" s="666">
        <f t="shared" si="9"/>
        <v>9893.5</v>
      </c>
      <c r="H21" s="666">
        <f t="shared" si="9"/>
        <v>11851</v>
      </c>
      <c r="I21" s="666">
        <f t="shared" si="9"/>
        <v>10606.1</v>
      </c>
      <c r="J21" s="666">
        <f t="shared" si="9"/>
        <v>34832.9</v>
      </c>
      <c r="K21" s="666">
        <f t="shared" si="9"/>
        <v>56125.600000000006</v>
      </c>
      <c r="L21" s="666">
        <f>L24+L25+L26</f>
        <v>25604.6</v>
      </c>
      <c r="M21" s="666">
        <f>M24+M25+M26</f>
        <v>28050.400000000001</v>
      </c>
      <c r="N21" s="666">
        <f>N24+N25+N26</f>
        <v>24027.4</v>
      </c>
      <c r="O21" s="666">
        <f>O24+O25+O26</f>
        <v>18944.900000000001</v>
      </c>
      <c r="P21" s="666">
        <f>P24+P25+P26</f>
        <v>18944.900000000001</v>
      </c>
      <c r="Q21" s="666">
        <f t="shared" si="1"/>
        <v>264483.90000000002</v>
      </c>
      <c r="R21" s="679"/>
      <c r="S21" s="680"/>
      <c r="T21" s="680"/>
      <c r="U21" s="680"/>
      <c r="V21" s="680"/>
      <c r="W21" s="680"/>
      <c r="X21" s="680"/>
    </row>
    <row r="22" spans="1:24" ht="15.75" x14ac:dyDescent="0.2">
      <c r="A22" s="629"/>
      <c r="B22" s="629"/>
      <c r="C22" s="678" t="s">
        <v>71</v>
      </c>
      <c r="D22" s="667"/>
      <c r="E22" s="667"/>
      <c r="F22" s="667"/>
      <c r="G22" s="667"/>
      <c r="H22" s="667"/>
      <c r="I22" s="667"/>
      <c r="J22" s="667"/>
      <c r="K22" s="667"/>
      <c r="L22" s="667"/>
      <c r="M22" s="667"/>
      <c r="N22" s="667"/>
      <c r="O22" s="667"/>
      <c r="P22" s="667"/>
      <c r="Q22" s="666">
        <f t="shared" si="1"/>
        <v>0</v>
      </c>
      <c r="R22" s="679"/>
      <c r="W22" s="680"/>
    </row>
    <row r="23" spans="1:24" ht="17.25" customHeight="1" x14ac:dyDescent="0.2">
      <c r="A23" s="629"/>
      <c r="B23" s="629"/>
      <c r="C23" s="681" t="s">
        <v>72</v>
      </c>
      <c r="D23" s="667">
        <v>0</v>
      </c>
      <c r="E23" s="667">
        <v>0</v>
      </c>
      <c r="F23" s="667">
        <v>0</v>
      </c>
      <c r="G23" s="667"/>
      <c r="H23" s="667"/>
      <c r="I23" s="667"/>
      <c r="J23" s="667"/>
      <c r="K23" s="667"/>
      <c r="L23" s="667"/>
      <c r="M23" s="667"/>
      <c r="N23" s="667"/>
      <c r="O23" s="667"/>
      <c r="P23" s="667"/>
      <c r="Q23" s="666">
        <f t="shared" si="1"/>
        <v>0</v>
      </c>
      <c r="R23" s="679"/>
    </row>
    <row r="24" spans="1:24" ht="21.75" customHeight="1" x14ac:dyDescent="0.2">
      <c r="A24" s="629"/>
      <c r="B24" s="629"/>
      <c r="C24" s="681" t="s">
        <v>73</v>
      </c>
      <c r="D24" s="667">
        <v>942.1</v>
      </c>
      <c r="E24" s="667">
        <v>598.20000000000005</v>
      </c>
      <c r="F24" s="667">
        <f>589.3+240.7</f>
        <v>830</v>
      </c>
      <c r="G24" s="667">
        <f>593.3+382.2+86.5+220</f>
        <v>1282</v>
      </c>
      <c r="H24" s="667">
        <f>SUM([14]ПР2ПП2!N20+[14]ПР2ПП2!N35+[14]ПР2ПП2!N44)</f>
        <v>1755.6000000000001</v>
      </c>
      <c r="I24" s="667">
        <f>[14]ПР2ПП2!O19+[14]ПР2ПП2!O20+[14]ПР2ПП2!O35+[14]ПР2ПП2!O36+[14]ПР2ПП2!O39+[14]ПР2ПП2!O40+[14]ПР2ПП2!O42+[14]ПР2ПП2!O44+[14]ПР2ПП2!O45+[14]ПР2ПП2!O46</f>
        <v>944.30000000000007</v>
      </c>
      <c r="J24" s="667">
        <f>ПР2ПП2!P41+ПР2ПП2!P57+ПР2ПП2!P38+ПР2ПП2!P28+ПР2ПП2!P30+ПР2ПП2!P31</f>
        <v>13523.699999999999</v>
      </c>
      <c r="K24" s="667">
        <f>ПР2ПП2!Q38+ПР2ПП2!Q41+ПР2ПП2!Q45</f>
        <v>4793.1000000000004</v>
      </c>
      <c r="L24" s="667">
        <f>ПР2ПП2!R32+ПР2ПП2!R41+ПР2ПП2!R47+ПР2ПП2!R57+ПР2ПП2!R60</f>
        <v>3539.3</v>
      </c>
      <c r="M24" s="667">
        <f>ПР2ПП2!S41+ПР2ПП2!S45+ПР2ПП2!S47+ПР2ПП2!S57+ПР2ПП2!S60</f>
        <v>4648.1000000000004</v>
      </c>
      <c r="N24" s="667">
        <f>ПР2ПП2!T60+ПР2ПП2!T41</f>
        <v>967.2</v>
      </c>
      <c r="O24" s="667">
        <f>ПР2ПП2!U60+ПР2ПП2!U41</f>
        <v>967.2</v>
      </c>
      <c r="P24" s="667">
        <f>ПР2ПП2!V60+ПР2ПП2!V41</f>
        <v>967.2</v>
      </c>
      <c r="Q24" s="666">
        <f t="shared" si="1"/>
        <v>35757.999999999993</v>
      </c>
      <c r="R24" s="679"/>
      <c r="W24" s="680"/>
    </row>
    <row r="25" spans="1:24" ht="15.75" x14ac:dyDescent="0.2">
      <c r="A25" s="629"/>
      <c r="B25" s="629"/>
      <c r="C25" s="681" t="s">
        <v>74</v>
      </c>
      <c r="D25" s="667">
        <v>957.1</v>
      </c>
      <c r="E25" s="667">
        <v>311.60000000000002</v>
      </c>
      <c r="F25" s="667">
        <v>162.19999999999999</v>
      </c>
      <c r="G25" s="667">
        <f>149.8+34+82.6+9.1</f>
        <v>275.5</v>
      </c>
      <c r="H25" s="667">
        <v>593.5</v>
      </c>
      <c r="I25" s="667">
        <f>[14]ПР2ПП2!O48</f>
        <v>1400.2</v>
      </c>
      <c r="J25" s="667">
        <f>ПР2ПП2!P62</f>
        <v>5142.1000000000004</v>
      </c>
      <c r="K25" s="667">
        <f>ПР2ПП2!Q62</f>
        <v>36543.800000000003</v>
      </c>
      <c r="L25" s="667">
        <f>ПР2ПП2!R62</f>
        <v>8608</v>
      </c>
      <c r="M25" s="667">
        <f>ПР2ПП2!S62</f>
        <v>8131.5999999999995</v>
      </c>
      <c r="N25" s="667">
        <f>ПР2ПП2!T62</f>
        <v>6707.5</v>
      </c>
      <c r="O25" s="667">
        <f>ПР2ПП2!U62</f>
        <v>4261</v>
      </c>
      <c r="P25" s="667">
        <f>ПР2ПП2!V62</f>
        <v>4261</v>
      </c>
      <c r="Q25" s="666">
        <f t="shared" si="1"/>
        <v>77355.100000000006</v>
      </c>
      <c r="R25" s="679"/>
      <c r="V25" s="680"/>
      <c r="W25" s="680"/>
    </row>
    <row r="26" spans="1:24" ht="18" customHeight="1" x14ac:dyDescent="0.2">
      <c r="A26" s="629"/>
      <c r="B26" s="629"/>
      <c r="C26" s="681" t="s">
        <v>133</v>
      </c>
      <c r="D26" s="667">
        <v>6423.7</v>
      </c>
      <c r="E26" s="667">
        <v>7339.2</v>
      </c>
      <c r="F26" s="667">
        <v>8038.5</v>
      </c>
      <c r="G26" s="667">
        <v>8336</v>
      </c>
      <c r="H26" s="667">
        <f>SUM([14]ПР2ПП2!N11+[14]ПР2ПП2!N13+[14]ПР2ПП2!N15+[14]ПР2ПП2!N17+[14]ПР2ПП2!N43)</f>
        <v>9501.9</v>
      </c>
      <c r="I26" s="667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667">
        <f>ПР2ПП2!P11+ПР2ПП2!P17+ПР2ПП2!P35+ПР2ПП2!P58+ПР2ПП2!P39+ПР2ПП2!P42</f>
        <v>16167.1</v>
      </c>
      <c r="K26" s="667">
        <f>ПР2ПП2!Q11+ПР2ПП2!Q13+ПР2ПП2!Q14+ПР2ПП2!Q35+ПР2ПП2!Q46+ПР2ПП2!Q39+ПР2ПП2!Q42+ПР2ПП2!Q33+ПР2ПП2!Q34</f>
        <v>14788.7</v>
      </c>
      <c r="L26" s="667">
        <f>ПР2ПП2!R9-'Информация МЗ+ИЦ+ПД'!L25-'Информация МЗ+ИЦ+ПД'!L24</f>
        <v>13457.3</v>
      </c>
      <c r="M26" s="667">
        <f>ПР2ПП2!S11+ПР2ПП2!S13+ПР2ПП2!S14+ПР2ПП2!S15+ПР2ПП2!T16+ПР2ПП2!S33+ПР2ПП2!S34+ПР2ПП2!S35+ПР2ПП2!S36+ПР2ПП2!S42+ПР2ПП2!S46+ПР2ПП2!S48+ПР2ПП2!S58+ПР2ПП2!S61</f>
        <v>15270.700000000003</v>
      </c>
      <c r="N26" s="667">
        <f>ПР2ПП2!T8-'Информация МЗ+ИЦ+ПД'!N24-'Информация МЗ+ИЦ+ПД'!N25</f>
        <v>16352.7</v>
      </c>
      <c r="O26" s="667">
        <f>ПР2ПП2!U8-'Информация МЗ+ИЦ+ПД'!O24-'Информация МЗ+ИЦ+ПД'!O25</f>
        <v>13716.7</v>
      </c>
      <c r="P26" s="667">
        <f>ПР2ПП2!V8-'Информация МЗ+ИЦ+ПД'!P24-'Информация МЗ+ИЦ+ПД'!P25</f>
        <v>13716.7</v>
      </c>
      <c r="Q26" s="666">
        <f t="shared" si="1"/>
        <v>151370.80000000002</v>
      </c>
      <c r="R26" s="679"/>
      <c r="V26" s="680"/>
      <c r="W26" s="680"/>
    </row>
    <row r="27" spans="1:24" ht="23.25" customHeight="1" x14ac:dyDescent="0.2">
      <c r="A27" s="633"/>
      <c r="B27" s="633"/>
      <c r="C27" s="681" t="s">
        <v>75</v>
      </c>
      <c r="D27" s="667">
        <v>0</v>
      </c>
      <c r="E27" s="667">
        <v>0</v>
      </c>
      <c r="F27" s="667">
        <v>0</v>
      </c>
      <c r="G27" s="667"/>
      <c r="H27" s="667"/>
      <c r="I27" s="667"/>
      <c r="J27" s="667"/>
      <c r="K27" s="667"/>
      <c r="L27" s="667"/>
      <c r="M27" s="667"/>
      <c r="N27" s="667"/>
      <c r="O27" s="667"/>
      <c r="P27" s="667"/>
      <c r="Q27" s="666">
        <f t="shared" si="1"/>
        <v>0</v>
      </c>
      <c r="R27" s="679"/>
      <c r="W27" s="680"/>
    </row>
    <row r="28" spans="1:24" ht="18.75" customHeight="1" x14ac:dyDescent="0.2">
      <c r="A28" s="627" t="s">
        <v>61</v>
      </c>
      <c r="B28" s="627" t="s">
        <v>137</v>
      </c>
      <c r="C28" s="678" t="s">
        <v>70</v>
      </c>
      <c r="D28" s="666">
        <f>D31+D33</f>
        <v>11923.2</v>
      </c>
      <c r="E28" s="666">
        <f>E32+E33+E31</f>
        <v>14373</v>
      </c>
      <c r="F28" s="666">
        <f>F32+F33+F31</f>
        <v>15432.8</v>
      </c>
      <c r="G28" s="666">
        <f>G33+G31</f>
        <v>14178.1</v>
      </c>
      <c r="H28" s="666">
        <f t="shared" ref="H28:O28" si="10">H32+H33+H31</f>
        <v>0</v>
      </c>
      <c r="I28" s="666">
        <f t="shared" si="10"/>
        <v>0</v>
      </c>
      <c r="J28" s="666">
        <f t="shared" si="10"/>
        <v>0</v>
      </c>
      <c r="K28" s="666">
        <f t="shared" si="10"/>
        <v>0</v>
      </c>
      <c r="L28" s="666">
        <f t="shared" si="10"/>
        <v>0</v>
      </c>
      <c r="M28" s="666">
        <f t="shared" ref="M28" si="11">M32+M33+M31</f>
        <v>0</v>
      </c>
      <c r="N28" s="666">
        <f t="shared" si="10"/>
        <v>0</v>
      </c>
      <c r="O28" s="666">
        <f t="shared" si="10"/>
        <v>0</v>
      </c>
      <c r="P28" s="666">
        <f t="shared" ref="P28" si="12">P32+P33+P31</f>
        <v>0</v>
      </c>
      <c r="Q28" s="666">
        <f t="shared" si="1"/>
        <v>55907.1</v>
      </c>
      <c r="R28" s="679"/>
      <c r="W28" s="680"/>
    </row>
    <row r="29" spans="1:24" ht="18.75" customHeight="1" x14ac:dyDescent="0.2">
      <c r="A29" s="629"/>
      <c r="B29" s="629"/>
      <c r="C29" s="678" t="s">
        <v>71</v>
      </c>
      <c r="D29" s="667"/>
      <c r="E29" s="667"/>
      <c r="F29" s="667"/>
      <c r="G29" s="667"/>
      <c r="H29" s="667"/>
      <c r="I29" s="667"/>
      <c r="J29" s="667"/>
      <c r="K29" s="667"/>
      <c r="L29" s="667"/>
      <c r="M29" s="667"/>
      <c r="N29" s="667"/>
      <c r="O29" s="667"/>
      <c r="P29" s="667"/>
      <c r="Q29" s="666">
        <f t="shared" si="1"/>
        <v>0</v>
      </c>
      <c r="R29" s="679"/>
      <c r="W29" s="680"/>
    </row>
    <row r="30" spans="1:24" ht="15.75" customHeight="1" x14ac:dyDescent="0.2">
      <c r="A30" s="629"/>
      <c r="B30" s="629"/>
      <c r="C30" s="681" t="s">
        <v>72</v>
      </c>
      <c r="D30" s="667">
        <v>0</v>
      </c>
      <c r="E30" s="667">
        <v>0</v>
      </c>
      <c r="F30" s="667">
        <v>0</v>
      </c>
      <c r="G30" s="667"/>
      <c r="H30" s="667"/>
      <c r="I30" s="667"/>
      <c r="J30" s="667"/>
      <c r="K30" s="667"/>
      <c r="L30" s="667"/>
      <c r="M30" s="667"/>
      <c r="N30" s="667"/>
      <c r="O30" s="667"/>
      <c r="P30" s="667"/>
      <c r="Q30" s="666">
        <f t="shared" si="1"/>
        <v>0</v>
      </c>
      <c r="R30" s="679"/>
      <c r="V30" s="680"/>
      <c r="W30" s="680"/>
    </row>
    <row r="31" spans="1:24" ht="18.75" customHeight="1" x14ac:dyDescent="0.2">
      <c r="A31" s="629"/>
      <c r="B31" s="629"/>
      <c r="C31" s="681" t="s">
        <v>73</v>
      </c>
      <c r="D31" s="667">
        <v>350</v>
      </c>
      <c r="E31" s="667">
        <v>177.3</v>
      </c>
      <c r="F31" s="667">
        <v>1310.5</v>
      </c>
      <c r="G31" s="667">
        <f>392.7+105</f>
        <v>497.7</v>
      </c>
      <c r="H31" s="667">
        <v>0</v>
      </c>
      <c r="I31" s="667">
        <v>0</v>
      </c>
      <c r="J31" s="667"/>
      <c r="K31" s="667"/>
      <c r="L31" s="667"/>
      <c r="M31" s="667"/>
      <c r="N31" s="667"/>
      <c r="O31" s="667"/>
      <c r="P31" s="667"/>
      <c r="Q31" s="666">
        <f t="shared" si="1"/>
        <v>2335.5</v>
      </c>
      <c r="R31" s="679"/>
      <c r="V31" s="680"/>
      <c r="W31" s="680"/>
    </row>
    <row r="32" spans="1:24" ht="20.25" customHeight="1" x14ac:dyDescent="0.2">
      <c r="A32" s="629"/>
      <c r="B32" s="629"/>
      <c r="C32" s="681" t="s">
        <v>74</v>
      </c>
      <c r="D32" s="667">
        <v>0</v>
      </c>
      <c r="E32" s="667">
        <v>0</v>
      </c>
      <c r="F32" s="667">
        <v>0</v>
      </c>
      <c r="G32" s="667" t="s">
        <v>76</v>
      </c>
      <c r="H32" s="667">
        <v>0</v>
      </c>
      <c r="I32" s="667">
        <v>0</v>
      </c>
      <c r="J32" s="667"/>
      <c r="K32" s="667"/>
      <c r="L32" s="667"/>
      <c r="M32" s="667"/>
      <c r="N32" s="667"/>
      <c r="O32" s="667"/>
      <c r="P32" s="667"/>
      <c r="Q32" s="666">
        <f t="shared" si="1"/>
        <v>0</v>
      </c>
      <c r="R32" s="679"/>
      <c r="W32" s="680"/>
    </row>
    <row r="33" spans="1:24" ht="19.5" customHeight="1" x14ac:dyDescent="0.2">
      <c r="A33" s="629"/>
      <c r="B33" s="629"/>
      <c r="C33" s="681" t="s">
        <v>133</v>
      </c>
      <c r="D33" s="667">
        <v>11573.2</v>
      </c>
      <c r="E33" s="667">
        <v>14195.7</v>
      </c>
      <c r="F33" s="667">
        <v>14122.3</v>
      </c>
      <c r="G33" s="667">
        <v>13680.4</v>
      </c>
      <c r="H33" s="667">
        <v>0</v>
      </c>
      <c r="I33" s="667">
        <v>0</v>
      </c>
      <c r="J33" s="667">
        <v>0</v>
      </c>
      <c r="K33" s="667">
        <v>0</v>
      </c>
      <c r="L33" s="667">
        <v>0</v>
      </c>
      <c r="M33" s="667">
        <v>0</v>
      </c>
      <c r="N33" s="667">
        <v>0</v>
      </c>
      <c r="O33" s="667">
        <v>0</v>
      </c>
      <c r="P33" s="667">
        <v>0</v>
      </c>
      <c r="Q33" s="666">
        <f t="shared" si="1"/>
        <v>53571.6</v>
      </c>
      <c r="R33" s="679"/>
      <c r="V33" s="680"/>
      <c r="W33" s="680"/>
    </row>
    <row r="34" spans="1:24" ht="23.25" customHeight="1" x14ac:dyDescent="0.2">
      <c r="A34" s="633"/>
      <c r="B34" s="633"/>
      <c r="C34" s="681" t="s">
        <v>75</v>
      </c>
      <c r="D34" s="667">
        <v>0</v>
      </c>
      <c r="E34" s="667">
        <v>0</v>
      </c>
      <c r="F34" s="667">
        <v>0</v>
      </c>
      <c r="G34" s="667">
        <v>0</v>
      </c>
      <c r="H34" s="667"/>
      <c r="I34" s="667"/>
      <c r="J34" s="667"/>
      <c r="K34" s="667"/>
      <c r="L34" s="667"/>
      <c r="M34" s="667"/>
      <c r="N34" s="667"/>
      <c r="O34" s="667"/>
      <c r="P34" s="667"/>
      <c r="Q34" s="666">
        <f t="shared" si="1"/>
        <v>0</v>
      </c>
      <c r="R34" s="679"/>
      <c r="V34" s="680"/>
      <c r="W34" s="680"/>
    </row>
    <row r="35" spans="1:24" ht="15.75" customHeight="1" x14ac:dyDescent="0.2">
      <c r="A35" s="627" t="s">
        <v>132</v>
      </c>
      <c r="B35" s="627" t="s">
        <v>77</v>
      </c>
      <c r="C35" s="678" t="s">
        <v>70</v>
      </c>
      <c r="D35" s="666">
        <f>D40</f>
        <v>1187.5</v>
      </c>
      <c r="E35" s="666">
        <f>E40</f>
        <v>1703</v>
      </c>
      <c r="F35" s="666">
        <f t="shared" ref="F35:K35" si="13">F39+F40</f>
        <v>1789</v>
      </c>
      <c r="G35" s="666">
        <f t="shared" si="13"/>
        <v>1708</v>
      </c>
      <c r="H35" s="666">
        <f>H40+H38</f>
        <v>2002.9</v>
      </c>
      <c r="I35" s="666">
        <f>I38+I40</f>
        <v>2241.6999999999998</v>
      </c>
      <c r="J35" s="666">
        <f>J40+J38</f>
        <v>2396.3000000000002</v>
      </c>
      <c r="K35" s="666">
        <f t="shared" si="13"/>
        <v>2788.6000000000004</v>
      </c>
      <c r="L35" s="666">
        <f>L39+L40</f>
        <v>3234.4</v>
      </c>
      <c r="M35" s="666">
        <f>M39+M40</f>
        <v>3342.5</v>
      </c>
      <c r="N35" s="666">
        <f>N39+N40</f>
        <v>3705.5</v>
      </c>
      <c r="O35" s="666">
        <f>O39+O40</f>
        <v>3335.7</v>
      </c>
      <c r="P35" s="666">
        <f>P39+P40</f>
        <v>3335.7</v>
      </c>
      <c r="Q35" s="666">
        <f t="shared" si="1"/>
        <v>32770.799999999996</v>
      </c>
      <c r="R35" s="679"/>
      <c r="W35" s="680"/>
    </row>
    <row r="36" spans="1:24" ht="15.75" x14ac:dyDescent="0.2">
      <c r="A36" s="629"/>
      <c r="B36" s="629"/>
      <c r="C36" s="678" t="s">
        <v>71</v>
      </c>
      <c r="D36" s="667"/>
      <c r="E36" s="667"/>
      <c r="F36" s="667"/>
      <c r="G36" s="667"/>
      <c r="H36" s="667"/>
      <c r="I36" s="667"/>
      <c r="J36" s="667"/>
      <c r="K36" s="667"/>
      <c r="L36" s="667"/>
      <c r="M36" s="667"/>
      <c r="N36" s="667"/>
      <c r="O36" s="667"/>
      <c r="P36" s="667"/>
      <c r="Q36" s="666">
        <f t="shared" si="1"/>
        <v>0</v>
      </c>
      <c r="R36" s="679"/>
    </row>
    <row r="37" spans="1:24" ht="15.75" x14ac:dyDescent="0.2">
      <c r="A37" s="629"/>
      <c r="B37" s="629"/>
      <c r="C37" s="681" t="s">
        <v>72</v>
      </c>
      <c r="D37" s="667">
        <v>0</v>
      </c>
      <c r="E37" s="667">
        <v>0</v>
      </c>
      <c r="F37" s="667">
        <v>0</v>
      </c>
      <c r="G37" s="667"/>
      <c r="H37" s="667"/>
      <c r="I37" s="667"/>
      <c r="J37" s="667"/>
      <c r="K37" s="667"/>
      <c r="L37" s="667"/>
      <c r="M37" s="667"/>
      <c r="N37" s="667"/>
      <c r="O37" s="667"/>
      <c r="P37" s="667"/>
      <c r="Q37" s="666">
        <f t="shared" si="1"/>
        <v>0</v>
      </c>
      <c r="R37" s="679"/>
    </row>
    <row r="38" spans="1:24" ht="15.75" x14ac:dyDescent="0.2">
      <c r="A38" s="629"/>
      <c r="B38" s="629"/>
      <c r="C38" s="681" t="s">
        <v>73</v>
      </c>
      <c r="D38" s="667">
        <v>0</v>
      </c>
      <c r="E38" s="667">
        <v>0</v>
      </c>
      <c r="F38" s="667">
        <v>0</v>
      </c>
      <c r="G38" s="667"/>
      <c r="H38" s="667">
        <f>[14]ПР.2ПП4!N18+[14]ПР.2ПП4!N16</f>
        <v>196.10000000000002</v>
      </c>
      <c r="I38" s="667">
        <f>[14]ПР.2ПП4!O19+[14]ПР.2ПП4!O17</f>
        <v>63.7</v>
      </c>
      <c r="J38" s="667">
        <f>ПР.2ПП4!P18</f>
        <v>269.3</v>
      </c>
      <c r="K38" s="667">
        <f>[14]ПР.2ПП4!Q18+[14]ПР.2ПП4!Q16</f>
        <v>0</v>
      </c>
      <c r="L38" s="667">
        <f>[14]ПР.2ПП4!R18+[14]ПР.2ПП4!R16</f>
        <v>0</v>
      </c>
      <c r="M38" s="667">
        <f>ПР.2ПП4!R16+ПР.2ПП4!R17+ПР.2ПП4!R18+ПР.2ПП4!R19+ПР.2ПП4!R20</f>
        <v>0</v>
      </c>
      <c r="N38" s="667">
        <f>ПР.2ПП4!T16+ПР.2ПП4!T17+ПР.2ПП4!T18+ПР.2ПП4!T19+ПР.2ПП4!T20</f>
        <v>0</v>
      </c>
      <c r="O38" s="667">
        <f>ПР.2ПП4!U16+ПР.2ПП4!U17+ПР.2ПП4!U18+ПР.2ПП4!U19+ПР.2ПП4!U20</f>
        <v>0</v>
      </c>
      <c r="P38" s="667">
        <f>ПР.2ПП4!V16+ПР.2ПП4!V17+ПР.2ПП4!V18+ПР.2ПП4!V19+ПР.2ПП4!V20</f>
        <v>0</v>
      </c>
      <c r="Q38" s="666">
        <f t="shared" si="1"/>
        <v>529.1</v>
      </c>
      <c r="R38" s="679"/>
    </row>
    <row r="39" spans="1:24" ht="15.75" x14ac:dyDescent="0.2">
      <c r="A39" s="629"/>
      <c r="B39" s="629"/>
      <c r="C39" s="681" t="s">
        <v>74</v>
      </c>
      <c r="D39" s="667">
        <v>0</v>
      </c>
      <c r="E39" s="667">
        <v>0</v>
      </c>
      <c r="F39" s="667">
        <v>0</v>
      </c>
      <c r="G39" s="667"/>
      <c r="H39" s="667"/>
      <c r="I39" s="667"/>
      <c r="J39" s="667"/>
      <c r="K39" s="667"/>
      <c r="L39" s="667"/>
      <c r="M39" s="667"/>
      <c r="N39" s="667"/>
      <c r="O39" s="667"/>
      <c r="P39" s="667"/>
      <c r="Q39" s="666">
        <f t="shared" si="1"/>
        <v>0</v>
      </c>
      <c r="R39" s="679"/>
    </row>
    <row r="40" spans="1:24" ht="15.75" customHeight="1" x14ac:dyDescent="0.2">
      <c r="A40" s="629"/>
      <c r="B40" s="629"/>
      <c r="C40" s="681" t="s">
        <v>133</v>
      </c>
      <c r="D40" s="667">
        <v>1187.5</v>
      </c>
      <c r="E40" s="667">
        <f>[14]ПР.2ПП4!K21</f>
        <v>1703</v>
      </c>
      <c r="F40" s="667">
        <v>1789</v>
      </c>
      <c r="G40" s="667">
        <v>1708</v>
      </c>
      <c r="H40" s="667">
        <f>[14]ПР.2ПП4!N15+[14]ПР.2ПП4!N14+[14]ПР.2ПП4!N9</f>
        <v>1806.8</v>
      </c>
      <c r="I40" s="667">
        <f>[14]ПР.2ПП4!O15+[14]ПР.2ПП4!O14+[14]ПР.2ПП4!O9</f>
        <v>2178</v>
      </c>
      <c r="J40" s="667">
        <f>ПР.2ПП4!P14+ПР.2ПП4!P9</f>
        <v>2127</v>
      </c>
      <c r="K40" s="667">
        <f>ПР.2ПП4!Q9+ПР.2ПП4!Q14</f>
        <v>2788.6000000000004</v>
      </c>
      <c r="L40" s="667">
        <f>ПР.2ПП4!R9+ПР.2ПП4!R14</f>
        <v>3234.4</v>
      </c>
      <c r="M40" s="667">
        <f>ПР.2ПП4!S22</f>
        <v>3342.5</v>
      </c>
      <c r="N40" s="667">
        <f>ПР.2ПП4!T9+ПР.2ПП4!T14</f>
        <v>3705.5</v>
      </c>
      <c r="O40" s="667">
        <f>ПР.2ПП4!U9+ПР.2ПП4!U14</f>
        <v>3335.7</v>
      </c>
      <c r="P40" s="667">
        <f>ПР.2ПП4!V9+ПР.2ПП4!V14</f>
        <v>3335.7</v>
      </c>
      <c r="Q40" s="666">
        <f t="shared" si="1"/>
        <v>32241.7</v>
      </c>
      <c r="R40" s="679"/>
      <c r="V40" s="683"/>
      <c r="W40" s="680"/>
    </row>
    <row r="41" spans="1:24" ht="15.75" x14ac:dyDescent="0.2">
      <c r="A41" s="633"/>
      <c r="B41" s="633"/>
      <c r="C41" s="681" t="s">
        <v>75</v>
      </c>
      <c r="D41" s="667">
        <v>0</v>
      </c>
      <c r="E41" s="667">
        <v>0</v>
      </c>
      <c r="F41" s="667">
        <v>0</v>
      </c>
      <c r="G41" s="667"/>
      <c r="H41" s="667"/>
      <c r="I41" s="667"/>
      <c r="J41" s="667"/>
      <c r="K41" s="667"/>
      <c r="L41" s="667"/>
      <c r="M41" s="667"/>
      <c r="N41" s="667"/>
      <c r="O41" s="667"/>
      <c r="P41" s="667"/>
      <c r="Q41" s="666">
        <f t="shared" si="1"/>
        <v>0</v>
      </c>
      <c r="R41" s="679"/>
    </row>
    <row r="42" spans="1:24" ht="15" x14ac:dyDescent="0.2">
      <c r="A42" s="635"/>
      <c r="B42" s="635"/>
      <c r="C42" s="684"/>
      <c r="D42" s="668"/>
      <c r="E42" s="668"/>
      <c r="F42" s="668"/>
      <c r="G42" s="668"/>
      <c r="H42" s="668"/>
      <c r="I42" s="668"/>
      <c r="J42" s="668"/>
      <c r="K42" s="668"/>
      <c r="L42" s="668"/>
      <c r="M42" s="668"/>
      <c r="N42" s="668"/>
      <c r="O42" s="668"/>
      <c r="P42" s="668"/>
      <c r="Q42" s="668"/>
    </row>
    <row r="43" spans="1:24" x14ac:dyDescent="0.2">
      <c r="A43" s="669"/>
      <c r="B43" s="669"/>
      <c r="C43" s="669"/>
      <c r="D43" s="669"/>
      <c r="E43" s="669"/>
      <c r="F43" s="669"/>
      <c r="G43" s="669"/>
      <c r="H43" s="669"/>
      <c r="I43" s="669"/>
      <c r="J43" s="669"/>
      <c r="K43" s="669"/>
      <c r="L43" s="669"/>
      <c r="M43" s="669"/>
      <c r="N43" s="669"/>
      <c r="O43" s="669"/>
      <c r="P43" s="669"/>
      <c r="Q43" s="670"/>
    </row>
    <row r="44" spans="1:24" ht="56.25" customHeight="1" x14ac:dyDescent="0.2">
      <c r="A44" s="685" t="s">
        <v>63</v>
      </c>
      <c r="B44" s="685"/>
      <c r="C44" s="685"/>
      <c r="D44" s="685"/>
      <c r="E44" s="686"/>
      <c r="F44" s="686"/>
      <c r="G44" s="686"/>
      <c r="H44" s="686"/>
      <c r="I44" s="687" t="s">
        <v>186</v>
      </c>
      <c r="J44" s="687"/>
      <c r="K44" s="687"/>
      <c r="L44" s="687"/>
      <c r="M44" s="687"/>
      <c r="N44" s="687"/>
      <c r="O44" s="687"/>
      <c r="P44" s="687"/>
      <c r="Q44" s="687"/>
      <c r="R44" s="688"/>
      <c r="S44" s="689"/>
      <c r="T44" s="689"/>
      <c r="U44" s="689"/>
      <c r="V44" s="689"/>
      <c r="W44" s="689"/>
      <c r="X44" s="689"/>
    </row>
  </sheetData>
  <mergeCells count="20">
    <mergeCell ref="A44:D44"/>
    <mergeCell ref="S44:X44"/>
    <mergeCell ref="I44:Q44"/>
    <mergeCell ref="D5:Q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R2"/>
    <mergeCell ref="A3:Q3"/>
  </mergeCells>
  <phoneticPr fontId="17" type="noConversion"/>
  <pageMargins left="0.19685039370078741" right="0.19685039370078741" top="0.39370078740157483" bottom="0.39370078740157483" header="0.31496062992125984" footer="0.31496062992125984"/>
  <pageSetup paperSize="9" scale="47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40625"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401" t="s">
        <v>368</v>
      </c>
      <c r="M1" s="402"/>
      <c r="N1" s="402"/>
      <c r="O1" s="402"/>
      <c r="P1" s="402"/>
      <c r="Q1" s="76"/>
    </row>
    <row r="2" spans="1:18" s="53" customFormat="1" ht="60.6" customHeight="1" x14ac:dyDescent="0.25">
      <c r="L2" s="401" t="s">
        <v>251</v>
      </c>
      <c r="M2" s="402"/>
      <c r="N2" s="402"/>
      <c r="O2" s="402"/>
      <c r="P2" s="402"/>
      <c r="Q2" s="76"/>
    </row>
    <row r="3" spans="1:18" s="53" customFormat="1" ht="12.75" hidden="1" customHeight="1" x14ac:dyDescent="0.25">
      <c r="Q3" s="110"/>
    </row>
    <row r="4" spans="1:18" s="53" customFormat="1" ht="18.75" customHeight="1" x14ac:dyDescent="0.25">
      <c r="A4" s="403" t="s">
        <v>175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77"/>
    </row>
    <row r="5" spans="1:18" s="54" customFormat="1" ht="30.75" customHeight="1" x14ac:dyDescent="0.25">
      <c r="A5" s="404" t="s">
        <v>166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78"/>
    </row>
    <row r="6" spans="1:18" s="53" customFormat="1" ht="15" x14ac:dyDescent="0.25">
      <c r="Q6" s="110"/>
    </row>
    <row r="7" spans="1:18" s="55" customFormat="1" ht="31.5" customHeight="1" x14ac:dyDescent="0.25">
      <c r="A7" s="405" t="s">
        <v>93</v>
      </c>
      <c r="B7" s="408" t="s">
        <v>94</v>
      </c>
      <c r="C7" s="408"/>
      <c r="D7" s="408"/>
      <c r="E7" s="408"/>
      <c r="F7" s="408"/>
      <c r="G7" s="408"/>
      <c r="H7" s="408"/>
      <c r="I7" s="408"/>
      <c r="J7" s="408"/>
      <c r="K7" s="408"/>
      <c r="L7" s="406" t="s">
        <v>95</v>
      </c>
      <c r="M7" s="406"/>
      <c r="N7" s="406"/>
      <c r="O7" s="406"/>
      <c r="P7" s="406"/>
      <c r="Q7" s="407"/>
    </row>
    <row r="8" spans="1:18" s="55" customFormat="1" ht="25.5" customHeight="1" x14ac:dyDescent="0.25">
      <c r="A8" s="405"/>
      <c r="B8" s="108">
        <v>2013</v>
      </c>
      <c r="C8" s="108">
        <v>2014</v>
      </c>
      <c r="D8" s="108">
        <v>2015</v>
      </c>
      <c r="E8" s="108">
        <v>2016</v>
      </c>
      <c r="F8" s="108">
        <v>2017</v>
      </c>
      <c r="G8" s="108">
        <v>2018</v>
      </c>
      <c r="H8" s="108">
        <v>2013</v>
      </c>
      <c r="I8" s="108">
        <v>2014</v>
      </c>
      <c r="J8" s="108">
        <v>2019</v>
      </c>
      <c r="K8" s="108">
        <v>2020</v>
      </c>
      <c r="L8" s="189">
        <v>2015</v>
      </c>
      <c r="M8" s="163">
        <v>2016</v>
      </c>
      <c r="N8" s="164">
        <v>2017</v>
      </c>
      <c r="O8" s="164">
        <v>2018</v>
      </c>
      <c r="P8" s="165">
        <v>2019</v>
      </c>
      <c r="Q8" s="157">
        <v>2020</v>
      </c>
    </row>
    <row r="9" spans="1:18" s="53" customFormat="1" ht="15" x14ac:dyDescent="0.25">
      <c r="A9" s="190">
        <v>1</v>
      </c>
      <c r="B9" s="191">
        <v>2</v>
      </c>
      <c r="C9" s="191">
        <v>3</v>
      </c>
      <c r="D9" s="191">
        <v>4</v>
      </c>
      <c r="E9" s="191">
        <v>5</v>
      </c>
      <c r="F9" s="191">
        <v>6</v>
      </c>
      <c r="G9" s="191">
        <v>8</v>
      </c>
      <c r="H9" s="191">
        <v>7</v>
      </c>
      <c r="I9" s="191">
        <v>8</v>
      </c>
      <c r="J9" s="191">
        <v>9</v>
      </c>
      <c r="K9" s="191">
        <v>10</v>
      </c>
      <c r="L9" s="184">
        <v>11</v>
      </c>
      <c r="M9" s="184">
        <v>12</v>
      </c>
      <c r="N9" s="184">
        <v>13</v>
      </c>
      <c r="O9" s="185">
        <v>14</v>
      </c>
      <c r="P9" s="186">
        <v>15</v>
      </c>
      <c r="Q9" s="186">
        <v>16</v>
      </c>
    </row>
    <row r="10" spans="1:18" s="53" customFormat="1" ht="31.5" customHeight="1" x14ac:dyDescent="0.25">
      <c r="A10" s="172" t="s">
        <v>96</v>
      </c>
      <c r="B10" s="394" t="s">
        <v>313</v>
      </c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61"/>
    </row>
    <row r="11" spans="1:18" s="53" customFormat="1" ht="30" customHeight="1" x14ac:dyDescent="0.25">
      <c r="A11" s="187" t="s">
        <v>97</v>
      </c>
      <c r="B11" s="395" t="s">
        <v>99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395"/>
      <c r="R11" s="61"/>
    </row>
    <row r="12" spans="1:18" s="53" customFormat="1" ht="15" customHeight="1" x14ac:dyDescent="0.25">
      <c r="A12" s="58" t="s">
        <v>57</v>
      </c>
      <c r="B12" s="396" t="s">
        <v>174</v>
      </c>
      <c r="C12" s="396"/>
      <c r="D12" s="396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6"/>
    </row>
    <row r="13" spans="1:18" s="53" customFormat="1" ht="42.75" customHeight="1" x14ac:dyDescent="0.25">
      <c r="A13" s="69" t="s">
        <v>87</v>
      </c>
      <c r="B13" s="82">
        <v>4700</v>
      </c>
      <c r="C13" s="82">
        <v>4700</v>
      </c>
      <c r="D13" s="73">
        <v>0</v>
      </c>
      <c r="E13" s="73">
        <v>17</v>
      </c>
      <c r="F13" s="73">
        <v>17</v>
      </c>
      <c r="G13" s="73">
        <v>17</v>
      </c>
      <c r="H13" s="73">
        <v>17</v>
      </c>
      <c r="I13" s="73">
        <v>17</v>
      </c>
      <c r="J13" s="73">
        <v>17</v>
      </c>
      <c r="K13" s="73">
        <v>17</v>
      </c>
      <c r="L13" s="72">
        <v>0</v>
      </c>
      <c r="M13" s="72">
        <v>0</v>
      </c>
      <c r="N13" s="72">
        <v>842.5</v>
      </c>
      <c r="O13" s="72">
        <v>621.6</v>
      </c>
      <c r="P13" s="72">
        <v>621.6</v>
      </c>
      <c r="Q13" s="72">
        <v>621.6</v>
      </c>
    </row>
    <row r="14" spans="1:18" s="53" customFormat="1" ht="15" customHeight="1" x14ac:dyDescent="0.25">
      <c r="A14" s="188" t="s">
        <v>96</v>
      </c>
      <c r="B14" s="394" t="s">
        <v>190</v>
      </c>
      <c r="C14" s="394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</row>
    <row r="15" spans="1:18" s="53" customFormat="1" ht="24" customHeight="1" x14ac:dyDescent="0.25">
      <c r="A15" s="437" t="s">
        <v>97</v>
      </c>
      <c r="B15" s="431" t="s">
        <v>191</v>
      </c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  <c r="O15" s="432"/>
      <c r="P15" s="432"/>
      <c r="Q15" s="433"/>
      <c r="R15" s="70"/>
    </row>
    <row r="16" spans="1:18" s="53" customFormat="1" ht="18.75" customHeight="1" x14ac:dyDescent="0.25">
      <c r="A16" s="437"/>
      <c r="B16" s="98"/>
      <c r="C16" s="98"/>
      <c r="D16" s="391" t="s">
        <v>192</v>
      </c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3"/>
      <c r="R16" s="70"/>
    </row>
    <row r="17" spans="1:22" s="53" customFormat="1" ht="18.75" customHeight="1" x14ac:dyDescent="0.25">
      <c r="A17" s="437"/>
      <c r="B17" s="98"/>
      <c r="C17" s="98"/>
      <c r="D17" s="391" t="s">
        <v>193</v>
      </c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3"/>
      <c r="R17" s="70"/>
    </row>
    <row r="18" spans="1:22" s="53" customFormat="1" ht="17.25" customHeight="1" x14ac:dyDescent="0.25">
      <c r="A18" s="437"/>
      <c r="B18" s="98"/>
      <c r="C18" s="98"/>
      <c r="D18" s="434" t="s">
        <v>99</v>
      </c>
      <c r="E18" s="435"/>
      <c r="F18" s="435"/>
      <c r="G18" s="435"/>
      <c r="H18" s="435"/>
      <c r="I18" s="435"/>
      <c r="J18" s="435"/>
      <c r="K18" s="435"/>
      <c r="L18" s="435"/>
      <c r="M18" s="435"/>
      <c r="N18" s="435"/>
      <c r="O18" s="435"/>
      <c r="P18" s="435"/>
      <c r="Q18" s="436"/>
      <c r="R18" s="70"/>
    </row>
    <row r="19" spans="1:22" s="53" customFormat="1" ht="30.75" customHeight="1" x14ac:dyDescent="0.25">
      <c r="A19" s="58" t="s">
        <v>57</v>
      </c>
      <c r="B19" s="396" t="s">
        <v>174</v>
      </c>
      <c r="C19" s="396"/>
      <c r="D19" s="396"/>
      <c r="E19" s="396"/>
      <c r="F19" s="396"/>
      <c r="G19" s="396"/>
      <c r="H19" s="396"/>
      <c r="I19" s="396"/>
      <c r="J19" s="396"/>
      <c r="K19" s="396"/>
      <c r="L19" s="396"/>
      <c r="M19" s="396"/>
      <c r="N19" s="396"/>
      <c r="O19" s="396"/>
      <c r="P19" s="396"/>
      <c r="Q19" s="396"/>
    </row>
    <row r="20" spans="1:22" s="53" customFormat="1" ht="31.5" customHeight="1" x14ac:dyDescent="0.25">
      <c r="A20" s="384" t="s">
        <v>87</v>
      </c>
      <c r="B20" s="56"/>
      <c r="C20" s="56"/>
      <c r="D20" s="74">
        <v>1750</v>
      </c>
      <c r="E20" s="74">
        <v>1750</v>
      </c>
      <c r="F20" s="74">
        <v>1750</v>
      </c>
      <c r="G20" s="74">
        <v>1750</v>
      </c>
      <c r="H20" s="74">
        <v>1750</v>
      </c>
      <c r="I20" s="74">
        <v>1750</v>
      </c>
      <c r="J20" s="74">
        <v>1750</v>
      </c>
      <c r="K20" s="74">
        <v>1750</v>
      </c>
      <c r="L20" s="386">
        <v>255.5</v>
      </c>
      <c r="M20" s="386">
        <f>171.9+50+59.5</f>
        <v>281.39999999999998</v>
      </c>
      <c r="N20" s="386">
        <v>1003.2</v>
      </c>
      <c r="O20" s="386">
        <v>521</v>
      </c>
      <c r="P20" s="411">
        <v>521</v>
      </c>
      <c r="Q20" s="414">
        <v>521</v>
      </c>
    </row>
    <row r="21" spans="1:22" s="53" customFormat="1" ht="33.75" customHeight="1" x14ac:dyDescent="0.25">
      <c r="A21" s="409"/>
      <c r="B21" s="56"/>
      <c r="C21" s="56"/>
      <c r="D21" s="74">
        <v>26</v>
      </c>
      <c r="E21" s="74">
        <v>26</v>
      </c>
      <c r="F21" s="74">
        <v>26</v>
      </c>
      <c r="G21" s="74">
        <v>26</v>
      </c>
      <c r="H21" s="74">
        <v>26</v>
      </c>
      <c r="I21" s="74">
        <v>26</v>
      </c>
      <c r="J21" s="74">
        <v>26</v>
      </c>
      <c r="K21" s="74">
        <v>26</v>
      </c>
      <c r="L21" s="410"/>
      <c r="M21" s="410"/>
      <c r="N21" s="410"/>
      <c r="O21" s="410"/>
      <c r="P21" s="412"/>
      <c r="Q21" s="414"/>
    </row>
    <row r="22" spans="1:22" s="53" customFormat="1" ht="33.75" customHeight="1" x14ac:dyDescent="0.25">
      <c r="A22" s="409"/>
      <c r="B22" s="56"/>
      <c r="C22" s="56"/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410"/>
      <c r="M22" s="410"/>
      <c r="N22" s="410"/>
      <c r="O22" s="410"/>
      <c r="P22" s="412"/>
      <c r="Q22" s="414"/>
    </row>
    <row r="23" spans="1:22" s="53" customFormat="1" ht="25.5" customHeight="1" x14ac:dyDescent="0.25">
      <c r="A23" s="385"/>
      <c r="B23" s="73">
        <v>6050</v>
      </c>
      <c r="C23" s="73">
        <v>6720</v>
      </c>
      <c r="D23" s="75">
        <v>29</v>
      </c>
      <c r="E23" s="75">
        <v>29</v>
      </c>
      <c r="F23" s="75">
        <v>29</v>
      </c>
      <c r="G23" s="75">
        <v>26</v>
      </c>
      <c r="H23" s="75">
        <v>26</v>
      </c>
      <c r="I23" s="75">
        <v>26</v>
      </c>
      <c r="J23" s="75">
        <v>26</v>
      </c>
      <c r="K23" s="75">
        <v>26</v>
      </c>
      <c r="L23" s="387"/>
      <c r="M23" s="387"/>
      <c r="N23" s="387"/>
      <c r="O23" s="387"/>
      <c r="P23" s="413"/>
      <c r="Q23" s="414"/>
      <c r="R23" s="61"/>
      <c r="S23" s="61"/>
      <c r="T23" s="61"/>
      <c r="U23" s="61"/>
      <c r="V23" s="61"/>
    </row>
    <row r="24" spans="1:22" s="53" customFormat="1" ht="33.75" customHeight="1" x14ac:dyDescent="0.25">
      <c r="A24" s="56" t="s">
        <v>96</v>
      </c>
      <c r="B24" s="438" t="s">
        <v>316</v>
      </c>
      <c r="C24" s="439"/>
      <c r="D24" s="439"/>
      <c r="E24" s="439"/>
      <c r="F24" s="439"/>
      <c r="G24" s="439"/>
      <c r="H24" s="439"/>
      <c r="I24" s="439"/>
      <c r="J24" s="439"/>
      <c r="K24" s="439"/>
      <c r="L24" s="439"/>
      <c r="M24" s="439"/>
      <c r="N24" s="439"/>
      <c r="O24" s="439"/>
      <c r="P24" s="439"/>
      <c r="Q24" s="440"/>
      <c r="R24" s="61"/>
    </row>
    <row r="25" spans="1:22" s="53" customFormat="1" ht="33" customHeight="1" x14ac:dyDescent="0.25">
      <c r="A25" s="116" t="s">
        <v>97</v>
      </c>
      <c r="B25" s="421" t="s">
        <v>194</v>
      </c>
      <c r="C25" s="422"/>
      <c r="D25" s="422"/>
      <c r="E25" s="422"/>
      <c r="F25" s="422"/>
      <c r="G25" s="422"/>
      <c r="H25" s="422"/>
      <c r="I25" s="422"/>
      <c r="J25" s="422"/>
      <c r="K25" s="422"/>
      <c r="L25" s="422"/>
      <c r="M25" s="422"/>
      <c r="N25" s="422"/>
      <c r="O25" s="422"/>
      <c r="P25" s="422"/>
      <c r="Q25" s="423"/>
      <c r="R25" s="61"/>
    </row>
    <row r="26" spans="1:22" s="53" customFormat="1" ht="20.25" customHeight="1" x14ac:dyDescent="0.25">
      <c r="A26" s="58" t="s">
        <v>57</v>
      </c>
      <c r="B26" s="415" t="s">
        <v>174</v>
      </c>
      <c r="C26" s="416"/>
      <c r="D26" s="416"/>
      <c r="E26" s="416"/>
      <c r="F26" s="416"/>
      <c r="G26" s="416"/>
      <c r="H26" s="416"/>
      <c r="I26" s="416"/>
      <c r="J26" s="416"/>
      <c r="K26" s="416"/>
      <c r="L26" s="416"/>
      <c r="M26" s="416"/>
      <c r="N26" s="416"/>
      <c r="O26" s="416"/>
      <c r="P26" s="416"/>
      <c r="Q26" s="417"/>
    </row>
    <row r="27" spans="1:22" s="53" customFormat="1" ht="42" customHeight="1" x14ac:dyDescent="0.25">
      <c r="A27" s="69" t="s">
        <v>87</v>
      </c>
      <c r="B27" s="99">
        <v>30</v>
      </c>
      <c r="C27" s="100">
        <v>30</v>
      </c>
      <c r="D27" s="75">
        <v>27620</v>
      </c>
      <c r="E27" s="75">
        <v>27620</v>
      </c>
      <c r="F27" s="75">
        <v>27700</v>
      </c>
      <c r="G27" s="75">
        <v>5760</v>
      </c>
      <c r="H27" s="75">
        <v>5760</v>
      </c>
      <c r="I27" s="75">
        <v>5760</v>
      </c>
      <c r="J27" s="75">
        <v>5760</v>
      </c>
      <c r="K27" s="75">
        <v>5760</v>
      </c>
      <c r="L27" s="127">
        <v>678.9</v>
      </c>
      <c r="M27" s="127">
        <v>1574.6</v>
      </c>
      <c r="N27" s="128">
        <f>1319.9+4.5</f>
        <v>1324.4</v>
      </c>
      <c r="O27" s="128">
        <v>704.9</v>
      </c>
      <c r="P27" s="128">
        <v>704.9</v>
      </c>
      <c r="Q27" s="128">
        <v>704.9</v>
      </c>
      <c r="R27" s="61"/>
      <c r="S27" s="61"/>
    </row>
    <row r="28" spans="1:22" s="53" customFormat="1" ht="33.75" customHeight="1" x14ac:dyDescent="0.25">
      <c r="A28" s="56" t="s">
        <v>96</v>
      </c>
      <c r="B28" s="438" t="s">
        <v>314</v>
      </c>
      <c r="C28" s="439"/>
      <c r="D28" s="439"/>
      <c r="E28" s="439"/>
      <c r="F28" s="439"/>
      <c r="G28" s="439"/>
      <c r="H28" s="439"/>
      <c r="I28" s="439"/>
      <c r="J28" s="439"/>
      <c r="K28" s="439"/>
      <c r="L28" s="439"/>
      <c r="M28" s="439"/>
      <c r="N28" s="439"/>
      <c r="O28" s="439"/>
      <c r="P28" s="439"/>
      <c r="Q28" s="440"/>
      <c r="R28" s="61"/>
    </row>
    <row r="29" spans="1:22" s="53" customFormat="1" ht="33" customHeight="1" x14ac:dyDescent="0.25">
      <c r="A29" s="116" t="s">
        <v>97</v>
      </c>
      <c r="B29" s="421" t="s">
        <v>194</v>
      </c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422"/>
      <c r="N29" s="422"/>
      <c r="O29" s="422"/>
      <c r="P29" s="422"/>
      <c r="Q29" s="423"/>
      <c r="R29" s="61"/>
    </row>
    <row r="30" spans="1:22" s="53" customFormat="1" ht="23.25" customHeight="1" x14ac:dyDescent="0.25">
      <c r="A30" s="58" t="s">
        <v>57</v>
      </c>
      <c r="B30" s="415" t="s">
        <v>174</v>
      </c>
      <c r="C30" s="416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7"/>
    </row>
    <row r="31" spans="1:22" s="53" customFormat="1" ht="42" customHeight="1" x14ac:dyDescent="0.25">
      <c r="A31" s="69" t="s">
        <v>87</v>
      </c>
      <c r="B31" s="99">
        <v>30</v>
      </c>
      <c r="C31" s="100">
        <v>30</v>
      </c>
      <c r="D31" s="75">
        <v>0</v>
      </c>
      <c r="E31" s="75">
        <v>0</v>
      </c>
      <c r="F31" s="75">
        <v>6240</v>
      </c>
      <c r="G31" s="75">
        <v>6240</v>
      </c>
      <c r="H31" s="75">
        <v>6240</v>
      </c>
      <c r="I31" s="75">
        <v>6240</v>
      </c>
      <c r="J31" s="75">
        <v>6240</v>
      </c>
      <c r="K31" s="75">
        <v>6240</v>
      </c>
      <c r="L31" s="127">
        <v>0</v>
      </c>
      <c r="M31" s="127">
        <v>0</v>
      </c>
      <c r="N31" s="128">
        <v>677.4</v>
      </c>
      <c r="O31" s="128">
        <v>1081.4000000000001</v>
      </c>
      <c r="P31" s="128">
        <v>1081.4000000000001</v>
      </c>
      <c r="Q31" s="128">
        <v>1081.4000000000001</v>
      </c>
      <c r="R31" s="61"/>
      <c r="S31" s="61"/>
    </row>
    <row r="32" spans="1:22" s="53" customFormat="1" ht="30.75" customHeight="1" outlineLevel="1" x14ac:dyDescent="0.25">
      <c r="A32" s="56" t="s">
        <v>96</v>
      </c>
      <c r="B32" s="418" t="s">
        <v>315</v>
      </c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20"/>
    </row>
    <row r="33" spans="1:18" s="53" customFormat="1" ht="31.5" customHeight="1" outlineLevel="1" x14ac:dyDescent="0.25">
      <c r="A33" s="69" t="s">
        <v>97</v>
      </c>
      <c r="B33" s="421" t="s">
        <v>99</v>
      </c>
      <c r="C33" s="422"/>
      <c r="D33" s="422"/>
      <c r="E33" s="422"/>
      <c r="F33" s="422"/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3"/>
      <c r="R33" s="61"/>
    </row>
    <row r="34" spans="1:18" s="111" customFormat="1" ht="24" customHeight="1" outlineLevel="1" x14ac:dyDescent="0.3">
      <c r="A34" s="382" t="s">
        <v>57</v>
      </c>
      <c r="B34" s="424" t="s">
        <v>174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425"/>
      <c r="P34" s="425"/>
      <c r="Q34" s="426"/>
    </row>
    <row r="35" spans="1:18" s="53" customFormat="1" ht="0.75" hidden="1" customHeight="1" outlineLevel="1" x14ac:dyDescent="0.25">
      <c r="A35" s="383" t="s">
        <v>59</v>
      </c>
      <c r="B35" s="427"/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O35" s="428"/>
      <c r="P35" s="428"/>
      <c r="Q35" s="429"/>
    </row>
    <row r="36" spans="1:18" s="53" customFormat="1" ht="41.25" customHeight="1" outlineLevel="1" x14ac:dyDescent="0.25">
      <c r="A36" s="69" t="s">
        <v>87</v>
      </c>
      <c r="B36" s="74">
        <v>3000</v>
      </c>
      <c r="C36" s="84">
        <v>3000</v>
      </c>
      <c r="D36" s="75">
        <v>0</v>
      </c>
      <c r="E36" s="75">
        <v>6</v>
      </c>
      <c r="F36" s="75">
        <v>10</v>
      </c>
      <c r="G36" s="75">
        <v>12</v>
      </c>
      <c r="H36" s="75">
        <v>12</v>
      </c>
      <c r="I36" s="75">
        <v>12</v>
      </c>
      <c r="J36" s="75">
        <v>12</v>
      </c>
      <c r="K36" s="75">
        <v>12</v>
      </c>
      <c r="L36" s="72">
        <v>0</v>
      </c>
      <c r="M36" s="72">
        <v>0</v>
      </c>
      <c r="N36" s="83">
        <v>1466</v>
      </c>
      <c r="O36" s="83">
        <v>465</v>
      </c>
      <c r="P36" s="109">
        <v>465</v>
      </c>
      <c r="Q36" s="109">
        <v>465</v>
      </c>
      <c r="R36" s="61"/>
    </row>
    <row r="37" spans="1:18" s="53" customFormat="1" ht="33" customHeight="1" outlineLevel="1" x14ac:dyDescent="0.25">
      <c r="A37" s="56" t="s">
        <v>96</v>
      </c>
      <c r="B37" s="418" t="s">
        <v>197</v>
      </c>
      <c r="C37" s="419"/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20"/>
      <c r="R37" s="61"/>
    </row>
    <row r="38" spans="1:18" s="53" customFormat="1" ht="31.5" customHeight="1" outlineLevel="1" x14ac:dyDescent="0.25">
      <c r="A38" s="69" t="s">
        <v>97</v>
      </c>
      <c r="B38" s="421" t="s">
        <v>99</v>
      </c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422"/>
      <c r="O38" s="422"/>
      <c r="P38" s="422"/>
      <c r="Q38" s="423"/>
      <c r="R38" s="61"/>
    </row>
    <row r="39" spans="1:18" s="53" customFormat="1" ht="18.75" customHeight="1" outlineLevel="1" x14ac:dyDescent="0.25">
      <c r="A39" s="382" t="s">
        <v>57</v>
      </c>
      <c r="B39" s="424" t="s">
        <v>174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425"/>
      <c r="P39" s="425"/>
      <c r="Q39" s="426"/>
      <c r="R39" s="61"/>
    </row>
    <row r="40" spans="1:18" s="53" customFormat="1" ht="7.5" customHeight="1" outlineLevel="1" x14ac:dyDescent="0.25">
      <c r="A40" s="383" t="s">
        <v>59</v>
      </c>
      <c r="B40" s="427"/>
      <c r="C40" s="428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428"/>
      <c r="O40" s="428"/>
      <c r="P40" s="428"/>
      <c r="Q40" s="429"/>
      <c r="R40" s="61"/>
    </row>
    <row r="41" spans="1:18" s="53" customFormat="1" ht="38.25" customHeight="1" outlineLevel="1" x14ac:dyDescent="0.25">
      <c r="A41" s="69" t="s">
        <v>87</v>
      </c>
      <c r="B41" s="74">
        <v>3000</v>
      </c>
      <c r="C41" s="84">
        <v>3000</v>
      </c>
      <c r="D41" s="75">
        <v>0</v>
      </c>
      <c r="E41" s="75">
        <v>16</v>
      </c>
      <c r="F41" s="75">
        <v>16</v>
      </c>
      <c r="G41" s="75">
        <v>14</v>
      </c>
      <c r="H41" s="75">
        <v>14</v>
      </c>
      <c r="I41" s="75">
        <v>14</v>
      </c>
      <c r="J41" s="75">
        <v>14</v>
      </c>
      <c r="K41" s="75">
        <v>14</v>
      </c>
      <c r="L41" s="72">
        <f>858.9+387</f>
        <v>1245.9000000000001</v>
      </c>
      <c r="M41" s="72">
        <v>958.9</v>
      </c>
      <c r="N41" s="72">
        <v>706.1</v>
      </c>
      <c r="O41" s="72">
        <v>858.9</v>
      </c>
      <c r="P41" s="109">
        <v>858.9</v>
      </c>
      <c r="Q41" s="72">
        <v>858.9</v>
      </c>
      <c r="R41" s="61"/>
    </row>
    <row r="42" spans="1:18" s="53" customFormat="1" ht="34.5" customHeight="1" outlineLevel="1" x14ac:dyDescent="0.25">
      <c r="A42" s="56" t="s">
        <v>96</v>
      </c>
      <c r="B42" s="418" t="s">
        <v>317</v>
      </c>
      <c r="C42" s="419"/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20"/>
      <c r="R42" s="61"/>
    </row>
    <row r="43" spans="1:18" s="53" customFormat="1" ht="36.75" customHeight="1" outlineLevel="1" x14ac:dyDescent="0.25">
      <c r="A43" s="69" t="s">
        <v>97</v>
      </c>
      <c r="B43" s="421" t="s">
        <v>198</v>
      </c>
      <c r="C43" s="422"/>
      <c r="D43" s="422"/>
      <c r="E43" s="422"/>
      <c r="F43" s="422"/>
      <c r="G43" s="422"/>
      <c r="H43" s="422"/>
      <c r="I43" s="422"/>
      <c r="J43" s="422"/>
      <c r="K43" s="422"/>
      <c r="L43" s="422"/>
      <c r="M43" s="422"/>
      <c r="N43" s="422"/>
      <c r="O43" s="422"/>
      <c r="P43" s="422"/>
      <c r="Q43" s="423"/>
      <c r="R43" s="61"/>
    </row>
    <row r="44" spans="1:18" s="53" customFormat="1" ht="22.5" customHeight="1" outlineLevel="1" x14ac:dyDescent="0.25">
      <c r="A44" s="382" t="s">
        <v>57</v>
      </c>
      <c r="B44" s="424" t="s">
        <v>174</v>
      </c>
      <c r="C44" s="425"/>
      <c r="D44" s="425"/>
      <c r="E44" s="425"/>
      <c r="F44" s="425"/>
      <c r="G44" s="425"/>
      <c r="H44" s="425"/>
      <c r="I44" s="425"/>
      <c r="J44" s="425"/>
      <c r="K44" s="425"/>
      <c r="L44" s="425"/>
      <c r="M44" s="425"/>
      <c r="N44" s="425"/>
      <c r="O44" s="425"/>
      <c r="P44" s="425"/>
      <c r="Q44" s="426"/>
      <c r="R44" s="61"/>
    </row>
    <row r="45" spans="1:18" s="53" customFormat="1" ht="3.75" customHeight="1" outlineLevel="1" x14ac:dyDescent="0.25">
      <c r="A45" s="383" t="s">
        <v>59</v>
      </c>
      <c r="B45" s="427"/>
      <c r="C45" s="428"/>
      <c r="D45" s="428"/>
      <c r="E45" s="428"/>
      <c r="F45" s="428"/>
      <c r="G45" s="428"/>
      <c r="H45" s="428"/>
      <c r="I45" s="428"/>
      <c r="J45" s="428"/>
      <c r="K45" s="428"/>
      <c r="L45" s="428"/>
      <c r="M45" s="428"/>
      <c r="N45" s="428"/>
      <c r="O45" s="428"/>
      <c r="P45" s="428"/>
      <c r="Q45" s="429"/>
      <c r="R45" s="61"/>
    </row>
    <row r="46" spans="1:18" s="53" customFormat="1" ht="43.5" customHeight="1" outlineLevel="1" x14ac:dyDescent="0.25">
      <c r="A46" s="69" t="s">
        <v>87</v>
      </c>
      <c r="B46" s="74">
        <v>3000</v>
      </c>
      <c r="C46" s="74">
        <v>3000</v>
      </c>
      <c r="D46" s="74">
        <v>2718</v>
      </c>
      <c r="E46" s="74">
        <v>2718</v>
      </c>
      <c r="F46" s="74">
        <v>2718</v>
      </c>
      <c r="G46" s="74">
        <v>2718</v>
      </c>
      <c r="H46" s="74">
        <v>2718</v>
      </c>
      <c r="I46" s="74">
        <v>2718</v>
      </c>
      <c r="J46" s="74">
        <v>2718</v>
      </c>
      <c r="K46" s="74">
        <v>2718</v>
      </c>
      <c r="L46" s="85">
        <f>1536.9+400</f>
        <v>1936.9</v>
      </c>
      <c r="M46" s="85">
        <f>1636.9-42.9-178</f>
        <v>1416</v>
      </c>
      <c r="N46" s="85">
        <v>1767.7</v>
      </c>
      <c r="O46" s="85">
        <v>1304.3</v>
      </c>
      <c r="P46" s="85">
        <v>1304.3</v>
      </c>
      <c r="Q46" s="85">
        <v>1304.3</v>
      </c>
      <c r="R46" s="61"/>
    </row>
    <row r="47" spans="1:18" s="53" customFormat="1" ht="32.25" customHeight="1" outlineLevel="1" x14ac:dyDescent="0.25">
      <c r="A47" s="114" t="s">
        <v>96</v>
      </c>
      <c r="B47" s="104"/>
      <c r="C47" s="104"/>
      <c r="D47" s="388" t="s">
        <v>201</v>
      </c>
      <c r="E47" s="389"/>
      <c r="F47" s="389"/>
      <c r="G47" s="389"/>
      <c r="H47" s="389"/>
      <c r="I47" s="389"/>
      <c r="J47" s="389"/>
      <c r="K47" s="389"/>
      <c r="L47" s="389"/>
      <c r="M47" s="389"/>
      <c r="N47" s="389"/>
      <c r="O47" s="389"/>
      <c r="P47" s="389"/>
      <c r="Q47" s="390"/>
      <c r="R47" s="61"/>
    </row>
    <row r="48" spans="1:18" s="53" customFormat="1" ht="33" customHeight="1" outlineLevel="1" x14ac:dyDescent="0.25">
      <c r="A48" s="115" t="s">
        <v>97</v>
      </c>
      <c r="B48" s="104"/>
      <c r="C48" s="104"/>
      <c r="D48" s="391" t="s">
        <v>308</v>
      </c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3"/>
      <c r="R48" s="61"/>
    </row>
    <row r="49" spans="1:20" s="53" customFormat="1" ht="27.75" customHeight="1" outlineLevel="1" x14ac:dyDescent="0.25">
      <c r="A49" s="117" t="s">
        <v>309</v>
      </c>
      <c r="B49" s="74"/>
      <c r="C49" s="74"/>
      <c r="D49" s="388" t="s">
        <v>174</v>
      </c>
      <c r="E49" s="389"/>
      <c r="F49" s="389"/>
      <c r="G49" s="389"/>
      <c r="H49" s="389"/>
      <c r="I49" s="389"/>
      <c r="J49" s="389"/>
      <c r="K49" s="389"/>
      <c r="L49" s="389"/>
      <c r="M49" s="389"/>
      <c r="N49" s="389"/>
      <c r="O49" s="389"/>
      <c r="P49" s="389"/>
      <c r="Q49" s="390"/>
      <c r="R49" s="61"/>
    </row>
    <row r="50" spans="1:20" s="53" customFormat="1" ht="47.25" customHeight="1" outlineLevel="1" x14ac:dyDescent="0.25">
      <c r="A50" s="118" t="s">
        <v>87</v>
      </c>
      <c r="B50" s="74"/>
      <c r="C50" s="74"/>
      <c r="D50" s="74">
        <v>70</v>
      </c>
      <c r="E50" s="158">
        <v>70</v>
      </c>
      <c r="F50" s="158">
        <v>70</v>
      </c>
      <c r="G50" s="121">
        <v>116</v>
      </c>
      <c r="H50" s="121">
        <v>116</v>
      </c>
      <c r="I50" s="121">
        <v>116</v>
      </c>
      <c r="J50" s="121">
        <v>116</v>
      </c>
      <c r="K50" s="121">
        <v>116</v>
      </c>
      <c r="L50" s="125">
        <v>2143.3000000000002</v>
      </c>
      <c r="M50" s="125">
        <v>2332.81</v>
      </c>
      <c r="N50" s="126">
        <f>1918.4+298.4</f>
        <v>2216.8000000000002</v>
      </c>
      <c r="O50" s="124">
        <v>2711</v>
      </c>
      <c r="P50" s="124">
        <v>2617</v>
      </c>
      <c r="Q50" s="124">
        <v>2617</v>
      </c>
      <c r="R50" s="61"/>
    </row>
    <row r="51" spans="1:20" s="53" customFormat="1" ht="41.25" customHeight="1" x14ac:dyDescent="0.25">
      <c r="A51" s="114" t="s">
        <v>96</v>
      </c>
      <c r="B51" s="104"/>
      <c r="C51" s="104"/>
      <c r="D51" s="388" t="s">
        <v>310</v>
      </c>
      <c r="E51" s="389"/>
      <c r="F51" s="389"/>
      <c r="G51" s="389"/>
      <c r="H51" s="389"/>
      <c r="I51" s="389"/>
      <c r="J51" s="389"/>
      <c r="K51" s="389"/>
      <c r="L51" s="389"/>
      <c r="M51" s="389"/>
      <c r="N51" s="389"/>
      <c r="O51" s="389"/>
      <c r="P51" s="389"/>
      <c r="Q51" s="390"/>
      <c r="R51" s="61"/>
    </row>
    <row r="52" spans="1:20" s="53" customFormat="1" ht="33" customHeight="1" x14ac:dyDescent="0.25">
      <c r="A52" s="115" t="s">
        <v>97</v>
      </c>
      <c r="B52" s="104"/>
      <c r="C52" s="104"/>
      <c r="D52" s="391" t="s">
        <v>99</v>
      </c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3"/>
      <c r="R52" s="61"/>
    </row>
    <row r="53" spans="1:20" s="53" customFormat="1" ht="21" customHeight="1" x14ac:dyDescent="0.25">
      <c r="A53" s="117" t="s">
        <v>309</v>
      </c>
      <c r="B53" s="74"/>
      <c r="C53" s="74"/>
      <c r="D53" s="388" t="s">
        <v>174</v>
      </c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90"/>
      <c r="R53" s="87"/>
      <c r="S53" s="87"/>
      <c r="T53" s="87"/>
    </row>
    <row r="54" spans="1:20" s="53" customFormat="1" ht="45.75" customHeight="1" x14ac:dyDescent="0.25">
      <c r="A54" s="118" t="s">
        <v>87</v>
      </c>
      <c r="B54" s="74"/>
      <c r="C54" s="74"/>
      <c r="D54" s="74">
        <v>0</v>
      </c>
      <c r="E54" s="120">
        <v>0</v>
      </c>
      <c r="F54" s="120">
        <v>0</v>
      </c>
      <c r="G54" s="120">
        <v>6</v>
      </c>
      <c r="H54" s="120">
        <v>6</v>
      </c>
      <c r="I54" s="120">
        <v>6</v>
      </c>
      <c r="J54" s="120">
        <v>6</v>
      </c>
      <c r="K54" s="120">
        <v>6</v>
      </c>
      <c r="L54" s="120">
        <v>0</v>
      </c>
      <c r="M54" s="120">
        <v>0</v>
      </c>
      <c r="N54" s="120">
        <v>0</v>
      </c>
      <c r="O54" s="121">
        <v>83.1</v>
      </c>
      <c r="P54" s="121">
        <v>83.1</v>
      </c>
      <c r="Q54" s="121">
        <v>83.1</v>
      </c>
      <c r="R54" s="61"/>
    </row>
    <row r="55" spans="1:20" s="53" customFormat="1" ht="41.25" customHeight="1" x14ac:dyDescent="0.25">
      <c r="A55" s="114" t="s">
        <v>96</v>
      </c>
      <c r="B55" s="104"/>
      <c r="C55" s="104"/>
      <c r="D55" s="388" t="s">
        <v>311</v>
      </c>
      <c r="E55" s="389"/>
      <c r="F55" s="389"/>
      <c r="G55" s="389"/>
      <c r="H55" s="389"/>
      <c r="I55" s="389"/>
      <c r="J55" s="389"/>
      <c r="K55" s="389"/>
      <c r="L55" s="389"/>
      <c r="M55" s="389"/>
      <c r="N55" s="389"/>
      <c r="O55" s="389"/>
      <c r="P55" s="389"/>
      <c r="Q55" s="390"/>
      <c r="R55" s="61"/>
    </row>
    <row r="56" spans="1:20" s="53" customFormat="1" ht="29.25" customHeight="1" x14ac:dyDescent="0.25">
      <c r="A56" s="115" t="s">
        <v>97</v>
      </c>
      <c r="B56" s="104"/>
      <c r="C56" s="104"/>
      <c r="D56" s="391" t="s">
        <v>312</v>
      </c>
      <c r="E56" s="392"/>
      <c r="F56" s="392"/>
      <c r="G56" s="392"/>
      <c r="H56" s="392"/>
      <c r="I56" s="392"/>
      <c r="J56" s="392"/>
      <c r="K56" s="392"/>
      <c r="L56" s="392"/>
      <c r="M56" s="392"/>
      <c r="N56" s="392"/>
      <c r="O56" s="392"/>
      <c r="P56" s="392"/>
      <c r="Q56" s="393"/>
    </row>
    <row r="57" spans="1:20" s="53" customFormat="1" ht="24.75" customHeight="1" outlineLevel="1" x14ac:dyDescent="0.25">
      <c r="A57" s="117" t="s">
        <v>309</v>
      </c>
      <c r="B57" s="74"/>
      <c r="C57" s="74"/>
      <c r="D57" s="388" t="s">
        <v>174</v>
      </c>
      <c r="E57" s="389"/>
      <c r="F57" s="389"/>
      <c r="G57" s="389"/>
      <c r="H57" s="389"/>
      <c r="I57" s="389"/>
      <c r="J57" s="389"/>
      <c r="K57" s="389"/>
      <c r="L57" s="389"/>
      <c r="M57" s="389"/>
      <c r="N57" s="389"/>
      <c r="O57" s="389"/>
      <c r="P57" s="389"/>
      <c r="Q57" s="390"/>
    </row>
    <row r="58" spans="1:20" s="53" customFormat="1" ht="49.5" customHeight="1" outlineLevel="1" x14ac:dyDescent="0.25">
      <c r="A58" s="118" t="s">
        <v>87</v>
      </c>
      <c r="B58" s="74"/>
      <c r="C58" s="74"/>
      <c r="D58" s="122">
        <v>0</v>
      </c>
      <c r="E58" s="123">
        <v>0</v>
      </c>
      <c r="F58" s="123">
        <v>0</v>
      </c>
      <c r="G58" s="123">
        <v>433</v>
      </c>
      <c r="H58" s="123">
        <v>433</v>
      </c>
      <c r="I58" s="123">
        <v>433</v>
      </c>
      <c r="J58" s="123">
        <v>433</v>
      </c>
      <c r="K58" s="123">
        <v>433</v>
      </c>
      <c r="L58" s="123">
        <v>0</v>
      </c>
      <c r="M58" s="123">
        <v>0</v>
      </c>
      <c r="N58" s="123">
        <v>0</v>
      </c>
      <c r="O58" s="123">
        <v>10389.799999999999</v>
      </c>
      <c r="P58" s="123">
        <v>9044.1</v>
      </c>
      <c r="Q58" s="123">
        <v>9044.1</v>
      </c>
      <c r="R58" s="61"/>
    </row>
    <row r="59" spans="1:20" s="53" customFormat="1" ht="45.75" customHeight="1" x14ac:dyDescent="0.25">
      <c r="A59" s="183" t="s">
        <v>96</v>
      </c>
      <c r="B59" s="394" t="s">
        <v>195</v>
      </c>
      <c r="C59" s="394"/>
      <c r="D59" s="394"/>
      <c r="E59" s="394"/>
      <c r="F59" s="394"/>
      <c r="G59" s="394"/>
      <c r="H59" s="394"/>
      <c r="I59" s="394"/>
      <c r="J59" s="394"/>
      <c r="K59" s="394"/>
      <c r="L59" s="394"/>
      <c r="M59" s="394"/>
      <c r="N59" s="394"/>
      <c r="O59" s="394"/>
      <c r="P59" s="394"/>
      <c r="Q59" s="394"/>
      <c r="R59" s="61"/>
    </row>
    <row r="60" spans="1:20" s="53" customFormat="1" ht="45" customHeight="1" x14ac:dyDescent="0.25">
      <c r="A60" s="166" t="s">
        <v>97</v>
      </c>
      <c r="B60" s="395" t="s">
        <v>99</v>
      </c>
      <c r="C60" s="395"/>
      <c r="D60" s="395"/>
      <c r="E60" s="395"/>
      <c r="F60" s="395"/>
      <c r="G60" s="395"/>
      <c r="H60" s="395"/>
      <c r="I60" s="395"/>
      <c r="J60" s="395"/>
      <c r="K60" s="395"/>
      <c r="L60" s="395"/>
      <c r="M60" s="395"/>
      <c r="N60" s="395"/>
      <c r="O60" s="395"/>
      <c r="P60" s="395"/>
      <c r="Q60" s="395"/>
      <c r="R60" s="61"/>
    </row>
    <row r="61" spans="1:20" s="53" customFormat="1" ht="21" customHeight="1" x14ac:dyDescent="0.25">
      <c r="A61" s="167" t="s">
        <v>59</v>
      </c>
      <c r="B61" s="400" t="s">
        <v>168</v>
      </c>
      <c r="C61" s="400"/>
      <c r="D61" s="400"/>
      <c r="E61" s="400"/>
      <c r="F61" s="400"/>
      <c r="G61" s="400"/>
      <c r="H61" s="400"/>
      <c r="I61" s="400"/>
      <c r="J61" s="400"/>
      <c r="K61" s="400"/>
      <c r="L61" s="400"/>
      <c r="M61" s="400"/>
      <c r="N61" s="400"/>
      <c r="O61" s="400"/>
      <c r="P61" s="400"/>
      <c r="Q61" s="400"/>
      <c r="R61" s="87"/>
      <c r="S61" s="87"/>
      <c r="T61" s="87"/>
    </row>
    <row r="62" spans="1:20" s="53" customFormat="1" ht="42.75" customHeight="1" x14ac:dyDescent="0.25">
      <c r="A62" s="79" t="s">
        <v>87</v>
      </c>
      <c r="B62" s="60">
        <v>450</v>
      </c>
      <c r="C62" s="60">
        <v>510</v>
      </c>
      <c r="D62" s="159">
        <v>0</v>
      </c>
      <c r="E62" s="159">
        <v>23</v>
      </c>
      <c r="F62" s="159">
        <v>24</v>
      </c>
      <c r="G62" s="159">
        <v>21</v>
      </c>
      <c r="H62" s="159">
        <v>21</v>
      </c>
      <c r="I62" s="159">
        <v>21</v>
      </c>
      <c r="J62" s="159">
        <v>21</v>
      </c>
      <c r="K62" s="159">
        <v>21</v>
      </c>
      <c r="L62" s="72">
        <v>0</v>
      </c>
      <c r="M62" s="72">
        <v>0</v>
      </c>
      <c r="N62" s="83">
        <v>802.9</v>
      </c>
      <c r="O62" s="83">
        <v>1137.7</v>
      </c>
      <c r="P62" s="109">
        <v>981.7</v>
      </c>
      <c r="Q62" s="72">
        <v>981.7</v>
      </c>
      <c r="R62" s="61"/>
    </row>
    <row r="63" spans="1:20" s="53" customFormat="1" ht="37.5" customHeight="1" x14ac:dyDescent="0.25">
      <c r="A63" s="119" t="s">
        <v>96</v>
      </c>
      <c r="B63" s="388" t="s">
        <v>196</v>
      </c>
      <c r="C63" s="389"/>
      <c r="D63" s="389"/>
      <c r="E63" s="389"/>
      <c r="F63" s="389"/>
      <c r="G63" s="389"/>
      <c r="H63" s="389"/>
      <c r="I63" s="389"/>
      <c r="J63" s="389"/>
      <c r="K63" s="389"/>
      <c r="L63" s="389"/>
      <c r="M63" s="389"/>
      <c r="N63" s="389"/>
      <c r="O63" s="389"/>
      <c r="P63" s="389"/>
      <c r="Q63" s="390"/>
      <c r="R63" s="61"/>
    </row>
    <row r="64" spans="1:20" s="53" customFormat="1" ht="29.25" customHeight="1" x14ac:dyDescent="0.25">
      <c r="A64" s="101" t="s">
        <v>97</v>
      </c>
      <c r="B64" s="391" t="s">
        <v>99</v>
      </c>
      <c r="C64" s="392"/>
      <c r="D64" s="392"/>
      <c r="E64" s="392"/>
      <c r="F64" s="392"/>
      <c r="G64" s="392"/>
      <c r="H64" s="392"/>
      <c r="I64" s="392"/>
      <c r="J64" s="392"/>
      <c r="K64" s="392"/>
      <c r="L64" s="392"/>
      <c r="M64" s="392"/>
      <c r="N64" s="392"/>
      <c r="O64" s="392"/>
      <c r="P64" s="392"/>
      <c r="Q64" s="393"/>
    </row>
    <row r="65" spans="1:22" s="53" customFormat="1" ht="18" customHeight="1" outlineLevel="1" x14ac:dyDescent="0.25">
      <c r="A65" s="58" t="s">
        <v>59</v>
      </c>
      <c r="B65" s="397" t="s">
        <v>168</v>
      </c>
      <c r="C65" s="398"/>
      <c r="D65" s="398"/>
      <c r="E65" s="398"/>
      <c r="F65" s="398"/>
      <c r="G65" s="398"/>
      <c r="H65" s="398"/>
      <c r="I65" s="398"/>
      <c r="J65" s="398"/>
      <c r="K65" s="398"/>
      <c r="L65" s="398"/>
      <c r="M65" s="398"/>
      <c r="N65" s="398"/>
      <c r="O65" s="398"/>
      <c r="P65" s="398"/>
      <c r="Q65" s="399"/>
    </row>
    <row r="66" spans="1:22" s="53" customFormat="1" ht="41.25" customHeight="1" outlineLevel="1" x14ac:dyDescent="0.25">
      <c r="A66" s="69" t="s">
        <v>90</v>
      </c>
      <c r="B66" s="73">
        <v>112</v>
      </c>
      <c r="C66" s="74">
        <v>40</v>
      </c>
      <c r="D66" s="73">
        <v>0</v>
      </c>
      <c r="E66" s="73">
        <v>18</v>
      </c>
      <c r="F66" s="73">
        <v>18</v>
      </c>
      <c r="G66" s="73">
        <v>17</v>
      </c>
      <c r="H66" s="73">
        <v>17</v>
      </c>
      <c r="I66" s="73">
        <v>17</v>
      </c>
      <c r="J66" s="73">
        <v>17</v>
      </c>
      <c r="K66" s="73">
        <v>17</v>
      </c>
      <c r="L66" s="72">
        <v>0</v>
      </c>
      <c r="M66" s="72">
        <v>0</v>
      </c>
      <c r="N66" s="72">
        <v>1117.4000000000001</v>
      </c>
      <c r="O66" s="72">
        <v>1150.9000000000001</v>
      </c>
      <c r="P66" s="109">
        <v>993.2</v>
      </c>
      <c r="Q66" s="72">
        <v>993.2</v>
      </c>
      <c r="R66" s="61"/>
    </row>
    <row r="67" spans="1:22" s="53" customFormat="1" ht="44.25" customHeight="1" outlineLevel="1" x14ac:dyDescent="0.25">
      <c r="A67" s="119" t="s">
        <v>96</v>
      </c>
      <c r="B67" s="388" t="s">
        <v>302</v>
      </c>
      <c r="C67" s="389"/>
      <c r="D67" s="389"/>
      <c r="E67" s="389"/>
      <c r="F67" s="389"/>
      <c r="G67" s="389"/>
      <c r="H67" s="389"/>
      <c r="I67" s="389"/>
      <c r="J67" s="389"/>
      <c r="K67" s="389"/>
      <c r="L67" s="389"/>
      <c r="M67" s="389"/>
      <c r="N67" s="389"/>
      <c r="O67" s="389"/>
      <c r="P67" s="389"/>
      <c r="Q67" s="390"/>
      <c r="R67" s="61"/>
    </row>
    <row r="68" spans="1:22" s="53" customFormat="1" ht="28.5" customHeight="1" outlineLevel="1" x14ac:dyDescent="0.25">
      <c r="A68" s="102" t="s">
        <v>97</v>
      </c>
      <c r="B68" s="391" t="s">
        <v>99</v>
      </c>
      <c r="C68" s="392"/>
      <c r="D68" s="392"/>
      <c r="E68" s="392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93"/>
      <c r="R68" s="61"/>
    </row>
    <row r="69" spans="1:22" s="53" customFormat="1" ht="16.5" customHeight="1" outlineLevel="1" x14ac:dyDescent="0.25">
      <c r="A69" s="58" t="s">
        <v>59</v>
      </c>
      <c r="B69" s="397" t="s">
        <v>167</v>
      </c>
      <c r="C69" s="398"/>
      <c r="D69" s="398"/>
      <c r="E69" s="398"/>
      <c r="F69" s="398"/>
      <c r="G69" s="398"/>
      <c r="H69" s="398"/>
      <c r="I69" s="398"/>
      <c r="J69" s="398"/>
      <c r="K69" s="398"/>
      <c r="L69" s="398"/>
      <c r="M69" s="398"/>
      <c r="N69" s="398"/>
      <c r="O69" s="398"/>
      <c r="P69" s="398"/>
      <c r="Q69" s="399"/>
    </row>
    <row r="70" spans="1:22" s="53" customFormat="1" ht="46.5" customHeight="1" outlineLevel="1" x14ac:dyDescent="0.25">
      <c r="A70" s="69" t="s">
        <v>87</v>
      </c>
      <c r="B70" s="74">
        <v>250</v>
      </c>
      <c r="C70" s="75">
        <v>260</v>
      </c>
      <c r="D70" s="74">
        <v>0</v>
      </c>
      <c r="E70" s="75">
        <v>14</v>
      </c>
      <c r="F70" s="74">
        <v>21</v>
      </c>
      <c r="G70" s="74">
        <v>20</v>
      </c>
      <c r="H70" s="74">
        <v>20</v>
      </c>
      <c r="I70" s="74">
        <v>20</v>
      </c>
      <c r="J70" s="74">
        <v>20</v>
      </c>
      <c r="K70" s="74">
        <v>20</v>
      </c>
      <c r="L70" s="72">
        <v>0</v>
      </c>
      <c r="M70" s="72">
        <v>0</v>
      </c>
      <c r="N70" s="72">
        <v>1126.8</v>
      </c>
      <c r="O70" s="72">
        <v>1057.0999999999999</v>
      </c>
      <c r="P70" s="72">
        <v>912.1</v>
      </c>
      <c r="Q70" s="72">
        <v>912.1</v>
      </c>
      <c r="R70" s="61"/>
    </row>
    <row r="71" spans="1:22" s="53" customFormat="1" ht="1.5" customHeight="1" outlineLevel="1" x14ac:dyDescent="0.25">
      <c r="A71" s="103"/>
      <c r="B71" s="104"/>
      <c r="C71" s="80"/>
      <c r="D71" s="80"/>
      <c r="E71" s="80"/>
      <c r="F71" s="80"/>
      <c r="G71" s="80"/>
      <c r="H71" s="81"/>
      <c r="I71" s="81"/>
      <c r="J71" s="81"/>
      <c r="K71" s="81"/>
      <c r="L71" s="81"/>
      <c r="M71" s="81"/>
      <c r="N71" s="81"/>
      <c r="O71" s="81"/>
      <c r="P71" s="81"/>
      <c r="Q71" s="83"/>
      <c r="R71" s="61"/>
    </row>
    <row r="72" spans="1:22" s="53" customFormat="1" ht="39" customHeight="1" outlineLevel="1" x14ac:dyDescent="0.25">
      <c r="A72" s="172" t="s">
        <v>96</v>
      </c>
      <c r="B72" s="394" t="s">
        <v>199</v>
      </c>
      <c r="C72" s="394"/>
      <c r="D72" s="394"/>
      <c r="E72" s="394"/>
      <c r="F72" s="394"/>
      <c r="G72" s="394"/>
      <c r="H72" s="394"/>
      <c r="I72" s="394"/>
      <c r="J72" s="394"/>
      <c r="K72" s="394"/>
      <c r="L72" s="394"/>
      <c r="M72" s="394"/>
      <c r="N72" s="394"/>
      <c r="O72" s="394"/>
      <c r="P72" s="394"/>
      <c r="Q72" s="394"/>
      <c r="R72" s="61"/>
    </row>
    <row r="73" spans="1:22" s="53" customFormat="1" ht="36.75" customHeight="1" outlineLevel="1" x14ac:dyDescent="0.25">
      <c r="A73" s="98" t="s">
        <v>97</v>
      </c>
      <c r="B73" s="395" t="s">
        <v>200</v>
      </c>
      <c r="C73" s="395"/>
      <c r="D73" s="395"/>
      <c r="E73" s="395"/>
      <c r="F73" s="395"/>
      <c r="G73" s="395"/>
      <c r="H73" s="395"/>
      <c r="I73" s="395"/>
      <c r="J73" s="395"/>
      <c r="K73" s="395"/>
      <c r="L73" s="395"/>
      <c r="M73" s="395"/>
      <c r="N73" s="395"/>
      <c r="O73" s="395"/>
      <c r="P73" s="395"/>
      <c r="Q73" s="395"/>
      <c r="R73" s="61"/>
    </row>
    <row r="74" spans="1:22" s="53" customFormat="1" ht="30.75" customHeight="1" outlineLevel="1" x14ac:dyDescent="0.25">
      <c r="A74" s="58" t="s">
        <v>61</v>
      </c>
      <c r="B74" s="396" t="s">
        <v>142</v>
      </c>
      <c r="C74" s="396"/>
      <c r="D74" s="396"/>
      <c r="E74" s="396"/>
      <c r="F74" s="396"/>
      <c r="G74" s="396"/>
      <c r="H74" s="396"/>
      <c r="I74" s="396"/>
      <c r="J74" s="396"/>
      <c r="K74" s="396"/>
      <c r="L74" s="396"/>
      <c r="M74" s="396"/>
      <c r="N74" s="396"/>
      <c r="O74" s="396"/>
      <c r="P74" s="396"/>
      <c r="Q74" s="396"/>
      <c r="R74" s="61"/>
    </row>
    <row r="75" spans="1:22" s="53" customFormat="1" ht="46.5" customHeight="1" outlineLevel="1" x14ac:dyDescent="0.25">
      <c r="A75" s="103" t="s">
        <v>87</v>
      </c>
      <c r="B75" s="173">
        <v>701</v>
      </c>
      <c r="C75" s="174">
        <v>703</v>
      </c>
      <c r="D75" s="175">
        <v>595</v>
      </c>
      <c r="E75" s="175">
        <v>551</v>
      </c>
      <c r="F75" s="175">
        <v>595</v>
      </c>
      <c r="G75" s="175">
        <v>0</v>
      </c>
      <c r="H75" s="175">
        <v>0</v>
      </c>
      <c r="I75" s="175">
        <v>0</v>
      </c>
      <c r="J75" s="175">
        <v>0</v>
      </c>
      <c r="K75" s="175">
        <v>0</v>
      </c>
      <c r="L75" s="176">
        <f>9500+754.3</f>
        <v>10254.299999999999</v>
      </c>
      <c r="M75" s="176">
        <f>10632.45-69.3</f>
        <v>10563.150000000001</v>
      </c>
      <c r="N75" s="176">
        <v>8944.4</v>
      </c>
      <c r="O75" s="176">
        <v>0</v>
      </c>
      <c r="P75" s="177">
        <v>0</v>
      </c>
      <c r="Q75" s="176">
        <v>0</v>
      </c>
      <c r="R75" s="61"/>
      <c r="S75" s="61"/>
      <c r="T75" s="61"/>
      <c r="U75" s="61"/>
      <c r="V75" s="61"/>
    </row>
    <row r="76" spans="1:22" s="53" customFormat="1" ht="27.75" customHeight="1" outlineLevel="1" x14ac:dyDescent="0.25">
      <c r="A76" s="172" t="s">
        <v>96</v>
      </c>
      <c r="B76" s="394" t="s">
        <v>201</v>
      </c>
      <c r="C76" s="394"/>
      <c r="D76" s="394"/>
      <c r="E76" s="394"/>
      <c r="F76" s="394"/>
      <c r="G76" s="394"/>
      <c r="H76" s="394"/>
      <c r="I76" s="394"/>
      <c r="J76" s="394"/>
      <c r="K76" s="394"/>
      <c r="L76" s="394"/>
      <c r="M76" s="394"/>
      <c r="N76" s="394"/>
      <c r="O76" s="394"/>
      <c r="P76" s="394"/>
      <c r="Q76" s="394"/>
      <c r="R76" s="61"/>
    </row>
    <row r="77" spans="1:22" s="53" customFormat="1" ht="33.75" customHeight="1" outlineLevel="1" x14ac:dyDescent="0.25">
      <c r="A77" s="178" t="s">
        <v>97</v>
      </c>
      <c r="B77" s="395" t="s">
        <v>202</v>
      </c>
      <c r="C77" s="395"/>
      <c r="D77" s="395"/>
      <c r="E77" s="395"/>
      <c r="F77" s="395"/>
      <c r="G77" s="395"/>
      <c r="H77" s="395"/>
      <c r="I77" s="395"/>
      <c r="J77" s="395"/>
      <c r="K77" s="395"/>
      <c r="L77" s="395"/>
      <c r="M77" s="395"/>
      <c r="N77" s="395"/>
      <c r="O77" s="395"/>
      <c r="P77" s="395"/>
      <c r="Q77" s="395"/>
      <c r="R77" s="61"/>
    </row>
    <row r="78" spans="1:22" s="53" customFormat="1" ht="27.75" customHeight="1" outlineLevel="1" x14ac:dyDescent="0.25">
      <c r="A78" s="58" t="s">
        <v>61</v>
      </c>
      <c r="B78" s="396" t="s">
        <v>142</v>
      </c>
      <c r="C78" s="396"/>
      <c r="D78" s="396"/>
      <c r="E78" s="396"/>
      <c r="F78" s="396"/>
      <c r="G78" s="396"/>
      <c r="H78" s="396"/>
      <c r="I78" s="396"/>
      <c r="J78" s="396"/>
      <c r="K78" s="396"/>
      <c r="L78" s="396"/>
      <c r="M78" s="396"/>
      <c r="N78" s="396"/>
      <c r="O78" s="396"/>
      <c r="P78" s="396"/>
      <c r="Q78" s="396"/>
      <c r="R78" s="61"/>
    </row>
    <row r="79" spans="1:22" s="53" customFormat="1" ht="45" customHeight="1" outlineLevel="1" x14ac:dyDescent="0.25">
      <c r="A79" s="179" t="s">
        <v>87</v>
      </c>
      <c r="B79" s="168">
        <v>150</v>
      </c>
      <c r="C79" s="168">
        <v>150</v>
      </c>
      <c r="D79" s="169">
        <v>70</v>
      </c>
      <c r="E79" s="169">
        <v>70</v>
      </c>
      <c r="F79" s="169">
        <v>70</v>
      </c>
      <c r="G79" s="169">
        <v>0</v>
      </c>
      <c r="H79" s="169">
        <v>0</v>
      </c>
      <c r="I79" s="169">
        <v>0</v>
      </c>
      <c r="J79" s="169">
        <v>0</v>
      </c>
      <c r="K79" s="169">
        <v>0</v>
      </c>
      <c r="L79" s="170">
        <v>2143.3000000000002</v>
      </c>
      <c r="M79" s="170">
        <v>2332.81</v>
      </c>
      <c r="N79" s="171">
        <f>1918.4+298.4</f>
        <v>2216.8000000000002</v>
      </c>
      <c r="O79" s="171">
        <v>0</v>
      </c>
      <c r="P79" s="171">
        <v>0</v>
      </c>
      <c r="Q79" s="129">
        <v>0</v>
      </c>
      <c r="R79" s="61"/>
    </row>
    <row r="80" spans="1:22" s="53" customFormat="1" ht="36.75" customHeight="1" outlineLevel="1" x14ac:dyDescent="0.25">
      <c r="A80" s="172" t="s">
        <v>96</v>
      </c>
      <c r="B80" s="394" t="s">
        <v>203</v>
      </c>
      <c r="C80" s="394"/>
      <c r="D80" s="394"/>
      <c r="E80" s="394"/>
      <c r="F80" s="394"/>
      <c r="G80" s="394"/>
      <c r="H80" s="394"/>
      <c r="I80" s="394"/>
      <c r="J80" s="394"/>
      <c r="K80" s="394"/>
      <c r="L80" s="394"/>
      <c r="M80" s="394"/>
      <c r="N80" s="394"/>
      <c r="O80" s="394"/>
      <c r="P80" s="394"/>
      <c r="Q80" s="394"/>
      <c r="R80" s="61"/>
    </row>
    <row r="81" spans="1:18" s="53" customFormat="1" ht="28.9" customHeight="1" outlineLevel="1" x14ac:dyDescent="0.25">
      <c r="A81" s="98" t="s">
        <v>97</v>
      </c>
      <c r="B81" s="395" t="s">
        <v>200</v>
      </c>
      <c r="C81" s="395"/>
      <c r="D81" s="395"/>
      <c r="E81" s="395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61"/>
    </row>
    <row r="82" spans="1:18" s="53" customFormat="1" ht="15" customHeight="1" outlineLevel="1" x14ac:dyDescent="0.25">
      <c r="A82" s="58" t="s">
        <v>61</v>
      </c>
      <c r="B82" s="396" t="s">
        <v>142</v>
      </c>
      <c r="C82" s="396"/>
      <c r="D82" s="396"/>
      <c r="E82" s="396"/>
      <c r="F82" s="396"/>
      <c r="G82" s="396"/>
      <c r="H82" s="396"/>
      <c r="I82" s="396"/>
      <c r="J82" s="396"/>
      <c r="K82" s="396"/>
      <c r="L82" s="396"/>
      <c r="M82" s="396"/>
      <c r="N82" s="396"/>
      <c r="O82" s="396"/>
      <c r="P82" s="396"/>
      <c r="Q82" s="396"/>
      <c r="R82" s="61"/>
    </row>
    <row r="83" spans="1:18" s="53" customFormat="1" ht="42" customHeight="1" outlineLevel="1" x14ac:dyDescent="0.25">
      <c r="A83" s="179" t="s">
        <v>87</v>
      </c>
      <c r="B83" s="180">
        <v>2</v>
      </c>
      <c r="C83" s="180">
        <v>8</v>
      </c>
      <c r="D83" s="181">
        <v>38</v>
      </c>
      <c r="E83" s="181">
        <v>38</v>
      </c>
      <c r="F83" s="181">
        <v>38</v>
      </c>
      <c r="G83" s="182">
        <v>0</v>
      </c>
      <c r="H83" s="182">
        <v>0</v>
      </c>
      <c r="I83" s="182">
        <v>0</v>
      </c>
      <c r="J83" s="182">
        <v>0</v>
      </c>
      <c r="K83" s="182">
        <v>0</v>
      </c>
      <c r="L83" s="129">
        <v>482.2</v>
      </c>
      <c r="M83" s="129">
        <v>588.66999999999996</v>
      </c>
      <c r="N83" s="129">
        <v>482.2</v>
      </c>
      <c r="O83" s="129">
        <v>0</v>
      </c>
      <c r="P83" s="130">
        <v>0</v>
      </c>
      <c r="Q83" s="129">
        <v>0</v>
      </c>
      <c r="R83" s="61"/>
    </row>
    <row r="84" spans="1:18" s="53" customFormat="1" ht="30" customHeight="1" x14ac:dyDescent="0.25">
      <c r="A84" s="172" t="s">
        <v>96</v>
      </c>
      <c r="B84" s="394" t="s">
        <v>205</v>
      </c>
      <c r="C84" s="394"/>
      <c r="D84" s="394"/>
      <c r="E84" s="394"/>
      <c r="F84" s="394"/>
      <c r="G84" s="394"/>
      <c r="H84" s="394"/>
      <c r="I84" s="394"/>
      <c r="J84" s="394"/>
      <c r="K84" s="394"/>
      <c r="L84" s="394"/>
      <c r="M84" s="394"/>
      <c r="N84" s="394"/>
      <c r="O84" s="394"/>
      <c r="P84" s="394"/>
      <c r="Q84" s="394"/>
      <c r="R84" s="106"/>
    </row>
    <row r="85" spans="1:18" s="57" customFormat="1" ht="27" customHeight="1" outlineLevel="2" x14ac:dyDescent="0.2">
      <c r="A85" s="395" t="s">
        <v>97</v>
      </c>
      <c r="B85" s="395" t="s">
        <v>98</v>
      </c>
      <c r="C85" s="395"/>
      <c r="D85" s="395"/>
      <c r="E85" s="395"/>
      <c r="F85" s="395"/>
      <c r="G85" s="395"/>
      <c r="H85" s="395"/>
      <c r="I85" s="395"/>
      <c r="J85" s="395"/>
      <c r="K85" s="395"/>
      <c r="L85" s="395"/>
      <c r="M85" s="395"/>
      <c r="N85" s="395"/>
      <c r="O85" s="395"/>
      <c r="P85" s="395"/>
      <c r="Q85" s="395"/>
      <c r="R85" s="62"/>
    </row>
    <row r="86" spans="1:18" s="57" customFormat="1" ht="27" customHeight="1" outlineLevel="2" x14ac:dyDescent="0.2">
      <c r="A86" s="395"/>
      <c r="B86" s="98"/>
      <c r="C86" s="98"/>
      <c r="D86" s="395" t="s">
        <v>204</v>
      </c>
      <c r="E86" s="395"/>
      <c r="F86" s="395"/>
      <c r="G86" s="395"/>
      <c r="H86" s="395"/>
      <c r="I86" s="395"/>
      <c r="J86" s="395"/>
      <c r="K86" s="395"/>
      <c r="L86" s="395"/>
      <c r="M86" s="395"/>
      <c r="N86" s="395"/>
      <c r="O86" s="395"/>
      <c r="P86" s="395"/>
      <c r="Q86" s="395"/>
      <c r="R86" s="62"/>
    </row>
    <row r="87" spans="1:18" s="53" customFormat="1" ht="15" customHeight="1" outlineLevel="2" x14ac:dyDescent="0.25">
      <c r="A87" s="58" t="s">
        <v>61</v>
      </c>
      <c r="B87" s="396" t="s">
        <v>142</v>
      </c>
      <c r="C87" s="396"/>
      <c r="D87" s="396"/>
      <c r="E87" s="396"/>
      <c r="F87" s="396"/>
      <c r="G87" s="396"/>
      <c r="H87" s="396"/>
      <c r="I87" s="396"/>
      <c r="J87" s="396"/>
      <c r="K87" s="396"/>
      <c r="L87" s="396"/>
      <c r="M87" s="396"/>
      <c r="N87" s="396"/>
      <c r="O87" s="396"/>
      <c r="P87" s="396"/>
      <c r="Q87" s="396"/>
      <c r="R87" s="61"/>
    </row>
    <row r="88" spans="1:18" s="53" customFormat="1" ht="29.25" customHeight="1" outlineLevel="2" x14ac:dyDescent="0.25">
      <c r="A88" s="384" t="s">
        <v>87</v>
      </c>
      <c r="B88" s="105">
        <v>2</v>
      </c>
      <c r="C88" s="105">
        <v>8</v>
      </c>
      <c r="D88" s="73">
        <v>30</v>
      </c>
      <c r="E88" s="73">
        <v>38</v>
      </c>
      <c r="F88" s="73">
        <v>40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386">
        <v>101.6</v>
      </c>
      <c r="M88" s="386">
        <v>123.13</v>
      </c>
      <c r="N88" s="386">
        <v>101.6</v>
      </c>
      <c r="O88" s="386">
        <v>0</v>
      </c>
      <c r="P88" s="411">
        <v>0</v>
      </c>
      <c r="Q88" s="414">
        <v>0</v>
      </c>
    </row>
    <row r="89" spans="1:18" s="53" customFormat="1" ht="15" outlineLevel="2" x14ac:dyDescent="0.25">
      <c r="A89" s="385"/>
      <c r="B89" s="86"/>
      <c r="C89" s="86"/>
      <c r="D89" s="160">
        <v>30</v>
      </c>
      <c r="E89" s="160">
        <v>70</v>
      </c>
      <c r="F89" s="160">
        <v>70</v>
      </c>
      <c r="G89" s="160">
        <v>0</v>
      </c>
      <c r="H89" s="160">
        <v>0</v>
      </c>
      <c r="I89" s="160">
        <v>0</v>
      </c>
      <c r="J89" s="160">
        <v>0</v>
      </c>
      <c r="K89" s="160">
        <v>0</v>
      </c>
      <c r="L89" s="387"/>
      <c r="M89" s="387"/>
      <c r="N89" s="387"/>
      <c r="O89" s="387"/>
      <c r="P89" s="413"/>
      <c r="Q89" s="414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7"/>
      <c r="M90" s="52"/>
      <c r="N90" s="52"/>
      <c r="O90" s="52"/>
      <c r="P90" s="52"/>
      <c r="Q90" s="162"/>
    </row>
    <row r="91" spans="1:18" ht="32.25" customHeight="1" x14ac:dyDescent="0.2">
      <c r="A91" s="430" t="s">
        <v>63</v>
      </c>
      <c r="B91" s="430"/>
      <c r="C91" s="430"/>
      <c r="D91" s="430"/>
      <c r="E91" s="430"/>
      <c r="F91" s="430"/>
      <c r="O91" s="161" t="s">
        <v>247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17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40625"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441" t="s">
        <v>369</v>
      </c>
      <c r="G1" s="442"/>
      <c r="H1" s="442"/>
      <c r="I1" s="442"/>
      <c r="J1" s="442"/>
      <c r="K1" s="442"/>
    </row>
    <row r="2" spans="1:13" s="12" customFormat="1" ht="45.75" customHeight="1" x14ac:dyDescent="0.25">
      <c r="F2" s="450" t="s">
        <v>277</v>
      </c>
      <c r="G2" s="450"/>
      <c r="H2" s="450"/>
      <c r="I2" s="450"/>
      <c r="J2" s="141"/>
    </row>
    <row r="3" spans="1:13" ht="12.75" customHeight="1" x14ac:dyDescent="0.25">
      <c r="A3" s="451"/>
      <c r="B3" s="451"/>
      <c r="C3" s="451"/>
      <c r="D3" s="451"/>
      <c r="E3" s="451"/>
      <c r="F3" s="451"/>
      <c r="G3" s="451"/>
      <c r="H3" s="451"/>
    </row>
    <row r="4" spans="1:13" ht="29.25" customHeight="1" x14ac:dyDescent="0.2">
      <c r="A4" s="452" t="s">
        <v>170</v>
      </c>
      <c r="B4" s="452"/>
      <c r="C4" s="452"/>
      <c r="D4" s="452"/>
      <c r="E4" s="452"/>
      <c r="F4" s="452"/>
      <c r="G4" s="452"/>
      <c r="H4" s="452"/>
      <c r="I4" s="142"/>
      <c r="J4" s="142"/>
    </row>
    <row r="5" spans="1:13" x14ac:dyDescent="0.2">
      <c r="L5" s="17"/>
    </row>
    <row r="6" spans="1:13" s="16" customFormat="1" ht="15" customHeight="1" x14ac:dyDescent="0.25">
      <c r="A6" s="446" t="s">
        <v>17</v>
      </c>
      <c r="B6" s="446" t="s">
        <v>16</v>
      </c>
      <c r="C6" s="447" t="s">
        <v>15</v>
      </c>
      <c r="D6" s="447" t="s">
        <v>14</v>
      </c>
      <c r="E6" s="447" t="s">
        <v>13</v>
      </c>
      <c r="F6" s="447" t="s">
        <v>12</v>
      </c>
      <c r="G6" s="447" t="s">
        <v>11</v>
      </c>
      <c r="H6" s="447" t="s">
        <v>163</v>
      </c>
      <c r="I6" s="447" t="s">
        <v>239</v>
      </c>
      <c r="J6" s="447" t="s">
        <v>240</v>
      </c>
      <c r="K6" s="447" t="s">
        <v>280</v>
      </c>
    </row>
    <row r="7" spans="1:13" s="16" customFormat="1" ht="31.5" customHeight="1" x14ac:dyDescent="0.25">
      <c r="A7" s="446"/>
      <c r="B7" s="446"/>
      <c r="C7" s="447"/>
      <c r="D7" s="447"/>
      <c r="E7" s="447" t="s">
        <v>10</v>
      </c>
      <c r="F7" s="447" t="s">
        <v>10</v>
      </c>
      <c r="G7" s="447" t="s">
        <v>10</v>
      </c>
      <c r="H7" s="447" t="s">
        <v>10</v>
      </c>
      <c r="I7" s="447" t="s">
        <v>10</v>
      </c>
      <c r="J7" s="447" t="s">
        <v>10</v>
      </c>
      <c r="K7" s="447" t="s">
        <v>10</v>
      </c>
    </row>
    <row r="8" spans="1:13" s="16" customFormat="1" ht="55.5" customHeight="1" x14ac:dyDescent="0.25">
      <c r="A8" s="10"/>
      <c r="B8" s="10" t="s">
        <v>9</v>
      </c>
      <c r="C8" s="443" t="s">
        <v>345</v>
      </c>
      <c r="D8" s="444"/>
      <c r="E8" s="444"/>
      <c r="F8" s="444"/>
      <c r="G8" s="444"/>
      <c r="H8" s="444"/>
      <c r="I8" s="444"/>
      <c r="J8" s="444"/>
      <c r="K8" s="445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88"/>
    </row>
    <row r="10" spans="1:13" s="12" customFormat="1" ht="79.5" customHeight="1" x14ac:dyDescent="0.25">
      <c r="A10" s="8" t="s">
        <v>336</v>
      </c>
      <c r="B10" s="13" t="s">
        <v>241</v>
      </c>
      <c r="C10" s="6" t="s">
        <v>2</v>
      </c>
      <c r="D10" s="5" t="s">
        <v>0</v>
      </c>
      <c r="E10" s="6">
        <v>29.5</v>
      </c>
      <c r="F10" s="8" t="s">
        <v>318</v>
      </c>
      <c r="G10" s="8" t="s">
        <v>319</v>
      </c>
      <c r="H10" s="8" t="s">
        <v>320</v>
      </c>
      <c r="I10" s="8" t="s">
        <v>321</v>
      </c>
      <c r="J10" s="8" t="s">
        <v>322</v>
      </c>
      <c r="K10" s="133">
        <v>43.2</v>
      </c>
    </row>
    <row r="11" spans="1:13" s="12" customFormat="1" ht="105" customHeight="1" x14ac:dyDescent="0.25">
      <c r="A11" s="8" t="s">
        <v>337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89">
        <v>9</v>
      </c>
    </row>
    <row r="12" spans="1:13" s="192" customFormat="1" ht="103.5" customHeight="1" x14ac:dyDescent="0.25">
      <c r="A12" s="132" t="s">
        <v>338</v>
      </c>
      <c r="B12" s="134" t="s">
        <v>349</v>
      </c>
      <c r="C12" s="194" t="s">
        <v>2</v>
      </c>
      <c r="D12" s="195" t="s">
        <v>0</v>
      </c>
      <c r="E12" s="194">
        <v>0</v>
      </c>
      <c r="F12" s="194">
        <v>0</v>
      </c>
      <c r="G12" s="194">
        <v>0</v>
      </c>
      <c r="H12" s="132" t="s">
        <v>324</v>
      </c>
      <c r="I12" s="132" t="s">
        <v>325</v>
      </c>
      <c r="J12" s="132" t="s">
        <v>350</v>
      </c>
      <c r="K12" s="132" t="s">
        <v>351</v>
      </c>
    </row>
    <row r="13" spans="1:13" s="193" customFormat="1" ht="120" x14ac:dyDescent="0.2">
      <c r="A13" s="194" t="s">
        <v>339</v>
      </c>
      <c r="B13" s="196" t="s">
        <v>352</v>
      </c>
      <c r="C13" s="197" t="s">
        <v>2</v>
      </c>
      <c r="D13" s="195" t="s">
        <v>0</v>
      </c>
      <c r="E13" s="194">
        <v>0</v>
      </c>
      <c r="F13" s="194">
        <v>0</v>
      </c>
      <c r="G13" s="194">
        <v>0</v>
      </c>
      <c r="H13" s="132" t="s">
        <v>324</v>
      </c>
      <c r="I13" s="132" t="s">
        <v>327</v>
      </c>
      <c r="J13" s="132" t="s">
        <v>328</v>
      </c>
      <c r="K13" s="132" t="s">
        <v>329</v>
      </c>
    </row>
    <row r="14" spans="1:13" ht="135" x14ac:dyDescent="0.2">
      <c r="A14" s="6" t="s">
        <v>340</v>
      </c>
      <c r="B14" s="11" t="s">
        <v>330</v>
      </c>
      <c r="C14" s="10" t="s">
        <v>2</v>
      </c>
      <c r="D14" s="5" t="s">
        <v>0</v>
      </c>
      <c r="E14" s="198">
        <v>0</v>
      </c>
      <c r="F14" s="198">
        <v>0</v>
      </c>
      <c r="G14" s="198">
        <v>0</v>
      </c>
      <c r="H14" s="198">
        <v>0</v>
      </c>
      <c r="I14" s="139">
        <v>3.85</v>
      </c>
      <c r="J14" s="139">
        <v>3.85</v>
      </c>
      <c r="K14" s="138">
        <v>5</v>
      </c>
    </row>
    <row r="15" spans="1:13" ht="53.25" customHeight="1" x14ac:dyDescent="0.2">
      <c r="A15" s="6" t="s">
        <v>341</v>
      </c>
      <c r="B15" s="144" t="s">
        <v>331</v>
      </c>
      <c r="C15" s="10" t="s">
        <v>332</v>
      </c>
      <c r="D15" s="5" t="s">
        <v>0</v>
      </c>
      <c r="E15" s="198">
        <v>0</v>
      </c>
      <c r="F15" s="198">
        <v>0</v>
      </c>
      <c r="G15" s="198">
        <v>0</v>
      </c>
      <c r="H15" s="198">
        <v>0</v>
      </c>
      <c r="I15" s="139">
        <v>12</v>
      </c>
      <c r="J15" s="139">
        <v>12</v>
      </c>
      <c r="K15" s="138">
        <v>12</v>
      </c>
      <c r="L15" s="63"/>
      <c r="M15" s="63"/>
    </row>
    <row r="16" spans="1:13" ht="45" x14ac:dyDescent="0.2">
      <c r="A16" s="6" t="s">
        <v>342</v>
      </c>
      <c r="B16" s="143" t="s">
        <v>333</v>
      </c>
      <c r="C16" s="10" t="s">
        <v>2</v>
      </c>
      <c r="D16" s="5" t="s">
        <v>0</v>
      </c>
      <c r="E16" s="198">
        <v>0</v>
      </c>
      <c r="F16" s="198">
        <v>0</v>
      </c>
      <c r="G16" s="198">
        <v>0</v>
      </c>
      <c r="H16" s="198">
        <v>0</v>
      </c>
      <c r="I16" s="139">
        <v>90</v>
      </c>
      <c r="J16" s="139">
        <v>90</v>
      </c>
      <c r="K16" s="138">
        <v>90</v>
      </c>
    </row>
    <row r="17" spans="1:11" ht="60" x14ac:dyDescent="0.2">
      <c r="A17" s="6" t="s">
        <v>343</v>
      </c>
      <c r="B17" s="11" t="s">
        <v>334</v>
      </c>
      <c r="C17" s="10" t="s">
        <v>2</v>
      </c>
      <c r="D17" s="5" t="s">
        <v>0</v>
      </c>
      <c r="E17" s="198">
        <v>0</v>
      </c>
      <c r="F17" s="198">
        <v>0</v>
      </c>
      <c r="G17" s="198">
        <v>0</v>
      </c>
      <c r="H17" s="198">
        <v>0</v>
      </c>
      <c r="I17" s="138">
        <v>90</v>
      </c>
      <c r="J17" s="138">
        <v>90</v>
      </c>
      <c r="K17" s="138">
        <v>90</v>
      </c>
    </row>
    <row r="18" spans="1:11" ht="50.25" customHeight="1" x14ac:dyDescent="0.2">
      <c r="A18" s="6" t="s">
        <v>344</v>
      </c>
      <c r="B18" s="7" t="s">
        <v>245</v>
      </c>
      <c r="C18" s="6" t="s">
        <v>1</v>
      </c>
      <c r="D18" s="5" t="s">
        <v>0</v>
      </c>
      <c r="E18" s="198">
        <v>0</v>
      </c>
      <c r="F18" s="198">
        <v>0</v>
      </c>
      <c r="G18" s="198">
        <v>0</v>
      </c>
      <c r="H18" s="198">
        <v>0</v>
      </c>
      <c r="I18" s="140">
        <v>10</v>
      </c>
      <c r="J18" s="140">
        <v>10</v>
      </c>
      <c r="K18" s="145">
        <v>10</v>
      </c>
    </row>
    <row r="19" spans="1:11" ht="54" customHeight="1" x14ac:dyDescent="0.2">
      <c r="B19" s="448" t="s">
        <v>63</v>
      </c>
      <c r="C19" s="448"/>
      <c r="D19" s="146"/>
      <c r="E19" s="146"/>
      <c r="F19" s="449" t="s">
        <v>186</v>
      </c>
      <c r="G19" s="449"/>
      <c r="H19" s="63"/>
      <c r="I19" s="63"/>
      <c r="J19" s="63"/>
      <c r="K19" s="63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17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455" t="s">
        <v>370</v>
      </c>
      <c r="G1" s="455"/>
      <c r="H1" s="455"/>
      <c r="I1" s="455"/>
      <c r="J1" s="455"/>
      <c r="K1" s="455"/>
      <c r="L1" s="455"/>
    </row>
    <row r="2" spans="1:12" ht="50.25" customHeight="1" x14ac:dyDescent="0.3">
      <c r="A2" s="21"/>
      <c r="B2" s="36"/>
      <c r="C2" s="36"/>
      <c r="D2" s="36"/>
      <c r="E2" s="36"/>
      <c r="F2" s="453" t="s">
        <v>278</v>
      </c>
      <c r="G2" s="454"/>
      <c r="H2" s="454"/>
      <c r="I2" s="454"/>
      <c r="J2" s="454"/>
      <c r="K2" s="454"/>
      <c r="L2" s="454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460" t="s">
        <v>164</v>
      </c>
      <c r="B4" s="460"/>
      <c r="C4" s="460"/>
      <c r="D4" s="460"/>
      <c r="E4" s="460"/>
      <c r="F4" s="460"/>
      <c r="G4" s="460"/>
      <c r="H4" s="460"/>
      <c r="I4" s="460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461" t="s">
        <v>27</v>
      </c>
      <c r="B6" s="458" t="s">
        <v>26</v>
      </c>
      <c r="C6" s="458" t="s">
        <v>15</v>
      </c>
      <c r="D6" s="456" t="s">
        <v>25</v>
      </c>
      <c r="E6" s="458" t="s">
        <v>14</v>
      </c>
      <c r="F6" s="458">
        <v>2014</v>
      </c>
      <c r="G6" s="458">
        <v>2015</v>
      </c>
      <c r="H6" s="459">
        <v>2016</v>
      </c>
      <c r="I6" s="458">
        <v>2017</v>
      </c>
      <c r="J6" s="464">
        <v>2018</v>
      </c>
      <c r="K6" s="469">
        <v>2019</v>
      </c>
      <c r="L6" s="458">
        <v>2020</v>
      </c>
    </row>
    <row r="7" spans="1:12" s="32" customFormat="1" ht="72.75" customHeight="1" x14ac:dyDescent="0.25">
      <c r="A7" s="461"/>
      <c r="B7" s="458"/>
      <c r="C7" s="458"/>
      <c r="D7" s="457"/>
      <c r="E7" s="458"/>
      <c r="F7" s="458"/>
      <c r="G7" s="458"/>
      <c r="H7" s="459"/>
      <c r="I7" s="458"/>
      <c r="J7" s="465"/>
      <c r="K7" s="470"/>
      <c r="L7" s="458"/>
    </row>
    <row r="8" spans="1:12" s="32" customFormat="1" ht="60" customHeight="1" x14ac:dyDescent="0.25">
      <c r="A8" s="35"/>
      <c r="B8" s="68" t="s">
        <v>24</v>
      </c>
      <c r="C8" s="466" t="s">
        <v>147</v>
      </c>
      <c r="D8" s="467"/>
      <c r="E8" s="467"/>
      <c r="F8" s="467"/>
      <c r="G8" s="467"/>
      <c r="H8" s="467"/>
      <c r="I8" s="467"/>
      <c r="J8" s="467"/>
      <c r="K8" s="467"/>
      <c r="L8" s="468"/>
    </row>
    <row r="9" spans="1:12" s="32" customFormat="1" ht="36" customHeight="1" x14ac:dyDescent="0.25">
      <c r="A9" s="33"/>
      <c r="B9" s="34" t="s">
        <v>23</v>
      </c>
      <c r="C9" s="71"/>
      <c r="D9" s="71"/>
      <c r="E9" s="71"/>
      <c r="F9" s="71"/>
      <c r="G9" s="71"/>
      <c r="H9" s="71"/>
      <c r="I9" s="71"/>
      <c r="J9" s="90"/>
      <c r="K9" s="90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1">
        <v>60</v>
      </c>
      <c r="K10" s="91">
        <v>60</v>
      </c>
      <c r="L10" s="93">
        <v>60</v>
      </c>
    </row>
    <row r="11" spans="1:12" ht="145.5" customHeight="1" x14ac:dyDescent="0.2">
      <c r="A11" s="27" t="s">
        <v>7</v>
      </c>
      <c r="B11" s="28" t="s">
        <v>307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2">
        <v>21</v>
      </c>
      <c r="K11" s="92">
        <v>21</v>
      </c>
      <c r="L11" s="92">
        <v>21</v>
      </c>
    </row>
    <row r="12" spans="1:12" ht="129" customHeight="1" x14ac:dyDescent="0.2">
      <c r="A12" s="27" t="s">
        <v>5</v>
      </c>
      <c r="B12" s="28" t="s">
        <v>304</v>
      </c>
      <c r="C12" s="24" t="s">
        <v>19</v>
      </c>
      <c r="D12" s="24"/>
      <c r="E12" s="23" t="s">
        <v>21</v>
      </c>
      <c r="F12" s="112">
        <v>0</v>
      </c>
      <c r="G12" s="112">
        <v>0</v>
      </c>
      <c r="H12" s="112">
        <v>0</v>
      </c>
      <c r="I12" s="112">
        <v>0</v>
      </c>
      <c r="J12" s="113">
        <v>20</v>
      </c>
      <c r="K12" s="113">
        <v>20</v>
      </c>
      <c r="L12" s="113">
        <v>20</v>
      </c>
    </row>
    <row r="13" spans="1:12" ht="132" customHeight="1" x14ac:dyDescent="0.2">
      <c r="A13" s="27" t="s">
        <v>4</v>
      </c>
      <c r="B13" s="26" t="s">
        <v>335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2">
        <v>17</v>
      </c>
      <c r="K13" s="92">
        <v>17</v>
      </c>
      <c r="L13" s="92">
        <v>17</v>
      </c>
    </row>
    <row r="14" spans="1:12" ht="69" customHeight="1" x14ac:dyDescent="0.2">
      <c r="A14" s="27" t="s">
        <v>3</v>
      </c>
      <c r="B14" s="26" t="s">
        <v>305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2">
        <v>66</v>
      </c>
      <c r="K14" s="92">
        <v>68</v>
      </c>
      <c r="L14" s="93">
        <v>72</v>
      </c>
    </row>
    <row r="15" spans="1:12" ht="76.5" customHeight="1" x14ac:dyDescent="0.2">
      <c r="A15" s="27" t="s">
        <v>139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2">
        <v>20</v>
      </c>
      <c r="K15" s="92">
        <v>22</v>
      </c>
      <c r="L15" s="93">
        <v>24</v>
      </c>
    </row>
    <row r="16" spans="1:12" s="64" customFormat="1" ht="12.75" customHeight="1" x14ac:dyDescent="0.2"/>
    <row r="17" spans="1:8" s="64" customFormat="1" ht="12.75" customHeight="1" x14ac:dyDescent="0.2"/>
    <row r="18" spans="1:8" s="64" customFormat="1" ht="36.75" customHeight="1" x14ac:dyDescent="0.2">
      <c r="A18" s="462" t="s">
        <v>63</v>
      </c>
      <c r="B18" s="462"/>
      <c r="C18" s="65"/>
      <c r="D18" s="65"/>
      <c r="E18" s="65"/>
      <c r="G18" s="463" t="s">
        <v>186</v>
      </c>
      <c r="H18" s="463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17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40625"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47" customFormat="1" ht="42" customHeight="1" x14ac:dyDescent="0.2">
      <c r="F1" s="481" t="s">
        <v>371</v>
      </c>
      <c r="G1" s="482"/>
      <c r="H1" s="482"/>
      <c r="I1" s="482"/>
      <c r="J1" s="482"/>
      <c r="K1" s="482"/>
    </row>
    <row r="2" spans="1:11" s="148" customFormat="1" ht="74.25" customHeight="1" x14ac:dyDescent="0.25">
      <c r="F2" s="485" t="s">
        <v>279</v>
      </c>
      <c r="G2" s="485"/>
      <c r="H2" s="485"/>
    </row>
    <row r="3" spans="1:11" s="147" customFormat="1" ht="3.75" customHeight="1" x14ac:dyDescent="0.25">
      <c r="A3" s="486"/>
      <c r="B3" s="486"/>
      <c r="C3" s="486"/>
      <c r="D3" s="486"/>
      <c r="E3" s="486"/>
      <c r="F3" s="486"/>
      <c r="G3" s="486"/>
      <c r="H3" s="486"/>
    </row>
    <row r="4" spans="1:11" s="147" customFormat="1" ht="29.25" customHeight="1" x14ac:dyDescent="0.2">
      <c r="A4" s="480" t="s">
        <v>134</v>
      </c>
      <c r="B4" s="480"/>
      <c r="C4" s="480"/>
      <c r="D4" s="480"/>
      <c r="E4" s="480"/>
      <c r="F4" s="480"/>
      <c r="G4" s="480"/>
      <c r="H4" s="480"/>
      <c r="I4" s="480"/>
      <c r="J4" s="149"/>
    </row>
    <row r="5" spans="1:11" ht="10.5" customHeight="1" x14ac:dyDescent="0.2">
      <c r="I5" s="17"/>
      <c r="J5" s="17"/>
    </row>
    <row r="6" spans="1:11" s="16" customFormat="1" ht="15" customHeight="1" x14ac:dyDescent="0.25">
      <c r="A6" s="446" t="s">
        <v>17</v>
      </c>
      <c r="B6" s="446" t="s">
        <v>16</v>
      </c>
      <c r="C6" s="476" t="s">
        <v>15</v>
      </c>
      <c r="D6" s="476" t="s">
        <v>14</v>
      </c>
      <c r="E6" s="476" t="s">
        <v>13</v>
      </c>
      <c r="F6" s="476" t="s">
        <v>12</v>
      </c>
      <c r="G6" s="476" t="s">
        <v>11</v>
      </c>
      <c r="H6" s="476" t="s">
        <v>163</v>
      </c>
      <c r="I6" s="471" t="s">
        <v>239</v>
      </c>
      <c r="J6" s="478" t="s">
        <v>113</v>
      </c>
      <c r="K6" s="483" t="s">
        <v>112</v>
      </c>
    </row>
    <row r="7" spans="1:11" s="16" customFormat="1" ht="31.5" customHeight="1" x14ac:dyDescent="0.25">
      <c r="A7" s="446"/>
      <c r="B7" s="446"/>
      <c r="C7" s="476"/>
      <c r="D7" s="476"/>
      <c r="E7" s="476" t="s">
        <v>10</v>
      </c>
      <c r="F7" s="476" t="s">
        <v>10</v>
      </c>
      <c r="G7" s="476" t="s">
        <v>10</v>
      </c>
      <c r="H7" s="476" t="s">
        <v>10</v>
      </c>
      <c r="I7" s="471" t="s">
        <v>10</v>
      </c>
      <c r="J7" s="479"/>
      <c r="K7" s="484"/>
    </row>
    <row r="8" spans="1:11" s="16" customFormat="1" ht="25.5" customHeight="1" x14ac:dyDescent="0.25">
      <c r="A8" s="10"/>
      <c r="B8" s="10" t="s">
        <v>9</v>
      </c>
      <c r="C8" s="471" t="s">
        <v>135</v>
      </c>
      <c r="D8" s="472"/>
      <c r="E8" s="472"/>
      <c r="F8" s="472"/>
      <c r="G8" s="472"/>
      <c r="H8" s="472"/>
      <c r="I8" s="472"/>
      <c r="J8" s="472"/>
      <c r="K8" s="473"/>
    </row>
    <row r="9" spans="1:11" s="12" customFormat="1" ht="21" customHeight="1" x14ac:dyDescent="0.25">
      <c r="A9" s="8"/>
      <c r="B9" s="15" t="s">
        <v>23</v>
      </c>
      <c r="C9" s="150"/>
      <c r="D9" s="150"/>
      <c r="E9" s="150"/>
      <c r="F9" s="150"/>
      <c r="G9" s="150"/>
      <c r="H9" s="150"/>
      <c r="I9" s="151"/>
      <c r="J9" s="151"/>
      <c r="K9" s="152"/>
    </row>
    <row r="10" spans="1:11" s="9" customFormat="1" ht="75" customHeight="1" x14ac:dyDescent="0.25">
      <c r="A10" s="8" t="s">
        <v>8</v>
      </c>
      <c r="B10" s="11" t="s">
        <v>242</v>
      </c>
      <c r="C10" s="153" t="s">
        <v>1</v>
      </c>
      <c r="D10" s="153" t="s">
        <v>0</v>
      </c>
      <c r="E10" s="153">
        <v>707</v>
      </c>
      <c r="F10" s="153">
        <v>677</v>
      </c>
      <c r="G10" s="153">
        <v>670</v>
      </c>
      <c r="H10" s="154">
        <v>670</v>
      </c>
      <c r="I10" s="155">
        <v>0</v>
      </c>
      <c r="J10" s="155">
        <v>0</v>
      </c>
      <c r="K10" s="155">
        <v>0</v>
      </c>
    </row>
    <row r="11" spans="1:11" s="9" customFormat="1" ht="51.75" customHeight="1" x14ac:dyDescent="0.25">
      <c r="A11" s="8" t="s">
        <v>7</v>
      </c>
      <c r="B11" s="94" t="s">
        <v>243</v>
      </c>
      <c r="C11" s="153" t="s">
        <v>1</v>
      </c>
      <c r="D11" s="153" t="s">
        <v>0</v>
      </c>
      <c r="E11" s="153">
        <v>5</v>
      </c>
      <c r="F11" s="153">
        <v>6</v>
      </c>
      <c r="G11" s="153">
        <v>6</v>
      </c>
      <c r="H11" s="154">
        <v>7</v>
      </c>
      <c r="I11" s="155">
        <v>0</v>
      </c>
      <c r="J11" s="155">
        <v>0</v>
      </c>
      <c r="K11" s="155">
        <v>0</v>
      </c>
    </row>
    <row r="12" spans="1:11" s="9" customFormat="1" ht="53.25" customHeight="1" x14ac:dyDescent="0.25">
      <c r="A12" s="8" t="s">
        <v>5</v>
      </c>
      <c r="B12" s="11" t="s">
        <v>244</v>
      </c>
      <c r="C12" s="153" t="s">
        <v>2</v>
      </c>
      <c r="D12" s="153" t="s">
        <v>0</v>
      </c>
      <c r="E12" s="156">
        <v>3</v>
      </c>
      <c r="F12" s="156">
        <v>5</v>
      </c>
      <c r="G12" s="156">
        <v>10</v>
      </c>
      <c r="H12" s="156">
        <v>10</v>
      </c>
      <c r="I12" s="155">
        <v>0</v>
      </c>
      <c r="J12" s="155">
        <v>0</v>
      </c>
      <c r="K12" s="155">
        <v>0</v>
      </c>
    </row>
    <row r="13" spans="1:11" ht="48.75" customHeight="1" x14ac:dyDescent="0.2">
      <c r="A13" s="8" t="s">
        <v>4</v>
      </c>
      <c r="B13" s="7" t="s">
        <v>245</v>
      </c>
      <c r="C13" s="150" t="s">
        <v>1</v>
      </c>
      <c r="D13" s="153" t="s">
        <v>0</v>
      </c>
      <c r="E13" s="51">
        <v>6</v>
      </c>
      <c r="F13" s="51">
        <v>8</v>
      </c>
      <c r="G13" s="51">
        <v>10</v>
      </c>
      <c r="H13" s="51">
        <v>10</v>
      </c>
      <c r="I13" s="155">
        <v>0</v>
      </c>
      <c r="J13" s="155">
        <v>0</v>
      </c>
      <c r="K13" s="155">
        <v>0</v>
      </c>
    </row>
    <row r="15" spans="1:11" ht="11.25" customHeight="1" x14ac:dyDescent="0.2">
      <c r="B15" s="477"/>
      <c r="C15" s="477"/>
      <c r="D15" s="4"/>
      <c r="E15" s="4"/>
      <c r="F15" s="3"/>
      <c r="G15" s="3"/>
      <c r="H15" s="2"/>
    </row>
    <row r="16" spans="1:11" ht="29.25" customHeight="1" x14ac:dyDescent="0.2">
      <c r="A16" s="475" t="s">
        <v>63</v>
      </c>
      <c r="B16" s="475"/>
      <c r="C16" s="475"/>
      <c r="D16" s="63"/>
      <c r="E16" s="474" t="s">
        <v>186</v>
      </c>
      <c r="F16" s="474"/>
      <c r="G16" s="474"/>
      <c r="H16" s="474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17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40625"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487" t="s">
        <v>372</v>
      </c>
      <c r="F1" s="488"/>
      <c r="G1" s="488"/>
      <c r="H1" s="488"/>
      <c r="I1" s="488"/>
      <c r="J1" s="488"/>
      <c r="K1" s="488"/>
    </row>
    <row r="2" spans="1:11" s="39" customFormat="1" ht="118.5" customHeight="1" x14ac:dyDescent="0.25">
      <c r="E2" s="492" t="s">
        <v>165</v>
      </c>
      <c r="F2" s="492"/>
      <c r="G2" s="492"/>
      <c r="H2" s="492"/>
      <c r="I2" s="492"/>
      <c r="J2" s="107"/>
    </row>
    <row r="3" spans="1:11" s="39" customFormat="1" x14ac:dyDescent="0.25"/>
    <row r="4" spans="1:11" s="39" customFormat="1" ht="18.75" customHeight="1" x14ac:dyDescent="0.25">
      <c r="A4" s="489" t="s">
        <v>37</v>
      </c>
      <c r="B4" s="489"/>
      <c r="C4" s="489"/>
      <c r="D4" s="489"/>
      <c r="E4" s="489"/>
      <c r="F4" s="489"/>
      <c r="G4" s="489"/>
      <c r="H4" s="489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115</v>
      </c>
      <c r="I6" s="95" t="s">
        <v>114</v>
      </c>
      <c r="J6" s="95" t="s">
        <v>113</v>
      </c>
      <c r="K6" s="48" t="s">
        <v>112</v>
      </c>
    </row>
    <row r="7" spans="1:11" s="39" customFormat="1" ht="22.5" customHeight="1" x14ac:dyDescent="0.25">
      <c r="A7" s="48"/>
      <c r="B7" s="493" t="s">
        <v>38</v>
      </c>
      <c r="C7" s="494"/>
      <c r="D7" s="494"/>
      <c r="E7" s="494"/>
      <c r="F7" s="494"/>
      <c r="G7" s="494"/>
      <c r="H7" s="494"/>
      <c r="I7" s="494"/>
      <c r="J7" s="494"/>
      <c r="K7" s="495"/>
    </row>
    <row r="8" spans="1:11" ht="136.5" customHeight="1" x14ac:dyDescent="0.25">
      <c r="A8" s="47">
        <v>1</v>
      </c>
      <c r="B8" s="48" t="s">
        <v>347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96">
        <v>5</v>
      </c>
      <c r="J8" s="96">
        <v>5</v>
      </c>
      <c r="K8" s="97">
        <v>5</v>
      </c>
    </row>
    <row r="9" spans="1:11" s="204" customFormat="1" ht="81" customHeight="1" x14ac:dyDescent="0.25">
      <c r="A9" s="200">
        <v>2</v>
      </c>
      <c r="B9" s="199" t="s">
        <v>367</v>
      </c>
      <c r="C9" s="200" t="s">
        <v>29</v>
      </c>
      <c r="D9" s="201" t="s">
        <v>144</v>
      </c>
      <c r="E9" s="202">
        <v>5</v>
      </c>
      <c r="F9" s="202">
        <v>5</v>
      </c>
      <c r="G9" s="202">
        <v>5</v>
      </c>
      <c r="H9" s="202">
        <v>5</v>
      </c>
      <c r="I9" s="203">
        <v>5</v>
      </c>
      <c r="J9" s="203">
        <v>5</v>
      </c>
      <c r="K9" s="199">
        <v>5</v>
      </c>
    </row>
    <row r="10" spans="1:11" ht="150" x14ac:dyDescent="0.25">
      <c r="A10" s="47">
        <v>3</v>
      </c>
      <c r="B10" s="48" t="s">
        <v>143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96">
        <v>5</v>
      </c>
      <c r="J10" s="96">
        <v>5</v>
      </c>
      <c r="K10" s="97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491" t="s">
        <v>63</v>
      </c>
      <c r="B12" s="491"/>
      <c r="C12" s="491"/>
      <c r="D12" s="66"/>
      <c r="E12" s="40"/>
      <c r="F12" s="490" t="s">
        <v>186</v>
      </c>
      <c r="G12" s="490"/>
      <c r="H12" s="490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17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view="pageBreakPreview" zoomScale="70" zoomScaleNormal="24" zoomScaleSheetLayoutView="70" workbookViewId="0">
      <selection activeCell="B7" sqref="B7:U7"/>
    </sheetView>
  </sheetViews>
  <sheetFormatPr defaultColWidth="9.140625" defaultRowHeight="14.25" x14ac:dyDescent="0.2"/>
  <cols>
    <col min="1" max="1" width="9.28515625" style="690" bestFit="1" customWidth="1"/>
    <col min="2" max="2" width="47.7109375" style="690" customWidth="1"/>
    <col min="3" max="3" width="11.28515625" style="690" customWidth="1"/>
    <col min="4" max="4" width="9.7109375" style="690" customWidth="1"/>
    <col min="5" max="5" width="9.85546875" style="690" customWidth="1"/>
    <col min="6" max="6" width="10" style="690" customWidth="1"/>
    <col min="7" max="7" width="9.5703125" style="690" customWidth="1"/>
    <col min="8" max="8" width="9.7109375" style="690" customWidth="1"/>
    <col min="9" max="9" width="9.5703125" style="690" customWidth="1"/>
    <col min="10" max="10" width="9.85546875" style="690" customWidth="1"/>
    <col min="11" max="11" width="9" style="690" customWidth="1"/>
    <col min="12" max="12" width="11.140625" style="690" customWidth="1"/>
    <col min="13" max="14" width="11.7109375" style="690" customWidth="1"/>
    <col min="15" max="15" width="11.28515625" style="690" customWidth="1"/>
    <col min="16" max="16384" width="9.140625" style="690"/>
  </cols>
  <sheetData>
    <row r="1" spans="1:21" ht="60.75" customHeight="1" x14ac:dyDescent="0.25">
      <c r="J1" s="691"/>
      <c r="K1" s="692"/>
      <c r="L1" s="692"/>
      <c r="M1" s="692"/>
      <c r="N1" s="692"/>
      <c r="O1" s="692"/>
    </row>
    <row r="2" spans="1:21" ht="100.5" customHeight="1" x14ac:dyDescent="0.25">
      <c r="A2" s="693"/>
      <c r="B2" s="693"/>
      <c r="C2" s="694"/>
      <c r="D2" s="695"/>
      <c r="E2" s="695"/>
      <c r="F2" s="695"/>
      <c r="G2" s="695"/>
      <c r="J2" s="696" t="s">
        <v>558</v>
      </c>
      <c r="K2" s="696"/>
      <c r="L2" s="696"/>
      <c r="M2" s="696"/>
      <c r="N2" s="696"/>
      <c r="O2" s="696"/>
    </row>
    <row r="3" spans="1:21" s="698" customFormat="1" ht="18" customHeight="1" x14ac:dyDescent="0.2">
      <c r="A3" s="697" t="s">
        <v>118</v>
      </c>
      <c r="B3" s="697"/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697"/>
      <c r="N3" s="697"/>
      <c r="O3" s="697"/>
    </row>
    <row r="4" spans="1:21" ht="17.25" customHeight="1" x14ac:dyDescent="0.2">
      <c r="A4" s="693"/>
      <c r="B4" s="693"/>
      <c r="C4" s="694"/>
      <c r="D4" s="693"/>
      <c r="E4" s="693"/>
      <c r="F4" s="693"/>
      <c r="G4" s="693"/>
      <c r="H4" s="693"/>
      <c r="I4" s="693"/>
      <c r="J4" s="693"/>
      <c r="K4" s="693"/>
      <c r="L4" s="693"/>
      <c r="M4" s="693"/>
    </row>
    <row r="5" spans="1:21" ht="37.5" customHeight="1" x14ac:dyDescent="0.2">
      <c r="A5" s="699"/>
      <c r="B5" s="699" t="s">
        <v>35</v>
      </c>
      <c r="C5" s="699" t="s">
        <v>34</v>
      </c>
      <c r="D5" s="699" t="s">
        <v>33</v>
      </c>
      <c r="E5" s="699" t="s">
        <v>32</v>
      </c>
      <c r="F5" s="700" t="s">
        <v>31</v>
      </c>
      <c r="G5" s="700" t="s">
        <v>115</v>
      </c>
      <c r="H5" s="700" t="s">
        <v>114</v>
      </c>
      <c r="I5" s="700" t="s">
        <v>113</v>
      </c>
      <c r="J5" s="700" t="s">
        <v>112</v>
      </c>
      <c r="K5" s="701" t="s">
        <v>111</v>
      </c>
      <c r="L5" s="701" t="s">
        <v>110</v>
      </c>
      <c r="M5" s="700" t="s">
        <v>109</v>
      </c>
      <c r="N5" s="700" t="s">
        <v>108</v>
      </c>
      <c r="O5" s="702" t="s">
        <v>117</v>
      </c>
      <c r="P5" s="703"/>
      <c r="Q5" s="701" t="s">
        <v>116</v>
      </c>
      <c r="R5" s="704"/>
      <c r="S5" s="704"/>
      <c r="T5" s="704"/>
      <c r="U5" s="705"/>
    </row>
    <row r="6" spans="1:21" ht="31.5" x14ac:dyDescent="0.2">
      <c r="A6" s="706"/>
      <c r="B6" s="706"/>
      <c r="C6" s="706"/>
      <c r="D6" s="706"/>
      <c r="E6" s="706"/>
      <c r="F6" s="700"/>
      <c r="G6" s="700"/>
      <c r="H6" s="700"/>
      <c r="I6" s="700"/>
      <c r="J6" s="700"/>
      <c r="K6" s="701"/>
      <c r="L6" s="701"/>
      <c r="M6" s="700"/>
      <c r="N6" s="700"/>
      <c r="O6" s="707" t="s">
        <v>249</v>
      </c>
      <c r="P6" s="708" t="s">
        <v>539</v>
      </c>
      <c r="Q6" s="708" t="s">
        <v>554</v>
      </c>
      <c r="R6" s="708" t="s">
        <v>555</v>
      </c>
      <c r="S6" s="708" t="s">
        <v>556</v>
      </c>
      <c r="T6" s="708" t="s">
        <v>557</v>
      </c>
      <c r="U6" s="708" t="s">
        <v>631</v>
      </c>
    </row>
    <row r="7" spans="1:21" ht="180" customHeight="1" x14ac:dyDescent="0.2">
      <c r="A7" s="709">
        <v>1</v>
      </c>
      <c r="B7" s="710" t="s">
        <v>639</v>
      </c>
      <c r="C7" s="704"/>
      <c r="D7" s="704"/>
      <c r="E7" s="704"/>
      <c r="F7" s="704"/>
      <c r="G7" s="704"/>
      <c r="H7" s="704"/>
      <c r="I7" s="704"/>
      <c r="J7" s="704"/>
      <c r="K7" s="704"/>
      <c r="L7" s="704"/>
      <c r="M7" s="704"/>
      <c r="N7" s="704"/>
      <c r="O7" s="704"/>
      <c r="P7" s="704"/>
      <c r="Q7" s="704"/>
      <c r="R7" s="704"/>
      <c r="S7" s="704"/>
      <c r="T7" s="704"/>
      <c r="U7" s="705"/>
    </row>
    <row r="8" spans="1:21" ht="52.5" customHeight="1" x14ac:dyDescent="0.2">
      <c r="A8" s="709" t="s">
        <v>107</v>
      </c>
      <c r="B8" s="711" t="s">
        <v>50</v>
      </c>
      <c r="C8" s="712" t="s">
        <v>2</v>
      </c>
      <c r="D8" s="713">
        <v>29.5</v>
      </c>
      <c r="E8" s="714" t="s">
        <v>318</v>
      </c>
      <c r="F8" s="714" t="s">
        <v>319</v>
      </c>
      <c r="G8" s="714" t="s">
        <v>320</v>
      </c>
      <c r="H8" s="715" t="s">
        <v>321</v>
      </c>
      <c r="I8" s="714" t="s">
        <v>447</v>
      </c>
      <c r="J8" s="716" t="s">
        <v>448</v>
      </c>
      <c r="K8" s="717" t="s">
        <v>454</v>
      </c>
      <c r="L8" s="718" t="s">
        <v>503</v>
      </c>
      <c r="M8" s="719" t="s">
        <v>624</v>
      </c>
      <c r="N8" s="719" t="s">
        <v>504</v>
      </c>
      <c r="O8" s="718" t="s">
        <v>504</v>
      </c>
      <c r="P8" s="720" t="s">
        <v>546</v>
      </c>
      <c r="Q8" s="720" t="s">
        <v>546</v>
      </c>
      <c r="R8" s="720" t="s">
        <v>546</v>
      </c>
      <c r="S8" s="720" t="s">
        <v>546</v>
      </c>
      <c r="T8" s="720" t="s">
        <v>546</v>
      </c>
      <c r="U8" s="720" t="s">
        <v>546</v>
      </c>
    </row>
    <row r="9" spans="1:21" ht="62.25" customHeight="1" x14ac:dyDescent="0.2">
      <c r="A9" s="721" t="s">
        <v>106</v>
      </c>
      <c r="B9" s="722" t="s">
        <v>6</v>
      </c>
      <c r="C9" s="712" t="s">
        <v>2</v>
      </c>
      <c r="D9" s="723">
        <v>6.6</v>
      </c>
      <c r="E9" s="723">
        <v>6.89</v>
      </c>
      <c r="F9" s="724">
        <v>8.6999999999999993</v>
      </c>
      <c r="G9" s="724">
        <v>8.6999999999999993</v>
      </c>
      <c r="H9" s="725">
        <v>8.8000000000000007</v>
      </c>
      <c r="I9" s="724">
        <v>8.9</v>
      </c>
      <c r="J9" s="726">
        <v>9</v>
      </c>
      <c r="K9" s="727">
        <v>17.5</v>
      </c>
      <c r="L9" s="728">
        <v>18.100000000000001</v>
      </c>
      <c r="M9" s="729">
        <v>18.399999999999999</v>
      </c>
      <c r="N9" s="729">
        <v>18.5</v>
      </c>
      <c r="O9" s="728">
        <v>18.600000000000001</v>
      </c>
      <c r="P9" s="730">
        <v>18.7</v>
      </c>
      <c r="Q9" s="730">
        <v>18.7</v>
      </c>
      <c r="R9" s="730">
        <v>18.7</v>
      </c>
      <c r="S9" s="730">
        <v>18.7</v>
      </c>
      <c r="T9" s="730">
        <v>18.7</v>
      </c>
      <c r="U9" s="730">
        <v>18.7</v>
      </c>
    </row>
    <row r="10" spans="1:21" ht="62.25" customHeight="1" x14ac:dyDescent="0.2">
      <c r="A10" s="731" t="s">
        <v>382</v>
      </c>
      <c r="B10" s="722" t="s">
        <v>502</v>
      </c>
      <c r="C10" s="712" t="s">
        <v>1</v>
      </c>
      <c r="D10" s="732">
        <v>0</v>
      </c>
      <c r="E10" s="732">
        <v>0</v>
      </c>
      <c r="F10" s="714">
        <v>0</v>
      </c>
      <c r="G10" s="714">
        <v>0</v>
      </c>
      <c r="H10" s="715">
        <v>0</v>
      </c>
      <c r="I10" s="714">
        <v>0</v>
      </c>
      <c r="J10" s="714">
        <v>0</v>
      </c>
      <c r="K10" s="733">
        <v>0</v>
      </c>
      <c r="L10" s="734" t="s">
        <v>324</v>
      </c>
      <c r="M10" s="735" t="s">
        <v>625</v>
      </c>
      <c r="N10" s="735" t="s">
        <v>625</v>
      </c>
      <c r="O10" s="734" t="s">
        <v>625</v>
      </c>
      <c r="P10" s="736" t="s">
        <v>625</v>
      </c>
      <c r="Q10" s="736" t="s">
        <v>625</v>
      </c>
      <c r="R10" s="736" t="s">
        <v>625</v>
      </c>
      <c r="S10" s="736" t="s">
        <v>625</v>
      </c>
      <c r="T10" s="736" t="s">
        <v>625</v>
      </c>
      <c r="U10" s="736" t="s">
        <v>625</v>
      </c>
    </row>
    <row r="11" spans="1:21" ht="62.25" customHeight="1" x14ac:dyDescent="0.2">
      <c r="A11" s="731" t="s">
        <v>383</v>
      </c>
      <c r="B11" s="722" t="s">
        <v>505</v>
      </c>
      <c r="C11" s="712" t="s">
        <v>332</v>
      </c>
      <c r="D11" s="732">
        <v>0</v>
      </c>
      <c r="E11" s="732">
        <v>0</v>
      </c>
      <c r="F11" s="714">
        <v>0</v>
      </c>
      <c r="G11" s="714">
        <v>0</v>
      </c>
      <c r="H11" s="715">
        <v>0</v>
      </c>
      <c r="I11" s="714">
        <v>0</v>
      </c>
      <c r="J11" s="714">
        <v>0</v>
      </c>
      <c r="K11" s="733">
        <v>0</v>
      </c>
      <c r="L11" s="734" t="s">
        <v>324</v>
      </c>
      <c r="M11" s="735" t="s">
        <v>626</v>
      </c>
      <c r="N11" s="735" t="s">
        <v>627</v>
      </c>
      <c r="O11" s="734" t="s">
        <v>548</v>
      </c>
      <c r="P11" s="736" t="s">
        <v>627</v>
      </c>
      <c r="Q11" s="736" t="s">
        <v>627</v>
      </c>
      <c r="R11" s="736" t="s">
        <v>627</v>
      </c>
      <c r="S11" s="736" t="s">
        <v>627</v>
      </c>
      <c r="T11" s="736" t="s">
        <v>627</v>
      </c>
      <c r="U11" s="736" t="s">
        <v>627</v>
      </c>
    </row>
    <row r="12" spans="1:21" ht="76.5" customHeight="1" x14ac:dyDescent="0.2">
      <c r="A12" s="731" t="s">
        <v>416</v>
      </c>
      <c r="B12" s="737" t="s">
        <v>323</v>
      </c>
      <c r="C12" s="712" t="s">
        <v>2</v>
      </c>
      <c r="D12" s="723">
        <v>0</v>
      </c>
      <c r="E12" s="715" t="s">
        <v>324</v>
      </c>
      <c r="F12" s="714" t="s">
        <v>324</v>
      </c>
      <c r="G12" s="714" t="s">
        <v>324</v>
      </c>
      <c r="H12" s="715" t="s">
        <v>325</v>
      </c>
      <c r="I12" s="714">
        <v>0.66</v>
      </c>
      <c r="J12" s="714">
        <v>0.68</v>
      </c>
      <c r="K12" s="733" t="s">
        <v>456</v>
      </c>
      <c r="L12" s="734" t="s">
        <v>506</v>
      </c>
      <c r="M12" s="735" t="s">
        <v>628</v>
      </c>
      <c r="N12" s="735" t="s">
        <v>628</v>
      </c>
      <c r="O12" s="734" t="s">
        <v>628</v>
      </c>
      <c r="P12" s="736" t="s">
        <v>628</v>
      </c>
      <c r="Q12" s="736" t="s">
        <v>628</v>
      </c>
      <c r="R12" s="736" t="s">
        <v>628</v>
      </c>
      <c r="S12" s="736" t="s">
        <v>628</v>
      </c>
      <c r="T12" s="736" t="s">
        <v>628</v>
      </c>
      <c r="U12" s="736" t="s">
        <v>628</v>
      </c>
    </row>
    <row r="13" spans="1:21" ht="102" customHeight="1" x14ac:dyDescent="0.2">
      <c r="A13" s="731" t="s">
        <v>419</v>
      </c>
      <c r="B13" s="738" t="s">
        <v>326</v>
      </c>
      <c r="C13" s="712" t="s">
        <v>2</v>
      </c>
      <c r="D13" s="713">
        <v>0</v>
      </c>
      <c r="E13" s="713">
        <v>0</v>
      </c>
      <c r="F13" s="713">
        <v>0</v>
      </c>
      <c r="G13" s="714" t="s">
        <v>324</v>
      </c>
      <c r="H13" s="715" t="s">
        <v>327</v>
      </c>
      <c r="I13" s="714" t="s">
        <v>328</v>
      </c>
      <c r="J13" s="714" t="s">
        <v>329</v>
      </c>
      <c r="K13" s="733" t="s">
        <v>455</v>
      </c>
      <c r="L13" s="734" t="s">
        <v>507</v>
      </c>
      <c r="M13" s="735" t="s">
        <v>508</v>
      </c>
      <c r="N13" s="735" t="s">
        <v>509</v>
      </c>
      <c r="O13" s="734" t="s">
        <v>510</v>
      </c>
      <c r="P13" s="736" t="s">
        <v>547</v>
      </c>
      <c r="Q13" s="736" t="s">
        <v>547</v>
      </c>
      <c r="R13" s="736" t="s">
        <v>547</v>
      </c>
      <c r="S13" s="736" t="s">
        <v>547</v>
      </c>
      <c r="T13" s="736" t="s">
        <v>547</v>
      </c>
      <c r="U13" s="736" t="s">
        <v>547</v>
      </c>
    </row>
    <row r="14" spans="1:21" ht="101.25" customHeight="1" x14ac:dyDescent="0.2">
      <c r="A14" s="731" t="s">
        <v>511</v>
      </c>
      <c r="B14" s="738" t="s">
        <v>638</v>
      </c>
      <c r="C14" s="712" t="s">
        <v>1</v>
      </c>
      <c r="D14" s="732">
        <v>0</v>
      </c>
      <c r="E14" s="732">
        <v>0</v>
      </c>
      <c r="F14" s="714">
        <v>0</v>
      </c>
      <c r="G14" s="714">
        <v>0</v>
      </c>
      <c r="H14" s="715">
        <v>0</v>
      </c>
      <c r="I14" s="714">
        <v>0</v>
      </c>
      <c r="J14" s="714">
        <v>0</v>
      </c>
      <c r="K14" s="733">
        <v>0</v>
      </c>
      <c r="L14" s="734" t="s">
        <v>324</v>
      </c>
      <c r="M14" s="735" t="s">
        <v>629</v>
      </c>
      <c r="N14" s="735" t="s">
        <v>629</v>
      </c>
      <c r="O14" s="734" t="s">
        <v>629</v>
      </c>
      <c r="P14" s="736" t="s">
        <v>629</v>
      </c>
      <c r="Q14" s="736" t="s">
        <v>629</v>
      </c>
      <c r="R14" s="736" t="s">
        <v>629</v>
      </c>
      <c r="S14" s="736" t="s">
        <v>629</v>
      </c>
      <c r="T14" s="736" t="s">
        <v>629</v>
      </c>
      <c r="U14" s="736" t="s">
        <v>629</v>
      </c>
    </row>
    <row r="15" spans="1:21" ht="66" customHeight="1" x14ac:dyDescent="0.2">
      <c r="A15" s="731" t="s">
        <v>512</v>
      </c>
      <c r="B15" s="738" t="s">
        <v>334</v>
      </c>
      <c r="C15" s="712" t="s">
        <v>2</v>
      </c>
      <c r="D15" s="732">
        <v>0</v>
      </c>
      <c r="E15" s="732">
        <v>0</v>
      </c>
      <c r="F15" s="714">
        <v>0</v>
      </c>
      <c r="G15" s="714">
        <v>0</v>
      </c>
      <c r="H15" s="715">
        <v>0</v>
      </c>
      <c r="I15" s="714">
        <v>0</v>
      </c>
      <c r="J15" s="714">
        <v>0</v>
      </c>
      <c r="K15" s="733">
        <v>0</v>
      </c>
      <c r="L15" s="734" t="s">
        <v>324</v>
      </c>
      <c r="M15" s="735" t="s">
        <v>513</v>
      </c>
      <c r="N15" s="735" t="s">
        <v>630</v>
      </c>
      <c r="O15" s="734" t="s">
        <v>630</v>
      </c>
      <c r="P15" s="736" t="s">
        <v>630</v>
      </c>
      <c r="Q15" s="736" t="s">
        <v>630</v>
      </c>
      <c r="R15" s="736" t="s">
        <v>630</v>
      </c>
      <c r="S15" s="736" t="s">
        <v>630</v>
      </c>
      <c r="T15" s="736" t="s">
        <v>630</v>
      </c>
      <c r="U15" s="736" t="s">
        <v>630</v>
      </c>
    </row>
    <row r="16" spans="1:21" ht="102" customHeight="1" x14ac:dyDescent="0.2">
      <c r="A16" s="721" t="s">
        <v>337</v>
      </c>
      <c r="B16" s="739" t="s">
        <v>640</v>
      </c>
      <c r="C16" s="704"/>
      <c r="D16" s="704"/>
      <c r="E16" s="704"/>
      <c r="F16" s="704"/>
      <c r="G16" s="704"/>
      <c r="H16" s="704"/>
      <c r="I16" s="704"/>
      <c r="J16" s="704"/>
      <c r="K16" s="704"/>
      <c r="L16" s="704"/>
      <c r="M16" s="704"/>
      <c r="N16" s="704"/>
      <c r="O16" s="704"/>
      <c r="P16" s="704"/>
      <c r="Q16" s="704"/>
      <c r="R16" s="704"/>
      <c r="S16" s="704"/>
      <c r="T16" s="704"/>
      <c r="U16" s="704"/>
    </row>
    <row r="17" spans="1:21" ht="50.25" customHeight="1" x14ac:dyDescent="0.2">
      <c r="A17" s="709" t="s">
        <v>353</v>
      </c>
      <c r="B17" s="740" t="s">
        <v>632</v>
      </c>
      <c r="C17" s="712" t="s">
        <v>19</v>
      </c>
      <c r="D17" s="741">
        <v>0</v>
      </c>
      <c r="E17" s="741">
        <v>0</v>
      </c>
      <c r="F17" s="741">
        <v>0</v>
      </c>
      <c r="G17" s="741">
        <v>0</v>
      </c>
      <c r="H17" s="741">
        <v>0</v>
      </c>
      <c r="I17" s="741">
        <v>0</v>
      </c>
      <c r="J17" s="742">
        <v>0</v>
      </c>
      <c r="K17" s="743">
        <v>0</v>
      </c>
      <c r="L17" s="744">
        <v>0</v>
      </c>
      <c r="M17" s="744">
        <v>10</v>
      </c>
      <c r="N17" s="744">
        <v>10</v>
      </c>
      <c r="O17" s="745">
        <v>10</v>
      </c>
      <c r="P17" s="746">
        <v>10</v>
      </c>
      <c r="Q17" s="746">
        <v>10</v>
      </c>
      <c r="R17" s="746">
        <v>10</v>
      </c>
      <c r="S17" s="746">
        <v>10</v>
      </c>
      <c r="T17" s="746">
        <v>10</v>
      </c>
      <c r="U17" s="746">
        <v>10</v>
      </c>
    </row>
    <row r="18" spans="1:21" s="749" customFormat="1" ht="115.5" customHeight="1" x14ac:dyDescent="0.25">
      <c r="A18" s="709" t="s">
        <v>354</v>
      </c>
      <c r="B18" s="740" t="s">
        <v>303</v>
      </c>
      <c r="C18" s="712" t="s">
        <v>19</v>
      </c>
      <c r="D18" s="747">
        <v>0</v>
      </c>
      <c r="E18" s="747">
        <v>0</v>
      </c>
      <c r="F18" s="747">
        <v>0</v>
      </c>
      <c r="G18" s="747">
        <v>0</v>
      </c>
      <c r="H18" s="747">
        <v>21</v>
      </c>
      <c r="I18" s="747">
        <v>21</v>
      </c>
      <c r="J18" s="747">
        <v>15</v>
      </c>
      <c r="K18" s="743">
        <v>17</v>
      </c>
      <c r="L18" s="748">
        <v>19</v>
      </c>
      <c r="M18" s="748">
        <v>13</v>
      </c>
      <c r="N18" s="748">
        <v>8</v>
      </c>
      <c r="O18" s="742">
        <v>5</v>
      </c>
      <c r="P18" s="746">
        <v>5</v>
      </c>
      <c r="Q18" s="746">
        <v>5</v>
      </c>
      <c r="R18" s="746">
        <v>5</v>
      </c>
      <c r="S18" s="746">
        <v>5</v>
      </c>
      <c r="T18" s="746">
        <v>5</v>
      </c>
      <c r="U18" s="746">
        <v>5</v>
      </c>
    </row>
    <row r="19" spans="1:21" ht="116.25" customHeight="1" x14ac:dyDescent="0.2">
      <c r="A19" s="709" t="s">
        <v>355</v>
      </c>
      <c r="B19" s="750" t="s">
        <v>304</v>
      </c>
      <c r="C19" s="712" t="s">
        <v>19</v>
      </c>
      <c r="D19" s="751">
        <v>0</v>
      </c>
      <c r="E19" s="751">
        <v>0</v>
      </c>
      <c r="F19" s="751">
        <v>0</v>
      </c>
      <c r="G19" s="751">
        <v>0</v>
      </c>
      <c r="H19" s="751">
        <v>20</v>
      </c>
      <c r="I19" s="751">
        <v>20</v>
      </c>
      <c r="J19" s="751">
        <v>10</v>
      </c>
      <c r="K19" s="743">
        <v>11</v>
      </c>
      <c r="L19" s="748">
        <v>12</v>
      </c>
      <c r="M19" s="748">
        <v>16</v>
      </c>
      <c r="N19" s="748">
        <v>8</v>
      </c>
      <c r="O19" s="742">
        <v>7</v>
      </c>
      <c r="P19" s="746">
        <v>7</v>
      </c>
      <c r="Q19" s="746">
        <v>7</v>
      </c>
      <c r="R19" s="746">
        <v>7</v>
      </c>
      <c r="S19" s="746">
        <v>7</v>
      </c>
      <c r="T19" s="746">
        <v>7</v>
      </c>
      <c r="U19" s="746">
        <v>7</v>
      </c>
    </row>
    <row r="20" spans="1:21" ht="100.5" customHeight="1" x14ac:dyDescent="0.2">
      <c r="A20" s="709" t="s">
        <v>356</v>
      </c>
      <c r="B20" s="750" t="s">
        <v>335</v>
      </c>
      <c r="C20" s="712" t="s">
        <v>19</v>
      </c>
      <c r="D20" s="747">
        <v>0</v>
      </c>
      <c r="E20" s="747">
        <v>0</v>
      </c>
      <c r="F20" s="747">
        <v>0</v>
      </c>
      <c r="G20" s="747">
        <v>0</v>
      </c>
      <c r="H20" s="747">
        <v>17</v>
      </c>
      <c r="I20" s="747">
        <v>17</v>
      </c>
      <c r="J20" s="747">
        <v>8</v>
      </c>
      <c r="K20" s="743">
        <v>9</v>
      </c>
      <c r="L20" s="748">
        <v>10</v>
      </c>
      <c r="M20" s="748">
        <v>19</v>
      </c>
      <c r="N20" s="748">
        <v>11</v>
      </c>
      <c r="O20" s="742">
        <v>10</v>
      </c>
      <c r="P20" s="746">
        <v>10</v>
      </c>
      <c r="Q20" s="746">
        <v>10</v>
      </c>
      <c r="R20" s="746">
        <v>10</v>
      </c>
      <c r="S20" s="746">
        <v>10</v>
      </c>
      <c r="T20" s="746">
        <v>10</v>
      </c>
      <c r="U20" s="746">
        <v>10</v>
      </c>
    </row>
    <row r="21" spans="1:21" ht="49.5" customHeight="1" x14ac:dyDescent="0.2">
      <c r="A21" s="709" t="s">
        <v>357</v>
      </c>
      <c r="B21" s="752" t="s">
        <v>633</v>
      </c>
      <c r="C21" s="712" t="s">
        <v>1</v>
      </c>
      <c r="D21" s="747">
        <v>0</v>
      </c>
      <c r="E21" s="747">
        <v>0</v>
      </c>
      <c r="F21" s="747">
        <v>0</v>
      </c>
      <c r="G21" s="747">
        <v>0</v>
      </c>
      <c r="H21" s="747">
        <v>0</v>
      </c>
      <c r="I21" s="747">
        <v>0</v>
      </c>
      <c r="J21" s="742">
        <v>0</v>
      </c>
      <c r="K21" s="746">
        <v>0</v>
      </c>
      <c r="L21" s="744">
        <v>0</v>
      </c>
      <c r="M21" s="744">
        <v>30</v>
      </c>
      <c r="N21" s="744">
        <v>30</v>
      </c>
      <c r="O21" s="745">
        <v>30</v>
      </c>
      <c r="P21" s="746">
        <v>30</v>
      </c>
      <c r="Q21" s="746">
        <v>30</v>
      </c>
      <c r="R21" s="746">
        <v>30</v>
      </c>
      <c r="S21" s="746">
        <v>30</v>
      </c>
      <c r="T21" s="746">
        <v>30</v>
      </c>
      <c r="U21" s="746">
        <v>30</v>
      </c>
    </row>
    <row r="22" spans="1:21" ht="51.75" customHeight="1" x14ac:dyDescent="0.2">
      <c r="A22" s="709" t="s">
        <v>358</v>
      </c>
      <c r="B22" s="750" t="s">
        <v>306</v>
      </c>
      <c r="C22" s="712" t="s">
        <v>19</v>
      </c>
      <c r="D22" s="747">
        <v>15</v>
      </c>
      <c r="E22" s="747">
        <v>16</v>
      </c>
      <c r="F22" s="747">
        <v>16</v>
      </c>
      <c r="G22" s="747">
        <v>18</v>
      </c>
      <c r="H22" s="747">
        <v>20</v>
      </c>
      <c r="I22" s="747">
        <v>22</v>
      </c>
      <c r="J22" s="742">
        <v>24</v>
      </c>
      <c r="K22" s="743">
        <v>24</v>
      </c>
      <c r="L22" s="748">
        <v>75</v>
      </c>
      <c r="M22" s="744">
        <v>76</v>
      </c>
      <c r="N22" s="744">
        <v>75</v>
      </c>
      <c r="O22" s="745">
        <v>75</v>
      </c>
      <c r="P22" s="746">
        <v>75</v>
      </c>
      <c r="Q22" s="746">
        <v>75</v>
      </c>
      <c r="R22" s="746">
        <v>75</v>
      </c>
      <c r="S22" s="746">
        <v>75</v>
      </c>
      <c r="T22" s="746">
        <v>75</v>
      </c>
      <c r="U22" s="746">
        <v>75</v>
      </c>
    </row>
    <row r="23" spans="1:21" ht="47.25" customHeight="1" x14ac:dyDescent="0.2">
      <c r="A23" s="709" t="s">
        <v>338</v>
      </c>
      <c r="B23" s="753" t="s">
        <v>641</v>
      </c>
      <c r="C23" s="754"/>
      <c r="D23" s="754"/>
      <c r="E23" s="754"/>
      <c r="F23" s="754"/>
      <c r="G23" s="754"/>
      <c r="H23" s="754"/>
      <c r="I23" s="754"/>
      <c r="J23" s="754"/>
      <c r="K23" s="754"/>
      <c r="L23" s="754"/>
      <c r="M23" s="754"/>
      <c r="O23" s="754"/>
      <c r="P23" s="754"/>
      <c r="Q23" s="754"/>
      <c r="R23" s="754"/>
      <c r="S23" s="754"/>
      <c r="T23" s="754"/>
      <c r="U23" s="754"/>
    </row>
    <row r="24" spans="1:21" ht="36.75" customHeight="1" x14ac:dyDescent="0.2">
      <c r="A24" s="721" t="s">
        <v>359</v>
      </c>
      <c r="B24" s="755" t="s">
        <v>245</v>
      </c>
      <c r="C24" s="712" t="s">
        <v>1</v>
      </c>
      <c r="D24" s="756">
        <v>6</v>
      </c>
      <c r="E24" s="756">
        <v>8</v>
      </c>
      <c r="F24" s="756">
        <v>10</v>
      </c>
      <c r="G24" s="756">
        <v>10</v>
      </c>
      <c r="H24" s="757">
        <v>0</v>
      </c>
      <c r="I24" s="757">
        <v>0</v>
      </c>
      <c r="J24" s="757">
        <v>0</v>
      </c>
      <c r="K24" s="757">
        <v>0</v>
      </c>
      <c r="L24" s="758">
        <v>0</v>
      </c>
      <c r="M24" s="758">
        <v>0</v>
      </c>
      <c r="N24" s="758">
        <v>0</v>
      </c>
      <c r="O24" s="756">
        <v>0</v>
      </c>
      <c r="P24" s="757">
        <v>0</v>
      </c>
      <c r="Q24" s="757">
        <v>0</v>
      </c>
      <c r="R24" s="757">
        <v>0</v>
      </c>
      <c r="S24" s="757">
        <v>0</v>
      </c>
      <c r="T24" s="757">
        <v>0</v>
      </c>
      <c r="U24" s="757">
        <v>0</v>
      </c>
    </row>
    <row r="25" spans="1:21" ht="36.75" customHeight="1" x14ac:dyDescent="0.2">
      <c r="A25" s="721" t="s">
        <v>360</v>
      </c>
      <c r="B25" s="711" t="s">
        <v>51</v>
      </c>
      <c r="C25" s="712" t="s">
        <v>105</v>
      </c>
      <c r="D25" s="759">
        <v>707</v>
      </c>
      <c r="E25" s="759">
        <v>677</v>
      </c>
      <c r="F25" s="759">
        <v>670</v>
      </c>
      <c r="G25" s="760">
        <v>670</v>
      </c>
      <c r="H25" s="761">
        <v>0</v>
      </c>
      <c r="I25" s="759">
        <v>0</v>
      </c>
      <c r="J25" s="759">
        <v>0</v>
      </c>
      <c r="K25" s="762">
        <v>0</v>
      </c>
      <c r="L25" s="763">
        <v>0</v>
      </c>
      <c r="M25" s="763">
        <v>0</v>
      </c>
      <c r="N25" s="763">
        <v>0</v>
      </c>
      <c r="O25" s="759">
        <v>0</v>
      </c>
      <c r="P25" s="762">
        <v>0</v>
      </c>
      <c r="Q25" s="762">
        <v>0</v>
      </c>
      <c r="R25" s="762">
        <v>0</v>
      </c>
      <c r="S25" s="762">
        <v>0</v>
      </c>
      <c r="T25" s="764">
        <v>0</v>
      </c>
      <c r="U25" s="764">
        <v>0</v>
      </c>
    </row>
    <row r="26" spans="1:21" ht="36.75" customHeight="1" x14ac:dyDescent="0.2">
      <c r="A26" s="721" t="s">
        <v>362</v>
      </c>
      <c r="B26" s="711" t="s">
        <v>250</v>
      </c>
      <c r="C26" s="712" t="s">
        <v>1</v>
      </c>
      <c r="D26" s="759">
        <v>5</v>
      </c>
      <c r="E26" s="759">
        <v>6</v>
      </c>
      <c r="F26" s="759">
        <v>6</v>
      </c>
      <c r="G26" s="760">
        <v>7</v>
      </c>
      <c r="H26" s="761">
        <v>0</v>
      </c>
      <c r="I26" s="759">
        <v>0</v>
      </c>
      <c r="J26" s="759">
        <v>0</v>
      </c>
      <c r="K26" s="762">
        <v>0</v>
      </c>
      <c r="L26" s="763">
        <v>0</v>
      </c>
      <c r="M26" s="763">
        <v>0</v>
      </c>
      <c r="N26" s="763">
        <v>0</v>
      </c>
      <c r="O26" s="759">
        <v>0</v>
      </c>
      <c r="P26" s="762">
        <v>0</v>
      </c>
      <c r="Q26" s="762">
        <v>0</v>
      </c>
      <c r="R26" s="762">
        <v>0</v>
      </c>
      <c r="S26" s="762">
        <v>0</v>
      </c>
      <c r="T26" s="764">
        <v>0</v>
      </c>
      <c r="U26" s="764">
        <v>0</v>
      </c>
    </row>
    <row r="27" spans="1:21" ht="49.5" customHeight="1" x14ac:dyDescent="0.2">
      <c r="A27" s="721" t="s">
        <v>361</v>
      </c>
      <c r="B27" s="737" t="s">
        <v>244</v>
      </c>
      <c r="C27" s="712" t="s">
        <v>2</v>
      </c>
      <c r="D27" s="765">
        <v>3</v>
      </c>
      <c r="E27" s="765">
        <v>5</v>
      </c>
      <c r="F27" s="765">
        <v>10</v>
      </c>
      <c r="G27" s="765">
        <v>10</v>
      </c>
      <c r="H27" s="765">
        <v>0</v>
      </c>
      <c r="I27" s="765">
        <v>0</v>
      </c>
      <c r="J27" s="765">
        <v>0</v>
      </c>
      <c r="K27" s="762">
        <v>0</v>
      </c>
      <c r="L27" s="763">
        <v>0</v>
      </c>
      <c r="M27" s="763">
        <v>0</v>
      </c>
      <c r="N27" s="763">
        <v>0</v>
      </c>
      <c r="O27" s="759">
        <v>0</v>
      </c>
      <c r="P27" s="762">
        <v>0</v>
      </c>
      <c r="Q27" s="762">
        <v>0</v>
      </c>
      <c r="R27" s="762">
        <v>0</v>
      </c>
      <c r="S27" s="762">
        <v>0</v>
      </c>
      <c r="T27" s="764">
        <v>0</v>
      </c>
      <c r="U27" s="764">
        <v>0</v>
      </c>
    </row>
    <row r="28" spans="1:21" ht="56.25" customHeight="1" x14ac:dyDescent="0.2">
      <c r="A28" s="766" t="s">
        <v>339</v>
      </c>
      <c r="B28" s="767" t="s">
        <v>642</v>
      </c>
      <c r="C28" s="768"/>
      <c r="D28" s="768"/>
      <c r="E28" s="768"/>
      <c r="F28" s="768"/>
      <c r="G28" s="768"/>
      <c r="H28" s="768"/>
      <c r="I28" s="768"/>
      <c r="J28" s="768"/>
      <c r="K28" s="768"/>
      <c r="L28" s="768"/>
      <c r="M28" s="768"/>
      <c r="N28" s="768"/>
      <c r="O28" s="768"/>
      <c r="P28" s="768"/>
      <c r="Q28" s="768"/>
      <c r="R28" s="768"/>
      <c r="S28" s="768"/>
      <c r="T28" s="768"/>
      <c r="U28" s="768"/>
    </row>
    <row r="29" spans="1:21" ht="48.75" customHeight="1" x14ac:dyDescent="0.2">
      <c r="A29" s="766" t="s">
        <v>363</v>
      </c>
      <c r="B29" s="769" t="s">
        <v>347</v>
      </c>
      <c r="C29" s="770" t="s">
        <v>366</v>
      </c>
      <c r="D29" s="771">
        <v>5</v>
      </c>
      <c r="E29" s="771">
        <v>5</v>
      </c>
      <c r="F29" s="771">
        <v>5</v>
      </c>
      <c r="G29" s="771">
        <v>5</v>
      </c>
      <c r="H29" s="771">
        <v>5</v>
      </c>
      <c r="I29" s="771">
        <v>5</v>
      </c>
      <c r="J29" s="771">
        <v>5</v>
      </c>
      <c r="K29" s="772">
        <v>5</v>
      </c>
      <c r="L29" s="773">
        <v>5</v>
      </c>
      <c r="M29" s="773">
        <v>5</v>
      </c>
      <c r="N29" s="773">
        <v>5</v>
      </c>
      <c r="O29" s="771">
        <v>5</v>
      </c>
      <c r="P29" s="772">
        <v>5</v>
      </c>
      <c r="Q29" s="772">
        <v>5</v>
      </c>
      <c r="R29" s="772">
        <v>5</v>
      </c>
      <c r="S29" s="772">
        <v>5</v>
      </c>
      <c r="T29" s="774">
        <v>5</v>
      </c>
      <c r="U29" s="774">
        <v>5</v>
      </c>
    </row>
    <row r="30" spans="1:21" ht="66.75" customHeight="1" x14ac:dyDescent="0.2">
      <c r="A30" s="766" t="s">
        <v>364</v>
      </c>
      <c r="B30" s="775" t="s">
        <v>348</v>
      </c>
      <c r="C30" s="776" t="s">
        <v>366</v>
      </c>
      <c r="D30" s="777">
        <v>5</v>
      </c>
      <c r="E30" s="777">
        <v>5</v>
      </c>
      <c r="F30" s="777">
        <v>5</v>
      </c>
      <c r="G30" s="777">
        <v>5</v>
      </c>
      <c r="H30" s="777">
        <v>5</v>
      </c>
      <c r="I30" s="777">
        <v>5</v>
      </c>
      <c r="J30" s="777">
        <v>5</v>
      </c>
      <c r="K30" s="778">
        <v>5</v>
      </c>
      <c r="L30" s="779">
        <v>5</v>
      </c>
      <c r="M30" s="779">
        <v>5</v>
      </c>
      <c r="N30" s="779">
        <v>5</v>
      </c>
      <c r="O30" s="777">
        <v>5</v>
      </c>
      <c r="P30" s="778">
        <v>5</v>
      </c>
      <c r="Q30" s="778">
        <v>5</v>
      </c>
      <c r="R30" s="778">
        <v>5</v>
      </c>
      <c r="S30" s="778">
        <v>5</v>
      </c>
      <c r="T30" s="780">
        <v>5</v>
      </c>
      <c r="U30" s="780">
        <v>5</v>
      </c>
    </row>
    <row r="31" spans="1:21" ht="65.25" customHeight="1" x14ac:dyDescent="0.2">
      <c r="A31" s="766" t="s">
        <v>365</v>
      </c>
      <c r="B31" s="775" t="s">
        <v>143</v>
      </c>
      <c r="C31" s="776" t="s">
        <v>366</v>
      </c>
      <c r="D31" s="777">
        <v>5</v>
      </c>
      <c r="E31" s="777">
        <v>5</v>
      </c>
      <c r="F31" s="777">
        <v>5</v>
      </c>
      <c r="G31" s="777">
        <v>5</v>
      </c>
      <c r="H31" s="777">
        <v>5</v>
      </c>
      <c r="I31" s="777">
        <v>5</v>
      </c>
      <c r="J31" s="777">
        <v>5</v>
      </c>
      <c r="K31" s="778">
        <v>5</v>
      </c>
      <c r="L31" s="779">
        <v>5</v>
      </c>
      <c r="M31" s="779">
        <v>5</v>
      </c>
      <c r="N31" s="779">
        <v>5</v>
      </c>
      <c r="O31" s="777">
        <v>5</v>
      </c>
      <c r="P31" s="778">
        <v>5</v>
      </c>
      <c r="Q31" s="778">
        <v>5</v>
      </c>
      <c r="R31" s="778">
        <v>5</v>
      </c>
      <c r="S31" s="778">
        <v>5</v>
      </c>
      <c r="T31" s="780">
        <v>5</v>
      </c>
      <c r="U31" s="780">
        <v>5</v>
      </c>
    </row>
    <row r="32" spans="1:21" x14ac:dyDescent="0.2">
      <c r="A32" s="781"/>
      <c r="B32" s="782"/>
      <c r="C32" s="782"/>
      <c r="D32" s="782"/>
      <c r="E32" s="782"/>
      <c r="F32" s="782"/>
      <c r="G32" s="782"/>
      <c r="H32" s="782"/>
      <c r="I32" s="782"/>
      <c r="J32" s="782"/>
      <c r="K32" s="782"/>
      <c r="L32" s="782"/>
      <c r="M32" s="782"/>
      <c r="N32" s="782"/>
      <c r="O32" s="782"/>
    </row>
    <row r="33" spans="1:15" x14ac:dyDescent="0.2">
      <c r="A33" s="781"/>
      <c r="B33" s="782"/>
      <c r="C33" s="782"/>
      <c r="D33" s="782"/>
      <c r="E33" s="782"/>
      <c r="F33" s="782"/>
      <c r="G33" s="782"/>
      <c r="H33" s="782"/>
      <c r="I33" s="782"/>
      <c r="J33" s="782"/>
      <c r="K33" s="782"/>
      <c r="L33" s="782"/>
      <c r="M33" s="782"/>
      <c r="N33" s="782"/>
      <c r="O33" s="782"/>
    </row>
    <row r="34" spans="1:15" ht="18.75" customHeight="1" x14ac:dyDescent="0.2">
      <c r="A34" s="783" t="s">
        <v>63</v>
      </c>
      <c r="B34" s="783"/>
      <c r="C34" s="783"/>
      <c r="D34" s="784"/>
      <c r="E34" s="784"/>
      <c r="F34" s="785"/>
      <c r="G34" s="785"/>
      <c r="H34" s="785"/>
      <c r="I34" s="785"/>
      <c r="J34" s="785"/>
      <c r="K34" s="785"/>
      <c r="L34" s="785" t="s">
        <v>247</v>
      </c>
      <c r="M34" s="785"/>
      <c r="N34" s="785"/>
      <c r="O34" s="749"/>
    </row>
  </sheetData>
  <mergeCells count="27">
    <mergeCell ref="A34:C34"/>
    <mergeCell ref="F34:H34"/>
    <mergeCell ref="I34:K34"/>
    <mergeCell ref="L34:N34"/>
    <mergeCell ref="G5:G6"/>
    <mergeCell ref="H5:H6"/>
    <mergeCell ref="I5:I6"/>
    <mergeCell ref="J5:J6"/>
    <mergeCell ref="K5:K6"/>
    <mergeCell ref="B28:U28"/>
    <mergeCell ref="Q5:U5"/>
    <mergeCell ref="B7:U7"/>
    <mergeCell ref="B16:U16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M5:M6"/>
    <mergeCell ref="L5:L6"/>
    <mergeCell ref="N5:N6"/>
    <mergeCell ref="O5:P5"/>
  </mergeCells>
  <pageMargins left="0.7" right="0.7" top="0.75" bottom="0.75" header="0.3" footer="0.3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1"/>
  <sheetViews>
    <sheetView view="pageBreakPreview" topLeftCell="B1" zoomScale="90" zoomScaleSheetLayoutView="90" workbookViewId="0">
      <selection activeCell="B16" sqref="B16"/>
    </sheetView>
  </sheetViews>
  <sheetFormatPr defaultRowHeight="15" x14ac:dyDescent="0.25"/>
  <cols>
    <col min="2" max="2" width="41.140625" customWidth="1"/>
    <col min="4" max="4" width="12" customWidth="1"/>
    <col min="8" max="8" width="11.28515625" customWidth="1"/>
  </cols>
  <sheetData>
    <row r="1" spans="1:17" s="1" customFormat="1" ht="39" customHeight="1" x14ac:dyDescent="0.2">
      <c r="F1" s="441"/>
      <c r="G1" s="442"/>
      <c r="H1" s="442"/>
      <c r="I1" s="442"/>
      <c r="J1" s="442"/>
      <c r="K1" s="442"/>
    </row>
    <row r="2" spans="1:17" s="12" customFormat="1" ht="45.75" customHeight="1" x14ac:dyDescent="0.25">
      <c r="F2" s="450" t="s">
        <v>567</v>
      </c>
      <c r="G2" s="450"/>
      <c r="H2" s="450"/>
      <c r="I2" s="450"/>
      <c r="J2" s="502"/>
      <c r="K2" s="502"/>
    </row>
    <row r="3" spans="1:17" s="1" customFormat="1" ht="12.75" customHeight="1" x14ac:dyDescent="0.25">
      <c r="A3" s="451"/>
      <c r="B3" s="451"/>
      <c r="C3" s="451"/>
      <c r="D3" s="451"/>
      <c r="E3" s="451"/>
      <c r="F3" s="451"/>
      <c r="G3" s="451"/>
      <c r="H3" s="451"/>
    </row>
    <row r="4" spans="1:17" s="1" customFormat="1" ht="29.25" customHeight="1" x14ac:dyDescent="0.25">
      <c r="A4" s="452" t="s">
        <v>623</v>
      </c>
      <c r="B4" s="452"/>
      <c r="C4" s="452"/>
      <c r="D4" s="452"/>
      <c r="E4" s="452"/>
      <c r="F4" s="452"/>
      <c r="G4" s="452"/>
      <c r="H4" s="452"/>
      <c r="I4" s="501"/>
      <c r="J4" s="501"/>
      <c r="K4" s="501"/>
      <c r="L4" s="501"/>
      <c r="M4" s="501"/>
      <c r="N4" s="501"/>
      <c r="O4" s="501"/>
    </row>
    <row r="5" spans="1:17" s="1" customFormat="1" ht="12.75" x14ac:dyDescent="0.2">
      <c r="L5" s="17"/>
    </row>
    <row r="6" spans="1:17" s="16" customFormat="1" ht="15" customHeight="1" x14ac:dyDescent="0.25">
      <c r="A6" s="446" t="s">
        <v>17</v>
      </c>
      <c r="B6" s="446" t="s">
        <v>16</v>
      </c>
      <c r="C6" s="447" t="s">
        <v>15</v>
      </c>
      <c r="D6" s="447" t="s">
        <v>14</v>
      </c>
      <c r="E6" s="447" t="s">
        <v>13</v>
      </c>
      <c r="F6" s="447" t="s">
        <v>12</v>
      </c>
      <c r="G6" s="447" t="s">
        <v>11</v>
      </c>
      <c r="H6" s="447" t="s">
        <v>163</v>
      </c>
      <c r="I6" s="447" t="s">
        <v>239</v>
      </c>
      <c r="J6" s="447" t="s">
        <v>240</v>
      </c>
      <c r="K6" s="447" t="s">
        <v>280</v>
      </c>
      <c r="L6" s="499" t="s">
        <v>111</v>
      </c>
      <c r="M6" s="499" t="s">
        <v>110</v>
      </c>
      <c r="N6" s="499" t="s">
        <v>109</v>
      </c>
      <c r="O6" s="499" t="s">
        <v>108</v>
      </c>
      <c r="P6" s="499" t="s">
        <v>249</v>
      </c>
      <c r="Q6" s="499" t="s">
        <v>539</v>
      </c>
    </row>
    <row r="7" spans="1:17" s="16" customFormat="1" ht="31.5" customHeight="1" x14ac:dyDescent="0.25">
      <c r="A7" s="446"/>
      <c r="B7" s="446"/>
      <c r="C7" s="447"/>
      <c r="D7" s="447"/>
      <c r="E7" s="447" t="s">
        <v>10</v>
      </c>
      <c r="F7" s="447" t="s">
        <v>10</v>
      </c>
      <c r="G7" s="447" t="s">
        <v>10</v>
      </c>
      <c r="H7" s="447" t="s">
        <v>10</v>
      </c>
      <c r="I7" s="447" t="s">
        <v>10</v>
      </c>
      <c r="J7" s="447" t="s">
        <v>10</v>
      </c>
      <c r="K7" s="447" t="s">
        <v>10</v>
      </c>
      <c r="L7" s="499"/>
      <c r="M7" s="499"/>
      <c r="N7" s="500"/>
      <c r="O7" s="499"/>
      <c r="P7" s="499"/>
      <c r="Q7" s="499"/>
    </row>
    <row r="8" spans="1:17" s="16" customFormat="1" ht="55.5" customHeight="1" x14ac:dyDescent="0.25">
      <c r="A8" s="347"/>
      <c r="B8" s="347" t="s">
        <v>9</v>
      </c>
      <c r="C8" s="496" t="s">
        <v>345</v>
      </c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8"/>
    </row>
    <row r="9" spans="1:17" s="12" customFormat="1" ht="25.5" customHeight="1" x14ac:dyDescent="0.25">
      <c r="A9" s="8"/>
      <c r="B9" s="15" t="s">
        <v>23</v>
      </c>
      <c r="C9" s="249"/>
      <c r="D9" s="249"/>
      <c r="E9" s="249"/>
      <c r="F9" s="249"/>
      <c r="G9" s="249"/>
      <c r="H9" s="249"/>
      <c r="I9" s="249"/>
      <c r="J9" s="249"/>
      <c r="K9" s="250"/>
      <c r="L9" s="250"/>
      <c r="M9" s="250"/>
      <c r="N9" s="251"/>
      <c r="O9" s="250"/>
      <c r="P9" s="88"/>
      <c r="Q9" s="88"/>
    </row>
    <row r="10" spans="1:17" s="12" customFormat="1" ht="79.5" customHeight="1" x14ac:dyDescent="0.25">
      <c r="A10" s="8" t="s">
        <v>336</v>
      </c>
      <c r="B10" s="131" t="s">
        <v>50</v>
      </c>
      <c r="C10" s="6" t="s">
        <v>2</v>
      </c>
      <c r="D10" s="5" t="s">
        <v>0</v>
      </c>
      <c r="E10" s="6">
        <v>29.5</v>
      </c>
      <c r="F10" s="8" t="s">
        <v>318</v>
      </c>
      <c r="G10" s="8" t="s">
        <v>319</v>
      </c>
      <c r="H10" s="8" t="s">
        <v>320</v>
      </c>
      <c r="I10" s="132" t="s">
        <v>321</v>
      </c>
      <c r="J10" s="8" t="s">
        <v>447</v>
      </c>
      <c r="K10" s="133" t="s">
        <v>448</v>
      </c>
      <c r="L10" s="133" t="s">
        <v>454</v>
      </c>
      <c r="M10" s="261" t="s">
        <v>503</v>
      </c>
      <c r="N10" s="349" t="s">
        <v>624</v>
      </c>
      <c r="O10" s="349" t="s">
        <v>504</v>
      </c>
      <c r="P10" s="349" t="s">
        <v>504</v>
      </c>
      <c r="Q10" s="350" t="s">
        <v>546</v>
      </c>
    </row>
    <row r="11" spans="1:17" s="12" customFormat="1" ht="105" customHeight="1" x14ac:dyDescent="0.25">
      <c r="A11" s="8" t="s">
        <v>337</v>
      </c>
      <c r="B11" s="135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136">
        <v>8.8000000000000007</v>
      </c>
      <c r="J11" s="50">
        <v>8.9</v>
      </c>
      <c r="K11" s="89">
        <v>9</v>
      </c>
      <c r="L11" s="89">
        <v>17.5</v>
      </c>
      <c r="M11" s="262">
        <v>18.100000000000001</v>
      </c>
      <c r="N11" s="351">
        <v>18.399999999999999</v>
      </c>
      <c r="O11" s="351">
        <v>18.5</v>
      </c>
      <c r="P11" s="351">
        <v>18.600000000000001</v>
      </c>
      <c r="Q11" s="352">
        <v>18.7</v>
      </c>
    </row>
    <row r="12" spans="1:17" s="237" customFormat="1" ht="103.5" customHeight="1" x14ac:dyDescent="0.25">
      <c r="A12" s="132" t="s">
        <v>338</v>
      </c>
      <c r="B12" s="135" t="s">
        <v>502</v>
      </c>
      <c r="C12" s="194" t="s">
        <v>2</v>
      </c>
      <c r="D12" s="195" t="s">
        <v>0</v>
      </c>
      <c r="E12" s="248">
        <v>0</v>
      </c>
      <c r="F12" s="248">
        <v>0</v>
      </c>
      <c r="G12" s="8">
        <v>0</v>
      </c>
      <c r="H12" s="8">
        <v>0</v>
      </c>
      <c r="I12" s="132">
        <v>0</v>
      </c>
      <c r="J12" s="8">
        <v>0</v>
      </c>
      <c r="K12" s="8">
        <v>0</v>
      </c>
      <c r="L12" s="8">
        <v>0</v>
      </c>
      <c r="M12" s="263" t="s">
        <v>324</v>
      </c>
      <c r="N12" s="353" t="s">
        <v>625</v>
      </c>
      <c r="O12" s="353" t="s">
        <v>625</v>
      </c>
      <c r="P12" s="353" t="s">
        <v>625</v>
      </c>
      <c r="Q12" s="354" t="s">
        <v>625</v>
      </c>
    </row>
    <row r="13" spans="1:17" s="238" customFormat="1" ht="45" x14ac:dyDescent="0.2">
      <c r="A13" s="194" t="s">
        <v>339</v>
      </c>
      <c r="B13" s="135" t="s">
        <v>505</v>
      </c>
      <c r="C13" s="197" t="s">
        <v>2</v>
      </c>
      <c r="D13" s="195" t="s">
        <v>0</v>
      </c>
      <c r="E13" s="248">
        <v>0</v>
      </c>
      <c r="F13" s="248">
        <v>0</v>
      </c>
      <c r="G13" s="8">
        <v>0</v>
      </c>
      <c r="H13" s="8">
        <v>0</v>
      </c>
      <c r="I13" s="132">
        <v>0</v>
      </c>
      <c r="J13" s="8">
        <v>0</v>
      </c>
      <c r="K13" s="8">
        <v>0</v>
      </c>
      <c r="L13" s="8">
        <v>0</v>
      </c>
      <c r="M13" s="263" t="s">
        <v>324</v>
      </c>
      <c r="N13" s="353" t="s">
        <v>626</v>
      </c>
      <c r="O13" s="353" t="s">
        <v>627</v>
      </c>
      <c r="P13" s="353" t="s">
        <v>627</v>
      </c>
      <c r="Q13" s="354" t="s">
        <v>627</v>
      </c>
    </row>
    <row r="14" spans="1:17" s="238" customFormat="1" ht="86.25" customHeight="1" x14ac:dyDescent="0.2">
      <c r="A14" s="194" t="s">
        <v>340</v>
      </c>
      <c r="B14" s="134" t="s">
        <v>323</v>
      </c>
      <c r="C14" s="197" t="s">
        <v>2</v>
      </c>
      <c r="D14" s="195" t="s">
        <v>0</v>
      </c>
      <c r="E14" s="14">
        <v>0</v>
      </c>
      <c r="F14" s="132" t="s">
        <v>324</v>
      </c>
      <c r="G14" s="8" t="s">
        <v>324</v>
      </c>
      <c r="H14" s="8" t="s">
        <v>324</v>
      </c>
      <c r="I14" s="132" t="s">
        <v>325</v>
      </c>
      <c r="J14" s="8">
        <v>0.66</v>
      </c>
      <c r="K14" s="8">
        <v>0.68</v>
      </c>
      <c r="L14" s="8" t="s">
        <v>456</v>
      </c>
      <c r="M14" s="263" t="s">
        <v>506</v>
      </c>
      <c r="N14" s="353" t="s">
        <v>628</v>
      </c>
      <c r="O14" s="353" t="s">
        <v>628</v>
      </c>
      <c r="P14" s="353" t="s">
        <v>628</v>
      </c>
      <c r="Q14" s="354" t="s">
        <v>628</v>
      </c>
    </row>
    <row r="15" spans="1:17" s="1" customFormat="1" ht="128.25" customHeight="1" x14ac:dyDescent="0.2">
      <c r="A15" s="6" t="s">
        <v>341</v>
      </c>
      <c r="B15" s="137" t="s">
        <v>326</v>
      </c>
      <c r="C15" s="347" t="s">
        <v>332</v>
      </c>
      <c r="D15" s="5" t="s">
        <v>0</v>
      </c>
      <c r="E15" s="6">
        <v>0</v>
      </c>
      <c r="F15" s="6">
        <v>0</v>
      </c>
      <c r="G15" s="6">
        <v>0</v>
      </c>
      <c r="H15" s="8" t="s">
        <v>324</v>
      </c>
      <c r="I15" s="132" t="s">
        <v>327</v>
      </c>
      <c r="J15" s="8" t="s">
        <v>328</v>
      </c>
      <c r="K15" s="8" t="s">
        <v>329</v>
      </c>
      <c r="L15" s="8" t="s">
        <v>455</v>
      </c>
      <c r="M15" s="263" t="s">
        <v>507</v>
      </c>
      <c r="N15" s="353" t="s">
        <v>508</v>
      </c>
      <c r="O15" s="353" t="s">
        <v>509</v>
      </c>
      <c r="P15" s="353" t="s">
        <v>510</v>
      </c>
      <c r="Q15" s="354" t="s">
        <v>547</v>
      </c>
    </row>
    <row r="16" spans="1:17" s="1" customFormat="1" ht="92.25" customHeight="1" x14ac:dyDescent="0.2">
      <c r="A16" s="194" t="s">
        <v>342</v>
      </c>
      <c r="B16" s="381" t="s">
        <v>638</v>
      </c>
      <c r="C16" s="347" t="s">
        <v>2</v>
      </c>
      <c r="D16" s="5" t="s">
        <v>0</v>
      </c>
      <c r="E16" s="248">
        <v>0</v>
      </c>
      <c r="F16" s="248">
        <v>0</v>
      </c>
      <c r="G16" s="8">
        <v>0</v>
      </c>
      <c r="H16" s="8">
        <v>0</v>
      </c>
      <c r="I16" s="132">
        <v>0</v>
      </c>
      <c r="J16" s="8">
        <v>0</v>
      </c>
      <c r="K16" s="8">
        <v>0</v>
      </c>
      <c r="L16" s="8">
        <v>0</v>
      </c>
      <c r="M16" s="263" t="s">
        <v>324</v>
      </c>
      <c r="N16" s="353" t="s">
        <v>629</v>
      </c>
      <c r="O16" s="353" t="s">
        <v>629</v>
      </c>
      <c r="P16" s="353" t="s">
        <v>629</v>
      </c>
      <c r="Q16" s="354" t="s">
        <v>629</v>
      </c>
    </row>
    <row r="17" spans="1:17" s="1" customFormat="1" ht="73.5" customHeight="1" x14ac:dyDescent="0.2">
      <c r="A17" s="6" t="s">
        <v>343</v>
      </c>
      <c r="B17" s="137" t="s">
        <v>334</v>
      </c>
      <c r="C17" s="347" t="s">
        <v>2</v>
      </c>
      <c r="D17" s="5" t="s">
        <v>0</v>
      </c>
      <c r="E17" s="248">
        <v>0</v>
      </c>
      <c r="F17" s="248">
        <v>0</v>
      </c>
      <c r="G17" s="8">
        <v>0</v>
      </c>
      <c r="H17" s="8">
        <v>0</v>
      </c>
      <c r="I17" s="132">
        <v>0</v>
      </c>
      <c r="J17" s="8">
        <v>0</v>
      </c>
      <c r="K17" s="8">
        <v>0</v>
      </c>
      <c r="L17" s="8">
        <v>0</v>
      </c>
      <c r="M17" s="263" t="s">
        <v>324</v>
      </c>
      <c r="N17" s="353" t="s">
        <v>513</v>
      </c>
      <c r="O17" s="353" t="s">
        <v>630</v>
      </c>
      <c r="P17" s="353" t="s">
        <v>630</v>
      </c>
      <c r="Q17" s="354" t="s">
        <v>630</v>
      </c>
    </row>
    <row r="18" spans="1:17" s="1" customFormat="1" ht="34.5" customHeight="1" x14ac:dyDescent="0.2">
      <c r="I18" s="64"/>
    </row>
    <row r="19" spans="1:17" s="1" customFormat="1" ht="38.25" customHeight="1" x14ac:dyDescent="0.2">
      <c r="A19" s="462" t="s">
        <v>63</v>
      </c>
      <c r="B19" s="462"/>
      <c r="C19" s="65"/>
      <c r="D19" s="65"/>
      <c r="E19" s="64"/>
      <c r="F19" s="463" t="s">
        <v>186</v>
      </c>
      <c r="G19" s="463"/>
      <c r="H19" s="64"/>
    </row>
    <row r="20" spans="1:17" s="1" customFormat="1" ht="21" customHeight="1" x14ac:dyDescent="0.2"/>
    <row r="21" spans="1:17" ht="58.5" customHeight="1" x14ac:dyDescent="0.25"/>
    <row r="22" spans="1:17" ht="93" customHeight="1" x14ac:dyDescent="0.25"/>
    <row r="27" spans="1:17" ht="15" customHeight="1" x14ac:dyDescent="0.25">
      <c r="Q27" s="1"/>
    </row>
    <row r="28" spans="1:17" ht="15" customHeight="1" x14ac:dyDescent="0.25">
      <c r="Q28" s="1"/>
    </row>
    <row r="29" spans="1:17" ht="15" customHeight="1" x14ac:dyDescent="0.25">
      <c r="Q29" s="1"/>
    </row>
    <row r="30" spans="1:17" x14ac:dyDescent="0.25">
      <c r="Q30" s="1"/>
    </row>
    <row r="31" spans="1:17" x14ac:dyDescent="0.25">
      <c r="Q31" s="1"/>
    </row>
  </sheetData>
  <mergeCells count="24">
    <mergeCell ref="F1:K1"/>
    <mergeCell ref="A3:H3"/>
    <mergeCell ref="A6:A7"/>
    <mergeCell ref="B6:B7"/>
    <mergeCell ref="C6:C7"/>
    <mergeCell ref="D6:D7"/>
    <mergeCell ref="E6:E7"/>
    <mergeCell ref="F6:F7"/>
    <mergeCell ref="A4:O4"/>
    <mergeCell ref="F2:K2"/>
    <mergeCell ref="A19:B19"/>
    <mergeCell ref="F19:G19"/>
    <mergeCell ref="C8:Q8"/>
    <mergeCell ref="G6:G7"/>
    <mergeCell ref="H6:H7"/>
    <mergeCell ref="I6:I7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18</vt:i4>
      </vt:variant>
    </vt:vector>
  </HeadingPairs>
  <TitlesOfParts>
    <vt:vector size="36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Перечень целевых показателей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'Перечень целевых показателей'!Область_печати</vt:lpstr>
      <vt:lpstr>'ПП 1'!Область_печати</vt:lpstr>
      <vt:lpstr>'ПП 2'!Область_печати</vt:lpstr>
      <vt:lpstr>'ПП 3'!Область_печати</vt:lpstr>
      <vt:lpstr>'ПП 4'!Область_печати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2024-04-26T08:37:43Z</dcterms:modified>
</cp:coreProperties>
</file>