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Приложение" sheetId="2" r:id="rId1"/>
  </sheets>
  <calcPr calcId="124519"/>
</workbook>
</file>

<file path=xl/calcChain.xml><?xml version="1.0" encoding="utf-8"?>
<calcChain xmlns="http://schemas.openxmlformats.org/spreadsheetml/2006/main">
  <c r="A14" i="2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13"/>
  <c r="E111"/>
  <c r="E18"/>
  <c r="E17"/>
  <c r="E141"/>
  <c r="E139"/>
  <c r="E138"/>
  <c r="E126"/>
  <c r="E123"/>
  <c r="E120"/>
  <c r="E118"/>
  <c r="E116"/>
  <c r="E115"/>
  <c r="E113"/>
  <c r="E54"/>
  <c r="E57"/>
  <c r="E51"/>
  <c r="E48"/>
  <c r="E43"/>
  <c r="E36"/>
  <c r="E32"/>
  <c r="E19"/>
  <c r="E16"/>
  <c r="E15"/>
  <c r="E132"/>
  <c r="E140"/>
  <c r="E108"/>
  <c r="E109"/>
  <c r="E105"/>
  <c r="E103"/>
  <c r="E97"/>
  <c r="E85"/>
  <c r="E92"/>
  <c r="E81"/>
  <c r="E70"/>
  <c r="E67"/>
  <c r="E62"/>
  <c r="E61"/>
  <c r="E60"/>
  <c r="E187"/>
  <c r="E37"/>
  <c r="E209"/>
  <c r="E205"/>
  <c r="E204"/>
  <c r="E214"/>
  <c r="E211"/>
  <c r="E206"/>
  <c r="E159"/>
  <c r="E122"/>
  <c r="E46"/>
  <c r="E34"/>
  <c r="E128"/>
  <c r="E53"/>
  <c r="E192"/>
  <c r="E119" l="1"/>
  <c r="E112"/>
  <c r="E131"/>
  <c r="E129" s="1"/>
  <c r="E71"/>
  <c r="E207" l="1"/>
  <c r="E234"/>
  <c r="E153"/>
  <c r="E197"/>
  <c r="E198"/>
  <c r="E201"/>
  <c r="E150"/>
  <c r="E223"/>
  <c r="E225" l="1"/>
  <c r="E117"/>
  <c r="E125"/>
  <c r="E124"/>
  <c r="E89"/>
  <c r="E40"/>
  <c r="E13"/>
  <c r="E241" l="1"/>
  <c r="E218"/>
  <c r="E142"/>
  <c r="E56"/>
  <c r="E55" s="1"/>
  <c r="E146"/>
  <c r="E155" l="1"/>
  <c r="E114" l="1"/>
  <c r="E182" l="1"/>
  <c r="E64" l="1"/>
  <c r="E98"/>
  <c r="E96"/>
  <c r="E95" s="1"/>
  <c r="E94" s="1"/>
  <c r="E176" l="1"/>
  <c r="E233" l="1"/>
  <c r="E196"/>
  <c r="E200"/>
  <c r="E210"/>
  <c r="E202"/>
  <c r="E208"/>
  <c r="E212"/>
  <c r="E199"/>
  <c r="E203"/>
  <c r="E249"/>
  <c r="E245"/>
  <c r="E244" s="1"/>
  <c r="E243" s="1"/>
  <c r="E242" s="1"/>
  <c r="E76" l="1"/>
  <c r="E68" l="1"/>
  <c r="E66" s="1"/>
  <c r="E216"/>
  <c r="E184" l="1"/>
  <c r="E236" l="1"/>
  <c r="E229" s="1"/>
  <c r="E134"/>
  <c r="E102" l="1"/>
  <c r="E104"/>
  <c r="E101" l="1"/>
  <c r="E93" s="1"/>
  <c r="E169"/>
  <c r="E107" l="1"/>
  <c r="E106" s="1"/>
  <c r="E88" l="1"/>
  <c r="E240"/>
  <c r="E84" l="1"/>
  <c r="E83" s="1"/>
  <c r="E137"/>
  <c r="E136" s="1"/>
  <c r="E133" s="1"/>
  <c r="E195" l="1"/>
  <c r="E162"/>
  <c r="E248" l="1"/>
  <c r="E247" s="1"/>
  <c r="E87" l="1"/>
  <c r="E82" s="1"/>
  <c r="E160" l="1"/>
  <c r="E228" l="1"/>
  <c r="E168" l="1"/>
  <c r="E167"/>
  <c r="E226"/>
  <c r="E222"/>
  <c r="E157"/>
  <c r="E156" s="1"/>
  <c r="E215"/>
  <c r="E224"/>
  <c r="E221" l="1"/>
  <c r="E154"/>
  <c r="E152" l="1"/>
  <c r="E164"/>
  <c r="E149" l="1"/>
  <c r="E219" l="1"/>
  <c r="E217"/>
  <c r="E213"/>
  <c r="E166"/>
  <c r="E158"/>
  <c r="E239"/>
  <c r="A10"/>
  <c r="A11" s="1"/>
  <c r="A12" s="1"/>
  <c r="E151" l="1"/>
  <c r="E194"/>
  <c r="E145"/>
  <c r="E144" s="1"/>
  <c r="E148" l="1"/>
  <c r="E147" s="1"/>
  <c r="E127"/>
  <c r="E110" s="1"/>
  <c r="E80"/>
  <c r="E79" s="1"/>
  <c r="E78" s="1"/>
  <c r="E73"/>
  <c r="E72" s="1"/>
  <c r="E69"/>
  <c r="E65" s="1"/>
  <c r="E63"/>
  <c r="E59"/>
  <c r="E52"/>
  <c r="E50"/>
  <c r="E47"/>
  <c r="E45"/>
  <c r="E42"/>
  <c r="E39"/>
  <c r="E35"/>
  <c r="E33"/>
  <c r="E31"/>
  <c r="E27"/>
  <c r="E25"/>
  <c r="E23"/>
  <c r="E21"/>
  <c r="E14"/>
  <c r="E12"/>
  <c r="E11"/>
  <c r="E49" l="1"/>
  <c r="E10"/>
  <c r="E30"/>
  <c r="E29" s="1"/>
  <c r="E58"/>
  <c r="E20"/>
  <c r="E44"/>
  <c r="E41" s="1"/>
  <c r="E9" l="1"/>
  <c r="E250" s="1"/>
</calcChain>
</file>

<file path=xl/sharedStrings.xml><?xml version="1.0" encoding="utf-8"?>
<sst xmlns="http://schemas.openxmlformats.org/spreadsheetml/2006/main" count="734" uniqueCount="466">
  <si>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</si>
  <si>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</si>
  <si>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</si>
  <si>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</si>
  <si>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</si>
  <si>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</si>
  <si>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</si>
  <si>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</si>
  <si>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</si>
  <si>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</si>
  <si>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</si>
  <si>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</si>
  <si>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</si>
  <si>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</si>
  <si>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</si>
  <si>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</si>
  <si>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</si>
  <si>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</si>
  <si>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</si>
  <si>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</si>
  <si>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</si>
  <si>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</si>
  <si>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</si>
  <si>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</si>
  <si>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</si>
  <si>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</si>
  <si>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</si>
  <si>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</si>
  <si>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</si>
  <si>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</si>
  <si>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</si>
  <si>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</si>
  <si>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</si>
  <si>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</si>
  <si>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</si>
  <si>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</si>
  <si>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</si>
  <si>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</si>
  <si>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</si>
  <si>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</si>
  <si>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</si>
  <si>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</si>
  <si>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</si>
  <si>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</si>
  <si>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</si>
  <si>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</si>
  <si>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</si>
  <si>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</si>
  <si>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</si>
  <si>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</si>
  <si>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 xml:space="preserve">Доходы  бюджета  г.Дивногорска на 2022 год 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</si>
  <si>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</si>
  <si>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</si>
  <si>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</si>
  <si>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</si>
  <si>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</si>
  <si>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</si>
  <si>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</si>
  <si>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</si>
  <si>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</si>
  <si>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</si>
  <si>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</si>
  <si>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</si>
  <si>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</si>
  <si>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</si>
  <si>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</si>
  <si>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</si>
  <si>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</si>
  <si>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</si>
  <si>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</si>
  <si>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</si>
  <si>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</si>
  <si>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</si>
  <si>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</si>
  <si>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</si>
  <si>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</si>
  <si>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</si>
  <si>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</si>
  <si>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</si>
  <si>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</si>
  <si>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</si>
  <si>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</si>
  <si>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</si>
  <si>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</si>
  <si>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</si>
  <si>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</si>
  <si>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</si>
  <si>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</si>
  <si>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</si>
  <si>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</si>
  <si>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</si>
  <si>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</si>
  <si>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</si>
  <si>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</si>
  <si>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</si>
  <si>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</si>
  <si>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</si>
  <si>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</si>
  <si>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</si>
  <si>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</si>
  <si>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</si>
  <si>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</si>
  <si>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</si>
  <si>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</si>
  <si>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</si>
  <si>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</si>
  <si>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</si>
  <si>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</si>
  <si>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</si>
  <si>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</si>
  <si>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</si>
  <si>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</si>
  <si>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</si>
  <si>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</si>
  <si>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</si>
  <si>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</si>
  <si>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Прочие налоги и сборы (по отмененным местным налогам и сборам)</t>
  </si>
  <si>
    <t>1 09 07000 00 0000 110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</si>
  <si>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</si>
  <si>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</si>
  <si>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</si>
  <si>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</si>
  <si>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</si>
  <si>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</si>
  <si>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</si>
  <si>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</si>
  <si>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</si>
  <si>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</si>
  <si>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</si>
  <si>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</si>
  <si>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</si>
  <si>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</si>
  <si>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</si>
  <si>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</si>
  <si>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</si>
  <si>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</si>
  <si>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</si>
  <si>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</si>
  <si>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</si>
  <si>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</si>
  <si>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</si>
  <si>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</si>
  <si>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</si>
  <si>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</si>
  <si>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</si>
  <si>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</si>
  <si>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</si>
  <si>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</si>
  <si>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</si>
  <si>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</si>
  <si>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</si>
  <si>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</si>
  <si>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</si>
  <si>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</si>
  <si>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</si>
  <si>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</si>
  <si>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</si>
  <si>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</si>
  <si>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</si>
  <si>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</si>
  <si>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</si>
  <si>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</si>
  <si>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</si>
  <si>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</si>
  <si>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</si>
  <si>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</si>
  <si>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</si>
  <si>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</si>
  <si>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</si>
  <si>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</si>
  <si>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</si>
  <si>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</si>
  <si>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</si>
  <si>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</si>
  <si>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</si>
  <si>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</si>
  <si>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</si>
  <si>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</si>
  <si>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</si>
  <si>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</si>
  <si>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</si>
  <si>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</si>
  <si>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</si>
  <si>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</si>
  <si>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</si>
  <si>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</si>
  <si>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</si>
  <si>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</si>
  <si>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</si>
  <si>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</si>
  <si>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</si>
  <si>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</si>
  <si>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</si>
  <si>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</si>
  <si>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</si>
  <si>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</si>
  <si>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</si>
  <si>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</si>
  <si>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</si>
  <si>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</si>
  <si>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</si>
  <si>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</si>
  <si>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</si>
  <si>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</si>
  <si>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</si>
  <si>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</si>
  <si>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</si>
  <si>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</si>
  <si>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</si>
  <si>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</si>
  <si>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</si>
  <si>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</si>
  <si>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</si>
  <si>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</si>
  <si>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</si>
  <si>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</si>
  <si>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</si>
  <si>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</si>
  <si>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</si>
  <si>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2 02 29999 04 7413 150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</si>
  <si>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</si>
  <si>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</si>
  <si>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</si>
  <si>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</si>
  <si>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</si>
  <si>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</si>
  <si>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</si>
  <si>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</si>
  <si>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</si>
  <si>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</si>
  <si>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</si>
  <si>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</si>
  <si>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</si>
  <si>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</si>
  <si>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</si>
  <si>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</si>
  <si>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</si>
  <si>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</si>
  <si>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</si>
  <si>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</si>
  <si>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</si>
  <si>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</si>
  <si>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</si>
  <si>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</si>
  <si>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</si>
  <si>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</si>
  <si>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</si>
  <si>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</si>
  <si>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</si>
  <si>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</si>
  <si>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</si>
  <si>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</si>
  <si>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</si>
  <si>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</si>
  <si>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</si>
  <si>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</si>
  <si>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</si>
  <si>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</si>
  <si>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</si>
  <si>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</si>
  <si>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</si>
  <si>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</si>
  <si>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</si>
  <si>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</si>
  <si>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</si>
  <si>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</si>
  <si>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</si>
  <si>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</si>
  <si>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</si>
  <si>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</si>
  <si>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</si>
  <si>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</si>
  <si>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</si>
  <si>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</si>
  <si>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</si>
  <si>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</si>
  <si>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</si>
  <si>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</si>
  <si>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</si>
  <si>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</si>
  <si>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</si>
  <si>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</si>
  <si>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</si>
  <si>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</si>
  <si>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</si>
  <si>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>2 02 19999 00 2724 150</t>
  </si>
  <si>
    <t>Дотации бюджетам бюджетной системы Российской Федерации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</si>
  <si>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</si>
  <si>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</si>
  <si>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</si>
  <si>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</si>
  <si>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</si>
  <si>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</si>
  <si>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</si>
  <si>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2 02 20299 00 0000 150</t>
  </si>
  <si>
    <t>2 02 20299 04 0000 150</t>
  </si>
  <si>
    <t>2 02 20302 00 0000 150</t>
  </si>
  <si>
    <t>2 02 20302 04 0000 150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</si>
  <si>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</si>
  <si>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</si>
  <si>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</si>
  <si>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</si>
  <si>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</si>
  <si>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</si>
  <si>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</si>
  <si>
    <t>2 02 19999 04 2724 150</t>
  </si>
  <si>
    <t>2 02 30000 00 0000 150</t>
  </si>
  <si>
    <t>2 02 29999 04 7662 150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</si>
  <si>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</si>
  <si>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</si>
  <si>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</si>
  <si>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</si>
  <si>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</si>
  <si>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городских округов на создание виртуальных концертных залов</t>
  </si>
  <si>
    <t>2 02 25243 04 0000 150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</si>
  <si>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</si>
  <si>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</si>
  <si>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</si>
  <si>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</si>
  <si>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</si>
  <si>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</si>
  <si>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</si>
  <si>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2 02 45453 04 0000 150</t>
  </si>
  <si>
    <t>2 02 45453 00 0000 150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</si>
  <si>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</si>
  <si>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1 12 01040 01 0000 120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</si>
  <si>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</si>
  <si>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Прочие межбюджетные трансферты,
 передаваемые бюджетам</t>
  </si>
  <si>
    <t>Прочие межбюджетные трансферты, передаваемые бюджетам городских округов</t>
  </si>
  <si>
    <t>2 02 49999 00 0000 150</t>
  </si>
  <si>
    <t>2 02 49999 04 0000 150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</si>
  <si>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</si>
  <si>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</si>
  <si>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</si>
  <si>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</si>
  <si>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>2 02 25467 04 0000 150</t>
  </si>
  <si>
    <t>2 02 49999 04 7412 150</t>
  </si>
  <si>
    <t>1 13 02064 04 0100 130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</si>
  <si>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</si>
  <si>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</si>
  <si>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1 13 02994 00 0000 130</t>
  </si>
  <si>
    <t>Прочие доходы от компенсации затрат 
бюджетов городских округов</t>
  </si>
  <si>
    <t>1 13 02994 04 0000 130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</si>
  <si>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</si>
  <si>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2 19 0000 00 0000 000 </t>
  </si>
  <si>
    <t xml:space="preserve">2 19 60010 04 0000 150 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</si>
  <si>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</si>
  <si>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 )</t>
  </si>
  <si>
    <t>Прочие межбюджетные трансферты, передаваемые бюджетам городских округов ( на устройство плоскостных спортивных сооружений в сельской местности)</t>
  </si>
  <si>
    <t>Субсидии бюджетам на реализацию 
мероприятий по обеспечению жильем молодых семей</t>
  </si>
  <si>
    <t>2 02 25497 00 0000 150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</si>
  <si>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</si>
  <si>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</si>
  <si>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2 02 49999 04 7845 150</t>
  </si>
  <si>
    <t>2 02 49999 04 7484 150</t>
  </si>
  <si>
    <t>Прочие межбюджетные трансферты, передаваемые бюджетам городских округов ( на создание (реконструкцию) и капитальный ремонт культурно-досуговых учреждений в сельской местности)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</si>
  <si>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</si>
  <si>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</si>
  <si>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</si>
  <si>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</si>
  <si>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</si>
  <si>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1 16 07000 04 0000 140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</si>
  <si>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</si>
  <si>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</si>
  <si>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</si>
  <si>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</si>
  <si>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</si>
  <si>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</si>
  <si>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</si>
  <si>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</si>
  <si>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 xml:space="preserve">Прочие доходы от компенсации затрат  бюджетов городских округов (в части возврата дебиторской задолженности прошлых лет краевых целевых средств по предписаниям) 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</si>
  <si>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</si>
  <si>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</si>
  <si>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</si>
  <si>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2 02 29999 04 2650 150</t>
  </si>
  <si>
    <t>2 02 29999 04 2654 150</t>
  </si>
  <si>
    <t>Прочие субсидии бюджетам городских округов (выполнение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</si>
  <si>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</si>
  <si>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</si>
  <si>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</si>
  <si>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</si>
  <si>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</si>
  <si>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</si>
  <si>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1 14 02042 04 0000 440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</si>
  <si>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</si>
  <si>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</si>
  <si>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2 02 29999 04 7454 150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</si>
  <si>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</si>
  <si>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</si>
  <si>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1 14 02000 00 0000 440</t>
  </si>
  <si>
    <t>1 14 02040 04 0000 440</t>
  </si>
  <si>
    <t>1 13 02994 04 0100 130</t>
  </si>
  <si>
    <t>1 13 02994 04 0300 130</t>
  </si>
  <si>
    <t>1 13 02994 04 0310 130</t>
  </si>
  <si>
    <t>Прочие субсидии бюджетам городских округов(на развитие системы патриотического воспитания в рамках деятельности муниципальных молодежных центров)</t>
  </si>
  <si>
    <t>1 16 10031 04 0000 140</t>
  </si>
  <si>
    <t>2 02 29999 04 7430 150</t>
  </si>
  <si>
    <t xml:space="preserve">Прочие субсидии бюджетам городских округов (создание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 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</si>
  <si>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</si>
  <si>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</si>
  <si>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</si>
  <si>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>1 16 10030 00 0000 140</t>
  </si>
  <si>
    <t>2 02 49999 04 7508 150</t>
  </si>
  <si>
    <t>Прочие межбюджетные трансферты, передаваемые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</si>
  <si>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2 02 29999 04 7437 150</t>
  </si>
  <si>
    <t>Прочие субсидии бюджетам городских округов (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</si>
  <si>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 xml:space="preserve"> Прочие субсидии бюджетам городских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</si>
  <si>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2 02 29999 04 7571 150</t>
  </si>
  <si>
    <t>2 02 29999 04 7476 150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</si>
  <si>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</si>
  <si>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2 02 29999 04 7661 150</t>
  </si>
  <si>
    <t xml:space="preserve"> Прочие субсидии бюджетам городских округов (на реализацию инвестиционных проектов субъектами малого и среднего предпринимательства в приоритетных отраслях)</t>
  </si>
  <si>
    <t>2 02 29999 04 7663 150</t>
  </si>
  <si>
    <t xml:space="preserve">Прочие субсидии бюджетам городских округов (на развитие экстремальных видов спорта в рамках деятельности муниципальных молодежных центров) </t>
  </si>
  <si>
    <t>1 12 01041 01 0000 120</t>
  </si>
  <si>
    <t>Плата за размещение отходов производства</t>
  </si>
  <si>
    <t>2 02 29999 04 7603 150</t>
  </si>
  <si>
    <t>Прочие субсидии бюджетам городских округов (на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метра)</t>
  </si>
  <si>
    <t>Прочие межбюджетные трансферты, передаваемые бюджетам городских округов (за содействие развитию налогового потенциала)</t>
  </si>
  <si>
    <t>2 02 49999 04 7745 150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</si>
  <si>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</si>
  <si>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</si>
  <si>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</si>
  <si>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</t>
  </si>
  <si>
    <t>2 18 00000 00 0000 000</t>
  </si>
  <si>
    <t>2 18 00000 04 0000 150</t>
  </si>
  <si>
    <t>2 18 04000 04 0000 150</t>
  </si>
  <si>
    <t>2 18 04010 04 0000 150</t>
  </si>
  <si>
    <t>964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</si>
  <si>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</si>
  <si>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</si>
  <si>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</si>
  <si>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1 14 02043 04 0000 410</t>
  </si>
  <si>
    <t>2 02 29999 04 7395 150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</si>
  <si>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</si>
  <si>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2 02 29999 04 7668 150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</si>
  <si>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</si>
  <si>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2 02 29999 04 7398 150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</si>
  <si>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</si>
  <si>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032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</si>
  <si>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</si>
  <si>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</si>
  <si>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976</t>
  </si>
  <si>
    <t>Инициативные платежи, зачисляемые в бюджеты городских округов(проект «Детская спортивно-игровая площадка «На Нагорной»»)</t>
  </si>
  <si>
    <t>1 17 15020 04 0002 150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</si>
  <si>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</si>
  <si>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</si>
  <si>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1 09 07030 00 0000 110</t>
  </si>
  <si>
    <t>1 09 07030 04 0000 110</t>
  </si>
  <si>
    <t>2 02 29999 04 7608 150</t>
  </si>
  <si>
    <t xml:space="preserve">Прочие субсидии бюджетам городских округов (на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полиции) </t>
  </si>
  <si>
    <t>2 02 49999 04 1034 150</t>
  </si>
  <si>
    <t>Прочие межбюджетные трансферты, передаваемые бюджетам городских округов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</si>
  <si>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</si>
  <si>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</si>
  <si>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</si>
  <si>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</si>
  <si>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11302994040200130</t>
  </si>
  <si>
    <t>Прочие доходы от компенсации затрат бюджетов городских округов (в части возврата дебиторской задолженности прошлых лет по средствам местного бюджета)</t>
  </si>
  <si>
    <t>2 02 49999 04 0853 150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</si>
  <si>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</si>
  <si>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Единый сельскохозяйственный налог</t>
  </si>
  <si>
    <t>1 05 03010 01 0000 110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</si>
  <si>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</si>
  <si>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</si>
  <si>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r>
      <rPr>
        <b/>
        <sz val="12"/>
        <rFont val="Arial"/>
        <family val="2"/>
        <charset val="204"/>
      </rPr>
      <t>Приложение  2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21 декабря 2022 г. № 29 - 189  -ГС "О  внесении  изменений  
в  решение  Дивногорского городского Совета  депутатов 
  от  22 декабря 2021  г. № 17 - 106 -ГС "О бюджете города 
Дивногорска на 2022 год и плановый период 2023 -2024 годов"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</si>
</sst>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#,##0.0"/>
    <numFmt numFmtId="168" formatCode="0.000000"/>
  </numFmts>
  <fonts count="16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</cellStyleXfs>
  <cellXfs count="78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0" fontId="7" fillId="0" borderId="3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NumberFormat="1" applyAlignment="1">
      <alignment wrapText="1"/>
    </xf>
    <xf numFmtId="166" fontId="0" fillId="0" borderId="0" xfId="0" applyNumberFormat="1"/>
    <xf numFmtId="168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65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6" xfId="13" applyNumberFormat="1" applyFont="1" applyFill="1" applyBorder="1" applyAlignment="1" applyProtection="1">
      <alignment horizontal="center" vertical="center" wrapText="1"/>
    </xf>
    <xf numFmtId="49" fontId="5" fillId="0" borderId="4" xfId="13" applyNumberFormat="1" applyFont="1" applyFill="1" applyBorder="1" applyAlignment="1" applyProtection="1">
      <alignment horizontal="left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wrapText="1"/>
    </xf>
    <xf numFmtId="0" fontId="10" fillId="0" borderId="1" xfId="0" applyFont="1" applyFill="1" applyBorder="1" applyAlignment="1">
      <alignment wrapText="1"/>
    </xf>
    <xf numFmtId="0" fontId="14" fillId="0" borderId="1" xfId="7" applyFont="1" applyFill="1" applyBorder="1" applyAlignment="1">
      <alignment vertical="top" wrapText="1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165" fontId="6" fillId="0" borderId="4" xfId="11" applyNumberFormat="1" applyFont="1" applyFill="1" applyBorder="1" applyAlignment="1" applyProtection="1">
      <alignment horizontal="left" vertical="center" wrapText="1"/>
    </xf>
    <xf numFmtId="165" fontId="5" fillId="0" borderId="4" xfId="11" applyNumberFormat="1" applyFont="1" applyFill="1" applyBorder="1" applyAlignment="1" applyProtection="1">
      <alignment horizontal="left" vertical="center" wrapText="1"/>
    </xf>
    <xf numFmtId="165" fontId="5" fillId="0" borderId="4" xfId="13" applyNumberFormat="1" applyFont="1" applyFill="1" applyBorder="1" applyAlignment="1" applyProtection="1">
      <alignment horizontal="left" vertical="center" wrapText="1"/>
    </xf>
    <xf numFmtId="165" fontId="5" fillId="0" borderId="1" xfId="11" applyNumberFormat="1" applyFont="1" applyFill="1" applyBorder="1" applyAlignment="1" applyProtection="1">
      <alignment horizontal="left" vertical="center" wrapText="1"/>
    </xf>
    <xf numFmtId="49" fontId="5" fillId="0" borderId="1" xfId="11" applyNumberFormat="1" applyFont="1" applyFill="1" applyBorder="1" applyAlignment="1" applyProtection="1">
      <alignment horizontal="left" vertical="center" wrapText="1"/>
    </xf>
    <xf numFmtId="49" fontId="5" fillId="0" borderId="1" xfId="10" applyNumberFormat="1" applyFont="1" applyFill="1" applyBorder="1" applyAlignment="1" applyProtection="1">
      <alignment horizontal="left" vertical="center" wrapText="1"/>
    </xf>
    <xf numFmtId="165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165" fontId="5" fillId="0" borderId="1" xfId="12" applyNumberFormat="1" applyFont="1" applyFill="1" applyBorder="1" applyAlignment="1" applyProtection="1">
      <alignment horizontal="left" vertical="center" wrapText="1"/>
    </xf>
    <xf numFmtId="49" fontId="6" fillId="0" borderId="1" xfId="8" applyNumberFormat="1" applyFont="1" applyFill="1" applyBorder="1" applyAlignment="1" applyProtection="1">
      <alignment horizontal="center" vertical="center" wrapText="1"/>
    </xf>
    <xf numFmtId="49" fontId="5" fillId="0" borderId="1" xfId="8" applyNumberFormat="1" applyFont="1" applyFill="1" applyBorder="1" applyAlignment="1" applyProtection="1">
      <alignment horizontal="center" vertical="center" wrapText="1"/>
    </xf>
    <xf numFmtId="0" fontId="5" fillId="0" borderId="1" xfId="7" applyNumberFormat="1" applyFont="1" applyFill="1" applyBorder="1" applyAlignment="1">
      <alignment horizontal="left" vertical="top" wrapText="1"/>
    </xf>
    <xf numFmtId="49" fontId="6" fillId="0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>
      <alignment wrapText="1"/>
    </xf>
    <xf numFmtId="0" fontId="10" fillId="0" borderId="0" xfId="0" applyFont="1" applyFill="1" applyAlignment="1">
      <alignment horizontal="justify" vertical="top" wrapText="1"/>
    </xf>
    <xf numFmtId="49" fontId="5" fillId="0" borderId="1" xfId="8" applyNumberFormat="1" applyFont="1" applyFill="1" applyBorder="1" applyAlignment="1" applyProtection="1">
      <alignment horizontal="left" vertical="center" wrapText="1"/>
    </xf>
    <xf numFmtId="0" fontId="5" fillId="0" borderId="1" xfId="8" applyNumberFormat="1" applyFont="1" applyFill="1" applyBorder="1" applyAlignment="1" applyProtection="1">
      <alignment horizontal="left" vertical="center" wrapText="1"/>
    </xf>
    <xf numFmtId="165" fontId="5" fillId="0" borderId="1" xfId="8" applyNumberFormat="1" applyFont="1" applyFill="1" applyBorder="1" applyAlignment="1" applyProtection="1">
      <alignment horizontal="left" vertical="center" wrapText="1"/>
    </xf>
    <xf numFmtId="165" fontId="6" fillId="0" borderId="1" xfId="8" applyNumberFormat="1" applyFont="1" applyFill="1" applyBorder="1" applyAlignment="1" applyProtection="1">
      <alignment horizontal="left" vertical="center" wrapText="1"/>
    </xf>
    <xf numFmtId="0" fontId="11" fillId="0" borderId="1" xfId="0" applyFont="1" applyFill="1" applyBorder="1"/>
    <xf numFmtId="49" fontId="5" fillId="0" borderId="1" xfId="8" applyNumberFormat="1" applyFont="1" applyFill="1" applyBorder="1" applyAlignment="1" applyProtection="1">
      <alignment vertical="center" wrapText="1"/>
    </xf>
    <xf numFmtId="0" fontId="10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wrapText="1"/>
    </xf>
    <xf numFmtId="0" fontId="5" fillId="0" borderId="1" xfId="8" applyNumberFormat="1" applyFont="1" applyFill="1" applyBorder="1" applyAlignment="1" applyProtection="1">
      <alignment horizontal="center" vertical="center" wrapText="1"/>
    </xf>
    <xf numFmtId="49" fontId="6" fillId="0" borderId="6" xfId="11" applyNumberFormat="1" applyFont="1" applyFill="1" applyBorder="1" applyAlignment="1" applyProtection="1">
      <alignment horizontal="center" vertical="center" wrapText="1"/>
    </xf>
    <xf numFmtId="49" fontId="6" fillId="0" borderId="4" xfId="11" applyNumberFormat="1" applyFont="1" applyFill="1" applyBorder="1" applyAlignment="1" applyProtection="1">
      <alignment horizontal="left" vertical="center" wrapText="1"/>
    </xf>
    <xf numFmtId="49" fontId="5" fillId="0" borderId="5" xfId="11" applyNumberFormat="1" applyFont="1" applyFill="1" applyBorder="1" applyAlignment="1" applyProtection="1">
      <alignment horizontal="center" vertical="center" wrapText="1"/>
    </xf>
    <xf numFmtId="49" fontId="5" fillId="0" borderId="5" xfId="11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7" fontId="6" fillId="0" borderId="2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 applyProtection="1">
      <alignment horizontal="center" vertical="center" wrapText="1"/>
    </xf>
    <xf numFmtId="167" fontId="5" fillId="0" borderId="1" xfId="0" applyNumberFormat="1" applyFont="1" applyFill="1" applyBorder="1" applyAlignment="1" applyProtection="1">
      <alignment horizontal="center" vertical="center" wrapText="1"/>
    </xf>
    <xf numFmtId="167" fontId="6" fillId="0" borderId="1" xfId="9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49" fontId="5" fillId="0" borderId="6" xfId="11" applyNumberFormat="1" applyFont="1" applyFill="1" applyBorder="1" applyAlignment="1" applyProtection="1">
      <alignment horizontal="center" vertical="center" wrapText="1"/>
    </xf>
    <xf numFmtId="49" fontId="5" fillId="0" borderId="4" xfId="11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Alignment="1">
      <alignment horizontal="right" wrapText="1"/>
    </xf>
    <xf numFmtId="0" fontId="6" fillId="0" borderId="1" xfId="0" applyFont="1" applyFill="1" applyBorder="1" applyAlignment="1">
      <alignment horizontal="left"/>
    </xf>
    <xf numFmtId="0" fontId="5" fillId="0" borderId="0" xfId="4" applyFont="1" applyAlignment="1">
      <alignment horizontal="right" vertical="top" wrapText="1"/>
    </xf>
    <xf numFmtId="0" fontId="6" fillId="0" borderId="0" xfId="7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</cellXfs>
  <cellStyles count="14">
    <cellStyle name="Обычный" xfId="0" builtinId="0"/>
    <cellStyle name="Обычный 2" xfId="2"/>
    <cellStyle name="Обычный 3" xfId="3"/>
    <cellStyle name="Обычный_динамика_1" xfId="10"/>
    <cellStyle name="Обычный_ДЧБ" xfId="1"/>
    <cellStyle name="Обычный_ДЧБ_2" xfId="8"/>
    <cellStyle name="Обычный_Лист1" xfId="7"/>
    <cellStyle name="Обычный_Лист1_1" xfId="11"/>
    <cellStyle name="Обычный_Приложение" xfId="13"/>
    <cellStyle name="Обычный_Приложение 5  доходов  2021_1" xfId="12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5"/>
  <sheetViews>
    <sheetView tabSelected="1" workbookViewId="0">
      <selection activeCell="J2" sqref="J2"/>
    </sheetView>
  </sheetViews>
  <sheetFormatPr defaultRowHeight="13.2"/>
  <cols>
    <col min="1" max="1" width="4.5546875" customWidth="1"/>
    <col min="2" max="2" width="7.33203125" customWidth="1"/>
    <col min="3" max="3" width="29" customWidth="1"/>
    <col min="4" max="4" width="39.44140625" customWidth="1"/>
    <col min="5" max="5" width="19.6640625" customWidth="1"/>
    <col min="6" max="6" width="10.5546875" customWidth="1"/>
  </cols>
  <sheetData>
    <row r="1" spans="1:6" ht="96" customHeight="1">
      <c r="B1" s="69" t="s">
        <v>465</v>
      </c>
      <c r="C1" s="69"/>
      <c r="D1" s="69"/>
      <c r="E1" s="69"/>
    </row>
    <row r="2" spans="1:6" ht="63.6" customHeight="1">
      <c r="B2" s="71" t="s">
        <v>304</v>
      </c>
      <c r="C2" s="71"/>
      <c r="D2" s="71"/>
      <c r="E2" s="71"/>
      <c r="F2" s="7"/>
    </row>
    <row r="3" spans="1:6" ht="16.2" customHeight="1">
      <c r="B3" s="2"/>
      <c r="C3" s="2"/>
      <c r="D3" s="2"/>
      <c r="E3" s="2"/>
    </row>
    <row r="4" spans="1:6" ht="15.6">
      <c r="B4" s="72" t="s">
        <v>50</v>
      </c>
      <c r="C4" s="72"/>
      <c r="D4" s="72"/>
      <c r="E4" s="72"/>
    </row>
    <row r="5" spans="1:6" ht="15">
      <c r="B5" s="1"/>
      <c r="C5" s="1"/>
      <c r="D5" s="1"/>
      <c r="E5" s="4" t="s">
        <v>281</v>
      </c>
    </row>
    <row r="6" spans="1:6">
      <c r="A6" s="73" t="s">
        <v>192</v>
      </c>
      <c r="B6" s="75" t="s">
        <v>0</v>
      </c>
      <c r="C6" s="75" t="s">
        <v>46</v>
      </c>
      <c r="D6" s="75" t="s">
        <v>193</v>
      </c>
      <c r="E6" s="76" t="s">
        <v>47</v>
      </c>
    </row>
    <row r="7" spans="1:6" ht="42.6" customHeight="1">
      <c r="A7" s="74"/>
      <c r="B7" s="75"/>
      <c r="C7" s="75"/>
      <c r="D7" s="75"/>
      <c r="E7" s="77"/>
    </row>
    <row r="8" spans="1:6" ht="16.95" customHeight="1">
      <c r="A8" s="3">
        <v>1</v>
      </c>
      <c r="B8" s="12" t="s">
        <v>278</v>
      </c>
      <c r="C8" s="12" t="s">
        <v>279</v>
      </c>
      <c r="D8" s="12" t="s">
        <v>280</v>
      </c>
      <c r="E8" s="11">
        <v>5</v>
      </c>
    </row>
    <row r="9" spans="1:6" ht="31.2">
      <c r="A9" s="10">
        <v>1</v>
      </c>
      <c r="B9" s="13" t="s">
        <v>51</v>
      </c>
      <c r="C9" s="13" t="s">
        <v>52</v>
      </c>
      <c r="D9" s="14" t="s">
        <v>2</v>
      </c>
      <c r="E9" s="63">
        <f>E10+E20+E29+E41+E49+E54+E58+E72+E78+E93+E106+E110+E144</f>
        <v>659108.64588999993</v>
      </c>
    </row>
    <row r="10" spans="1:6" ht="15.6">
      <c r="A10" s="10">
        <f>A9+1</f>
        <v>2</v>
      </c>
      <c r="B10" s="13" t="s">
        <v>51</v>
      </c>
      <c r="C10" s="13" t="s">
        <v>53</v>
      </c>
      <c r="D10" s="14" t="s">
        <v>10</v>
      </c>
      <c r="E10" s="63">
        <f>E11+E14</f>
        <v>461157.15988000005</v>
      </c>
    </row>
    <row r="11" spans="1:6" ht="15.6">
      <c r="A11" s="10">
        <f>A10+1</f>
        <v>3</v>
      </c>
      <c r="B11" s="13" t="s">
        <v>51</v>
      </c>
      <c r="C11" s="13" t="s">
        <v>54</v>
      </c>
      <c r="D11" s="14" t="s">
        <v>11</v>
      </c>
      <c r="E11" s="63">
        <f>E13</f>
        <v>277021.60400000005</v>
      </c>
    </row>
    <row r="12" spans="1:6" ht="60">
      <c r="A12" s="66">
        <f t="shared" ref="A12:A75" si="0">A11+1</f>
        <v>4</v>
      </c>
      <c r="B12" s="15" t="s">
        <v>51</v>
      </c>
      <c r="C12" s="15" t="s">
        <v>56</v>
      </c>
      <c r="D12" s="16" t="s">
        <v>57</v>
      </c>
      <c r="E12" s="63">
        <f>E13</f>
        <v>277021.60400000005</v>
      </c>
    </row>
    <row r="13" spans="1:6" ht="75">
      <c r="A13" s="66">
        <f t="shared" si="0"/>
        <v>5</v>
      </c>
      <c r="B13" s="15" t="s">
        <v>9</v>
      </c>
      <c r="C13" s="15" t="s">
        <v>55</v>
      </c>
      <c r="D13" s="16" t="s">
        <v>12</v>
      </c>
      <c r="E13" s="64">
        <f>308180+11600-7458.551-35299.845</f>
        <v>277021.60400000005</v>
      </c>
    </row>
    <row r="14" spans="1:6" ht="15.6">
      <c r="A14" s="66">
        <f t="shared" si="0"/>
        <v>6</v>
      </c>
      <c r="B14" s="13" t="s">
        <v>51</v>
      </c>
      <c r="C14" s="13" t="s">
        <v>58</v>
      </c>
      <c r="D14" s="14" t="s">
        <v>13</v>
      </c>
      <c r="E14" s="63">
        <f>SUM(E15:E19)</f>
        <v>184135.55588</v>
      </c>
    </row>
    <row r="15" spans="1:6" ht="109.95" customHeight="1">
      <c r="A15" s="66">
        <f t="shared" si="0"/>
        <v>7</v>
      </c>
      <c r="B15" s="15" t="s">
        <v>9</v>
      </c>
      <c r="C15" s="15" t="s">
        <v>59</v>
      </c>
      <c r="D15" s="17" t="s">
        <v>48</v>
      </c>
      <c r="E15" s="64">
        <f>170553.1+2600+1750</f>
        <v>174903.1</v>
      </c>
    </row>
    <row r="16" spans="1:6" ht="195">
      <c r="A16" s="66">
        <f t="shared" si="0"/>
        <v>8</v>
      </c>
      <c r="B16" s="15" t="s">
        <v>9</v>
      </c>
      <c r="C16" s="15" t="s">
        <v>60</v>
      </c>
      <c r="D16" s="17" t="s">
        <v>63</v>
      </c>
      <c r="E16" s="64">
        <f>815.6-100</f>
        <v>715.6</v>
      </c>
    </row>
    <row r="17" spans="1:5" ht="75">
      <c r="A17" s="66">
        <f t="shared" si="0"/>
        <v>9</v>
      </c>
      <c r="B17" s="15" t="s">
        <v>9</v>
      </c>
      <c r="C17" s="15" t="s">
        <v>61</v>
      </c>
      <c r="D17" s="16" t="s">
        <v>14</v>
      </c>
      <c r="E17" s="64">
        <f>3148.2-500</f>
        <v>2648.2</v>
      </c>
    </row>
    <row r="18" spans="1:5" ht="150">
      <c r="A18" s="66">
        <f t="shared" si="0"/>
        <v>10</v>
      </c>
      <c r="B18" s="15" t="s">
        <v>9</v>
      </c>
      <c r="C18" s="15" t="s">
        <v>62</v>
      </c>
      <c r="D18" s="17" t="s">
        <v>64</v>
      </c>
      <c r="E18" s="64">
        <f>709.3-150</f>
        <v>559.29999999999995</v>
      </c>
    </row>
    <row r="19" spans="1:5" ht="180">
      <c r="A19" s="66">
        <f t="shared" si="0"/>
        <v>11</v>
      </c>
      <c r="B19" s="15" t="s">
        <v>9</v>
      </c>
      <c r="C19" s="15" t="s">
        <v>66</v>
      </c>
      <c r="D19" s="18" t="s">
        <v>65</v>
      </c>
      <c r="E19" s="64">
        <f>5741.8+907.55588+2160-2500-1000</f>
        <v>5309.3558799999992</v>
      </c>
    </row>
    <row r="20" spans="1:5" ht="62.4">
      <c r="A20" s="66">
        <f t="shared" si="0"/>
        <v>12</v>
      </c>
      <c r="B20" s="13" t="s">
        <v>51</v>
      </c>
      <c r="C20" s="13" t="s">
        <v>67</v>
      </c>
      <c r="D20" s="14" t="s">
        <v>8</v>
      </c>
      <c r="E20" s="63">
        <f>E21+E23+E25+E27</f>
        <v>3147.1</v>
      </c>
    </row>
    <row r="21" spans="1:5" ht="120">
      <c r="A21" s="66">
        <f t="shared" si="0"/>
        <v>13</v>
      </c>
      <c r="B21" s="15" t="s">
        <v>51</v>
      </c>
      <c r="C21" s="15" t="s">
        <v>72</v>
      </c>
      <c r="D21" s="16" t="s">
        <v>73</v>
      </c>
      <c r="E21" s="64">
        <f>E22</f>
        <v>1422.9</v>
      </c>
    </row>
    <row r="22" spans="1:5" ht="195">
      <c r="A22" s="66">
        <f t="shared" si="0"/>
        <v>14</v>
      </c>
      <c r="B22" s="15" t="s">
        <v>7</v>
      </c>
      <c r="C22" s="15" t="s">
        <v>68</v>
      </c>
      <c r="D22" s="17" t="s">
        <v>74</v>
      </c>
      <c r="E22" s="64">
        <v>1422.9</v>
      </c>
    </row>
    <row r="23" spans="1:5" ht="150">
      <c r="A23" s="66">
        <f t="shared" si="0"/>
        <v>15</v>
      </c>
      <c r="B23" s="15" t="s">
        <v>51</v>
      </c>
      <c r="C23" s="15" t="s">
        <v>75</v>
      </c>
      <c r="D23" s="17" t="s">
        <v>76</v>
      </c>
      <c r="E23" s="64">
        <f>E24</f>
        <v>7.9</v>
      </c>
    </row>
    <row r="24" spans="1:5" ht="196.2" customHeight="1">
      <c r="A24" s="66">
        <f t="shared" si="0"/>
        <v>16</v>
      </c>
      <c r="B24" s="15" t="s">
        <v>7</v>
      </c>
      <c r="C24" s="15" t="s">
        <v>69</v>
      </c>
      <c r="D24" s="17" t="s">
        <v>77</v>
      </c>
      <c r="E24" s="64">
        <v>7.9</v>
      </c>
    </row>
    <row r="25" spans="1:5" ht="120">
      <c r="A25" s="66">
        <f t="shared" si="0"/>
        <v>17</v>
      </c>
      <c r="B25" s="15" t="s">
        <v>51</v>
      </c>
      <c r="C25" s="15" t="s">
        <v>78</v>
      </c>
      <c r="D25" s="17" t="s">
        <v>79</v>
      </c>
      <c r="E25" s="64">
        <f>E26</f>
        <v>1894.7</v>
      </c>
    </row>
    <row r="26" spans="1:5" ht="195">
      <c r="A26" s="66">
        <f t="shared" si="0"/>
        <v>18</v>
      </c>
      <c r="B26" s="15" t="s">
        <v>7</v>
      </c>
      <c r="C26" s="15" t="s">
        <v>70</v>
      </c>
      <c r="D26" s="17" t="s">
        <v>80</v>
      </c>
      <c r="E26" s="64">
        <v>1894.7</v>
      </c>
    </row>
    <row r="27" spans="1:5" ht="120">
      <c r="A27" s="66">
        <f t="shared" si="0"/>
        <v>19</v>
      </c>
      <c r="B27" s="15" t="s">
        <v>51</v>
      </c>
      <c r="C27" s="15" t="s">
        <v>81</v>
      </c>
      <c r="D27" s="17" t="s">
        <v>82</v>
      </c>
      <c r="E27" s="64">
        <f>E28</f>
        <v>-178.4</v>
      </c>
    </row>
    <row r="28" spans="1:5" ht="195">
      <c r="A28" s="66">
        <f t="shared" si="0"/>
        <v>20</v>
      </c>
      <c r="B28" s="15" t="s">
        <v>7</v>
      </c>
      <c r="C28" s="15" t="s">
        <v>71</v>
      </c>
      <c r="D28" s="17" t="s">
        <v>83</v>
      </c>
      <c r="E28" s="64">
        <v>-178.4</v>
      </c>
    </row>
    <row r="29" spans="1:5" ht="31.2">
      <c r="A29" s="66">
        <f t="shared" si="0"/>
        <v>21</v>
      </c>
      <c r="B29" s="15" t="s">
        <v>51</v>
      </c>
      <c r="C29" s="13" t="s">
        <v>85</v>
      </c>
      <c r="D29" s="14" t="s">
        <v>15</v>
      </c>
      <c r="E29" s="63">
        <f>E30+E35+E39+E37</f>
        <v>47840.430000000008</v>
      </c>
    </row>
    <row r="30" spans="1:5" ht="45">
      <c r="A30" s="66">
        <f t="shared" si="0"/>
        <v>22</v>
      </c>
      <c r="B30" s="15" t="s">
        <v>51</v>
      </c>
      <c r="C30" s="15" t="s">
        <v>86</v>
      </c>
      <c r="D30" s="16" t="s">
        <v>84</v>
      </c>
      <c r="E30" s="64">
        <f>E31+E33</f>
        <v>39199.630000000005</v>
      </c>
    </row>
    <row r="31" spans="1:5" ht="60">
      <c r="A31" s="66">
        <f t="shared" si="0"/>
        <v>23</v>
      </c>
      <c r="B31" s="15" t="s">
        <v>51</v>
      </c>
      <c r="C31" s="15" t="s">
        <v>89</v>
      </c>
      <c r="D31" s="16" t="s">
        <v>16</v>
      </c>
      <c r="E31" s="64">
        <f>E32</f>
        <v>26268.43</v>
      </c>
    </row>
    <row r="32" spans="1:5" ht="60">
      <c r="A32" s="66">
        <f t="shared" si="0"/>
        <v>24</v>
      </c>
      <c r="B32" s="15" t="s">
        <v>9</v>
      </c>
      <c r="C32" s="15" t="s">
        <v>87</v>
      </c>
      <c r="D32" s="16" t="s">
        <v>16</v>
      </c>
      <c r="E32" s="64">
        <f>23969.63+1294.1+1000+4.7</f>
        <v>26268.43</v>
      </c>
    </row>
    <row r="33" spans="1:5" ht="75">
      <c r="A33" s="66">
        <f t="shared" si="0"/>
        <v>25</v>
      </c>
      <c r="B33" s="15" t="s">
        <v>51</v>
      </c>
      <c r="C33" s="15" t="s">
        <v>90</v>
      </c>
      <c r="D33" s="16" t="s">
        <v>91</v>
      </c>
      <c r="E33" s="64">
        <f>E34</f>
        <v>12931.2</v>
      </c>
    </row>
    <row r="34" spans="1:5" ht="105">
      <c r="A34" s="66">
        <f t="shared" si="0"/>
        <v>26</v>
      </c>
      <c r="B34" s="15" t="s">
        <v>9</v>
      </c>
      <c r="C34" s="15" t="s">
        <v>88</v>
      </c>
      <c r="D34" s="16" t="s">
        <v>17</v>
      </c>
      <c r="E34" s="64">
        <f>8003.1+3928.1+1000</f>
        <v>12931.2</v>
      </c>
    </row>
    <row r="35" spans="1:5" ht="30">
      <c r="A35" s="66">
        <f t="shared" si="0"/>
        <v>27</v>
      </c>
      <c r="B35" s="15" t="s">
        <v>51</v>
      </c>
      <c r="C35" s="15" t="s">
        <v>93</v>
      </c>
      <c r="D35" s="16" t="s">
        <v>18</v>
      </c>
      <c r="E35" s="64">
        <f>E36</f>
        <v>23.099999999999994</v>
      </c>
    </row>
    <row r="36" spans="1:5" ht="30">
      <c r="A36" s="66">
        <f t="shared" si="0"/>
        <v>28</v>
      </c>
      <c r="B36" s="15" t="s">
        <v>9</v>
      </c>
      <c r="C36" s="15" t="s">
        <v>92</v>
      </c>
      <c r="D36" s="16" t="s">
        <v>18</v>
      </c>
      <c r="E36" s="64">
        <f>116.5-85.4-8</f>
        <v>23.099999999999994</v>
      </c>
    </row>
    <row r="37" spans="1:5" ht="15">
      <c r="A37" s="66">
        <f t="shared" si="0"/>
        <v>29</v>
      </c>
      <c r="B37" s="15" t="s">
        <v>51</v>
      </c>
      <c r="C37" s="19" t="s">
        <v>462</v>
      </c>
      <c r="D37" s="20" t="s">
        <v>461</v>
      </c>
      <c r="E37" s="64">
        <f>E38</f>
        <v>3.3</v>
      </c>
    </row>
    <row r="38" spans="1:5" ht="15">
      <c r="A38" s="66">
        <f t="shared" si="0"/>
        <v>30</v>
      </c>
      <c r="B38" s="15" t="s">
        <v>9</v>
      </c>
      <c r="C38" s="19" t="s">
        <v>462</v>
      </c>
      <c r="D38" s="20" t="s">
        <v>461</v>
      </c>
      <c r="E38" s="64">
        <v>3.3</v>
      </c>
    </row>
    <row r="39" spans="1:5" ht="45">
      <c r="A39" s="66">
        <f t="shared" si="0"/>
        <v>31</v>
      </c>
      <c r="B39" s="15" t="s">
        <v>51</v>
      </c>
      <c r="C39" s="15" t="s">
        <v>94</v>
      </c>
      <c r="D39" s="16" t="s">
        <v>95</v>
      </c>
      <c r="E39" s="64">
        <f>E40</f>
        <v>8614.4</v>
      </c>
    </row>
    <row r="40" spans="1:5" ht="60">
      <c r="A40" s="66">
        <f t="shared" si="0"/>
        <v>32</v>
      </c>
      <c r="B40" s="15" t="s">
        <v>9</v>
      </c>
      <c r="C40" s="15" t="s">
        <v>96</v>
      </c>
      <c r="D40" s="16" t="s">
        <v>19</v>
      </c>
      <c r="E40" s="64">
        <f>8931-316.6</f>
        <v>8614.4</v>
      </c>
    </row>
    <row r="41" spans="1:5" ht="15.6">
      <c r="A41" s="66">
        <f t="shared" si="0"/>
        <v>33</v>
      </c>
      <c r="B41" s="15" t="s">
        <v>51</v>
      </c>
      <c r="C41" s="13" t="s">
        <v>97</v>
      </c>
      <c r="D41" s="14" t="s">
        <v>20</v>
      </c>
      <c r="E41" s="63">
        <f>E42+E44</f>
        <v>41870.400000000001</v>
      </c>
    </row>
    <row r="42" spans="1:5" ht="15">
      <c r="A42" s="66">
        <f t="shared" si="0"/>
        <v>34</v>
      </c>
      <c r="B42" s="15" t="s">
        <v>51</v>
      </c>
      <c r="C42" s="15" t="s">
        <v>100</v>
      </c>
      <c r="D42" s="16" t="s">
        <v>99</v>
      </c>
      <c r="E42" s="64">
        <f>E43</f>
        <v>10056</v>
      </c>
    </row>
    <row r="43" spans="1:5" ht="75">
      <c r="A43" s="66">
        <f t="shared" si="0"/>
        <v>35</v>
      </c>
      <c r="B43" s="15" t="s">
        <v>9</v>
      </c>
      <c r="C43" s="15" t="s">
        <v>98</v>
      </c>
      <c r="D43" s="16" t="s">
        <v>21</v>
      </c>
      <c r="E43" s="64">
        <f>8756+1300</f>
        <v>10056</v>
      </c>
    </row>
    <row r="44" spans="1:5" ht="15">
      <c r="A44" s="66">
        <f t="shared" si="0"/>
        <v>36</v>
      </c>
      <c r="B44" s="15" t="s">
        <v>51</v>
      </c>
      <c r="C44" s="15" t="s">
        <v>102</v>
      </c>
      <c r="D44" s="16" t="s">
        <v>101</v>
      </c>
      <c r="E44" s="64">
        <f>E45+E47</f>
        <v>31814.400000000001</v>
      </c>
    </row>
    <row r="45" spans="1:5" ht="15">
      <c r="A45" s="66">
        <f t="shared" si="0"/>
        <v>37</v>
      </c>
      <c r="B45" s="15" t="s">
        <v>51</v>
      </c>
      <c r="C45" s="15" t="s">
        <v>104</v>
      </c>
      <c r="D45" s="16" t="s">
        <v>105</v>
      </c>
      <c r="E45" s="64">
        <f>E46</f>
        <v>22710.9</v>
      </c>
    </row>
    <row r="46" spans="1:5" ht="60">
      <c r="A46" s="66">
        <f t="shared" si="0"/>
        <v>38</v>
      </c>
      <c r="B46" s="15" t="s">
        <v>9</v>
      </c>
      <c r="C46" s="15" t="s">
        <v>103</v>
      </c>
      <c r="D46" s="16" t="s">
        <v>22</v>
      </c>
      <c r="E46" s="64">
        <f>25357.9-2147-500</f>
        <v>22710.9</v>
      </c>
    </row>
    <row r="47" spans="1:5" ht="15">
      <c r="A47" s="66">
        <f t="shared" si="0"/>
        <v>39</v>
      </c>
      <c r="B47" s="15" t="s">
        <v>51</v>
      </c>
      <c r="C47" s="15" t="s">
        <v>106</v>
      </c>
      <c r="D47" s="16" t="s">
        <v>107</v>
      </c>
      <c r="E47" s="64">
        <f>E48</f>
        <v>9103.5</v>
      </c>
    </row>
    <row r="48" spans="1:5" ht="60">
      <c r="A48" s="66">
        <f t="shared" si="0"/>
        <v>40</v>
      </c>
      <c r="B48" s="15" t="s">
        <v>9</v>
      </c>
      <c r="C48" s="15" t="s">
        <v>108</v>
      </c>
      <c r="D48" s="16" t="s">
        <v>23</v>
      </c>
      <c r="E48" s="64">
        <f>11903.5-1500-1300</f>
        <v>9103.5</v>
      </c>
    </row>
    <row r="49" spans="1:5" ht="15.6">
      <c r="A49" s="66">
        <f t="shared" si="0"/>
        <v>41</v>
      </c>
      <c r="B49" s="15" t="s">
        <v>51</v>
      </c>
      <c r="C49" s="13" t="s">
        <v>109</v>
      </c>
      <c r="D49" s="14" t="s">
        <v>24</v>
      </c>
      <c r="E49" s="63">
        <f>E50+E52</f>
        <v>7676.4439999999995</v>
      </c>
    </row>
    <row r="50" spans="1:5" ht="60">
      <c r="A50" s="66">
        <f t="shared" si="0"/>
        <v>42</v>
      </c>
      <c r="B50" s="15" t="s">
        <v>51</v>
      </c>
      <c r="C50" s="15" t="s">
        <v>112</v>
      </c>
      <c r="D50" s="16" t="s">
        <v>111</v>
      </c>
      <c r="E50" s="64">
        <f>E51</f>
        <v>7641.4439999999995</v>
      </c>
    </row>
    <row r="51" spans="1:5" ht="90">
      <c r="A51" s="66">
        <f t="shared" si="0"/>
        <v>43</v>
      </c>
      <c r="B51" s="15" t="s">
        <v>9</v>
      </c>
      <c r="C51" s="15" t="s">
        <v>110</v>
      </c>
      <c r="D51" s="16" t="s">
        <v>25</v>
      </c>
      <c r="E51" s="64">
        <f>7072-25+638.944-44.5</f>
        <v>7641.4439999999995</v>
      </c>
    </row>
    <row r="52" spans="1:5" ht="60">
      <c r="A52" s="66">
        <f t="shared" si="0"/>
        <v>44</v>
      </c>
      <c r="B52" s="15" t="s">
        <v>51</v>
      </c>
      <c r="C52" s="15" t="s">
        <v>113</v>
      </c>
      <c r="D52" s="16" t="s">
        <v>114</v>
      </c>
      <c r="E52" s="64">
        <f>E53</f>
        <v>35</v>
      </c>
    </row>
    <row r="53" spans="1:5" ht="60">
      <c r="A53" s="66">
        <f t="shared" si="0"/>
        <v>45</v>
      </c>
      <c r="B53" s="15" t="s">
        <v>28</v>
      </c>
      <c r="C53" s="15" t="s">
        <v>282</v>
      </c>
      <c r="D53" s="16" t="s">
        <v>283</v>
      </c>
      <c r="E53" s="64">
        <f>5+25+5</f>
        <v>35</v>
      </c>
    </row>
    <row r="54" spans="1:5" ht="78">
      <c r="A54" s="66">
        <f t="shared" si="0"/>
        <v>46</v>
      </c>
      <c r="B54" s="15" t="s">
        <v>51</v>
      </c>
      <c r="C54" s="13" t="s">
        <v>115</v>
      </c>
      <c r="D54" s="14" t="s">
        <v>26</v>
      </c>
      <c r="E54" s="63">
        <f>E55</f>
        <v>0.19999999999999998</v>
      </c>
    </row>
    <row r="55" spans="1:5" ht="45">
      <c r="A55" s="66">
        <f t="shared" si="0"/>
        <v>47</v>
      </c>
      <c r="B55" s="15" t="s">
        <v>51</v>
      </c>
      <c r="C55" s="15" t="s">
        <v>117</v>
      </c>
      <c r="D55" s="16" t="s">
        <v>116</v>
      </c>
      <c r="E55" s="64">
        <f>E56</f>
        <v>0.19999999999999998</v>
      </c>
    </row>
    <row r="56" spans="1:5" ht="90">
      <c r="A56" s="66">
        <f t="shared" si="0"/>
        <v>48</v>
      </c>
      <c r="B56" s="15" t="s">
        <v>51</v>
      </c>
      <c r="C56" s="21" t="s">
        <v>447</v>
      </c>
      <c r="D56" s="20" t="s">
        <v>445</v>
      </c>
      <c r="E56" s="64">
        <f>E57</f>
        <v>0.19999999999999998</v>
      </c>
    </row>
    <row r="57" spans="1:5" ht="105">
      <c r="A57" s="66">
        <f t="shared" si="0"/>
        <v>49</v>
      </c>
      <c r="B57" s="15" t="s">
        <v>9</v>
      </c>
      <c r="C57" s="21" t="s">
        <v>448</v>
      </c>
      <c r="D57" s="20" t="s">
        <v>446</v>
      </c>
      <c r="E57" s="64">
        <f>0.3-0.1</f>
        <v>0.19999999999999998</v>
      </c>
    </row>
    <row r="58" spans="1:5" ht="78">
      <c r="A58" s="66">
        <f t="shared" si="0"/>
        <v>50</v>
      </c>
      <c r="B58" s="13" t="s">
        <v>51</v>
      </c>
      <c r="C58" s="13" t="s">
        <v>118</v>
      </c>
      <c r="D58" s="14" t="s">
        <v>29</v>
      </c>
      <c r="E58" s="63">
        <f>E59+E63+E65</f>
        <v>74426.687000000005</v>
      </c>
    </row>
    <row r="59" spans="1:5" ht="150">
      <c r="A59" s="66">
        <f t="shared" si="0"/>
        <v>51</v>
      </c>
      <c r="B59" s="15" t="s">
        <v>51</v>
      </c>
      <c r="C59" s="15" t="s">
        <v>121</v>
      </c>
      <c r="D59" s="18" t="s">
        <v>120</v>
      </c>
      <c r="E59" s="64">
        <f>E60+E61+E62</f>
        <v>68554.040000000008</v>
      </c>
    </row>
    <row r="60" spans="1:5" ht="150">
      <c r="A60" s="66">
        <f t="shared" si="0"/>
        <v>52</v>
      </c>
      <c r="B60" s="15" t="s">
        <v>28</v>
      </c>
      <c r="C60" s="15" t="s">
        <v>119</v>
      </c>
      <c r="D60" s="17" t="s">
        <v>122</v>
      </c>
      <c r="E60" s="64">
        <f>1909.33-1909.33+100</f>
        <v>100</v>
      </c>
    </row>
    <row r="61" spans="1:5" ht="135">
      <c r="A61" s="66">
        <f t="shared" si="0"/>
        <v>53</v>
      </c>
      <c r="B61" s="15" t="s">
        <v>28</v>
      </c>
      <c r="C61" s="15" t="s">
        <v>123</v>
      </c>
      <c r="D61" s="16" t="s">
        <v>30</v>
      </c>
      <c r="E61" s="64">
        <f>60185.54+5914.5+1400</f>
        <v>67500.040000000008</v>
      </c>
    </row>
    <row r="62" spans="1:5" ht="60">
      <c r="A62" s="66">
        <f t="shared" si="0"/>
        <v>54</v>
      </c>
      <c r="B62" s="15" t="s">
        <v>28</v>
      </c>
      <c r="C62" s="15" t="s">
        <v>124</v>
      </c>
      <c r="D62" s="16" t="s">
        <v>31</v>
      </c>
      <c r="E62" s="64">
        <f>964-10</f>
        <v>954</v>
      </c>
    </row>
    <row r="63" spans="1:5" ht="45">
      <c r="A63" s="66">
        <f t="shared" si="0"/>
        <v>55</v>
      </c>
      <c r="B63" s="15" t="s">
        <v>51</v>
      </c>
      <c r="C63" s="15" t="s">
        <v>127</v>
      </c>
      <c r="D63" s="16" t="s">
        <v>126</v>
      </c>
      <c r="E63" s="64">
        <f>E64</f>
        <v>554.34699999999998</v>
      </c>
    </row>
    <row r="64" spans="1:5" ht="90">
      <c r="A64" s="66">
        <f t="shared" si="0"/>
        <v>56</v>
      </c>
      <c r="B64" s="15" t="s">
        <v>28</v>
      </c>
      <c r="C64" s="15" t="s">
        <v>125</v>
      </c>
      <c r="D64" s="16" t="s">
        <v>32</v>
      </c>
      <c r="E64" s="64">
        <f>450+104.347</f>
        <v>554.34699999999998</v>
      </c>
    </row>
    <row r="65" spans="1:5" ht="135">
      <c r="A65" s="66">
        <f t="shared" si="0"/>
        <v>57</v>
      </c>
      <c r="B65" s="15" t="s">
        <v>51</v>
      </c>
      <c r="C65" s="15" t="s">
        <v>130</v>
      </c>
      <c r="D65" s="18" t="s">
        <v>129</v>
      </c>
      <c r="E65" s="64">
        <f>E66+E69</f>
        <v>5318.3</v>
      </c>
    </row>
    <row r="66" spans="1:5" ht="135">
      <c r="A66" s="66">
        <f t="shared" si="0"/>
        <v>58</v>
      </c>
      <c r="B66" s="15" t="s">
        <v>51</v>
      </c>
      <c r="C66" s="15" t="s">
        <v>137</v>
      </c>
      <c r="D66" s="16" t="s">
        <v>33</v>
      </c>
      <c r="E66" s="64">
        <f>E67+E68</f>
        <v>1232.1000000000001</v>
      </c>
    </row>
    <row r="67" spans="1:5" ht="135">
      <c r="A67" s="66">
        <f t="shared" si="0"/>
        <v>59</v>
      </c>
      <c r="B67" s="15" t="s">
        <v>28</v>
      </c>
      <c r="C67" s="15" t="s">
        <v>128</v>
      </c>
      <c r="D67" s="16" t="s">
        <v>33</v>
      </c>
      <c r="E67" s="64">
        <f>261.2+30</f>
        <v>291.2</v>
      </c>
    </row>
    <row r="68" spans="1:5" ht="135">
      <c r="A68" s="66">
        <f t="shared" si="0"/>
        <v>60</v>
      </c>
      <c r="B68" s="15" t="s">
        <v>362</v>
      </c>
      <c r="C68" s="15" t="s">
        <v>128</v>
      </c>
      <c r="D68" s="16" t="s">
        <v>33</v>
      </c>
      <c r="E68" s="64">
        <f>732-2.62583+211.52583</f>
        <v>940.90000000000009</v>
      </c>
    </row>
    <row r="69" spans="1:5" ht="180">
      <c r="A69" s="66">
        <f t="shared" si="0"/>
        <v>61</v>
      </c>
      <c r="B69" s="15" t="s">
        <v>51</v>
      </c>
      <c r="C69" s="15" t="s">
        <v>133</v>
      </c>
      <c r="D69" s="18" t="s">
        <v>132</v>
      </c>
      <c r="E69" s="64">
        <f>E70+E71</f>
        <v>4086.2</v>
      </c>
    </row>
    <row r="70" spans="1:5" ht="180">
      <c r="A70" s="66">
        <f t="shared" si="0"/>
        <v>62</v>
      </c>
      <c r="B70" s="15" t="s">
        <v>28</v>
      </c>
      <c r="C70" s="15" t="s">
        <v>131</v>
      </c>
      <c r="D70" s="17" t="s">
        <v>134</v>
      </c>
      <c r="E70" s="64">
        <f>938.1-120</f>
        <v>818.1</v>
      </c>
    </row>
    <row r="71" spans="1:5" ht="210">
      <c r="A71" s="66">
        <f t="shared" si="0"/>
        <v>63</v>
      </c>
      <c r="B71" s="15" t="s">
        <v>28</v>
      </c>
      <c r="C71" s="15" t="s">
        <v>135</v>
      </c>
      <c r="D71" s="17" t="s">
        <v>136</v>
      </c>
      <c r="E71" s="64">
        <f>350+1683+1235.1</f>
        <v>3268.1</v>
      </c>
    </row>
    <row r="72" spans="1:5" ht="31.2">
      <c r="A72" s="66">
        <f t="shared" si="0"/>
        <v>64</v>
      </c>
      <c r="B72" s="13" t="s">
        <v>51</v>
      </c>
      <c r="C72" s="13" t="s">
        <v>138</v>
      </c>
      <c r="D72" s="14" t="s">
        <v>5</v>
      </c>
      <c r="E72" s="63">
        <f>E73</f>
        <v>82.100000000000009</v>
      </c>
    </row>
    <row r="73" spans="1:5" ht="30">
      <c r="A73" s="66">
        <f t="shared" si="0"/>
        <v>65</v>
      </c>
      <c r="B73" s="15" t="s">
        <v>51</v>
      </c>
      <c r="C73" s="15" t="s">
        <v>142</v>
      </c>
      <c r="D73" s="16" t="s">
        <v>140</v>
      </c>
      <c r="E73" s="64">
        <f>E74+E75+E76</f>
        <v>82.100000000000009</v>
      </c>
    </row>
    <row r="74" spans="1:5" ht="45">
      <c r="A74" s="66">
        <f t="shared" si="0"/>
        <v>66</v>
      </c>
      <c r="B74" s="15" t="s">
        <v>4</v>
      </c>
      <c r="C74" s="15" t="s">
        <v>139</v>
      </c>
      <c r="D74" s="16" t="s">
        <v>141</v>
      </c>
      <c r="E74" s="64">
        <v>30.1</v>
      </c>
    </row>
    <row r="75" spans="1:5" ht="30">
      <c r="A75" s="66">
        <f t="shared" si="0"/>
        <v>67</v>
      </c>
      <c r="B75" s="15" t="s">
        <v>4</v>
      </c>
      <c r="C75" s="15" t="s">
        <v>143</v>
      </c>
      <c r="D75" s="16" t="s">
        <v>6</v>
      </c>
      <c r="E75" s="64">
        <v>51.6</v>
      </c>
    </row>
    <row r="76" spans="1:5" ht="30">
      <c r="A76" s="66">
        <f t="shared" ref="A76:A139" si="1">A75+1</f>
        <v>68</v>
      </c>
      <c r="B76" s="15" t="s">
        <v>51</v>
      </c>
      <c r="C76" s="15" t="s">
        <v>325</v>
      </c>
      <c r="D76" s="16" t="s">
        <v>144</v>
      </c>
      <c r="E76" s="64">
        <f>E77</f>
        <v>0.4</v>
      </c>
    </row>
    <row r="77" spans="1:5" ht="30">
      <c r="A77" s="66">
        <f t="shared" si="1"/>
        <v>69</v>
      </c>
      <c r="B77" s="15" t="s">
        <v>4</v>
      </c>
      <c r="C77" s="15" t="s">
        <v>414</v>
      </c>
      <c r="D77" s="16" t="s">
        <v>415</v>
      </c>
      <c r="E77" s="64">
        <v>0.4</v>
      </c>
    </row>
    <row r="78" spans="1:5" ht="62.4">
      <c r="A78" s="66">
        <f t="shared" si="1"/>
        <v>70</v>
      </c>
      <c r="B78" s="13" t="s">
        <v>51</v>
      </c>
      <c r="C78" s="13" t="s">
        <v>145</v>
      </c>
      <c r="D78" s="14" t="s">
        <v>34</v>
      </c>
      <c r="E78" s="63">
        <f>E79+E82</f>
        <v>9694.2060000000001</v>
      </c>
    </row>
    <row r="79" spans="1:5" ht="30">
      <c r="A79" s="66">
        <f t="shared" si="1"/>
        <v>71</v>
      </c>
      <c r="B79" s="15" t="s">
        <v>51</v>
      </c>
      <c r="C79" s="15" t="s">
        <v>148</v>
      </c>
      <c r="D79" s="16" t="s">
        <v>147</v>
      </c>
      <c r="E79" s="64">
        <f>E80</f>
        <v>503.2</v>
      </c>
    </row>
    <row r="80" spans="1:5" ht="30">
      <c r="A80" s="66">
        <f t="shared" si="1"/>
        <v>72</v>
      </c>
      <c r="B80" s="15" t="s">
        <v>51</v>
      </c>
      <c r="C80" s="15" t="s">
        <v>150</v>
      </c>
      <c r="D80" s="16" t="s">
        <v>149</v>
      </c>
      <c r="E80" s="64">
        <f>E81</f>
        <v>503.2</v>
      </c>
    </row>
    <row r="81" spans="1:5" ht="45">
      <c r="A81" s="66">
        <f t="shared" si="1"/>
        <v>73</v>
      </c>
      <c r="B81" s="15" t="s">
        <v>44</v>
      </c>
      <c r="C81" s="15" t="s">
        <v>146</v>
      </c>
      <c r="D81" s="16" t="s">
        <v>45</v>
      </c>
      <c r="E81" s="64">
        <f>261+206+36.2</f>
        <v>503.2</v>
      </c>
    </row>
    <row r="82" spans="1:5" ht="30">
      <c r="A82" s="66">
        <f t="shared" si="1"/>
        <v>74</v>
      </c>
      <c r="B82" s="15" t="s">
        <v>51</v>
      </c>
      <c r="C82" s="15" t="s">
        <v>152</v>
      </c>
      <c r="D82" s="16" t="s">
        <v>151</v>
      </c>
      <c r="E82" s="64">
        <f>E83+E87</f>
        <v>9191.0059999999994</v>
      </c>
    </row>
    <row r="83" spans="1:5" ht="45">
      <c r="A83" s="66">
        <f t="shared" si="1"/>
        <v>75</v>
      </c>
      <c r="B83" s="15" t="s">
        <v>51</v>
      </c>
      <c r="C83" s="15" t="s">
        <v>366</v>
      </c>
      <c r="D83" s="16" t="s">
        <v>365</v>
      </c>
      <c r="E83" s="64">
        <f>E84</f>
        <v>3389.42</v>
      </c>
    </row>
    <row r="84" spans="1:5" ht="60">
      <c r="A84" s="66">
        <f t="shared" si="1"/>
        <v>76</v>
      </c>
      <c r="B84" s="15" t="s">
        <v>51</v>
      </c>
      <c r="C84" s="15" t="s">
        <v>368</v>
      </c>
      <c r="D84" s="16" t="s">
        <v>369</v>
      </c>
      <c r="E84" s="64">
        <f>E85+E86</f>
        <v>3389.42</v>
      </c>
    </row>
    <row r="85" spans="1:5" ht="90">
      <c r="A85" s="66">
        <f t="shared" si="1"/>
        <v>77</v>
      </c>
      <c r="B85" s="15" t="s">
        <v>28</v>
      </c>
      <c r="C85" s="15" t="s">
        <v>337</v>
      </c>
      <c r="D85" s="18" t="s">
        <v>364</v>
      </c>
      <c r="E85" s="64">
        <f>3237.4+90</f>
        <v>3327.4</v>
      </c>
    </row>
    <row r="86" spans="1:5" ht="90">
      <c r="A86" s="66">
        <f t="shared" si="1"/>
        <v>78</v>
      </c>
      <c r="B86" s="15" t="s">
        <v>44</v>
      </c>
      <c r="C86" s="15" t="s">
        <v>337</v>
      </c>
      <c r="D86" s="18" t="s">
        <v>364</v>
      </c>
      <c r="E86" s="64">
        <v>62.02</v>
      </c>
    </row>
    <row r="87" spans="1:5" ht="30">
      <c r="A87" s="66">
        <f t="shared" si="1"/>
        <v>79</v>
      </c>
      <c r="B87" s="15" t="s">
        <v>51</v>
      </c>
      <c r="C87" s="15" t="s">
        <v>340</v>
      </c>
      <c r="D87" s="22" t="s">
        <v>367</v>
      </c>
      <c r="E87" s="64">
        <f>E88</f>
        <v>5801.5859999999993</v>
      </c>
    </row>
    <row r="88" spans="1:5" ht="31.2" customHeight="1">
      <c r="A88" s="66">
        <f t="shared" si="1"/>
        <v>80</v>
      </c>
      <c r="B88" s="15" t="s">
        <v>51</v>
      </c>
      <c r="C88" s="15" t="s">
        <v>342</v>
      </c>
      <c r="D88" s="23" t="s">
        <v>341</v>
      </c>
      <c r="E88" s="64">
        <f>SUM(E89:E92)</f>
        <v>5801.5859999999993</v>
      </c>
    </row>
    <row r="89" spans="1:5" ht="75">
      <c r="A89" s="66">
        <f t="shared" si="1"/>
        <v>81</v>
      </c>
      <c r="B89" s="15" t="s">
        <v>28</v>
      </c>
      <c r="C89" s="15" t="s">
        <v>391</v>
      </c>
      <c r="D89" s="24" t="s">
        <v>371</v>
      </c>
      <c r="E89" s="64">
        <f>127+115.86+202.17+87.5</f>
        <v>532.53</v>
      </c>
    </row>
    <row r="90" spans="1:5" ht="75">
      <c r="A90" s="66">
        <f t="shared" si="1"/>
        <v>82</v>
      </c>
      <c r="B90" s="15" t="s">
        <v>28</v>
      </c>
      <c r="C90" s="25" t="s">
        <v>457</v>
      </c>
      <c r="D90" s="26" t="s">
        <v>458</v>
      </c>
      <c r="E90" s="64">
        <v>4.056</v>
      </c>
    </row>
    <row r="91" spans="1:5" ht="75">
      <c r="A91" s="66">
        <f t="shared" si="1"/>
        <v>83</v>
      </c>
      <c r="B91" s="15" t="s">
        <v>362</v>
      </c>
      <c r="C91" s="15" t="s">
        <v>392</v>
      </c>
      <c r="D91" s="6" t="s">
        <v>339</v>
      </c>
      <c r="E91" s="64">
        <v>2829.09636</v>
      </c>
    </row>
    <row r="92" spans="1:5" ht="90">
      <c r="A92" s="66">
        <f t="shared" si="1"/>
        <v>84</v>
      </c>
      <c r="B92" s="15" t="s">
        <v>362</v>
      </c>
      <c r="C92" s="15" t="s">
        <v>393</v>
      </c>
      <c r="D92" s="6" t="s">
        <v>370</v>
      </c>
      <c r="E92" s="64">
        <f>3470.90364-1035</f>
        <v>2435.90364</v>
      </c>
    </row>
    <row r="93" spans="1:5" ht="46.8">
      <c r="A93" s="66">
        <f t="shared" si="1"/>
        <v>85</v>
      </c>
      <c r="B93" s="15" t="s">
        <v>51</v>
      </c>
      <c r="C93" s="13" t="s">
        <v>153</v>
      </c>
      <c r="D93" s="14" t="s">
        <v>35</v>
      </c>
      <c r="E93" s="63">
        <f>E94+E101</f>
        <v>11064.233</v>
      </c>
    </row>
    <row r="94" spans="1:5" ht="171.6">
      <c r="A94" s="66">
        <f t="shared" si="1"/>
        <v>86</v>
      </c>
      <c r="B94" s="15" t="s">
        <v>51</v>
      </c>
      <c r="C94" s="15" t="s">
        <v>389</v>
      </c>
      <c r="D94" s="27" t="s">
        <v>387</v>
      </c>
      <c r="E94" s="64">
        <f>E95</f>
        <v>7694.2330000000002</v>
      </c>
    </row>
    <row r="95" spans="1:5" ht="150">
      <c r="A95" s="66">
        <f t="shared" si="1"/>
        <v>87</v>
      </c>
      <c r="B95" s="15" t="s">
        <v>51</v>
      </c>
      <c r="C95" s="15" t="s">
        <v>390</v>
      </c>
      <c r="D95" s="28" t="s">
        <v>388</v>
      </c>
      <c r="E95" s="64">
        <f>E96+E98</f>
        <v>7694.2330000000002</v>
      </c>
    </row>
    <row r="96" spans="1:5" ht="163.19999999999999" customHeight="1">
      <c r="A96" s="66">
        <f t="shared" si="1"/>
        <v>88</v>
      </c>
      <c r="B96" s="15" t="s">
        <v>51</v>
      </c>
      <c r="C96" s="15" t="s">
        <v>431</v>
      </c>
      <c r="D96" s="29" t="s">
        <v>429</v>
      </c>
      <c r="E96" s="64">
        <f>E97</f>
        <v>7667.201</v>
      </c>
    </row>
    <row r="97" spans="1:5" ht="165">
      <c r="A97" s="66">
        <f t="shared" si="1"/>
        <v>89</v>
      </c>
      <c r="B97" s="15" t="s">
        <v>28</v>
      </c>
      <c r="C97" s="15" t="s">
        <v>432</v>
      </c>
      <c r="D97" s="30" t="s">
        <v>430</v>
      </c>
      <c r="E97" s="64">
        <f>7458.551+208.65</f>
        <v>7667.201</v>
      </c>
    </row>
    <row r="98" spans="1:5" ht="150">
      <c r="A98" s="66">
        <f t="shared" si="1"/>
        <v>90</v>
      </c>
      <c r="B98" s="15" t="s">
        <v>51</v>
      </c>
      <c r="C98" s="15" t="s">
        <v>390</v>
      </c>
      <c r="D98" s="30" t="s">
        <v>388</v>
      </c>
      <c r="E98" s="64">
        <f>E99+E100</f>
        <v>27.032</v>
      </c>
    </row>
    <row r="99" spans="1:5" ht="150">
      <c r="A99" s="66">
        <f t="shared" si="1"/>
        <v>91</v>
      </c>
      <c r="B99" s="15" t="s">
        <v>362</v>
      </c>
      <c r="C99" s="15" t="s">
        <v>383</v>
      </c>
      <c r="D99" s="30" t="s">
        <v>382</v>
      </c>
      <c r="E99" s="64">
        <v>6.48</v>
      </c>
    </row>
    <row r="100" spans="1:5" ht="150">
      <c r="A100" s="66">
        <f t="shared" si="1"/>
        <v>92</v>
      </c>
      <c r="B100" s="15" t="s">
        <v>44</v>
      </c>
      <c r="C100" s="15" t="s">
        <v>383</v>
      </c>
      <c r="D100" s="30" t="s">
        <v>382</v>
      </c>
      <c r="E100" s="64">
        <v>20.552</v>
      </c>
    </row>
    <row r="101" spans="1:5" ht="62.4">
      <c r="A101" s="66">
        <f t="shared" si="1"/>
        <v>93</v>
      </c>
      <c r="B101" s="15" t="s">
        <v>51</v>
      </c>
      <c r="C101" s="15" t="s">
        <v>156</v>
      </c>
      <c r="D101" s="14" t="s">
        <v>155</v>
      </c>
      <c r="E101" s="64">
        <f>E102+E104</f>
        <v>3370</v>
      </c>
    </row>
    <row r="102" spans="1:5" ht="90">
      <c r="A102" s="66">
        <f t="shared" si="1"/>
        <v>94</v>
      </c>
      <c r="B102" s="15" t="s">
        <v>51</v>
      </c>
      <c r="C102" s="15" t="s">
        <v>154</v>
      </c>
      <c r="D102" s="31" t="s">
        <v>36</v>
      </c>
      <c r="E102" s="64">
        <f>E103</f>
        <v>2000</v>
      </c>
    </row>
    <row r="103" spans="1:5" ht="90">
      <c r="A103" s="66">
        <f t="shared" si="1"/>
        <v>95</v>
      </c>
      <c r="B103" s="15" t="s">
        <v>28</v>
      </c>
      <c r="C103" s="15" t="s">
        <v>154</v>
      </c>
      <c r="D103" s="16" t="s">
        <v>36</v>
      </c>
      <c r="E103" s="64">
        <f>700+1500-200</f>
        <v>2000</v>
      </c>
    </row>
    <row r="104" spans="1:5" ht="90">
      <c r="A104" s="66">
        <f t="shared" si="1"/>
        <v>96</v>
      </c>
      <c r="B104" s="15" t="s">
        <v>51</v>
      </c>
      <c r="C104" s="15" t="s">
        <v>157</v>
      </c>
      <c r="D104" s="31" t="s">
        <v>37</v>
      </c>
      <c r="E104" s="64">
        <f>E105</f>
        <v>1370</v>
      </c>
    </row>
    <row r="105" spans="1:5" ht="90">
      <c r="A105" s="66">
        <f t="shared" si="1"/>
        <v>97</v>
      </c>
      <c r="B105" s="15" t="s">
        <v>28</v>
      </c>
      <c r="C105" s="15" t="s">
        <v>157</v>
      </c>
      <c r="D105" s="16" t="s">
        <v>37</v>
      </c>
      <c r="E105" s="64">
        <f>1800-430</f>
        <v>1370</v>
      </c>
    </row>
    <row r="106" spans="1:5" ht="31.2">
      <c r="A106" s="66">
        <f t="shared" si="1"/>
        <v>98</v>
      </c>
      <c r="B106" s="13" t="s">
        <v>51</v>
      </c>
      <c r="C106" s="13" t="s">
        <v>158</v>
      </c>
      <c r="D106" s="14" t="s">
        <v>38</v>
      </c>
      <c r="E106" s="63">
        <f>E107</f>
        <v>213.6</v>
      </c>
    </row>
    <row r="107" spans="1:5" ht="75">
      <c r="A107" s="66">
        <f t="shared" si="1"/>
        <v>99</v>
      </c>
      <c r="B107" s="15" t="s">
        <v>51</v>
      </c>
      <c r="C107" s="15" t="s">
        <v>161</v>
      </c>
      <c r="D107" s="16" t="s">
        <v>160</v>
      </c>
      <c r="E107" s="64">
        <f>SUM(E108:E109)</f>
        <v>213.6</v>
      </c>
    </row>
    <row r="108" spans="1:5" ht="75">
      <c r="A108" s="66">
        <f t="shared" si="1"/>
        <v>100</v>
      </c>
      <c r="B108" s="15" t="s">
        <v>28</v>
      </c>
      <c r="C108" s="15" t="s">
        <v>159</v>
      </c>
      <c r="D108" s="16" t="s">
        <v>39</v>
      </c>
      <c r="E108" s="64">
        <f>50+15+20+72</f>
        <v>157</v>
      </c>
    </row>
    <row r="109" spans="1:5" ht="75">
      <c r="A109" s="66">
        <f t="shared" si="1"/>
        <v>101</v>
      </c>
      <c r="B109" s="15" t="s">
        <v>362</v>
      </c>
      <c r="C109" s="15" t="s">
        <v>159</v>
      </c>
      <c r="D109" s="16" t="s">
        <v>39</v>
      </c>
      <c r="E109" s="64">
        <f>117-60.4</f>
        <v>56.6</v>
      </c>
    </row>
    <row r="110" spans="1:5" ht="31.2">
      <c r="A110" s="66">
        <f t="shared" si="1"/>
        <v>102</v>
      </c>
      <c r="B110" s="13" t="s">
        <v>51</v>
      </c>
      <c r="C110" s="13" t="s">
        <v>162</v>
      </c>
      <c r="D110" s="14" t="s">
        <v>3</v>
      </c>
      <c r="E110" s="63">
        <f>E111+E127+E133+E129</f>
        <v>1836.08321</v>
      </c>
    </row>
    <row r="111" spans="1:5" ht="60">
      <c r="A111" s="66">
        <f t="shared" si="1"/>
        <v>103</v>
      </c>
      <c r="B111" s="15" t="s">
        <v>51</v>
      </c>
      <c r="C111" s="15" t="s">
        <v>165</v>
      </c>
      <c r="D111" s="16" t="s">
        <v>164</v>
      </c>
      <c r="E111" s="64">
        <f>SUM(E112:E126)</f>
        <v>725.69407000000001</v>
      </c>
    </row>
    <row r="112" spans="1:5" ht="165">
      <c r="A112" s="66">
        <f t="shared" si="1"/>
        <v>104</v>
      </c>
      <c r="B112" s="15" t="s">
        <v>1</v>
      </c>
      <c r="C112" s="15" t="s">
        <v>163</v>
      </c>
      <c r="D112" s="17" t="s">
        <v>194</v>
      </c>
      <c r="E112" s="64">
        <f>2+2+2</f>
        <v>6</v>
      </c>
    </row>
    <row r="113" spans="1:5" ht="165">
      <c r="A113" s="66">
        <f t="shared" si="1"/>
        <v>105</v>
      </c>
      <c r="B113" s="15" t="s">
        <v>27</v>
      </c>
      <c r="C113" s="15" t="s">
        <v>163</v>
      </c>
      <c r="D113" s="17" t="s">
        <v>194</v>
      </c>
      <c r="E113" s="64">
        <f>20-6+6+3-1</f>
        <v>22</v>
      </c>
    </row>
    <row r="114" spans="1:5" ht="195">
      <c r="A114" s="66">
        <f t="shared" si="1"/>
        <v>106</v>
      </c>
      <c r="B114" s="15" t="s">
        <v>1</v>
      </c>
      <c r="C114" s="15" t="s">
        <v>166</v>
      </c>
      <c r="D114" s="17" t="s">
        <v>195</v>
      </c>
      <c r="E114" s="64">
        <f>6-2</f>
        <v>4</v>
      </c>
    </row>
    <row r="115" spans="1:5" ht="195">
      <c r="A115" s="66">
        <f t="shared" si="1"/>
        <v>107</v>
      </c>
      <c r="B115" s="15" t="s">
        <v>27</v>
      </c>
      <c r="C115" s="15" t="s">
        <v>166</v>
      </c>
      <c r="D115" s="17" t="s">
        <v>195</v>
      </c>
      <c r="E115" s="64">
        <f>100+15+5+8</f>
        <v>128</v>
      </c>
    </row>
    <row r="116" spans="1:5" ht="165">
      <c r="A116" s="66">
        <f t="shared" si="1"/>
        <v>108</v>
      </c>
      <c r="B116" s="15" t="s">
        <v>1</v>
      </c>
      <c r="C116" s="15" t="s">
        <v>167</v>
      </c>
      <c r="D116" s="17" t="s">
        <v>196</v>
      </c>
      <c r="E116" s="64">
        <f>2+0.5</f>
        <v>2.5</v>
      </c>
    </row>
    <row r="117" spans="1:5" ht="165">
      <c r="A117" s="66">
        <f t="shared" si="1"/>
        <v>109</v>
      </c>
      <c r="B117" s="15" t="s">
        <v>27</v>
      </c>
      <c r="C117" s="15" t="s">
        <v>167</v>
      </c>
      <c r="D117" s="17" t="s">
        <v>196</v>
      </c>
      <c r="E117" s="64">
        <f>10+5</f>
        <v>15</v>
      </c>
    </row>
    <row r="118" spans="1:5" ht="180">
      <c r="A118" s="66">
        <f t="shared" si="1"/>
        <v>110</v>
      </c>
      <c r="B118" s="15" t="s">
        <v>27</v>
      </c>
      <c r="C118" s="15" t="s">
        <v>168</v>
      </c>
      <c r="D118" s="17" t="s">
        <v>197</v>
      </c>
      <c r="E118" s="64">
        <f>8+5+1</f>
        <v>14</v>
      </c>
    </row>
    <row r="119" spans="1:5" ht="195">
      <c r="A119" s="66">
        <f t="shared" si="1"/>
        <v>111</v>
      </c>
      <c r="B119" s="15" t="s">
        <v>27</v>
      </c>
      <c r="C119" s="15" t="s">
        <v>169</v>
      </c>
      <c r="D119" s="17" t="s">
        <v>198</v>
      </c>
      <c r="E119" s="64">
        <f>25+50+4</f>
        <v>79</v>
      </c>
    </row>
    <row r="120" spans="1:5" ht="225">
      <c r="A120" s="66">
        <f t="shared" si="1"/>
        <v>112</v>
      </c>
      <c r="B120" s="15" t="s">
        <v>27</v>
      </c>
      <c r="C120" s="15" t="s">
        <v>170</v>
      </c>
      <c r="D120" s="17" t="s">
        <v>199</v>
      </c>
      <c r="E120" s="64">
        <f>10+1+5+1+1</f>
        <v>18</v>
      </c>
    </row>
    <row r="121" spans="1:5" ht="180">
      <c r="A121" s="66">
        <f t="shared" si="1"/>
        <v>113</v>
      </c>
      <c r="B121" s="15" t="s">
        <v>27</v>
      </c>
      <c r="C121" s="15" t="s">
        <v>171</v>
      </c>
      <c r="D121" s="17" t="s">
        <v>200</v>
      </c>
      <c r="E121" s="64">
        <v>5</v>
      </c>
    </row>
    <row r="122" spans="1:5" ht="165">
      <c r="A122" s="66">
        <f t="shared" si="1"/>
        <v>114</v>
      </c>
      <c r="B122" s="15" t="s">
        <v>27</v>
      </c>
      <c r="C122" s="15" t="s">
        <v>172</v>
      </c>
      <c r="D122" s="17" t="s">
        <v>201</v>
      </c>
      <c r="E122" s="64">
        <f>35+80+5+7+3</f>
        <v>130</v>
      </c>
    </row>
    <row r="123" spans="1:5" ht="135">
      <c r="A123" s="66">
        <f t="shared" si="1"/>
        <v>115</v>
      </c>
      <c r="B123" s="15" t="s">
        <v>28</v>
      </c>
      <c r="C123" s="15" t="s">
        <v>440</v>
      </c>
      <c r="D123" s="32" t="s">
        <v>441</v>
      </c>
      <c r="E123" s="64">
        <f>1.5+0.52+1</f>
        <v>3.02</v>
      </c>
    </row>
    <row r="124" spans="1:5" ht="180">
      <c r="A124" s="66">
        <f t="shared" si="1"/>
        <v>116</v>
      </c>
      <c r="B124" s="15" t="s">
        <v>1</v>
      </c>
      <c r="C124" s="15" t="s">
        <v>173</v>
      </c>
      <c r="D124" s="17" t="s">
        <v>202</v>
      </c>
      <c r="E124" s="64">
        <f>2+5+5</f>
        <v>12</v>
      </c>
    </row>
    <row r="125" spans="1:5" ht="180">
      <c r="A125" s="66">
        <f t="shared" si="1"/>
        <v>117</v>
      </c>
      <c r="B125" s="15" t="s">
        <v>439</v>
      </c>
      <c r="C125" s="15" t="s">
        <v>173</v>
      </c>
      <c r="D125" s="17" t="s">
        <v>202</v>
      </c>
      <c r="E125" s="64">
        <f>1+2</f>
        <v>3</v>
      </c>
    </row>
    <row r="126" spans="1:5" ht="180">
      <c r="A126" s="66">
        <f t="shared" si="1"/>
        <v>118</v>
      </c>
      <c r="B126" s="15" t="s">
        <v>27</v>
      </c>
      <c r="C126" s="15" t="s">
        <v>173</v>
      </c>
      <c r="D126" s="17" t="s">
        <v>202</v>
      </c>
      <c r="E126" s="64">
        <f>112.81+150.98207+0.382+20</f>
        <v>284.17406999999997</v>
      </c>
    </row>
    <row r="127" spans="1:5" ht="78">
      <c r="A127" s="66">
        <f t="shared" si="1"/>
        <v>119</v>
      </c>
      <c r="B127" s="15" t="s">
        <v>51</v>
      </c>
      <c r="C127" s="15" t="s">
        <v>176</v>
      </c>
      <c r="D127" s="33" t="s">
        <v>175</v>
      </c>
      <c r="E127" s="64">
        <f>E128</f>
        <v>62</v>
      </c>
    </row>
    <row r="128" spans="1:5" ht="90">
      <c r="A128" s="66">
        <f t="shared" si="1"/>
        <v>120</v>
      </c>
      <c r="B128" s="15" t="s">
        <v>28</v>
      </c>
      <c r="C128" s="15" t="s">
        <v>174</v>
      </c>
      <c r="D128" s="16" t="s">
        <v>40</v>
      </c>
      <c r="E128" s="64">
        <f>30+32</f>
        <v>62</v>
      </c>
    </row>
    <row r="129" spans="1:5" ht="109.2">
      <c r="A129" s="66">
        <f t="shared" si="1"/>
        <v>121</v>
      </c>
      <c r="B129" s="15" t="s">
        <v>51</v>
      </c>
      <c r="C129" s="15" t="s">
        <v>361</v>
      </c>
      <c r="D129" s="34" t="s">
        <v>358</v>
      </c>
      <c r="E129" s="64">
        <f>SUM(E130:E132)</f>
        <v>93.29204</v>
      </c>
    </row>
    <row r="130" spans="1:5" ht="120">
      <c r="A130" s="66">
        <f t="shared" si="1"/>
        <v>122</v>
      </c>
      <c r="B130" s="15" t="s">
        <v>28</v>
      </c>
      <c r="C130" s="15" t="s">
        <v>464</v>
      </c>
      <c r="D130" s="35" t="s">
        <v>463</v>
      </c>
      <c r="E130" s="64">
        <v>1</v>
      </c>
    </row>
    <row r="131" spans="1:5" ht="135">
      <c r="A131" s="66">
        <f t="shared" si="1"/>
        <v>123</v>
      </c>
      <c r="B131" s="15" t="s">
        <v>362</v>
      </c>
      <c r="C131" s="15" t="s">
        <v>360</v>
      </c>
      <c r="D131" s="32" t="s">
        <v>359</v>
      </c>
      <c r="E131" s="64">
        <f>76.10238+3.2869+11.81685</f>
        <v>91.206130000000002</v>
      </c>
    </row>
    <row r="132" spans="1:5" ht="135">
      <c r="A132" s="66">
        <f t="shared" si="1"/>
        <v>124</v>
      </c>
      <c r="B132" s="15" t="s">
        <v>442</v>
      </c>
      <c r="C132" s="15" t="s">
        <v>360</v>
      </c>
      <c r="D132" s="32" t="s">
        <v>359</v>
      </c>
      <c r="E132" s="64">
        <f>1.08555+0.80136-0.801</f>
        <v>1.0859099999999997</v>
      </c>
    </row>
    <row r="133" spans="1:5" ht="31.2">
      <c r="A133" s="66">
        <f t="shared" si="1"/>
        <v>125</v>
      </c>
      <c r="B133" s="15" t="s">
        <v>51</v>
      </c>
      <c r="C133" s="15" t="s">
        <v>178</v>
      </c>
      <c r="D133" s="36" t="s">
        <v>177</v>
      </c>
      <c r="E133" s="64">
        <f>E134+E136</f>
        <v>955.09709999999995</v>
      </c>
    </row>
    <row r="134" spans="1:5" ht="135">
      <c r="A134" s="66">
        <f t="shared" si="1"/>
        <v>126</v>
      </c>
      <c r="B134" s="15" t="s">
        <v>51</v>
      </c>
      <c r="C134" s="15" t="s">
        <v>401</v>
      </c>
      <c r="D134" s="37" t="s">
        <v>398</v>
      </c>
      <c r="E134" s="64">
        <f>E135</f>
        <v>147.363</v>
      </c>
    </row>
    <row r="135" spans="1:5" ht="90">
      <c r="A135" s="66">
        <f t="shared" si="1"/>
        <v>127</v>
      </c>
      <c r="B135" s="15" t="s">
        <v>28</v>
      </c>
      <c r="C135" s="15" t="s">
        <v>395</v>
      </c>
      <c r="D135" s="6" t="s">
        <v>400</v>
      </c>
      <c r="E135" s="64">
        <v>147.363</v>
      </c>
    </row>
    <row r="136" spans="1:5" ht="75">
      <c r="A136" s="66">
        <f t="shared" si="1"/>
        <v>128</v>
      </c>
      <c r="B136" s="15" t="s">
        <v>51</v>
      </c>
      <c r="C136" s="15" t="s">
        <v>455</v>
      </c>
      <c r="D136" s="6" t="s">
        <v>456</v>
      </c>
      <c r="E136" s="64">
        <f>E137+E142</f>
        <v>807.73410000000001</v>
      </c>
    </row>
    <row r="137" spans="1:5" ht="135">
      <c r="A137" s="66">
        <f t="shared" si="1"/>
        <v>129</v>
      </c>
      <c r="B137" s="15" t="s">
        <v>51</v>
      </c>
      <c r="C137" s="15" t="s">
        <v>399</v>
      </c>
      <c r="D137" s="37" t="s">
        <v>398</v>
      </c>
      <c r="E137" s="64">
        <f>SUM(E138:E141)</f>
        <v>502.37600000000003</v>
      </c>
    </row>
    <row r="138" spans="1:5" ht="120">
      <c r="A138" s="66">
        <f t="shared" si="1"/>
        <v>130</v>
      </c>
      <c r="B138" s="15" t="s">
        <v>9</v>
      </c>
      <c r="C138" s="15" t="s">
        <v>179</v>
      </c>
      <c r="D138" s="17" t="s">
        <v>180</v>
      </c>
      <c r="E138" s="64">
        <f>1+6-1-2</f>
        <v>4</v>
      </c>
    </row>
    <row r="139" spans="1:5" ht="120">
      <c r="A139" s="66">
        <f t="shared" si="1"/>
        <v>131</v>
      </c>
      <c r="B139" s="15" t="s">
        <v>363</v>
      </c>
      <c r="C139" s="15" t="s">
        <v>179</v>
      </c>
      <c r="D139" s="17" t="s">
        <v>180</v>
      </c>
      <c r="E139" s="64">
        <f>20-5-30+7.3</f>
        <v>-7.7</v>
      </c>
    </row>
    <row r="140" spans="1:5" ht="120">
      <c r="A140" s="66">
        <f t="shared" ref="A140:A203" si="2">A139+1</f>
        <v>132</v>
      </c>
      <c r="B140" s="15" t="s">
        <v>28</v>
      </c>
      <c r="C140" s="15" t="s">
        <v>179</v>
      </c>
      <c r="D140" s="17" t="s">
        <v>180</v>
      </c>
      <c r="E140" s="64">
        <f>350+276.225-28-11-81.649</f>
        <v>505.57600000000002</v>
      </c>
    </row>
    <row r="141" spans="1:5" ht="135">
      <c r="A141" s="66">
        <f t="shared" si="2"/>
        <v>133</v>
      </c>
      <c r="B141" s="15" t="s">
        <v>9</v>
      </c>
      <c r="C141" s="15" t="s">
        <v>181</v>
      </c>
      <c r="D141" s="17" t="s">
        <v>182</v>
      </c>
      <c r="E141" s="64">
        <f>1-0.5</f>
        <v>0.5</v>
      </c>
    </row>
    <row r="142" spans="1:5" ht="90">
      <c r="A142" s="66">
        <f t="shared" si="2"/>
        <v>134</v>
      </c>
      <c r="B142" s="15" t="s">
        <v>51</v>
      </c>
      <c r="C142" s="15" t="s">
        <v>453</v>
      </c>
      <c r="D142" s="17" t="s">
        <v>454</v>
      </c>
      <c r="E142" s="64">
        <f>E143</f>
        <v>305.35809999999998</v>
      </c>
    </row>
    <row r="143" spans="1:5" ht="90">
      <c r="A143" s="66">
        <f t="shared" si="2"/>
        <v>135</v>
      </c>
      <c r="B143" s="15" t="s">
        <v>208</v>
      </c>
      <c r="C143" s="15" t="s">
        <v>453</v>
      </c>
      <c r="D143" s="17" t="s">
        <v>454</v>
      </c>
      <c r="E143" s="64">
        <v>305.35809999999998</v>
      </c>
    </row>
    <row r="144" spans="1:5" ht="31.2">
      <c r="A144" s="66">
        <f t="shared" si="2"/>
        <v>136</v>
      </c>
      <c r="B144" s="13" t="s">
        <v>51</v>
      </c>
      <c r="C144" s="13" t="s">
        <v>183</v>
      </c>
      <c r="D144" s="14" t="s">
        <v>41</v>
      </c>
      <c r="E144" s="63">
        <f>E145</f>
        <v>100.00279999999999</v>
      </c>
    </row>
    <row r="145" spans="1:5" ht="15">
      <c r="A145" s="66">
        <f t="shared" si="2"/>
        <v>137</v>
      </c>
      <c r="B145" s="15" t="s">
        <v>51</v>
      </c>
      <c r="C145" s="15" t="s">
        <v>185</v>
      </c>
      <c r="D145" s="16" t="s">
        <v>184</v>
      </c>
      <c r="E145" s="64">
        <f>E146</f>
        <v>100.00279999999999</v>
      </c>
    </row>
    <row r="146" spans="1:5" ht="60">
      <c r="A146" s="66">
        <f t="shared" si="2"/>
        <v>138</v>
      </c>
      <c r="B146" s="15" t="s">
        <v>28</v>
      </c>
      <c r="C146" s="15" t="s">
        <v>444</v>
      </c>
      <c r="D146" s="16" t="s">
        <v>443</v>
      </c>
      <c r="E146" s="64">
        <f>30+70.0028</f>
        <v>100.00279999999999</v>
      </c>
    </row>
    <row r="147" spans="1:5" ht="24" customHeight="1">
      <c r="A147" s="66">
        <f t="shared" si="2"/>
        <v>139</v>
      </c>
      <c r="B147" s="13" t="s">
        <v>51</v>
      </c>
      <c r="C147" s="13" t="s">
        <v>203</v>
      </c>
      <c r="D147" s="14" t="s">
        <v>189</v>
      </c>
      <c r="E147" s="63">
        <f>E148+E239+E247+E242</f>
        <v>1389256.7113300001</v>
      </c>
    </row>
    <row r="148" spans="1:5" ht="78">
      <c r="A148" s="66">
        <f t="shared" si="2"/>
        <v>140</v>
      </c>
      <c r="B148" s="38" t="s">
        <v>51</v>
      </c>
      <c r="C148" s="38" t="s">
        <v>205</v>
      </c>
      <c r="D148" s="5" t="s">
        <v>190</v>
      </c>
      <c r="E148" s="59">
        <f>E151+E194+E149+E221</f>
        <v>1395053.70575</v>
      </c>
    </row>
    <row r="149" spans="1:5" ht="33" customHeight="1">
      <c r="A149" s="66">
        <f t="shared" si="2"/>
        <v>141</v>
      </c>
      <c r="B149" s="38" t="s">
        <v>51</v>
      </c>
      <c r="C149" s="39" t="s">
        <v>285</v>
      </c>
      <c r="D149" s="5" t="s">
        <v>286</v>
      </c>
      <c r="E149" s="59">
        <f>E150</f>
        <v>42388.2</v>
      </c>
    </row>
    <row r="150" spans="1:5" ht="120">
      <c r="A150" s="66">
        <f t="shared" si="2"/>
        <v>142</v>
      </c>
      <c r="B150" s="39" t="s">
        <v>208</v>
      </c>
      <c r="C150" s="39" t="s">
        <v>305</v>
      </c>
      <c r="D150" s="40" t="s">
        <v>284</v>
      </c>
      <c r="E150" s="60">
        <f>23217+10807.1+8364.1</f>
        <v>42388.2</v>
      </c>
    </row>
    <row r="151" spans="1:5" ht="46.8">
      <c r="A151" s="66">
        <f t="shared" si="2"/>
        <v>143</v>
      </c>
      <c r="B151" s="38" t="s">
        <v>51</v>
      </c>
      <c r="C151" s="38" t="s">
        <v>204</v>
      </c>
      <c r="D151" s="41" t="s">
        <v>191</v>
      </c>
      <c r="E151" s="61">
        <f>E152+E154+E156+E158+E160+E162+E164+E166+E168</f>
        <v>713660.0557599999</v>
      </c>
    </row>
    <row r="152" spans="1:5" ht="195">
      <c r="A152" s="66">
        <f t="shared" si="2"/>
        <v>144</v>
      </c>
      <c r="B152" s="39" t="s">
        <v>51</v>
      </c>
      <c r="C152" s="39" t="s">
        <v>294</v>
      </c>
      <c r="D152" s="23" t="s">
        <v>291</v>
      </c>
      <c r="E152" s="62">
        <f>E153</f>
        <v>283498.07780999999</v>
      </c>
    </row>
    <row r="153" spans="1:5" ht="195">
      <c r="A153" s="66">
        <f t="shared" si="2"/>
        <v>145</v>
      </c>
      <c r="B153" s="39" t="s">
        <v>208</v>
      </c>
      <c r="C153" s="39" t="s">
        <v>295</v>
      </c>
      <c r="D153" s="35" t="s">
        <v>324</v>
      </c>
      <c r="E153" s="62">
        <f>292298.2-9273.9+473.77781</f>
        <v>283498.07780999999</v>
      </c>
    </row>
    <row r="154" spans="1:5" ht="150">
      <c r="A154" s="66">
        <f t="shared" si="2"/>
        <v>146</v>
      </c>
      <c r="B154" s="39" t="s">
        <v>51</v>
      </c>
      <c r="C154" s="39" t="s">
        <v>296</v>
      </c>
      <c r="D154" s="23" t="s">
        <v>292</v>
      </c>
      <c r="E154" s="62">
        <f>E155</f>
        <v>41710.035499999991</v>
      </c>
    </row>
    <row r="155" spans="1:5" ht="150">
      <c r="A155" s="66">
        <f t="shared" si="2"/>
        <v>147</v>
      </c>
      <c r="B155" s="39" t="s">
        <v>208</v>
      </c>
      <c r="C155" s="39" t="s">
        <v>297</v>
      </c>
      <c r="D155" s="35" t="s">
        <v>293</v>
      </c>
      <c r="E155" s="62">
        <f>52359.8-0.01563-10649.74887+10649.74887-10649.78487+0.0355+0.0005</f>
        <v>41710.035499999991</v>
      </c>
    </row>
    <row r="156" spans="1:5" ht="60">
      <c r="A156" s="66">
        <f t="shared" si="2"/>
        <v>148</v>
      </c>
      <c r="B156" s="39" t="s">
        <v>51</v>
      </c>
      <c r="C156" s="39" t="s">
        <v>316</v>
      </c>
      <c r="D156" s="42" t="s">
        <v>317</v>
      </c>
      <c r="E156" s="62">
        <f>E157</f>
        <v>76767.400000000009</v>
      </c>
    </row>
    <row r="157" spans="1:5" ht="60">
      <c r="A157" s="66">
        <f t="shared" si="2"/>
        <v>149</v>
      </c>
      <c r="B157" s="39" t="s">
        <v>208</v>
      </c>
      <c r="C157" s="39" t="s">
        <v>314</v>
      </c>
      <c r="D157" s="35" t="s">
        <v>315</v>
      </c>
      <c r="E157" s="62">
        <f>72929.1+3838.3</f>
        <v>76767.400000000009</v>
      </c>
    </row>
    <row r="158" spans="1:5" ht="90">
      <c r="A158" s="66">
        <f t="shared" si="2"/>
        <v>150</v>
      </c>
      <c r="B158" s="39" t="s">
        <v>51</v>
      </c>
      <c r="C158" s="39" t="s">
        <v>206</v>
      </c>
      <c r="D158" s="43" t="s">
        <v>207</v>
      </c>
      <c r="E158" s="62">
        <f>E159</f>
        <v>16339.447529999998</v>
      </c>
    </row>
    <row r="159" spans="1:5" ht="105">
      <c r="A159" s="66">
        <f t="shared" si="2"/>
        <v>151</v>
      </c>
      <c r="B159" s="39" t="s">
        <v>208</v>
      </c>
      <c r="C159" s="39" t="s">
        <v>209</v>
      </c>
      <c r="D159" s="44" t="s">
        <v>210</v>
      </c>
      <c r="E159" s="62">
        <f>17357.1-1017.65247</f>
        <v>16339.447529999998</v>
      </c>
    </row>
    <row r="160" spans="1:5" ht="75">
      <c r="A160" s="66">
        <f t="shared" si="2"/>
        <v>152</v>
      </c>
      <c r="B160" s="39" t="s">
        <v>51</v>
      </c>
      <c r="C160" s="39" t="s">
        <v>334</v>
      </c>
      <c r="D160" s="35" t="s">
        <v>332</v>
      </c>
      <c r="E160" s="62">
        <f>E161</f>
        <v>870.07299999999998</v>
      </c>
    </row>
    <row r="161" spans="1:5" ht="90">
      <c r="A161" s="66">
        <f t="shared" si="2"/>
        <v>153</v>
      </c>
      <c r="B161" s="39" t="s">
        <v>208</v>
      </c>
      <c r="C161" s="39" t="s">
        <v>335</v>
      </c>
      <c r="D161" s="35" t="s">
        <v>333</v>
      </c>
      <c r="E161" s="62">
        <v>870.07299999999998</v>
      </c>
    </row>
    <row r="162" spans="1:5" ht="45">
      <c r="A162" s="66">
        <f t="shared" si="2"/>
        <v>154</v>
      </c>
      <c r="B162" s="39" t="s">
        <v>51</v>
      </c>
      <c r="C162" s="39" t="s">
        <v>350</v>
      </c>
      <c r="D162" s="35" t="s">
        <v>349</v>
      </c>
      <c r="E162" s="62">
        <f>E163</f>
        <v>3013.6</v>
      </c>
    </row>
    <row r="163" spans="1:5" ht="60">
      <c r="A163" s="66">
        <f t="shared" si="2"/>
        <v>155</v>
      </c>
      <c r="B163" s="39" t="s">
        <v>208</v>
      </c>
      <c r="C163" s="39" t="s">
        <v>351</v>
      </c>
      <c r="D163" s="35" t="s">
        <v>352</v>
      </c>
      <c r="E163" s="62">
        <v>3013.6</v>
      </c>
    </row>
    <row r="164" spans="1:5" ht="30">
      <c r="A164" s="66">
        <f t="shared" si="2"/>
        <v>156</v>
      </c>
      <c r="B164" s="39" t="s">
        <v>51</v>
      </c>
      <c r="C164" s="39" t="s">
        <v>289</v>
      </c>
      <c r="D164" s="35" t="s">
        <v>287</v>
      </c>
      <c r="E164" s="62">
        <f>E165</f>
        <v>81.400000000000006</v>
      </c>
    </row>
    <row r="165" spans="1:5" ht="45">
      <c r="A165" s="66">
        <f t="shared" si="2"/>
        <v>157</v>
      </c>
      <c r="B165" s="39" t="s">
        <v>208</v>
      </c>
      <c r="C165" s="39" t="s">
        <v>290</v>
      </c>
      <c r="D165" s="35" t="s">
        <v>288</v>
      </c>
      <c r="E165" s="62">
        <v>81.400000000000006</v>
      </c>
    </row>
    <row r="166" spans="1:5" ht="45">
      <c r="A166" s="66">
        <f t="shared" si="2"/>
        <v>158</v>
      </c>
      <c r="B166" s="39" t="s">
        <v>51</v>
      </c>
      <c r="C166" s="39" t="s">
        <v>211</v>
      </c>
      <c r="D166" s="44" t="s">
        <v>212</v>
      </c>
      <c r="E166" s="62">
        <f>E167</f>
        <v>16532.68518</v>
      </c>
    </row>
    <row r="167" spans="1:5" ht="60">
      <c r="A167" s="66">
        <f t="shared" si="2"/>
        <v>159</v>
      </c>
      <c r="B167" s="39" t="s">
        <v>208</v>
      </c>
      <c r="C167" s="39" t="s">
        <v>213</v>
      </c>
      <c r="D167" s="44" t="s">
        <v>214</v>
      </c>
      <c r="E167" s="62">
        <f>16532.7-0.01482</f>
        <v>16532.68518</v>
      </c>
    </row>
    <row r="168" spans="1:5" ht="15">
      <c r="A168" s="66">
        <f t="shared" si="2"/>
        <v>160</v>
      </c>
      <c r="B168" s="39" t="s">
        <v>51</v>
      </c>
      <c r="C168" s="39" t="s">
        <v>215</v>
      </c>
      <c r="D168" s="44" t="s">
        <v>216</v>
      </c>
      <c r="E168" s="62">
        <f>E169</f>
        <v>274847.33674</v>
      </c>
    </row>
    <row r="169" spans="1:5" ht="30">
      <c r="A169" s="66">
        <f t="shared" si="2"/>
        <v>161</v>
      </c>
      <c r="B169" s="39" t="s">
        <v>51</v>
      </c>
      <c r="C169" s="39" t="s">
        <v>217</v>
      </c>
      <c r="D169" s="44" t="s">
        <v>218</v>
      </c>
      <c r="E169" s="62">
        <f>SUM(E170:E193)</f>
        <v>274847.33674</v>
      </c>
    </row>
    <row r="170" spans="1:5" ht="60">
      <c r="A170" s="66">
        <f t="shared" si="2"/>
        <v>162</v>
      </c>
      <c r="B170" s="39" t="s">
        <v>208</v>
      </c>
      <c r="C170" s="39" t="s">
        <v>374</v>
      </c>
      <c r="D170" s="44" t="s">
        <v>376</v>
      </c>
      <c r="E170" s="62">
        <v>1120.5</v>
      </c>
    </row>
    <row r="171" spans="1:5" ht="45">
      <c r="A171" s="66">
        <f t="shared" si="2"/>
        <v>163</v>
      </c>
      <c r="B171" s="39" t="s">
        <v>208</v>
      </c>
      <c r="C171" s="39" t="s">
        <v>375</v>
      </c>
      <c r="D171" s="44" t="s">
        <v>377</v>
      </c>
      <c r="E171" s="62">
        <v>73.7</v>
      </c>
    </row>
    <row r="172" spans="1:5" ht="120">
      <c r="A172" s="66">
        <f t="shared" si="2"/>
        <v>164</v>
      </c>
      <c r="B172" s="39" t="s">
        <v>208</v>
      </c>
      <c r="C172" s="39" t="s">
        <v>433</v>
      </c>
      <c r="D172" s="44" t="s">
        <v>434</v>
      </c>
      <c r="E172" s="62">
        <v>70000</v>
      </c>
    </row>
    <row r="173" spans="1:5" ht="75">
      <c r="A173" s="66">
        <f t="shared" si="2"/>
        <v>165</v>
      </c>
      <c r="B173" s="39" t="s">
        <v>208</v>
      </c>
      <c r="C173" s="39" t="s">
        <v>437</v>
      </c>
      <c r="D173" s="44" t="s">
        <v>438</v>
      </c>
      <c r="E173" s="62">
        <v>51.2</v>
      </c>
    </row>
    <row r="174" spans="1:5" ht="105">
      <c r="A174" s="66">
        <f t="shared" si="2"/>
        <v>166</v>
      </c>
      <c r="B174" s="39" t="s">
        <v>208</v>
      </c>
      <c r="C174" s="39" t="s">
        <v>219</v>
      </c>
      <c r="D174" s="44" t="s">
        <v>220</v>
      </c>
      <c r="E174" s="62">
        <v>20</v>
      </c>
    </row>
    <row r="175" spans="1:5" ht="120">
      <c r="A175" s="66">
        <f t="shared" si="2"/>
        <v>167</v>
      </c>
      <c r="B175" s="39" t="s">
        <v>208</v>
      </c>
      <c r="C175" s="39" t="s">
        <v>396</v>
      </c>
      <c r="D175" s="44" t="s">
        <v>397</v>
      </c>
      <c r="E175" s="62">
        <v>3763.9465</v>
      </c>
    </row>
    <row r="176" spans="1:5" ht="150">
      <c r="A176" s="66">
        <f t="shared" si="2"/>
        <v>168</v>
      </c>
      <c r="B176" s="39" t="s">
        <v>208</v>
      </c>
      <c r="C176" s="39" t="s">
        <v>404</v>
      </c>
      <c r="D176" s="45" t="s">
        <v>405</v>
      </c>
      <c r="E176" s="62">
        <f>5000+4750</f>
        <v>9750</v>
      </c>
    </row>
    <row r="177" spans="1:5" ht="90">
      <c r="A177" s="66">
        <f t="shared" si="2"/>
        <v>169</v>
      </c>
      <c r="B177" s="39" t="s">
        <v>208</v>
      </c>
      <c r="C177" s="39" t="s">
        <v>386</v>
      </c>
      <c r="D177" s="44" t="s">
        <v>394</v>
      </c>
      <c r="E177" s="62">
        <v>200</v>
      </c>
    </row>
    <row r="178" spans="1:5" ht="60">
      <c r="A178" s="66">
        <f t="shared" si="2"/>
        <v>170</v>
      </c>
      <c r="B178" s="39" t="s">
        <v>208</v>
      </c>
      <c r="C178" s="39" t="s">
        <v>221</v>
      </c>
      <c r="D178" s="44" t="s">
        <v>222</v>
      </c>
      <c r="E178" s="62">
        <v>1016.4</v>
      </c>
    </row>
    <row r="179" spans="1:5" ht="238.8" customHeight="1">
      <c r="A179" s="66">
        <f t="shared" si="2"/>
        <v>171</v>
      </c>
      <c r="B179" s="39" t="s">
        <v>208</v>
      </c>
      <c r="C179" s="39" t="s">
        <v>408</v>
      </c>
      <c r="D179" s="45" t="s">
        <v>409</v>
      </c>
      <c r="E179" s="62">
        <v>405</v>
      </c>
    </row>
    <row r="180" spans="1:5" ht="60">
      <c r="A180" s="66">
        <f t="shared" si="2"/>
        <v>172</v>
      </c>
      <c r="B180" s="39" t="s">
        <v>208</v>
      </c>
      <c r="C180" s="39" t="s">
        <v>356</v>
      </c>
      <c r="D180" s="44" t="s">
        <v>357</v>
      </c>
      <c r="E180" s="62">
        <v>40000</v>
      </c>
    </row>
    <row r="181" spans="1:5" ht="60">
      <c r="A181" s="66">
        <f t="shared" si="2"/>
        <v>173</v>
      </c>
      <c r="B181" s="39" t="s">
        <v>208</v>
      </c>
      <c r="C181" s="39" t="s">
        <v>223</v>
      </c>
      <c r="D181" s="44" t="s">
        <v>224</v>
      </c>
      <c r="E181" s="62">
        <v>84.3</v>
      </c>
    </row>
    <row r="182" spans="1:5" ht="90">
      <c r="A182" s="66">
        <f t="shared" si="2"/>
        <v>174</v>
      </c>
      <c r="B182" s="39" t="s">
        <v>208</v>
      </c>
      <c r="C182" s="39" t="s">
        <v>380</v>
      </c>
      <c r="D182" s="44" t="s">
        <v>381</v>
      </c>
      <c r="E182" s="62">
        <f>33842.6+8287</f>
        <v>42129.599999999999</v>
      </c>
    </row>
    <row r="183" spans="1:5" ht="285">
      <c r="A183" s="66">
        <f t="shared" si="2"/>
        <v>175</v>
      </c>
      <c r="B183" s="39" t="s">
        <v>208</v>
      </c>
      <c r="C183" s="39" t="s">
        <v>407</v>
      </c>
      <c r="D183" s="45" t="s">
        <v>406</v>
      </c>
      <c r="E183" s="62">
        <v>16238</v>
      </c>
    </row>
    <row r="184" spans="1:5" ht="90">
      <c r="A184" s="66">
        <f t="shared" si="2"/>
        <v>176</v>
      </c>
      <c r="B184" s="39" t="s">
        <v>208</v>
      </c>
      <c r="C184" s="39" t="s">
        <v>225</v>
      </c>
      <c r="D184" s="44" t="s">
        <v>226</v>
      </c>
      <c r="E184" s="62">
        <f>1300+325</f>
        <v>1625</v>
      </c>
    </row>
    <row r="185" spans="1:5" ht="195">
      <c r="A185" s="66">
        <f t="shared" si="2"/>
        <v>177</v>
      </c>
      <c r="B185" s="39" t="s">
        <v>208</v>
      </c>
      <c r="C185" s="39" t="s">
        <v>416</v>
      </c>
      <c r="D185" s="45" t="s">
        <v>417</v>
      </c>
      <c r="E185" s="62">
        <v>45345.430050000003</v>
      </c>
    </row>
    <row r="186" spans="1:5" ht="75">
      <c r="A186" s="66">
        <f t="shared" si="2"/>
        <v>178</v>
      </c>
      <c r="B186" s="39" t="s">
        <v>208</v>
      </c>
      <c r="C186" s="39" t="s">
        <v>227</v>
      </c>
      <c r="D186" s="46" t="s">
        <v>228</v>
      </c>
      <c r="E186" s="62">
        <v>1263.5999999999999</v>
      </c>
    </row>
    <row r="187" spans="1:5" ht="120">
      <c r="A187" s="66">
        <f t="shared" si="2"/>
        <v>179</v>
      </c>
      <c r="B187" s="39" t="s">
        <v>208</v>
      </c>
      <c r="C187" s="39" t="s">
        <v>449</v>
      </c>
      <c r="D187" s="46" t="s">
        <v>450</v>
      </c>
      <c r="E187" s="62">
        <f>14678.25-4678.25-10000</f>
        <v>0</v>
      </c>
    </row>
    <row r="188" spans="1:5" ht="90">
      <c r="A188" s="66">
        <f t="shared" si="2"/>
        <v>180</v>
      </c>
      <c r="B188" s="39" t="s">
        <v>208</v>
      </c>
      <c r="C188" s="39" t="s">
        <v>410</v>
      </c>
      <c r="D188" s="46" t="s">
        <v>411</v>
      </c>
      <c r="E188" s="62">
        <v>2536.4</v>
      </c>
    </row>
    <row r="189" spans="1:5" ht="75">
      <c r="A189" s="66">
        <f t="shared" si="2"/>
        <v>181</v>
      </c>
      <c r="B189" s="39" t="s">
        <v>208</v>
      </c>
      <c r="C189" s="39" t="s">
        <v>307</v>
      </c>
      <c r="D189" s="46" t="s">
        <v>326</v>
      </c>
      <c r="E189" s="62">
        <v>500</v>
      </c>
    </row>
    <row r="190" spans="1:5" ht="90">
      <c r="A190" s="66">
        <f t="shared" si="2"/>
        <v>182</v>
      </c>
      <c r="B190" s="39" t="s">
        <v>208</v>
      </c>
      <c r="C190" s="39" t="s">
        <v>412</v>
      </c>
      <c r="D190" s="46" t="s">
        <v>413</v>
      </c>
      <c r="E190" s="62">
        <v>1600</v>
      </c>
    </row>
    <row r="191" spans="1:5" ht="135">
      <c r="A191" s="66">
        <f t="shared" si="2"/>
        <v>183</v>
      </c>
      <c r="B191" s="39" t="s">
        <v>208</v>
      </c>
      <c r="C191" s="39" t="s">
        <v>435</v>
      </c>
      <c r="D191" s="46" t="s">
        <v>436</v>
      </c>
      <c r="E191" s="62">
        <v>748.96019000000001</v>
      </c>
    </row>
    <row r="192" spans="1:5" ht="135">
      <c r="A192" s="66">
        <f t="shared" si="2"/>
        <v>184</v>
      </c>
      <c r="B192" s="39" t="s">
        <v>208</v>
      </c>
      <c r="C192" s="39" t="s">
        <v>378</v>
      </c>
      <c r="D192" s="44" t="s">
        <v>379</v>
      </c>
      <c r="E192" s="62">
        <f>7500-1124.7</f>
        <v>6375.3</v>
      </c>
    </row>
    <row r="193" spans="1:5" ht="60">
      <c r="A193" s="66">
        <f t="shared" si="2"/>
        <v>185</v>
      </c>
      <c r="B193" s="39" t="s">
        <v>208</v>
      </c>
      <c r="C193" s="39" t="s">
        <v>384</v>
      </c>
      <c r="D193" s="44" t="s">
        <v>385</v>
      </c>
      <c r="E193" s="62">
        <v>30000</v>
      </c>
    </row>
    <row r="194" spans="1:5" ht="62.4">
      <c r="A194" s="66">
        <f t="shared" si="2"/>
        <v>186</v>
      </c>
      <c r="B194" s="38" t="s">
        <v>51</v>
      </c>
      <c r="C194" s="38" t="s">
        <v>306</v>
      </c>
      <c r="D194" s="47" t="s">
        <v>229</v>
      </c>
      <c r="E194" s="61">
        <f>E195+E213+E215+E217+E219</f>
        <v>505855.67998999998</v>
      </c>
    </row>
    <row r="195" spans="1:5" ht="60">
      <c r="A195" s="66">
        <f t="shared" si="2"/>
        <v>187</v>
      </c>
      <c r="B195" s="39" t="s">
        <v>51</v>
      </c>
      <c r="C195" s="39" t="s">
        <v>230</v>
      </c>
      <c r="D195" s="46" t="s">
        <v>231</v>
      </c>
      <c r="E195" s="62">
        <f>SUM(E196:E212)</f>
        <v>498513.32519999996</v>
      </c>
    </row>
    <row r="196" spans="1:5" ht="165">
      <c r="A196" s="66">
        <f t="shared" si="2"/>
        <v>188</v>
      </c>
      <c r="B196" s="39" t="s">
        <v>208</v>
      </c>
      <c r="C196" s="39" t="s">
        <v>232</v>
      </c>
      <c r="D196" s="46" t="s">
        <v>233</v>
      </c>
      <c r="E196" s="62">
        <f>757.1+69.1+32.7</f>
        <v>858.90000000000009</v>
      </c>
    </row>
    <row r="197" spans="1:5" ht="405">
      <c r="A197" s="66">
        <f t="shared" si="2"/>
        <v>189</v>
      </c>
      <c r="B197" s="39" t="s">
        <v>208</v>
      </c>
      <c r="C197" s="39" t="s">
        <v>234</v>
      </c>
      <c r="D197" s="46" t="s">
        <v>235</v>
      </c>
      <c r="E197" s="62">
        <f>55223.6+1226.42+3237.5+1610.7+1569.3+254.6</f>
        <v>63122.119999999995</v>
      </c>
    </row>
    <row r="198" spans="1:5" ht="409.6">
      <c r="A198" s="66">
        <f t="shared" si="2"/>
        <v>190</v>
      </c>
      <c r="B198" s="39" t="s">
        <v>208</v>
      </c>
      <c r="C198" s="39" t="s">
        <v>236</v>
      </c>
      <c r="D198" s="46" t="s">
        <v>237</v>
      </c>
      <c r="E198" s="62">
        <f>37461+11+3.5-14.5+14.5+1748.77+2125.932+573.3+655.1</f>
        <v>42578.601999999999</v>
      </c>
    </row>
    <row r="199" spans="1:5" ht="180">
      <c r="A199" s="66">
        <f t="shared" si="2"/>
        <v>191</v>
      </c>
      <c r="B199" s="39" t="s">
        <v>208</v>
      </c>
      <c r="C199" s="39" t="s">
        <v>238</v>
      </c>
      <c r="D199" s="46" t="s">
        <v>239</v>
      </c>
      <c r="E199" s="62">
        <f>50.6+4.8+2.3</f>
        <v>57.699999999999996</v>
      </c>
    </row>
    <row r="200" spans="1:5" ht="150">
      <c r="A200" s="66">
        <f t="shared" si="2"/>
        <v>192</v>
      </c>
      <c r="B200" s="39" t="s">
        <v>208</v>
      </c>
      <c r="C200" s="39" t="s">
        <v>240</v>
      </c>
      <c r="D200" s="46" t="s">
        <v>241</v>
      </c>
      <c r="E200" s="62">
        <f>737+69.1+32.7</f>
        <v>838.80000000000007</v>
      </c>
    </row>
    <row r="201" spans="1:5" ht="180">
      <c r="A201" s="66">
        <f t="shared" si="2"/>
        <v>193</v>
      </c>
      <c r="B201" s="39" t="s">
        <v>208</v>
      </c>
      <c r="C201" s="39" t="s">
        <v>242</v>
      </c>
      <c r="D201" s="46" t="s">
        <v>243</v>
      </c>
      <c r="E201" s="62">
        <f>756.7+6.9+3.268+181.1</f>
        <v>947.96800000000007</v>
      </c>
    </row>
    <row r="202" spans="1:5" ht="165">
      <c r="A202" s="66">
        <f t="shared" si="2"/>
        <v>194</v>
      </c>
      <c r="B202" s="39" t="s">
        <v>208</v>
      </c>
      <c r="C202" s="39" t="s">
        <v>244</v>
      </c>
      <c r="D202" s="46" t="s">
        <v>245</v>
      </c>
      <c r="E202" s="62">
        <f>137.6+11.2-0.009+5.29</f>
        <v>154.08099999999999</v>
      </c>
    </row>
    <row r="203" spans="1:5" ht="165">
      <c r="A203" s="66">
        <f t="shared" si="2"/>
        <v>195</v>
      </c>
      <c r="B203" s="39" t="s">
        <v>208</v>
      </c>
      <c r="C203" s="39" t="s">
        <v>246</v>
      </c>
      <c r="D203" s="46" t="s">
        <v>247</v>
      </c>
      <c r="E203" s="62">
        <f>2521.4+207.2+98.03</f>
        <v>2826.63</v>
      </c>
    </row>
    <row r="204" spans="1:5" ht="285">
      <c r="A204" s="66">
        <f t="shared" ref="A204:A250" si="3">A203+1</f>
        <v>196</v>
      </c>
      <c r="B204" s="39" t="s">
        <v>208</v>
      </c>
      <c r="C204" s="39" t="s">
        <v>248</v>
      </c>
      <c r="D204" s="46" t="s">
        <v>249</v>
      </c>
      <c r="E204" s="62">
        <f>725.8-311.64</f>
        <v>414.15999999999997</v>
      </c>
    </row>
    <row r="205" spans="1:5" ht="409.6">
      <c r="A205" s="66">
        <f t="shared" si="3"/>
        <v>197</v>
      </c>
      <c r="B205" s="39" t="s">
        <v>208</v>
      </c>
      <c r="C205" s="39" t="s">
        <v>250</v>
      </c>
      <c r="D205" s="46" t="s">
        <v>251</v>
      </c>
      <c r="E205" s="62">
        <f>151040+6304.6+12392.412+3659.255+7909.37105+1440.79398+1310.28+5866.869+3074.68+910.04</f>
        <v>193908.30103</v>
      </c>
    </row>
    <row r="206" spans="1:5" ht="195">
      <c r="A206" s="66">
        <f t="shared" si="3"/>
        <v>198</v>
      </c>
      <c r="B206" s="39" t="s">
        <v>208</v>
      </c>
      <c r="C206" s="39" t="s">
        <v>252</v>
      </c>
      <c r="D206" s="46" t="s">
        <v>253</v>
      </c>
      <c r="E206" s="62">
        <f>12829.3-1165</f>
        <v>11664.3</v>
      </c>
    </row>
    <row r="207" spans="1:5" ht="135">
      <c r="A207" s="66">
        <f t="shared" si="3"/>
        <v>199</v>
      </c>
      <c r="B207" s="39" t="s">
        <v>208</v>
      </c>
      <c r="C207" s="39" t="s">
        <v>254</v>
      </c>
      <c r="D207" s="46" t="s">
        <v>255</v>
      </c>
      <c r="E207" s="62">
        <f>21156.5-7900.7</f>
        <v>13255.8</v>
      </c>
    </row>
    <row r="208" spans="1:5" ht="270">
      <c r="A208" s="66">
        <f t="shared" si="3"/>
        <v>200</v>
      </c>
      <c r="B208" s="39" t="s">
        <v>208</v>
      </c>
      <c r="C208" s="39" t="s">
        <v>256</v>
      </c>
      <c r="D208" s="46" t="s">
        <v>257</v>
      </c>
      <c r="E208" s="62">
        <f>24014.3-12007.15+6733.89684+5781.253-5273.25316+1686.61633+0.00016+21.1</f>
        <v>20956.763169999998</v>
      </c>
    </row>
    <row r="209" spans="1:5" ht="405">
      <c r="A209" s="66">
        <f t="shared" si="3"/>
        <v>201</v>
      </c>
      <c r="B209" s="39" t="s">
        <v>208</v>
      </c>
      <c r="C209" s="39" t="s">
        <v>258</v>
      </c>
      <c r="D209" s="46" t="s">
        <v>259</v>
      </c>
      <c r="E209" s="62">
        <f>118192.6+2374.2+2782.7+5085.4+4535.1+4896.3</f>
        <v>137866.29999999999</v>
      </c>
    </row>
    <row r="210" spans="1:5" ht="180">
      <c r="A210" s="66">
        <f t="shared" si="3"/>
        <v>202</v>
      </c>
      <c r="B210" s="39" t="s">
        <v>208</v>
      </c>
      <c r="C210" s="39" t="s">
        <v>260</v>
      </c>
      <c r="D210" s="46" t="s">
        <v>261</v>
      </c>
      <c r="E210" s="62">
        <f>752.1+69.1+32.7</f>
        <v>853.90000000000009</v>
      </c>
    </row>
    <row r="211" spans="1:5" ht="150">
      <c r="A211" s="66">
        <f t="shared" si="3"/>
        <v>203</v>
      </c>
      <c r="B211" s="39" t="s">
        <v>208</v>
      </c>
      <c r="C211" s="39" t="s">
        <v>262</v>
      </c>
      <c r="D211" s="46" t="s">
        <v>263</v>
      </c>
      <c r="E211" s="62">
        <f>7391.5+1108.7+311.2-754</f>
        <v>8057.4000000000015</v>
      </c>
    </row>
    <row r="212" spans="1:5" ht="240">
      <c r="A212" s="66">
        <f t="shared" si="3"/>
        <v>204</v>
      </c>
      <c r="B212" s="39" t="s">
        <v>208</v>
      </c>
      <c r="C212" s="39" t="s">
        <v>264</v>
      </c>
      <c r="D212" s="46" t="s">
        <v>265</v>
      </c>
      <c r="E212" s="62">
        <f>132.6+12.9+6.1</f>
        <v>151.6</v>
      </c>
    </row>
    <row r="213" spans="1:5" ht="135">
      <c r="A213" s="66">
        <f t="shared" si="3"/>
        <v>205</v>
      </c>
      <c r="B213" s="39" t="s">
        <v>51</v>
      </c>
      <c r="C213" s="39" t="s">
        <v>266</v>
      </c>
      <c r="D213" s="46" t="s">
        <v>267</v>
      </c>
      <c r="E213" s="62">
        <f>E214</f>
        <v>1920.6999999999998</v>
      </c>
    </row>
    <row r="214" spans="1:5" ht="135">
      <c r="A214" s="66">
        <f t="shared" si="3"/>
        <v>206</v>
      </c>
      <c r="B214" s="39" t="s">
        <v>208</v>
      </c>
      <c r="C214" s="39" t="s">
        <v>268</v>
      </c>
      <c r="D214" s="44" t="s">
        <v>269</v>
      </c>
      <c r="E214" s="62">
        <f>3336.7-1046-370</f>
        <v>1920.6999999999998</v>
      </c>
    </row>
    <row r="215" spans="1:5" ht="135">
      <c r="A215" s="66">
        <f t="shared" si="3"/>
        <v>207</v>
      </c>
      <c r="B215" s="39" t="s">
        <v>51</v>
      </c>
      <c r="C215" s="39" t="s">
        <v>310</v>
      </c>
      <c r="D215" s="44" t="s">
        <v>311</v>
      </c>
      <c r="E215" s="62">
        <f>E216</f>
        <v>1295.7649899999992</v>
      </c>
    </row>
    <row r="216" spans="1:5" ht="120">
      <c r="A216" s="66">
        <f t="shared" si="3"/>
        <v>208</v>
      </c>
      <c r="B216" s="39" t="s">
        <v>208</v>
      </c>
      <c r="C216" s="39" t="s">
        <v>309</v>
      </c>
      <c r="D216" s="44" t="s">
        <v>308</v>
      </c>
      <c r="E216" s="62">
        <f>12007.15-6733.89684-3977.48817</f>
        <v>1295.7649899999992</v>
      </c>
    </row>
    <row r="217" spans="1:5" ht="75">
      <c r="A217" s="66">
        <f t="shared" si="3"/>
        <v>209</v>
      </c>
      <c r="B217" s="39" t="s">
        <v>51</v>
      </c>
      <c r="C217" s="39" t="s">
        <v>270</v>
      </c>
      <c r="D217" s="44" t="s">
        <v>271</v>
      </c>
      <c r="E217" s="62">
        <f>E218</f>
        <v>4031.1898000000001</v>
      </c>
    </row>
    <row r="218" spans="1:5" ht="90">
      <c r="A218" s="66">
        <f t="shared" si="3"/>
        <v>210</v>
      </c>
      <c r="B218" s="39" t="s">
        <v>208</v>
      </c>
      <c r="C218" s="39" t="s">
        <v>272</v>
      </c>
      <c r="D218" s="44" t="s">
        <v>273</v>
      </c>
      <c r="E218" s="62">
        <f>3791+240.1898</f>
        <v>4031.1898000000001</v>
      </c>
    </row>
    <row r="219" spans="1:5" ht="105">
      <c r="A219" s="66">
        <f t="shared" si="3"/>
        <v>211</v>
      </c>
      <c r="B219" s="39" t="s">
        <v>51</v>
      </c>
      <c r="C219" s="39" t="s">
        <v>274</v>
      </c>
      <c r="D219" s="44" t="s">
        <v>275</v>
      </c>
      <c r="E219" s="62">
        <f>E220</f>
        <v>94.7</v>
      </c>
    </row>
    <row r="220" spans="1:5" ht="120">
      <c r="A220" s="66">
        <f t="shared" si="3"/>
        <v>212</v>
      </c>
      <c r="B220" s="39" t="s">
        <v>208</v>
      </c>
      <c r="C220" s="39" t="s">
        <v>276</v>
      </c>
      <c r="D220" s="44" t="s">
        <v>277</v>
      </c>
      <c r="E220" s="62">
        <v>94.7</v>
      </c>
    </row>
    <row r="221" spans="1:5" ht="15.6">
      <c r="A221" s="66">
        <f t="shared" si="3"/>
        <v>213</v>
      </c>
      <c r="B221" s="38" t="s">
        <v>51</v>
      </c>
      <c r="C221" s="38" t="s">
        <v>299</v>
      </c>
      <c r="D221" s="48" t="s">
        <v>298</v>
      </c>
      <c r="E221" s="61">
        <f>E222+E224+E226+E228</f>
        <v>133149.77000000002</v>
      </c>
    </row>
    <row r="222" spans="1:5" ht="120">
      <c r="A222" s="66">
        <f t="shared" si="3"/>
        <v>214</v>
      </c>
      <c r="B222" s="49" t="s">
        <v>51</v>
      </c>
      <c r="C222" s="50" t="s">
        <v>320</v>
      </c>
      <c r="D222" s="51" t="s">
        <v>321</v>
      </c>
      <c r="E222" s="62">
        <f>E223</f>
        <v>16170.800000000001</v>
      </c>
    </row>
    <row r="223" spans="1:5" ht="110.4" customHeight="1">
      <c r="A223" s="66">
        <f t="shared" si="3"/>
        <v>215</v>
      </c>
      <c r="B223" s="49" t="s">
        <v>208</v>
      </c>
      <c r="C223" s="50" t="s">
        <v>318</v>
      </c>
      <c r="D223" s="51" t="s">
        <v>319</v>
      </c>
      <c r="E223" s="62">
        <f>16522.4-351.6</f>
        <v>16170.800000000001</v>
      </c>
    </row>
    <row r="224" spans="1:5" ht="120">
      <c r="A224" s="66">
        <f t="shared" si="3"/>
        <v>216</v>
      </c>
      <c r="B224" s="49" t="s">
        <v>51</v>
      </c>
      <c r="C224" s="50" t="s">
        <v>300</v>
      </c>
      <c r="D224" s="44" t="s">
        <v>301</v>
      </c>
      <c r="E224" s="62">
        <f>E225</f>
        <v>76800</v>
      </c>
    </row>
    <row r="225" spans="1:5" ht="120">
      <c r="A225" s="66">
        <f t="shared" si="3"/>
        <v>217</v>
      </c>
      <c r="B225" s="49" t="s">
        <v>208</v>
      </c>
      <c r="C225" s="50" t="s">
        <v>302</v>
      </c>
      <c r="D225" s="44" t="s">
        <v>303</v>
      </c>
      <c r="E225" s="62">
        <f>70000+6800</f>
        <v>76800</v>
      </c>
    </row>
    <row r="226" spans="1:5" ht="60">
      <c r="A226" s="66">
        <f t="shared" si="3"/>
        <v>218</v>
      </c>
      <c r="B226" s="49" t="s">
        <v>51</v>
      </c>
      <c r="C226" s="50" t="s">
        <v>323</v>
      </c>
      <c r="D226" s="44" t="s">
        <v>312</v>
      </c>
      <c r="E226" s="62">
        <f>E227</f>
        <v>1000</v>
      </c>
    </row>
    <row r="227" spans="1:5" ht="60">
      <c r="A227" s="66">
        <f t="shared" si="3"/>
        <v>219</v>
      </c>
      <c r="B227" s="49" t="s">
        <v>208</v>
      </c>
      <c r="C227" s="50" t="s">
        <v>322</v>
      </c>
      <c r="D227" s="44" t="s">
        <v>313</v>
      </c>
      <c r="E227" s="62">
        <v>1000</v>
      </c>
    </row>
    <row r="228" spans="1:5" ht="34.200000000000003" customHeight="1">
      <c r="A228" s="66">
        <f t="shared" si="3"/>
        <v>220</v>
      </c>
      <c r="B228" s="49" t="s">
        <v>51</v>
      </c>
      <c r="C228" s="50" t="s">
        <v>329</v>
      </c>
      <c r="D228" s="51" t="s">
        <v>327</v>
      </c>
      <c r="E228" s="62">
        <f>E229</f>
        <v>39178.97</v>
      </c>
    </row>
    <row r="229" spans="1:5" ht="45">
      <c r="A229" s="66">
        <f t="shared" si="3"/>
        <v>221</v>
      </c>
      <c r="B229" s="49" t="s">
        <v>51</v>
      </c>
      <c r="C229" s="50" t="s">
        <v>330</v>
      </c>
      <c r="D229" s="51" t="s">
        <v>328</v>
      </c>
      <c r="E229" s="62">
        <f>SUM(E230:E238)</f>
        <v>39178.97</v>
      </c>
    </row>
    <row r="230" spans="1:5" ht="150">
      <c r="A230" s="66">
        <f t="shared" si="3"/>
        <v>222</v>
      </c>
      <c r="B230" s="52">
        <v>991</v>
      </c>
      <c r="C230" s="39" t="s">
        <v>459</v>
      </c>
      <c r="D230" s="51" t="s">
        <v>460</v>
      </c>
      <c r="E230" s="62">
        <v>315.8</v>
      </c>
    </row>
    <row r="231" spans="1:5" ht="120">
      <c r="A231" s="66">
        <f t="shared" si="3"/>
        <v>223</v>
      </c>
      <c r="B231" s="52">
        <v>991</v>
      </c>
      <c r="C231" s="39" t="s">
        <v>451</v>
      </c>
      <c r="D231" s="44" t="s">
        <v>452</v>
      </c>
      <c r="E231" s="62">
        <v>8793</v>
      </c>
    </row>
    <row r="232" spans="1:5" ht="60">
      <c r="A232" s="66">
        <f t="shared" si="3"/>
        <v>224</v>
      </c>
      <c r="B232" s="49" t="s">
        <v>208</v>
      </c>
      <c r="C232" s="50" t="s">
        <v>336</v>
      </c>
      <c r="D232" s="44" t="s">
        <v>331</v>
      </c>
      <c r="E232" s="62">
        <v>315.2</v>
      </c>
    </row>
    <row r="233" spans="1:5" ht="75">
      <c r="A233" s="66">
        <f t="shared" si="3"/>
        <v>225</v>
      </c>
      <c r="B233" s="49" t="s">
        <v>208</v>
      </c>
      <c r="C233" s="50" t="s">
        <v>346</v>
      </c>
      <c r="D233" s="44" t="s">
        <v>347</v>
      </c>
      <c r="E233" s="62">
        <f>411.9+961.1</f>
        <v>1373</v>
      </c>
    </row>
    <row r="234" spans="1:5" ht="90">
      <c r="A234" s="66">
        <f t="shared" si="3"/>
        <v>226</v>
      </c>
      <c r="B234" s="49" t="s">
        <v>208</v>
      </c>
      <c r="C234" s="50" t="s">
        <v>354</v>
      </c>
      <c r="D234" s="44" t="s">
        <v>355</v>
      </c>
      <c r="E234" s="62">
        <f>15000+217.8</f>
        <v>15217.8</v>
      </c>
    </row>
    <row r="235" spans="1:5" ht="105">
      <c r="A235" s="66">
        <f t="shared" si="3"/>
        <v>227</v>
      </c>
      <c r="B235" s="49" t="s">
        <v>208</v>
      </c>
      <c r="C235" s="50" t="s">
        <v>402</v>
      </c>
      <c r="D235" s="44" t="s">
        <v>403</v>
      </c>
      <c r="E235" s="62">
        <v>3653.9</v>
      </c>
    </row>
    <row r="236" spans="1:5" ht="120">
      <c r="A236" s="66">
        <f t="shared" si="3"/>
        <v>228</v>
      </c>
      <c r="B236" s="49" t="s">
        <v>208</v>
      </c>
      <c r="C236" s="50" t="s">
        <v>372</v>
      </c>
      <c r="D236" s="44" t="s">
        <v>373</v>
      </c>
      <c r="E236" s="62">
        <f>421.5-0.03</f>
        <v>421.47</v>
      </c>
    </row>
    <row r="237" spans="1:5" ht="60">
      <c r="A237" s="66">
        <f t="shared" si="3"/>
        <v>229</v>
      </c>
      <c r="B237" s="49" t="s">
        <v>208</v>
      </c>
      <c r="C237" s="50" t="s">
        <v>419</v>
      </c>
      <c r="D237" s="44" t="s">
        <v>418</v>
      </c>
      <c r="E237" s="62">
        <v>1088.8</v>
      </c>
    </row>
    <row r="238" spans="1:5" ht="75">
      <c r="A238" s="66">
        <f t="shared" si="3"/>
        <v>230</v>
      </c>
      <c r="B238" s="49" t="s">
        <v>208</v>
      </c>
      <c r="C238" s="50" t="s">
        <v>353</v>
      </c>
      <c r="D238" s="44" t="s">
        <v>348</v>
      </c>
      <c r="E238" s="62">
        <v>8000</v>
      </c>
    </row>
    <row r="239" spans="1:5" ht="31.2">
      <c r="A239" s="66">
        <f t="shared" si="3"/>
        <v>231</v>
      </c>
      <c r="B239" s="15" t="s">
        <v>51</v>
      </c>
      <c r="C239" s="13" t="s">
        <v>186</v>
      </c>
      <c r="D239" s="14" t="s">
        <v>42</v>
      </c>
      <c r="E239" s="63">
        <f>E240</f>
        <v>800</v>
      </c>
    </row>
    <row r="240" spans="1:5" ht="30">
      <c r="A240" s="66">
        <f t="shared" si="3"/>
        <v>232</v>
      </c>
      <c r="B240" s="15" t="s">
        <v>51</v>
      </c>
      <c r="C240" s="15" t="s">
        <v>188</v>
      </c>
      <c r="D240" s="16" t="s">
        <v>43</v>
      </c>
      <c r="E240" s="64">
        <f>SUM(E241:E241)</f>
        <v>800</v>
      </c>
    </row>
    <row r="241" spans="1:5" ht="30">
      <c r="A241" s="66">
        <f t="shared" si="3"/>
        <v>233</v>
      </c>
      <c r="B241" s="15" t="s">
        <v>362</v>
      </c>
      <c r="C241" s="15" t="s">
        <v>187</v>
      </c>
      <c r="D241" s="16" t="s">
        <v>43</v>
      </c>
      <c r="E241" s="64">
        <f>800</f>
        <v>800</v>
      </c>
    </row>
    <row r="242" spans="1:5" ht="140.4">
      <c r="A242" s="66">
        <f t="shared" si="3"/>
        <v>234</v>
      </c>
      <c r="B242" s="15" t="s">
        <v>51</v>
      </c>
      <c r="C242" s="53" t="s">
        <v>424</v>
      </c>
      <c r="D242" s="54" t="s">
        <v>420</v>
      </c>
      <c r="E242" s="63">
        <f>E243</f>
        <v>4.0386800000000003</v>
      </c>
    </row>
    <row r="243" spans="1:5" ht="135">
      <c r="A243" s="66">
        <f t="shared" si="3"/>
        <v>235</v>
      </c>
      <c r="B243" s="15" t="s">
        <v>51</v>
      </c>
      <c r="C243" s="67" t="s">
        <v>425</v>
      </c>
      <c r="D243" s="28" t="s">
        <v>423</v>
      </c>
      <c r="E243" s="64">
        <f>E244</f>
        <v>4.0386800000000003</v>
      </c>
    </row>
    <row r="244" spans="1:5" ht="45">
      <c r="A244" s="66">
        <f t="shared" si="3"/>
        <v>236</v>
      </c>
      <c r="B244" s="15" t="s">
        <v>51</v>
      </c>
      <c r="C244" s="67" t="s">
        <v>426</v>
      </c>
      <c r="D244" s="68" t="s">
        <v>421</v>
      </c>
      <c r="E244" s="64">
        <f>E245</f>
        <v>4.0386800000000003</v>
      </c>
    </row>
    <row r="245" spans="1:5" ht="60">
      <c r="A245" s="66">
        <f t="shared" si="3"/>
        <v>237</v>
      </c>
      <c r="B245" s="15" t="s">
        <v>51</v>
      </c>
      <c r="C245" s="67" t="s">
        <v>427</v>
      </c>
      <c r="D245" s="68" t="s">
        <v>422</v>
      </c>
      <c r="E245" s="64">
        <f>E246</f>
        <v>4.0386800000000003</v>
      </c>
    </row>
    <row r="246" spans="1:5" ht="60">
      <c r="A246" s="66">
        <f t="shared" si="3"/>
        <v>238</v>
      </c>
      <c r="B246" s="15" t="s">
        <v>428</v>
      </c>
      <c r="C246" s="55" t="s">
        <v>427</v>
      </c>
      <c r="D246" s="56" t="s">
        <v>422</v>
      </c>
      <c r="E246" s="64">
        <v>4.0386800000000003</v>
      </c>
    </row>
    <row r="247" spans="1:5" ht="78">
      <c r="A247" s="66">
        <f t="shared" si="3"/>
        <v>239</v>
      </c>
      <c r="B247" s="15" t="s">
        <v>51</v>
      </c>
      <c r="C247" s="15" t="s">
        <v>344</v>
      </c>
      <c r="D247" s="57" t="s">
        <v>338</v>
      </c>
      <c r="E247" s="63">
        <f>E248</f>
        <v>-6601.0330999999987</v>
      </c>
    </row>
    <row r="248" spans="1:5" ht="75">
      <c r="A248" s="66">
        <f t="shared" si="3"/>
        <v>240</v>
      </c>
      <c r="B248" s="15" t="s">
        <v>51</v>
      </c>
      <c r="C248" s="15" t="s">
        <v>345</v>
      </c>
      <c r="D248" s="58" t="s">
        <v>343</v>
      </c>
      <c r="E248" s="64">
        <f>E249</f>
        <v>-6601.0330999999987</v>
      </c>
    </row>
    <row r="249" spans="1:5" ht="75">
      <c r="A249" s="66">
        <f t="shared" si="3"/>
        <v>241</v>
      </c>
      <c r="B249" s="15" t="s">
        <v>208</v>
      </c>
      <c r="C249" s="15" t="s">
        <v>345</v>
      </c>
      <c r="D249" s="58" t="s">
        <v>343</v>
      </c>
      <c r="E249" s="64">
        <f>-11271.93342+4675-0.061-4.03868</f>
        <v>-6601.0330999999987</v>
      </c>
    </row>
    <row r="250" spans="1:5" ht="15.6">
      <c r="A250" s="66">
        <f t="shared" si="3"/>
        <v>242</v>
      </c>
      <c r="B250" s="70" t="s">
        <v>49</v>
      </c>
      <c r="C250" s="70"/>
      <c r="D250" s="70"/>
      <c r="E250" s="65">
        <f>E147+E9</f>
        <v>2048365.3572200001</v>
      </c>
    </row>
    <row r="253" spans="1:5">
      <c r="E253" s="9"/>
    </row>
    <row r="255" spans="1:5">
      <c r="E255" s="8"/>
    </row>
  </sheetData>
  <mergeCells count="9">
    <mergeCell ref="B1:E1"/>
    <mergeCell ref="B250:D250"/>
    <mergeCell ref="B2:E2"/>
    <mergeCell ref="B4:E4"/>
    <mergeCell ref="A6:A7"/>
    <mergeCell ref="B6:B7"/>
    <mergeCell ref="C6:C7"/>
    <mergeCell ref="D6:D7"/>
    <mergeCell ref="E6:E7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Марина А. Богославская</cp:lastModifiedBy>
  <cp:lastPrinted>2022-12-19T09:30:13Z</cp:lastPrinted>
  <dcterms:created xsi:type="dcterms:W3CDTF">2021-11-01T09:50:52Z</dcterms:created>
  <dcterms:modified xsi:type="dcterms:W3CDTF">2022-12-20T08:05:36Z</dcterms:modified>
</cp:coreProperties>
</file>