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AS175" i="1"/>
  <c r="AS540"/>
  <c r="AP296"/>
  <c r="AQ296"/>
  <c r="AR296"/>
  <c r="AS296"/>
  <c r="AO296"/>
  <c r="AO298"/>
  <c r="AQ298"/>
  <c r="AP308"/>
  <c r="AQ308"/>
  <c r="AR308"/>
  <c r="AS308"/>
  <c r="AO310"/>
  <c r="AO319"/>
  <c r="AO320"/>
  <c r="AO321"/>
  <c r="AO322"/>
  <c r="AO323"/>
  <c r="AO324"/>
  <c r="AO325"/>
  <c r="AQ753"/>
  <c r="AS587"/>
  <c r="AS138"/>
  <c r="AS607" l="1"/>
  <c r="AS600"/>
  <c r="AS597"/>
  <c r="AS596"/>
  <c r="AS593"/>
  <c r="AS592"/>
  <c r="AS471"/>
  <c r="AS450"/>
  <c r="AS425"/>
  <c r="AS416"/>
  <c r="AS402"/>
  <c r="AS119"/>
  <c r="AS62"/>
  <c r="AO621"/>
  <c r="AO626"/>
  <c r="AQ764"/>
  <c r="AQ759"/>
  <c r="AQ757"/>
  <c r="AQ748"/>
  <c r="AQ745"/>
  <c r="AQ740"/>
  <c r="AQ738"/>
  <c r="AQ718"/>
  <c r="AQ716"/>
  <c r="AQ714"/>
  <c r="AQ710"/>
  <c r="AQ708"/>
  <c r="AQ707"/>
  <c r="AQ624"/>
  <c r="AQ623"/>
  <c r="AQ622"/>
  <c r="AP618"/>
  <c r="AS248"/>
  <c r="AS239"/>
  <c r="AS218"/>
  <c r="AS216"/>
  <c r="AS215"/>
  <c r="AS172"/>
  <c r="AS171"/>
  <c r="AS169"/>
  <c r="AS165"/>
  <c r="AS164"/>
  <c r="AS511"/>
  <c r="AS394"/>
  <c r="AS348"/>
  <c r="AS269"/>
  <c r="AS270"/>
  <c r="AS576"/>
  <c r="AS577"/>
  <c r="AS546"/>
  <c r="AS547"/>
  <c r="AS333"/>
  <c r="AS331"/>
  <c r="AS503"/>
  <c r="AP92"/>
  <c r="AQ92"/>
  <c r="AR92"/>
  <c r="AS92"/>
  <c r="AT92"/>
  <c r="AO127"/>
  <c r="AS538" l="1"/>
  <c r="AS541"/>
  <c r="AS126"/>
  <c r="AP660"/>
  <c r="AP659"/>
  <c r="BH772"/>
  <c r="BD772" s="1"/>
  <c r="BC772"/>
  <c r="AY772" s="1"/>
  <c r="AX772"/>
  <c r="AT772" s="1"/>
  <c r="AO772"/>
  <c r="AO766"/>
  <c r="BD765"/>
  <c r="AY765"/>
  <c r="AT765"/>
  <c r="AQ765"/>
  <c r="AO765"/>
  <c r="AO764"/>
  <c r="AO762" s="1"/>
  <c r="BD763"/>
  <c r="AY763"/>
  <c r="AT763"/>
  <c r="AQ763"/>
  <c r="AO763"/>
  <c r="BH762"/>
  <c r="BG762"/>
  <c r="BF762"/>
  <c r="BE762"/>
  <c r="BD762"/>
  <c r="BC762"/>
  <c r="BB762"/>
  <c r="BA762"/>
  <c r="AZ762"/>
  <c r="AY762"/>
  <c r="AX762"/>
  <c r="AW762"/>
  <c r="AV762"/>
  <c r="AU762"/>
  <c r="AT762"/>
  <c r="AS762"/>
  <c r="AR762"/>
  <c r="AQ762"/>
  <c r="AP762"/>
  <c r="BD761"/>
  <c r="AY761"/>
  <c r="AT761"/>
  <c r="AQ761"/>
  <c r="AO761" s="1"/>
  <c r="BD760"/>
  <c r="AY760"/>
  <c r="AT760"/>
  <c r="AO760"/>
  <c r="BD759"/>
  <c r="AY759"/>
  <c r="AT759"/>
  <c r="AO759"/>
  <c r="BD758"/>
  <c r="AY758"/>
  <c r="AT758"/>
  <c r="AO758"/>
  <c r="BD757"/>
  <c r="AY757"/>
  <c r="AT757"/>
  <c r="AO757"/>
  <c r="BD756"/>
  <c r="AY756"/>
  <c r="AT756"/>
  <c r="AQ756"/>
  <c r="AO756"/>
  <c r="BD755"/>
  <c r="AY755"/>
  <c r="AT755"/>
  <c r="AQ755"/>
  <c r="AO755" s="1"/>
  <c r="BD754"/>
  <c r="AY754"/>
  <c r="AT754"/>
  <c r="AO754"/>
  <c r="BD753"/>
  <c r="AY753"/>
  <c r="AT753"/>
  <c r="AO753"/>
  <c r="BH752"/>
  <c r="BG752"/>
  <c r="BF752"/>
  <c r="BE752"/>
  <c r="BD752"/>
  <c r="BC752"/>
  <c r="BB752"/>
  <c r="BA752"/>
  <c r="AZ752"/>
  <c r="AY752"/>
  <c r="AX752"/>
  <c r="AW752"/>
  <c r="AV752"/>
  <c r="AU752"/>
  <c r="AT752"/>
  <c r="AS752"/>
  <c r="AR752"/>
  <c r="AQ752"/>
  <c r="AP752"/>
  <c r="BD751"/>
  <c r="AY751"/>
  <c r="AT751"/>
  <c r="AO751"/>
  <c r="BD750"/>
  <c r="AY750"/>
  <c r="AT750"/>
  <c r="AO750"/>
  <c r="AQ749"/>
  <c r="AO749"/>
  <c r="BD748"/>
  <c r="AY748"/>
  <c r="AT748"/>
  <c r="AO748"/>
  <c r="BD747"/>
  <c r="AY747"/>
  <c r="AT747"/>
  <c r="AO747"/>
  <c r="AQ746"/>
  <c r="AO746"/>
  <c r="BD745"/>
  <c r="AY745"/>
  <c r="AT745"/>
  <c r="AO745"/>
  <c r="BD743"/>
  <c r="AY743"/>
  <c r="AT743"/>
  <c r="AO743"/>
  <c r="BD742"/>
  <c r="AY742"/>
  <c r="AT742"/>
  <c r="AO742"/>
  <c r="BD741"/>
  <c r="AY741"/>
  <c r="AT741"/>
  <c r="AO741"/>
  <c r="BD740"/>
  <c r="AY740"/>
  <c r="AT740"/>
  <c r="AO740"/>
  <c r="BD739"/>
  <c r="AY739"/>
  <c r="AT739"/>
  <c r="AO739"/>
  <c r="BD738"/>
  <c r="AY738"/>
  <c r="AT738"/>
  <c r="AO738"/>
  <c r="BD737"/>
  <c r="AY737"/>
  <c r="AT737"/>
  <c r="AO737"/>
  <c r="BD736"/>
  <c r="AY736"/>
  <c r="AT736"/>
  <c r="AO736"/>
  <c r="BH735"/>
  <c r="BG735"/>
  <c r="BF735"/>
  <c r="BE735"/>
  <c r="BD735"/>
  <c r="BC735"/>
  <c r="BB735"/>
  <c r="BA735"/>
  <c r="AZ735"/>
  <c r="AY735"/>
  <c r="AX735"/>
  <c r="AW735"/>
  <c r="AV735"/>
  <c r="AU735"/>
  <c r="AT735"/>
  <c r="AS735"/>
  <c r="AR735"/>
  <c r="AQ735"/>
  <c r="AP735"/>
  <c r="BH733"/>
  <c r="BG733"/>
  <c r="BF733"/>
  <c r="BE733"/>
  <c r="BD733"/>
  <c r="BC733"/>
  <c r="BB733"/>
  <c r="BA733"/>
  <c r="AZ733"/>
  <c r="AY733"/>
  <c r="AX733"/>
  <c r="AW733"/>
  <c r="AV733"/>
  <c r="AU733"/>
  <c r="AT733"/>
  <c r="AS733"/>
  <c r="AR733"/>
  <c r="AP733"/>
  <c r="BD725"/>
  <c r="AY725"/>
  <c r="AT725"/>
  <c r="AQ725"/>
  <c r="AO725"/>
  <c r="BD724"/>
  <c r="AY724"/>
  <c r="AT724"/>
  <c r="AO724"/>
  <c r="BH723"/>
  <c r="BG723"/>
  <c r="BF723"/>
  <c r="BE723"/>
  <c r="BD723"/>
  <c r="BC723"/>
  <c r="BB723"/>
  <c r="BA723"/>
  <c r="AZ723"/>
  <c r="AY723"/>
  <c r="AX723"/>
  <c r="AW723"/>
  <c r="AV723"/>
  <c r="AU723"/>
  <c r="AT723"/>
  <c r="AS723"/>
  <c r="AR723"/>
  <c r="AQ723"/>
  <c r="AP723"/>
  <c r="AO723"/>
  <c r="BD722"/>
  <c r="AY722"/>
  <c r="AT722"/>
  <c r="AQ722"/>
  <c r="AO722"/>
  <c r="BD721"/>
  <c r="AY721"/>
  <c r="AT721"/>
  <c r="AQ721"/>
  <c r="AO721" s="1"/>
  <c r="AO720" s="1"/>
  <c r="BH720"/>
  <c r="BG720"/>
  <c r="BF720"/>
  <c r="BE720"/>
  <c r="BD720"/>
  <c r="BC720"/>
  <c r="BB720"/>
  <c r="BA720"/>
  <c r="AZ720"/>
  <c r="AY720"/>
  <c r="AX720"/>
  <c r="AW720"/>
  <c r="AV720"/>
  <c r="AU720"/>
  <c r="AT720"/>
  <c r="AS720"/>
  <c r="AR720"/>
  <c r="AQ720"/>
  <c r="AP720"/>
  <c r="BD718"/>
  <c r="AY718"/>
  <c r="AT718"/>
  <c r="AO718"/>
  <c r="BD717"/>
  <c r="AY717"/>
  <c r="AT717"/>
  <c r="AQ717"/>
  <c r="AO717" s="1"/>
  <c r="BD716"/>
  <c r="AY716"/>
  <c r="AT716"/>
  <c r="AO716"/>
  <c r="BD715"/>
  <c r="AY715"/>
  <c r="AT715"/>
  <c r="AQ715"/>
  <c r="AO715" s="1"/>
  <c r="BD714"/>
  <c r="AY714"/>
  <c r="AT714"/>
  <c r="AO714"/>
  <c r="BD713"/>
  <c r="AY713"/>
  <c r="AT713"/>
  <c r="AO713"/>
  <c r="BD712"/>
  <c r="AY712"/>
  <c r="AT712"/>
  <c r="AO712"/>
  <c r="BH711"/>
  <c r="BG711"/>
  <c r="BF711"/>
  <c r="BE711"/>
  <c r="BD711"/>
  <c r="BC711"/>
  <c r="BB711"/>
  <c r="BA711"/>
  <c r="AZ711"/>
  <c r="AY711"/>
  <c r="AX711"/>
  <c r="AW711"/>
  <c r="AV711"/>
  <c r="AU711"/>
  <c r="AT711"/>
  <c r="AS711"/>
  <c r="AR711"/>
  <c r="AQ711"/>
  <c r="AP711"/>
  <c r="BD710"/>
  <c r="AY710"/>
  <c r="AT710"/>
  <c r="AO710"/>
  <c r="BD709"/>
  <c r="AY709"/>
  <c r="AT709"/>
  <c r="AQ709"/>
  <c r="AO709" s="1"/>
  <c r="BD708"/>
  <c r="AY708"/>
  <c r="AT708"/>
  <c r="AO708"/>
  <c r="BF707"/>
  <c r="BD707"/>
  <c r="BA707"/>
  <c r="AY707"/>
  <c r="AV707"/>
  <c r="AT707"/>
  <c r="AO707"/>
  <c r="BH706"/>
  <c r="BG706"/>
  <c r="BF706"/>
  <c r="BE706"/>
  <c r="BD706"/>
  <c r="BC706"/>
  <c r="BB706"/>
  <c r="BA706"/>
  <c r="AZ706"/>
  <c r="AY706"/>
  <c r="AX706"/>
  <c r="AW706"/>
  <c r="AV706"/>
  <c r="AU706"/>
  <c r="AT706"/>
  <c r="AS706"/>
  <c r="AR706"/>
  <c r="AQ706"/>
  <c r="AP706"/>
  <c r="BD705"/>
  <c r="AY705"/>
  <c r="AT705"/>
  <c r="AO705"/>
  <c r="BD704"/>
  <c r="AY704"/>
  <c r="AT704"/>
  <c r="AQ704"/>
  <c r="AO704"/>
  <c r="BD703"/>
  <c r="AY703"/>
  <c r="AT703"/>
  <c r="AQ703"/>
  <c r="AO703"/>
  <c r="BH702"/>
  <c r="BG702"/>
  <c r="BF702"/>
  <c r="BE702"/>
  <c r="BD702"/>
  <c r="BC702"/>
  <c r="BB702"/>
  <c r="BA702"/>
  <c r="AZ702"/>
  <c r="AY702"/>
  <c r="AX702"/>
  <c r="AW702"/>
  <c r="AV702"/>
  <c r="AU702"/>
  <c r="AT702"/>
  <c r="AS702"/>
  <c r="AR702"/>
  <c r="AQ702"/>
  <c r="AP702"/>
  <c r="AO702"/>
  <c r="BD701"/>
  <c r="AY701"/>
  <c r="AT701"/>
  <c r="AO701"/>
  <c r="BH700"/>
  <c r="BG700"/>
  <c r="BF700"/>
  <c r="BE700"/>
  <c r="BD700"/>
  <c r="BC700"/>
  <c r="BB700"/>
  <c r="BA700"/>
  <c r="AZ700"/>
  <c r="AY700"/>
  <c r="AX700"/>
  <c r="AW700"/>
  <c r="AV700"/>
  <c r="AU700"/>
  <c r="AT700"/>
  <c r="AS700"/>
  <c r="AR700"/>
  <c r="AQ700"/>
  <c r="AP700"/>
  <c r="AO700"/>
  <c r="BD699"/>
  <c r="AY699"/>
  <c r="AT699"/>
  <c r="AQ699"/>
  <c r="AP699"/>
  <c r="AO699" s="1"/>
  <c r="BF698"/>
  <c r="BE698"/>
  <c r="BD698"/>
  <c r="BA698"/>
  <c r="AZ698"/>
  <c r="AY698" s="1"/>
  <c r="AY695" s="1"/>
  <c r="AY652" s="1"/>
  <c r="AY777" s="1"/>
  <c r="AV698"/>
  <c r="AU698"/>
  <c r="AT698"/>
  <c r="AQ698"/>
  <c r="AP698"/>
  <c r="AO698" s="1"/>
  <c r="AO695" s="1"/>
  <c r="BD696"/>
  <c r="AY696"/>
  <c r="AT696"/>
  <c r="AQ696"/>
  <c r="AO696"/>
  <c r="BH695"/>
  <c r="BG695"/>
  <c r="BF695"/>
  <c r="BE695"/>
  <c r="BD695"/>
  <c r="BC695"/>
  <c r="BB695"/>
  <c r="BA695"/>
  <c r="AZ695"/>
  <c r="AX695"/>
  <c r="AW695"/>
  <c r="AV695"/>
  <c r="AU695"/>
  <c r="AT695"/>
  <c r="AS695"/>
  <c r="AR695"/>
  <c r="AQ695"/>
  <c r="AP695"/>
  <c r="BD694"/>
  <c r="AY694"/>
  <c r="AT694"/>
  <c r="AQ694"/>
  <c r="AO694" s="1"/>
  <c r="BD693"/>
  <c r="AY693"/>
  <c r="AT693"/>
  <c r="AQ693"/>
  <c r="AO693"/>
  <c r="AQ692"/>
  <c r="AO692"/>
  <c r="BD691"/>
  <c r="AY691"/>
  <c r="AT691"/>
  <c r="AQ691"/>
  <c r="AO691" s="1"/>
  <c r="BD690"/>
  <c r="AY690"/>
  <c r="AT690"/>
  <c r="AQ690"/>
  <c r="AO690"/>
  <c r="BD689"/>
  <c r="AY689"/>
  <c r="AT689"/>
  <c r="AQ689"/>
  <c r="AO689"/>
  <c r="BD688"/>
  <c r="AY688"/>
  <c r="AT688"/>
  <c r="AQ688"/>
  <c r="AO688"/>
  <c r="BD687"/>
  <c r="AY687"/>
  <c r="AT687"/>
  <c r="AQ687"/>
  <c r="AO687" s="1"/>
  <c r="AO685" s="1"/>
  <c r="BD686"/>
  <c r="AY686"/>
  <c r="AT686"/>
  <c r="AQ686"/>
  <c r="AO686"/>
  <c r="BH685"/>
  <c r="BG685"/>
  <c r="BF685"/>
  <c r="BE685"/>
  <c r="BD685"/>
  <c r="BC685"/>
  <c r="BB685"/>
  <c r="BA685"/>
  <c r="AZ685"/>
  <c r="AY685"/>
  <c r="AX685"/>
  <c r="AW685"/>
  <c r="AV685"/>
  <c r="AU685"/>
  <c r="AT685"/>
  <c r="AS685"/>
  <c r="AR685"/>
  <c r="AQ685"/>
  <c r="AP685"/>
  <c r="BD684"/>
  <c r="AY684"/>
  <c r="AT684"/>
  <c r="AO684"/>
  <c r="BD683"/>
  <c r="AY683"/>
  <c r="AT683"/>
  <c r="AQ683"/>
  <c r="AO683"/>
  <c r="BD682"/>
  <c r="AY682"/>
  <c r="AT682"/>
  <c r="AQ682"/>
  <c r="AO682" s="1"/>
  <c r="BD681"/>
  <c r="AY681"/>
  <c r="AT681"/>
  <c r="AO681"/>
  <c r="BD680"/>
  <c r="AY680"/>
  <c r="AT680"/>
  <c r="AQ680"/>
  <c r="AO680"/>
  <c r="BD679"/>
  <c r="AY679"/>
  <c r="AT679"/>
  <c r="AQ679"/>
  <c r="AO679" s="1"/>
  <c r="AO678"/>
  <c r="AQ677"/>
  <c r="AO677"/>
  <c r="BD676"/>
  <c r="AY676"/>
  <c r="AT676"/>
  <c r="AQ676"/>
  <c r="AO676" s="1"/>
  <c r="BD675"/>
  <c r="AY675"/>
  <c r="AT675"/>
  <c r="AO675"/>
  <c r="BD674"/>
  <c r="AY674"/>
  <c r="AT674"/>
  <c r="AQ674"/>
  <c r="AO674"/>
  <c r="BD673"/>
  <c r="AY673"/>
  <c r="AT673"/>
  <c r="AO673"/>
  <c r="BD672"/>
  <c r="AY672"/>
  <c r="AT672"/>
  <c r="AQ672"/>
  <c r="AO672" s="1"/>
  <c r="BD671"/>
  <c r="AY671"/>
  <c r="AT671"/>
  <c r="AQ671"/>
  <c r="AO671"/>
  <c r="BD670"/>
  <c r="AY670"/>
  <c r="AT670"/>
  <c r="AQ670"/>
  <c r="AO670" s="1"/>
  <c r="BD669"/>
  <c r="AY669"/>
  <c r="AT669"/>
  <c r="AO669"/>
  <c r="BD668"/>
  <c r="AY668"/>
  <c r="AT668"/>
  <c r="AQ668"/>
  <c r="AO668"/>
  <c r="BD667"/>
  <c r="AY667"/>
  <c r="AT667"/>
  <c r="AO667"/>
  <c r="BD666"/>
  <c r="AY666"/>
  <c r="AT666"/>
  <c r="AQ666"/>
  <c r="AO666"/>
  <c r="BH665"/>
  <c r="BG665"/>
  <c r="BF665"/>
  <c r="BE665"/>
  <c r="BD665"/>
  <c r="BC665"/>
  <c r="BB665"/>
  <c r="BA665"/>
  <c r="AZ665"/>
  <c r="AY665"/>
  <c r="AX665"/>
  <c r="AW665"/>
  <c r="AV665"/>
  <c r="AU665"/>
  <c r="AT665"/>
  <c r="AS665"/>
  <c r="AR665"/>
  <c r="AQ665"/>
  <c r="AP665"/>
  <c r="BD660"/>
  <c r="AY660"/>
  <c r="AT660"/>
  <c r="AO660"/>
  <c r="BD659"/>
  <c r="AY659"/>
  <c r="AT659"/>
  <c r="AO659"/>
  <c r="BH658"/>
  <c r="BG658"/>
  <c r="BF658"/>
  <c r="BE658"/>
  <c r="BD658"/>
  <c r="BC658"/>
  <c r="BB658"/>
  <c r="BA658"/>
  <c r="AZ658"/>
  <c r="AY658"/>
  <c r="AX658"/>
  <c r="AW658"/>
  <c r="AV658"/>
  <c r="AU658"/>
  <c r="AT658"/>
  <c r="AS658"/>
  <c r="AR658"/>
  <c r="AQ658"/>
  <c r="AP658"/>
  <c r="AO658"/>
  <c r="BD657"/>
  <c r="AY657"/>
  <c r="AT657"/>
  <c r="AP657"/>
  <c r="AO657"/>
  <c r="BH656"/>
  <c r="BG656"/>
  <c r="BF656"/>
  <c r="BE656"/>
  <c r="BD656"/>
  <c r="BC656"/>
  <c r="BB656"/>
  <c r="BA656"/>
  <c r="AZ656"/>
  <c r="AY656"/>
  <c r="AX656"/>
  <c r="AW656"/>
  <c r="AV656"/>
  <c r="AU656"/>
  <c r="AT656"/>
  <c r="AS656"/>
  <c r="AR656"/>
  <c r="AQ656"/>
  <c r="AP656"/>
  <c r="AO656"/>
  <c r="BH652"/>
  <c r="BH777" s="1"/>
  <c r="BG652"/>
  <c r="BG777" s="1"/>
  <c r="BF652"/>
  <c r="BF777" s="1"/>
  <c r="BE652"/>
  <c r="BE777" s="1"/>
  <c r="BD652"/>
  <c r="BD777" s="1"/>
  <c r="BC652"/>
  <c r="BC777" s="1"/>
  <c r="BB652"/>
  <c r="BB777" s="1"/>
  <c r="BA652"/>
  <c r="BA777" s="1"/>
  <c r="AZ652"/>
  <c r="AZ777" s="1"/>
  <c r="AX652"/>
  <c r="AX777" s="1"/>
  <c r="AW652"/>
  <c r="AW777" s="1"/>
  <c r="AV652"/>
  <c r="AV777" s="1"/>
  <c r="AU652"/>
  <c r="AU777" s="1"/>
  <c r="AT652"/>
  <c r="AT777" s="1"/>
  <c r="AS652"/>
  <c r="AS777" s="1"/>
  <c r="AR652"/>
  <c r="AR777" s="1"/>
  <c r="AQ652"/>
  <c r="AP652"/>
  <c r="AP777" s="1"/>
  <c r="BD647"/>
  <c r="AY647"/>
  <c r="AT647"/>
  <c r="AO647"/>
  <c r="BD646"/>
  <c r="AY646"/>
  <c r="AT646"/>
  <c r="AO646"/>
  <c r="BD645"/>
  <c r="AY645"/>
  <c r="AT645"/>
  <c r="AO645"/>
  <c r="AO644"/>
  <c r="BD643"/>
  <c r="AY643"/>
  <c r="AT643"/>
  <c r="AO643"/>
  <c r="BH642"/>
  <c r="BG642"/>
  <c r="BF642"/>
  <c r="BE642"/>
  <c r="BD642"/>
  <c r="BC642"/>
  <c r="BB642"/>
  <c r="BA642"/>
  <c r="AZ642"/>
  <c r="AY642"/>
  <c r="AX642"/>
  <c r="AW642"/>
  <c r="AV642"/>
  <c r="AU642"/>
  <c r="AT642"/>
  <c r="AS642"/>
  <c r="AR642"/>
  <c r="AQ642"/>
  <c r="AP642"/>
  <c r="AO642"/>
  <c r="BH640"/>
  <c r="BG640"/>
  <c r="BF640"/>
  <c r="BE640"/>
  <c r="BD640"/>
  <c r="BC640"/>
  <c r="BB640"/>
  <c r="BA640"/>
  <c r="AZ640"/>
  <c r="AY640"/>
  <c r="AX640"/>
  <c r="AW640"/>
  <c r="AV640"/>
  <c r="AU640"/>
  <c r="AT640"/>
  <c r="AS640"/>
  <c r="AR640"/>
  <c r="AQ640"/>
  <c r="AP640"/>
  <c r="AO640"/>
  <c r="BD634"/>
  <c r="AY634"/>
  <c r="AT634"/>
  <c r="AO634"/>
  <c r="BH633"/>
  <c r="BG633"/>
  <c r="BF633"/>
  <c r="BE633"/>
  <c r="BD633"/>
  <c r="BC633"/>
  <c r="BB633"/>
  <c r="BA633"/>
  <c r="AZ633"/>
  <c r="AY633"/>
  <c r="AX633"/>
  <c r="AW633"/>
  <c r="AV633"/>
  <c r="AU633"/>
  <c r="AT633"/>
  <c r="AS633"/>
  <c r="AR633"/>
  <c r="AQ633"/>
  <c r="AP633"/>
  <c r="AO633"/>
  <c r="BH628"/>
  <c r="BG628"/>
  <c r="BF628"/>
  <c r="BE628"/>
  <c r="BD628"/>
  <c r="BC628"/>
  <c r="BB628"/>
  <c r="BA628"/>
  <c r="AZ628"/>
  <c r="AY628"/>
  <c r="AX628"/>
  <c r="AW628"/>
  <c r="AV628"/>
  <c r="AU628"/>
  <c r="AT628"/>
  <c r="AS628"/>
  <c r="AR628"/>
  <c r="AQ628"/>
  <c r="AP628"/>
  <c r="AO628"/>
  <c r="AQ625"/>
  <c r="AO625"/>
  <c r="AO624"/>
  <c r="AO623"/>
  <c r="AO622"/>
  <c r="BH621"/>
  <c r="BG621"/>
  <c r="BG525" s="1"/>
  <c r="BF621"/>
  <c r="BE621"/>
  <c r="BE525" s="1"/>
  <c r="BD621"/>
  <c r="BC621"/>
  <c r="BC525" s="1"/>
  <c r="BB621"/>
  <c r="BA621"/>
  <c r="BA525" s="1"/>
  <c r="AZ621"/>
  <c r="AY621"/>
  <c r="AY525" s="1"/>
  <c r="AX621"/>
  <c r="AW621"/>
  <c r="AW525" s="1"/>
  <c r="AV621"/>
  <c r="AU621"/>
  <c r="AU525" s="1"/>
  <c r="AT621"/>
  <c r="AS621"/>
  <c r="AR621"/>
  <c r="AQ621"/>
  <c r="AP621"/>
  <c r="BD620"/>
  <c r="AY620"/>
  <c r="AT620"/>
  <c r="AO620"/>
  <c r="BH619"/>
  <c r="BD619"/>
  <c r="BC619"/>
  <c r="AY619"/>
  <c r="AT619"/>
  <c r="AS619"/>
  <c r="AQ619"/>
  <c r="AP619"/>
  <c r="AO619" s="1"/>
  <c r="BD618"/>
  <c r="AY618"/>
  <c r="AT618"/>
  <c r="AS618"/>
  <c r="AQ618"/>
  <c r="AO618"/>
  <c r="BH617"/>
  <c r="BG617"/>
  <c r="BF617"/>
  <c r="BE617"/>
  <c r="BD617"/>
  <c r="BC617"/>
  <c r="BB617"/>
  <c r="BA617"/>
  <c r="AZ617"/>
  <c r="AY617"/>
  <c r="AX617"/>
  <c r="AW617"/>
  <c r="AV617"/>
  <c r="AU617"/>
  <c r="AT617"/>
  <c r="AS617"/>
  <c r="AR617"/>
  <c r="AQ617"/>
  <c r="AP617"/>
  <c r="BD616"/>
  <c r="AY616"/>
  <c r="AT616"/>
  <c r="AO616"/>
  <c r="BD615"/>
  <c r="AY615"/>
  <c r="AT615"/>
  <c r="AS615"/>
  <c r="AO615" s="1"/>
  <c r="AO614" s="1"/>
  <c r="BH614"/>
  <c r="BG614"/>
  <c r="BF614"/>
  <c r="BE614"/>
  <c r="BD614"/>
  <c r="BC614"/>
  <c r="BB614"/>
  <c r="BA614"/>
  <c r="AZ614"/>
  <c r="AY614"/>
  <c r="AX614"/>
  <c r="AW614"/>
  <c r="AV614"/>
  <c r="AU614"/>
  <c r="AT614"/>
  <c r="AS614"/>
  <c r="AR614"/>
  <c r="AQ614"/>
  <c r="AP614"/>
  <c r="BD611"/>
  <c r="AY611"/>
  <c r="AT611"/>
  <c r="AO611"/>
  <c r="BH610"/>
  <c r="BG610"/>
  <c r="BF610"/>
  <c r="BE610"/>
  <c r="BD610"/>
  <c r="BC610"/>
  <c r="BB610"/>
  <c r="BA610"/>
  <c r="AZ610"/>
  <c r="AY610"/>
  <c r="AX610"/>
  <c r="AW610"/>
  <c r="AV610"/>
  <c r="AU610"/>
  <c r="AT610"/>
  <c r="AS610"/>
  <c r="AR610"/>
  <c r="AQ610"/>
  <c r="AP610"/>
  <c r="AO610"/>
  <c r="BD609"/>
  <c r="AY609"/>
  <c r="AT609"/>
  <c r="AO609"/>
  <c r="BD608"/>
  <c r="AY608"/>
  <c r="AT608"/>
  <c r="AS608"/>
  <c r="AO608"/>
  <c r="BD607"/>
  <c r="AY607"/>
  <c r="AT607"/>
  <c r="AO607"/>
  <c r="BD606"/>
  <c r="AY606"/>
  <c r="AT606"/>
  <c r="AO606"/>
  <c r="BD605"/>
  <c r="AY605"/>
  <c r="AT605"/>
  <c r="AO605"/>
  <c r="BD604"/>
  <c r="AY604"/>
  <c r="AT604"/>
  <c r="AO604"/>
  <c r="BD603"/>
  <c r="AY603"/>
  <c r="AT603"/>
  <c r="AO603"/>
  <c r="BD600"/>
  <c r="AY600"/>
  <c r="AT600"/>
  <c r="AO600"/>
  <c r="BD599"/>
  <c r="AY599"/>
  <c r="AT599"/>
  <c r="AS599"/>
  <c r="AO599" s="1"/>
  <c r="BD598"/>
  <c r="AY598"/>
  <c r="AT598"/>
  <c r="AO598"/>
  <c r="BD597"/>
  <c r="AY597"/>
  <c r="AT597"/>
  <c r="AO597"/>
  <c r="BD596"/>
  <c r="AY596"/>
  <c r="AT596"/>
  <c r="AO596"/>
  <c r="BD595"/>
  <c r="AY595"/>
  <c r="AT595"/>
  <c r="AO595"/>
  <c r="BD594"/>
  <c r="AY594"/>
  <c r="AT594"/>
  <c r="AO594"/>
  <c r="BD593"/>
  <c r="AY593"/>
  <c r="AT593"/>
  <c r="AO593"/>
  <c r="BD592"/>
  <c r="AY592"/>
  <c r="AT592"/>
  <c r="AO592"/>
  <c r="AO588" s="1"/>
  <c r="BD590"/>
  <c r="AY590"/>
  <c r="AT590"/>
  <c r="AO590"/>
  <c r="BD589"/>
  <c r="AY589"/>
  <c r="AT589"/>
  <c r="AO589"/>
  <c r="BH588"/>
  <c r="BG588"/>
  <c r="BF588"/>
  <c r="BE588"/>
  <c r="BD588"/>
  <c r="BC588"/>
  <c r="BB588"/>
  <c r="BA588"/>
  <c r="AZ588"/>
  <c r="AY588"/>
  <c r="AX588"/>
  <c r="AW588"/>
  <c r="AV588"/>
  <c r="AU588"/>
  <c r="AT588"/>
  <c r="AS588"/>
  <c r="AR588"/>
  <c r="AQ588"/>
  <c r="AP588"/>
  <c r="AO587"/>
  <c r="BH586"/>
  <c r="BG586"/>
  <c r="BF586"/>
  <c r="BE586"/>
  <c r="BD586"/>
  <c r="BC586"/>
  <c r="BB586"/>
  <c r="BA586"/>
  <c r="AZ586"/>
  <c r="AY586"/>
  <c r="AX586"/>
  <c r="AW586"/>
  <c r="AV586"/>
  <c r="AU586"/>
  <c r="AT586"/>
  <c r="AS586"/>
  <c r="AR586"/>
  <c r="AQ586"/>
  <c r="AP586"/>
  <c r="AO586"/>
  <c r="BD584"/>
  <c r="AY584"/>
  <c r="AT584"/>
  <c r="AS584"/>
  <c r="AO584"/>
  <c r="BD583"/>
  <c r="AY583"/>
  <c r="AT583"/>
  <c r="AS583"/>
  <c r="AO583"/>
  <c r="BD581"/>
  <c r="AY581"/>
  <c r="AT581"/>
  <c r="AS581"/>
  <c r="AO581"/>
  <c r="BD580"/>
  <c r="AY580"/>
  <c r="AT580"/>
  <c r="AS580"/>
  <c r="AO580"/>
  <c r="BD579"/>
  <c r="AY579"/>
  <c r="AT579"/>
  <c r="AS579"/>
  <c r="AO579"/>
  <c r="BD578"/>
  <c r="AY578"/>
  <c r="AT578"/>
  <c r="AS578"/>
  <c r="AO578"/>
  <c r="BD577"/>
  <c r="AY577"/>
  <c r="AT577"/>
  <c r="AO577"/>
  <c r="BD576"/>
  <c r="AY576"/>
  <c r="AT576"/>
  <c r="AO576"/>
  <c r="BD575"/>
  <c r="AY575"/>
  <c r="AT575"/>
  <c r="AS575"/>
  <c r="AO575" s="1"/>
  <c r="BD574"/>
  <c r="AY574"/>
  <c r="AT574"/>
  <c r="AS574"/>
  <c r="AO574"/>
  <c r="BD573"/>
  <c r="AY573"/>
  <c r="AT573"/>
  <c r="AS573"/>
  <c r="AO573" s="1"/>
  <c r="BD571"/>
  <c r="AY571"/>
  <c r="AT571"/>
  <c r="AO571"/>
  <c r="BD570"/>
  <c r="AY570"/>
  <c r="AT570"/>
  <c r="AS570"/>
  <c r="AO570"/>
  <c r="BD569"/>
  <c r="AY569"/>
  <c r="AT569"/>
  <c r="AS569"/>
  <c r="AO569" s="1"/>
  <c r="BD568"/>
  <c r="AY568"/>
  <c r="AT568"/>
  <c r="AS568"/>
  <c r="AO568"/>
  <c r="BH567"/>
  <c r="BG567"/>
  <c r="BF567"/>
  <c r="BE567"/>
  <c r="BD567"/>
  <c r="BC567"/>
  <c r="BB567"/>
  <c r="BA567"/>
  <c r="AZ567"/>
  <c r="AY567"/>
  <c r="AX567"/>
  <c r="AW567"/>
  <c r="AV567"/>
  <c r="AU567"/>
  <c r="AT567"/>
  <c r="AS567"/>
  <c r="AR567"/>
  <c r="AQ567"/>
  <c r="AP567"/>
  <c r="BD566"/>
  <c r="AY566"/>
  <c r="AT566"/>
  <c r="AS566"/>
  <c r="AO566"/>
  <c r="BD565"/>
  <c r="AY565"/>
  <c r="AT565"/>
  <c r="AO565"/>
  <c r="BD563"/>
  <c r="AY563"/>
  <c r="AT563"/>
  <c r="AS563"/>
  <c r="AO563" s="1"/>
  <c r="BD562"/>
  <c r="AY562"/>
  <c r="AT562"/>
  <c r="AS562"/>
  <c r="AO562"/>
  <c r="BD559"/>
  <c r="AY559"/>
  <c r="AT559"/>
  <c r="AS559"/>
  <c r="AO559" s="1"/>
  <c r="BD558"/>
  <c r="AY558"/>
  <c r="AT558"/>
  <c r="AO558"/>
  <c r="BD557"/>
  <c r="AY557"/>
  <c r="AT557"/>
  <c r="AS557"/>
  <c r="AO557"/>
  <c r="BD556"/>
  <c r="AY556"/>
  <c r="AT556"/>
  <c r="AS556"/>
  <c r="AO556" s="1"/>
  <c r="BD554"/>
  <c r="AY554"/>
  <c r="AT554"/>
  <c r="AS554"/>
  <c r="AO554"/>
  <c r="BD553"/>
  <c r="AY553"/>
  <c r="AT553"/>
  <c r="AS553"/>
  <c r="AO553" s="1"/>
  <c r="BD552"/>
  <c r="AY552"/>
  <c r="AT552"/>
  <c r="AO552"/>
  <c r="BD550"/>
  <c r="AY550"/>
  <c r="AT550"/>
  <c r="AS550"/>
  <c r="AO550"/>
  <c r="BD549"/>
  <c r="AY549"/>
  <c r="AT549"/>
  <c r="AO549"/>
  <c r="BD548"/>
  <c r="AY548"/>
  <c r="AT548"/>
  <c r="AS548"/>
  <c r="AO548" s="1"/>
  <c r="BD547"/>
  <c r="AY547"/>
  <c r="AT547"/>
  <c r="AO547"/>
  <c r="BD546"/>
  <c r="AY546"/>
  <c r="AT546"/>
  <c r="AO546"/>
  <c r="BD542"/>
  <c r="AY542"/>
  <c r="AT542"/>
  <c r="AS542"/>
  <c r="AO542"/>
  <c r="BD541"/>
  <c r="AY541"/>
  <c r="AT541"/>
  <c r="AO541"/>
  <c r="BD540"/>
  <c r="AY540"/>
  <c r="AT540"/>
  <c r="AO540"/>
  <c r="BD539"/>
  <c r="AY539"/>
  <c r="AT539"/>
  <c r="AO539"/>
  <c r="BD538"/>
  <c r="AY538"/>
  <c r="AT538"/>
  <c r="AO538"/>
  <c r="BD537"/>
  <c r="AY537"/>
  <c r="AT537"/>
  <c r="AS537"/>
  <c r="AO537"/>
  <c r="BD536"/>
  <c r="AY536"/>
  <c r="AT536"/>
  <c r="AS536"/>
  <c r="AO536" s="1"/>
  <c r="BD534"/>
  <c r="AY534"/>
  <c r="AT534"/>
  <c r="AO534"/>
  <c r="BD533"/>
  <c r="AY533"/>
  <c r="AT533"/>
  <c r="AS533"/>
  <c r="AO533"/>
  <c r="BD532"/>
  <c r="AY532"/>
  <c r="AT532"/>
  <c r="AS532"/>
  <c r="AO532" s="1"/>
  <c r="BD530"/>
  <c r="AY530"/>
  <c r="AT530"/>
  <c r="AS530"/>
  <c r="AO530"/>
  <c r="BD529"/>
  <c r="AY529"/>
  <c r="AT529"/>
  <c r="AS529"/>
  <c r="AO529" s="1"/>
  <c r="BD528"/>
  <c r="AY528"/>
  <c r="AT528"/>
  <c r="AS528"/>
  <c r="AO528"/>
  <c r="BH527"/>
  <c r="BG527"/>
  <c r="BF527"/>
  <c r="BE527"/>
  <c r="BD527"/>
  <c r="BC527"/>
  <c r="BB527"/>
  <c r="BA527"/>
  <c r="AZ527"/>
  <c r="AY527"/>
  <c r="AX527"/>
  <c r="AW527"/>
  <c r="AV527"/>
  <c r="AU527"/>
  <c r="AT527"/>
  <c r="AS527"/>
  <c r="AS525" s="1"/>
  <c r="AR527"/>
  <c r="AQ527"/>
  <c r="AP527"/>
  <c r="BH525"/>
  <c r="BF525"/>
  <c r="BD525"/>
  <c r="BB525"/>
  <c r="AZ525"/>
  <c r="AX525"/>
  <c r="AV525"/>
  <c r="AT525"/>
  <c r="AR525"/>
  <c r="AQ525"/>
  <c r="AP525"/>
  <c r="BD524"/>
  <c r="AY524"/>
  <c r="AT524"/>
  <c r="AO524"/>
  <c r="BH523"/>
  <c r="BG523"/>
  <c r="BF523"/>
  <c r="BE523"/>
  <c r="BD523"/>
  <c r="BC523"/>
  <c r="BB523"/>
  <c r="BA523"/>
  <c r="AZ523"/>
  <c r="AY523"/>
  <c r="AX523"/>
  <c r="AW523"/>
  <c r="AV523"/>
  <c r="AU523"/>
  <c r="AT523"/>
  <c r="AS523"/>
  <c r="AR523"/>
  <c r="AQ523"/>
  <c r="AP523"/>
  <c r="AO523"/>
  <c r="BD521"/>
  <c r="AY521"/>
  <c r="AT521"/>
  <c r="AS521"/>
  <c r="AO521"/>
  <c r="BD520"/>
  <c r="AY520"/>
  <c r="AT520"/>
  <c r="AO520"/>
  <c r="BD519"/>
  <c r="AY519"/>
  <c r="AT519"/>
  <c r="AO519"/>
  <c r="BD518"/>
  <c r="AY518"/>
  <c r="AT518"/>
  <c r="AO518"/>
  <c r="AO517"/>
  <c r="BD516"/>
  <c r="AY516"/>
  <c r="AT516"/>
  <c r="AO516"/>
  <c r="BD515"/>
  <c r="AY515"/>
  <c r="AT515"/>
  <c r="AO515"/>
  <c r="AO514"/>
  <c r="BD513"/>
  <c r="AY513"/>
  <c r="AT513"/>
  <c r="AO513"/>
  <c r="BD512"/>
  <c r="AY512"/>
  <c r="AT512"/>
  <c r="AS512"/>
  <c r="AO512" s="1"/>
  <c r="BD511"/>
  <c r="AY511"/>
  <c r="AT511"/>
  <c r="AO511"/>
  <c r="BH510"/>
  <c r="BD510"/>
  <c r="BC510"/>
  <c r="AY510"/>
  <c r="AX510"/>
  <c r="AT510"/>
  <c r="AS510"/>
  <c r="AO510"/>
  <c r="BD508"/>
  <c r="AY508"/>
  <c r="AT508"/>
  <c r="AO508"/>
  <c r="BD507"/>
  <c r="AY507"/>
  <c r="AT507"/>
  <c r="AO507"/>
  <c r="BD506"/>
  <c r="AY506"/>
  <c r="AT506"/>
  <c r="AO506"/>
  <c r="BH505"/>
  <c r="BG505"/>
  <c r="BF505" s="1"/>
  <c r="BC505"/>
  <c r="BB505" s="1"/>
  <c r="AX505"/>
  <c r="AW505"/>
  <c r="AV505" s="1"/>
  <c r="AS505"/>
  <c r="AR505" s="1"/>
  <c r="BH504"/>
  <c r="BG504"/>
  <c r="BC504"/>
  <c r="AX504"/>
  <c r="AW504"/>
  <c r="AS504"/>
  <c r="AQ504"/>
  <c r="AP504"/>
  <c r="BD503"/>
  <c r="AY503"/>
  <c r="AT503"/>
  <c r="AO503"/>
  <c r="AS502"/>
  <c r="AO502" s="1"/>
  <c r="AO501"/>
  <c r="AO500"/>
  <c r="AO499"/>
  <c r="AO498"/>
  <c r="BD497"/>
  <c r="AY497"/>
  <c r="AT497"/>
  <c r="AO497"/>
  <c r="BD496"/>
  <c r="AY496"/>
  <c r="AT496"/>
  <c r="AO496"/>
  <c r="BH495"/>
  <c r="BG495"/>
  <c r="BF495"/>
  <c r="BE495"/>
  <c r="BD495"/>
  <c r="BC495"/>
  <c r="BB495"/>
  <c r="BA495"/>
  <c r="AZ495"/>
  <c r="AY495"/>
  <c r="AX495"/>
  <c r="AW495"/>
  <c r="AV495"/>
  <c r="AU495"/>
  <c r="AT495"/>
  <c r="AS495"/>
  <c r="AR495"/>
  <c r="AQ495"/>
  <c r="AP495"/>
  <c r="BH491"/>
  <c r="BG491"/>
  <c r="BF491"/>
  <c r="BE491"/>
  <c r="BD491"/>
  <c r="BC491"/>
  <c r="BB491"/>
  <c r="BA491"/>
  <c r="AZ491"/>
  <c r="AY491"/>
  <c r="AX491"/>
  <c r="AW491"/>
  <c r="AV491"/>
  <c r="AU491"/>
  <c r="AT491"/>
  <c r="AS491"/>
  <c r="AR491"/>
  <c r="AQ491"/>
  <c r="AP491"/>
  <c r="AO491"/>
  <c r="AO487"/>
  <c r="AT486"/>
  <c r="AO486"/>
  <c r="BD485"/>
  <c r="AY485"/>
  <c r="AT485"/>
  <c r="AO485"/>
  <c r="BD483"/>
  <c r="AY483"/>
  <c r="AT483"/>
  <c r="AO483"/>
  <c r="BD482"/>
  <c r="AY482"/>
  <c r="AT482"/>
  <c r="AO482"/>
  <c r="BD481"/>
  <c r="AY481"/>
  <c r="AT481"/>
  <c r="AO481"/>
  <c r="BD480"/>
  <c r="AY480"/>
  <c r="AT480"/>
  <c r="AO480"/>
  <c r="BD479"/>
  <c r="AY479"/>
  <c r="AT479"/>
  <c r="AO479"/>
  <c r="BD478"/>
  <c r="AY478"/>
  <c r="AT478"/>
  <c r="AO478"/>
  <c r="BD477"/>
  <c r="AY477"/>
  <c r="AT477"/>
  <c r="AO477"/>
  <c r="BD476"/>
  <c r="AY476"/>
  <c r="AT476"/>
  <c r="AO476"/>
  <c r="BD475"/>
  <c r="AY475"/>
  <c r="AT475"/>
  <c r="AO475"/>
  <c r="BD474"/>
  <c r="AY474"/>
  <c r="AT474"/>
  <c r="AO474"/>
  <c r="BD473"/>
  <c r="AY473"/>
  <c r="AT473"/>
  <c r="AS473"/>
  <c r="AO473" s="1"/>
  <c r="BD472"/>
  <c r="AY472"/>
  <c r="AT472"/>
  <c r="AS472"/>
  <c r="AO472"/>
  <c r="BD471"/>
  <c r="AY471"/>
  <c r="AT471"/>
  <c r="AO471"/>
  <c r="AO470"/>
  <c r="AO469"/>
  <c r="AS468"/>
  <c r="AO468" s="1"/>
  <c r="AQ467"/>
  <c r="AO467" s="1"/>
  <c r="AS466"/>
  <c r="AO466" s="1"/>
  <c r="BD465"/>
  <c r="AY465"/>
  <c r="AT465"/>
  <c r="AO465"/>
  <c r="BD464"/>
  <c r="AY464"/>
  <c r="AT464"/>
  <c r="AO464"/>
  <c r="BD463"/>
  <c r="AY463"/>
  <c r="AT463"/>
  <c r="AO463"/>
  <c r="BD462"/>
  <c r="AY462"/>
  <c r="AT462"/>
  <c r="AO462"/>
  <c r="BD461"/>
  <c r="AY461"/>
  <c r="AT461"/>
  <c r="AO461"/>
  <c r="BD460"/>
  <c r="AY460"/>
  <c r="AT460"/>
  <c r="AS460"/>
  <c r="AO460"/>
  <c r="BD459"/>
  <c r="AY459"/>
  <c r="AT459"/>
  <c r="AO459"/>
  <c r="BD458"/>
  <c r="AY458"/>
  <c r="AT458"/>
  <c r="AO458"/>
  <c r="BD457"/>
  <c r="AY457"/>
  <c r="AT457"/>
  <c r="AO457"/>
  <c r="AS456"/>
  <c r="AO456"/>
  <c r="BD455"/>
  <c r="AY455"/>
  <c r="AT455"/>
  <c r="AO455"/>
  <c r="BD454"/>
  <c r="AY454"/>
  <c r="AT454"/>
  <c r="AO454"/>
  <c r="BD453"/>
  <c r="AY453"/>
  <c r="AT453"/>
  <c r="AO453"/>
  <c r="BD452"/>
  <c r="AY452"/>
  <c r="AT452"/>
  <c r="AO452"/>
  <c r="BD451"/>
  <c r="AY451"/>
  <c r="AT451"/>
  <c r="AO451"/>
  <c r="BD450"/>
  <c r="AY450"/>
  <c r="AT450"/>
  <c r="AO450"/>
  <c r="BD449"/>
  <c r="AY449"/>
  <c r="AT449"/>
  <c r="AO449"/>
  <c r="AO448"/>
  <c r="BD447"/>
  <c r="AY447"/>
  <c r="AT447"/>
  <c r="AO447"/>
  <c r="BD446"/>
  <c r="AY446"/>
  <c r="AT446"/>
  <c r="AO446"/>
  <c r="BD445"/>
  <c r="AY445"/>
  <c r="AT445"/>
  <c r="AO445"/>
  <c r="BD444"/>
  <c r="AY444"/>
  <c r="AT444"/>
  <c r="AO444"/>
  <c r="BD443"/>
  <c r="AY443"/>
  <c r="AT443"/>
  <c r="AO443"/>
  <c r="BD442"/>
  <c r="AY442"/>
  <c r="AT442"/>
  <c r="AO442"/>
  <c r="BD441"/>
  <c r="AY441"/>
  <c r="AT441"/>
  <c r="AO441"/>
  <c r="BD440"/>
  <c r="AY440"/>
  <c r="AT440"/>
  <c r="AO440"/>
  <c r="BD439"/>
  <c r="AY439"/>
  <c r="AT439"/>
  <c r="AO439"/>
  <c r="BD438"/>
  <c r="AY438"/>
  <c r="AT438"/>
  <c r="AO438"/>
  <c r="BD434"/>
  <c r="AY434"/>
  <c r="AT434"/>
  <c r="AO434"/>
  <c r="AS433"/>
  <c r="AO433"/>
  <c r="BD432"/>
  <c r="AY432"/>
  <c r="AT432"/>
  <c r="AO432"/>
  <c r="AO431"/>
  <c r="AO430"/>
  <c r="AO429"/>
  <c r="AO428"/>
  <c r="BD427"/>
  <c r="AY427"/>
  <c r="AT427"/>
  <c r="AO427"/>
  <c r="BD426"/>
  <c r="AY426"/>
  <c r="AT426"/>
  <c r="AO426"/>
  <c r="BD425"/>
  <c r="AY425"/>
  <c r="AT425"/>
  <c r="AO425"/>
  <c r="AO424"/>
  <c r="AO423"/>
  <c r="BD422"/>
  <c r="AY422"/>
  <c r="AT422"/>
  <c r="AO422"/>
  <c r="BD421"/>
  <c r="AY421"/>
  <c r="AT421"/>
  <c r="AO421"/>
  <c r="BD420"/>
  <c r="AY420"/>
  <c r="AT420"/>
  <c r="AO420"/>
  <c r="BD419"/>
  <c r="AY419"/>
  <c r="AT419"/>
  <c r="AO419"/>
  <c r="BD418"/>
  <c r="AY418"/>
  <c r="AT418"/>
  <c r="AO418"/>
  <c r="AO417"/>
  <c r="BD416"/>
  <c r="AY416"/>
  <c r="AT416"/>
  <c r="AO416"/>
  <c r="BD415"/>
  <c r="AY415"/>
  <c r="AT415"/>
  <c r="AO415"/>
  <c r="BD414"/>
  <c r="AY414"/>
  <c r="AT414"/>
  <c r="AO414"/>
  <c r="BD413"/>
  <c r="AY413"/>
  <c r="AT413"/>
  <c r="AO413"/>
  <c r="BD412"/>
  <c r="AY412"/>
  <c r="AT412"/>
  <c r="AO412"/>
  <c r="BD411"/>
  <c r="AY411"/>
  <c r="AT411"/>
  <c r="AO411"/>
  <c r="BD410"/>
  <c r="AY410"/>
  <c r="AT410"/>
  <c r="AO410"/>
  <c r="BD409"/>
  <c r="AY409"/>
  <c r="AT409"/>
  <c r="AO409"/>
  <c r="BH408"/>
  <c r="BG408" s="1"/>
  <c r="BF408" s="1"/>
  <c r="BE408" s="1"/>
  <c r="BD408" s="1"/>
  <c r="BC408"/>
  <c r="BB408"/>
  <c r="BA408" s="1"/>
  <c r="AZ408" s="1"/>
  <c r="AY408" s="1"/>
  <c r="AX408"/>
  <c r="AW408" s="1"/>
  <c r="AV408" s="1"/>
  <c r="AU408" s="1"/>
  <c r="AT408" s="1"/>
  <c r="AS408"/>
  <c r="AR408"/>
  <c r="AQ408" s="1"/>
  <c r="AP408" s="1"/>
  <c r="AO408" s="1"/>
  <c r="BD406"/>
  <c r="AY406"/>
  <c r="AT406"/>
  <c r="AO406"/>
  <c r="BH405"/>
  <c r="BG405" s="1"/>
  <c r="BC405"/>
  <c r="BB405"/>
  <c r="BA405" s="1"/>
  <c r="AX405"/>
  <c r="AW405" s="1"/>
  <c r="AS405"/>
  <c r="AR405"/>
  <c r="AQ405" s="1"/>
  <c r="BH404"/>
  <c r="BC404"/>
  <c r="BB404"/>
  <c r="AX404"/>
  <c r="AS404"/>
  <c r="AR404"/>
  <c r="BD402"/>
  <c r="BD401" s="1"/>
  <c r="AY402"/>
  <c r="AT402"/>
  <c r="AT401" s="1"/>
  <c r="AO402"/>
  <c r="BH401"/>
  <c r="BG401"/>
  <c r="BF401"/>
  <c r="BE401"/>
  <c r="BC401"/>
  <c r="BB401"/>
  <c r="BA401"/>
  <c r="AZ401"/>
  <c r="AY401"/>
  <c r="AX401"/>
  <c r="AW401"/>
  <c r="AV401"/>
  <c r="AU401"/>
  <c r="AS401"/>
  <c r="AR401"/>
  <c r="AQ401"/>
  <c r="AP401"/>
  <c r="AO401"/>
  <c r="BD400"/>
  <c r="AY400"/>
  <c r="AY399" s="1"/>
  <c r="AT400"/>
  <c r="AS400"/>
  <c r="AO400" s="1"/>
  <c r="AO399" s="1"/>
  <c r="BH399"/>
  <c r="BG399"/>
  <c r="BF399"/>
  <c r="BE399"/>
  <c r="BD399"/>
  <c r="BC399"/>
  <c r="BB399"/>
  <c r="BA399"/>
  <c r="AZ399"/>
  <c r="AX399"/>
  <c r="AW399"/>
  <c r="AV399"/>
  <c r="AU399"/>
  <c r="AT399"/>
  <c r="AR399"/>
  <c r="AQ399"/>
  <c r="AP399"/>
  <c r="BD397"/>
  <c r="AY397"/>
  <c r="AT397"/>
  <c r="AO397"/>
  <c r="BD396"/>
  <c r="AY396"/>
  <c r="AT396"/>
  <c r="AO396"/>
  <c r="BH395"/>
  <c r="BG395" s="1"/>
  <c r="BF395" s="1"/>
  <c r="BE395" s="1"/>
  <c r="BD395" s="1"/>
  <c r="BC395"/>
  <c r="BB395"/>
  <c r="BA395" s="1"/>
  <c r="AZ395" s="1"/>
  <c r="AY395" s="1"/>
  <c r="AX395"/>
  <c r="AW395" s="1"/>
  <c r="AV395" s="1"/>
  <c r="AU395" s="1"/>
  <c r="AT395" s="1"/>
  <c r="AS395"/>
  <c r="AR395"/>
  <c r="AQ395"/>
  <c r="AP395"/>
  <c r="AO395"/>
  <c r="BD394"/>
  <c r="BD392" s="1"/>
  <c r="AY394"/>
  <c r="AT394"/>
  <c r="AT392" s="1"/>
  <c r="AO394"/>
  <c r="BD393"/>
  <c r="AY393"/>
  <c r="AT393"/>
  <c r="AO393"/>
  <c r="BH392"/>
  <c r="BG392"/>
  <c r="BF392"/>
  <c r="BE392"/>
  <c r="BC392"/>
  <c r="BB392"/>
  <c r="BA392"/>
  <c r="AZ392"/>
  <c r="AY392"/>
  <c r="AX392"/>
  <c r="AW392"/>
  <c r="AV392"/>
  <c r="AU392"/>
  <c r="AS392"/>
  <c r="AR392"/>
  <c r="AQ392"/>
  <c r="AP392"/>
  <c r="AO392"/>
  <c r="AS391"/>
  <c r="AO391"/>
  <c r="AO390"/>
  <c r="AO389"/>
  <c r="AO388"/>
  <c r="BD387"/>
  <c r="AY387"/>
  <c r="AT387"/>
  <c r="AO387"/>
  <c r="AO385"/>
  <c r="BD384"/>
  <c r="AY384"/>
  <c r="AT384"/>
  <c r="AS384"/>
  <c r="AO384" s="1"/>
  <c r="BD383"/>
  <c r="AY383"/>
  <c r="AT383"/>
  <c r="AO383"/>
  <c r="BD382"/>
  <c r="AY382"/>
  <c r="AT382"/>
  <c r="AO382"/>
  <c r="BD381"/>
  <c r="AY381"/>
  <c r="AT381"/>
  <c r="AO381"/>
  <c r="AO380"/>
  <c r="BD379"/>
  <c r="AY379"/>
  <c r="AT379"/>
  <c r="AO379"/>
  <c r="BD376"/>
  <c r="AY376"/>
  <c r="AT376"/>
  <c r="AO376"/>
  <c r="AQ374"/>
  <c r="AO374"/>
  <c r="AO373"/>
  <c r="AO372"/>
  <c r="AO371"/>
  <c r="AO370"/>
  <c r="BD369"/>
  <c r="AY369"/>
  <c r="AT369"/>
  <c r="AO369"/>
  <c r="AO368"/>
  <c r="AO367"/>
  <c r="AO366"/>
  <c r="AO365"/>
  <c r="AO364"/>
  <c r="AO363"/>
  <c r="AO362"/>
  <c r="AO361"/>
  <c r="AO360"/>
  <c r="AO359"/>
  <c r="BD358"/>
  <c r="AY358"/>
  <c r="AT358"/>
  <c r="AO358"/>
  <c r="BD357"/>
  <c r="AY357"/>
  <c r="AT357"/>
  <c r="AS357"/>
  <c r="AO357" s="1"/>
  <c r="BH356"/>
  <c r="BD356" s="1"/>
  <c r="BC356"/>
  <c r="AY356" s="1"/>
  <c r="AX356"/>
  <c r="AT356" s="1"/>
  <c r="AS356"/>
  <c r="AO356" s="1"/>
  <c r="BD354"/>
  <c r="AY354"/>
  <c r="AT354"/>
  <c r="AS354"/>
  <c r="AO354"/>
  <c r="BD353"/>
  <c r="AY353"/>
  <c r="AT353"/>
  <c r="AS353"/>
  <c r="AO353" s="1"/>
  <c r="BD352"/>
  <c r="AY352"/>
  <c r="AT352"/>
  <c r="AO352"/>
  <c r="BD351"/>
  <c r="AY351"/>
  <c r="AT351"/>
  <c r="AO351"/>
  <c r="BD350"/>
  <c r="AY350"/>
  <c r="AT350"/>
  <c r="AS350"/>
  <c r="AO350"/>
  <c r="AS349"/>
  <c r="AO349"/>
  <c r="BD348"/>
  <c r="AY348"/>
  <c r="AT348"/>
  <c r="AO348"/>
  <c r="BH347"/>
  <c r="BD347" s="1"/>
  <c r="BD346" s="1"/>
  <c r="BC347"/>
  <c r="AY347" s="1"/>
  <c r="AY346" s="1"/>
  <c r="AX347"/>
  <c r="AT347" s="1"/>
  <c r="AT346" s="1"/>
  <c r="AS347"/>
  <c r="AO347" s="1"/>
  <c r="BH346"/>
  <c r="BG346"/>
  <c r="BF346"/>
  <c r="BE346"/>
  <c r="BC346"/>
  <c r="BB346"/>
  <c r="BA346"/>
  <c r="AZ346"/>
  <c r="AX346"/>
  <c r="AW346"/>
  <c r="AV346"/>
  <c r="AU346"/>
  <c r="AS346"/>
  <c r="AR346"/>
  <c r="AQ346"/>
  <c r="AP346"/>
  <c r="BD345"/>
  <c r="AY345"/>
  <c r="AT345"/>
  <c r="AO345"/>
  <c r="BD342"/>
  <c r="AY342"/>
  <c r="AT342"/>
  <c r="AS342"/>
  <c r="AO342" s="1"/>
  <c r="BD341"/>
  <c r="AY341"/>
  <c r="AT341"/>
  <c r="AO341"/>
  <c r="BD340"/>
  <c r="AY340"/>
  <c r="AT340"/>
  <c r="AS340"/>
  <c r="AO340"/>
  <c r="BD335"/>
  <c r="AY335"/>
  <c r="AT335"/>
  <c r="AO335"/>
  <c r="BD334"/>
  <c r="AY334"/>
  <c r="AT334"/>
  <c r="AS334"/>
  <c r="AO334" s="1"/>
  <c r="BD333"/>
  <c r="AY333"/>
  <c r="AT333"/>
  <c r="AO333"/>
  <c r="BD332"/>
  <c r="AY332"/>
  <c r="AT332"/>
  <c r="AO332"/>
  <c r="BD331"/>
  <c r="AY331"/>
  <c r="AT331"/>
  <c r="AO331"/>
  <c r="AO328"/>
  <c r="BD327"/>
  <c r="AY327"/>
  <c r="AT327"/>
  <c r="AO327"/>
  <c r="BD326"/>
  <c r="AY326"/>
  <c r="AT326"/>
  <c r="AO326"/>
  <c r="BD321"/>
  <c r="AY321"/>
  <c r="AT321"/>
  <c r="AQ318"/>
  <c r="AO318"/>
  <c r="AO317"/>
  <c r="AO316"/>
  <c r="AO315"/>
  <c r="BD314"/>
  <c r="AY314"/>
  <c r="AT314"/>
  <c r="AS314"/>
  <c r="AO314"/>
  <c r="BD313"/>
  <c r="AY313"/>
  <c r="AT313"/>
  <c r="AS313"/>
  <c r="AO313"/>
  <c r="BD312"/>
  <c r="AY312"/>
  <c r="AT312"/>
  <c r="AO312"/>
  <c r="BD311"/>
  <c r="AY311"/>
  <c r="AT311"/>
  <c r="AO311"/>
  <c r="BH309"/>
  <c r="BG309" s="1"/>
  <c r="BC309"/>
  <c r="BB309" s="1"/>
  <c r="AX309"/>
  <c r="AW309" s="1"/>
  <c r="AS309"/>
  <c r="AR309"/>
  <c r="AQ309" s="1"/>
  <c r="BH308"/>
  <c r="BC308"/>
  <c r="AX308"/>
  <c r="AT307"/>
  <c r="AO307"/>
  <c r="BD306"/>
  <c r="AY306"/>
  <c r="AT306"/>
  <c r="AO306"/>
  <c r="BD304"/>
  <c r="AY304"/>
  <c r="AT304"/>
  <c r="AO304"/>
  <c r="BD303"/>
  <c r="AY303"/>
  <c r="AT303"/>
  <c r="AS303"/>
  <c r="AO303"/>
  <c r="BD302"/>
  <c r="AY302"/>
  <c r="AT302"/>
  <c r="AS302"/>
  <c r="AO302" s="1"/>
  <c r="BD301"/>
  <c r="AY301"/>
  <c r="AT301"/>
  <c r="AO301"/>
  <c r="BD300"/>
  <c r="AY300"/>
  <c r="AT300"/>
  <c r="AO300"/>
  <c r="BD297"/>
  <c r="AY297"/>
  <c r="AT297"/>
  <c r="AO297"/>
  <c r="BH296"/>
  <c r="BG296"/>
  <c r="BF296"/>
  <c r="BE296"/>
  <c r="BD296"/>
  <c r="BC296"/>
  <c r="BB296"/>
  <c r="BA296"/>
  <c r="AZ296"/>
  <c r="AY296"/>
  <c r="AX296"/>
  <c r="AW296"/>
  <c r="AV296"/>
  <c r="AU296"/>
  <c r="AT296"/>
  <c r="BD295"/>
  <c r="AY295"/>
  <c r="AT295"/>
  <c r="AO295"/>
  <c r="BD294"/>
  <c r="AY294"/>
  <c r="AT294"/>
  <c r="AS294"/>
  <c r="AO294"/>
  <c r="BD293"/>
  <c r="AY293"/>
  <c r="AT293"/>
  <c r="AS293"/>
  <c r="AO293" s="1"/>
  <c r="BD291"/>
  <c r="AY291"/>
  <c r="AT291"/>
  <c r="AS291"/>
  <c r="AO291"/>
  <c r="BD288"/>
  <c r="AY288"/>
  <c r="AT288"/>
  <c r="AS288"/>
  <c r="AO288" s="1"/>
  <c r="BD287"/>
  <c r="AY287"/>
  <c r="AT287"/>
  <c r="AO287"/>
  <c r="BD286"/>
  <c r="AY286"/>
  <c r="AT286"/>
  <c r="AO286"/>
  <c r="BD285"/>
  <c r="AY285"/>
  <c r="AT285"/>
  <c r="AS285"/>
  <c r="AO285"/>
  <c r="BD284"/>
  <c r="AY284"/>
  <c r="AT284"/>
  <c r="AS284"/>
  <c r="AO284" s="1"/>
  <c r="AO283" s="1"/>
  <c r="BH283"/>
  <c r="BG283"/>
  <c r="BF283"/>
  <c r="BE283"/>
  <c r="BD283"/>
  <c r="BC283"/>
  <c r="BB283"/>
  <c r="BA283"/>
  <c r="AZ283"/>
  <c r="AY283"/>
  <c r="AX283"/>
  <c r="AW283"/>
  <c r="AV283"/>
  <c r="AU283"/>
  <c r="AT283"/>
  <c r="AS283"/>
  <c r="AR283"/>
  <c r="AQ283"/>
  <c r="AP283"/>
  <c r="BD282"/>
  <c r="AY282"/>
  <c r="AT282"/>
  <c r="AO282"/>
  <c r="BD280"/>
  <c r="AY280"/>
  <c r="AT280"/>
  <c r="AO280"/>
  <c r="BD279"/>
  <c r="AY279"/>
  <c r="AT279"/>
  <c r="AO279"/>
  <c r="BD278"/>
  <c r="AY278"/>
  <c r="AT278"/>
  <c r="AO278"/>
  <c r="BD277"/>
  <c r="AY277"/>
  <c r="AT277"/>
  <c r="AO277"/>
  <c r="BD276"/>
  <c r="AY276"/>
  <c r="AT276"/>
  <c r="AO276"/>
  <c r="BD275"/>
  <c r="AY275"/>
  <c r="AT275"/>
  <c r="AO275"/>
  <c r="BD274"/>
  <c r="AY274"/>
  <c r="AT274"/>
  <c r="AO274"/>
  <c r="BH273"/>
  <c r="BG273"/>
  <c r="BF273"/>
  <c r="BE273"/>
  <c r="BD273"/>
  <c r="BC273"/>
  <c r="BB273"/>
  <c r="BA273"/>
  <c r="AZ273"/>
  <c r="AY273"/>
  <c r="AX273"/>
  <c r="AW273"/>
  <c r="AV273"/>
  <c r="AU273"/>
  <c r="AT273"/>
  <c r="AS273"/>
  <c r="AR273"/>
  <c r="AQ273"/>
  <c r="AP273"/>
  <c r="AO273"/>
  <c r="BD270"/>
  <c r="AY270"/>
  <c r="AT270"/>
  <c r="AO270"/>
  <c r="BD269"/>
  <c r="AY269"/>
  <c r="AT269"/>
  <c r="AO269"/>
  <c r="BD268"/>
  <c r="AY268"/>
  <c r="AT268"/>
  <c r="AO268"/>
  <c r="BD267"/>
  <c r="AY267"/>
  <c r="AT267"/>
  <c r="AO267"/>
  <c r="AO266"/>
  <c r="AO265"/>
  <c r="AO264"/>
  <c r="AO263"/>
  <c r="AO262"/>
  <c r="AO261"/>
  <c r="AQ260"/>
  <c r="AO260" s="1"/>
  <c r="AS259"/>
  <c r="AO259"/>
  <c r="BD258"/>
  <c r="AY258"/>
  <c r="AT258"/>
  <c r="AS258"/>
  <c r="AO258"/>
  <c r="AS256"/>
  <c r="AO256"/>
  <c r="BD255"/>
  <c r="AY255"/>
  <c r="AT255"/>
  <c r="AS255"/>
  <c r="AO255"/>
  <c r="AS254"/>
  <c r="AO254"/>
  <c r="BD253"/>
  <c r="AY253"/>
  <c r="AT253"/>
  <c r="AS253"/>
  <c r="AO253" s="1"/>
  <c r="AS252"/>
  <c r="AO252" s="1"/>
  <c r="AS251"/>
  <c r="AO251" s="1"/>
  <c r="BD250"/>
  <c r="AY250"/>
  <c r="AS250"/>
  <c r="AO250" s="1"/>
  <c r="BD249"/>
  <c r="AY249"/>
  <c r="AT249"/>
  <c r="AS249"/>
  <c r="AO249"/>
  <c r="AO248"/>
  <c r="BD247"/>
  <c r="AY247"/>
  <c r="AT247"/>
  <c r="AS247"/>
  <c r="AO247" s="1"/>
  <c r="AO246"/>
  <c r="AO245"/>
  <c r="BD244"/>
  <c r="AY244"/>
  <c r="AT244"/>
  <c r="AO244"/>
  <c r="AS243"/>
  <c r="AO243" s="1"/>
  <c r="BD242"/>
  <c r="AY242"/>
  <c r="AT242"/>
  <c r="AS242"/>
  <c r="AO242"/>
  <c r="AS241"/>
  <c r="AO241"/>
  <c r="BD240"/>
  <c r="AY240"/>
  <c r="AT240"/>
  <c r="AS240"/>
  <c r="AO240" s="1"/>
  <c r="AO239"/>
  <c r="BD238"/>
  <c r="BD237" s="1"/>
  <c r="AY238"/>
  <c r="AT238"/>
  <c r="AT237" s="1"/>
  <c r="AS238"/>
  <c r="AO238"/>
  <c r="BH237"/>
  <c r="BG237"/>
  <c r="BF237"/>
  <c r="BE237"/>
  <c r="BC237"/>
  <c r="BB237"/>
  <c r="BA237"/>
  <c r="AZ237"/>
  <c r="AY237"/>
  <c r="AX237"/>
  <c r="AW237"/>
  <c r="AV237"/>
  <c r="AU237"/>
  <c r="AS237"/>
  <c r="AR237"/>
  <c r="AQ237"/>
  <c r="AP237"/>
  <c r="BD236"/>
  <c r="AY236"/>
  <c r="AT236"/>
  <c r="AO236"/>
  <c r="AS235"/>
  <c r="AO235"/>
  <c r="BD234"/>
  <c r="AY234"/>
  <c r="AT234"/>
  <c r="AO234"/>
  <c r="BD233"/>
  <c r="AY233"/>
  <c r="AT233"/>
  <c r="AO233"/>
  <c r="BD232"/>
  <c r="AY232"/>
  <c r="AT232"/>
  <c r="AO232"/>
  <c r="BD231"/>
  <c r="AY231"/>
  <c r="AT231"/>
  <c r="AO231"/>
  <c r="AS230"/>
  <c r="AO230"/>
  <c r="AO229"/>
  <c r="AO228"/>
  <c r="AS227"/>
  <c r="AO227"/>
  <c r="AO226"/>
  <c r="AO225"/>
  <c r="AO224"/>
  <c r="AO223"/>
  <c r="BD222"/>
  <c r="AY222"/>
  <c r="AT222"/>
  <c r="AS222"/>
  <c r="AO222" s="1"/>
  <c r="BD221"/>
  <c r="AY221"/>
  <c r="AT221"/>
  <c r="AS221"/>
  <c r="AO221"/>
  <c r="BD220"/>
  <c r="AY220"/>
  <c r="AT220"/>
  <c r="AS220"/>
  <c r="AO220" s="1"/>
  <c r="BD219"/>
  <c r="AY219"/>
  <c r="AT219"/>
  <c r="AO219"/>
  <c r="BD218"/>
  <c r="AY218"/>
  <c r="AT218"/>
  <c r="AO218"/>
  <c r="BD217"/>
  <c r="AY217"/>
  <c r="AT217"/>
  <c r="AO217"/>
  <c r="BD216"/>
  <c r="AY216"/>
  <c r="AT216"/>
  <c r="AO216"/>
  <c r="BD215"/>
  <c r="AY215"/>
  <c r="AT215"/>
  <c r="AO215"/>
  <c r="BD214"/>
  <c r="AY214"/>
  <c r="AT214"/>
  <c r="AS214"/>
  <c r="AO214" s="1"/>
  <c r="BD213"/>
  <c r="AY213"/>
  <c r="AT213"/>
  <c r="AO213"/>
  <c r="BD212"/>
  <c r="AY212"/>
  <c r="AT212"/>
  <c r="AO212"/>
  <c r="BD211"/>
  <c r="AY211"/>
  <c r="AT211"/>
  <c r="AO211"/>
  <c r="BE210"/>
  <c r="BD210" s="1"/>
  <c r="BD181" s="1"/>
  <c r="AZ210"/>
  <c r="AY210" s="1"/>
  <c r="AU210"/>
  <c r="AT210" s="1"/>
  <c r="AT181" s="1"/>
  <c r="AP210"/>
  <c r="AO210" s="1"/>
  <c r="BD209"/>
  <c r="AY209"/>
  <c r="AT209"/>
  <c r="AO209"/>
  <c r="BD208"/>
  <c r="AY208"/>
  <c r="AT208"/>
  <c r="AO208"/>
  <c r="BD207"/>
  <c r="AY207"/>
  <c r="AT207"/>
  <c r="AO207"/>
  <c r="BD206"/>
  <c r="AY206"/>
  <c r="AT206"/>
  <c r="AO206"/>
  <c r="BD204"/>
  <c r="AY204"/>
  <c r="AT204"/>
  <c r="AO204"/>
  <c r="BD203"/>
  <c r="AY203"/>
  <c r="AT203"/>
  <c r="AS203"/>
  <c r="AO203"/>
  <c r="BD202"/>
  <c r="AY202"/>
  <c r="AT202"/>
  <c r="AO202"/>
  <c r="BD201"/>
  <c r="AY201"/>
  <c r="AT201"/>
  <c r="AO201"/>
  <c r="AQ200"/>
  <c r="AO200"/>
  <c r="BD199"/>
  <c r="AY199"/>
  <c r="AT199"/>
  <c r="AO199"/>
  <c r="AQ198"/>
  <c r="AO198"/>
  <c r="AQ197"/>
  <c r="AO197"/>
  <c r="BD196"/>
  <c r="AY196"/>
  <c r="AT196"/>
  <c r="AO196"/>
  <c r="BD195"/>
  <c r="AY195"/>
  <c r="AT195"/>
  <c r="AO195"/>
  <c r="BD194"/>
  <c r="AY194"/>
  <c r="AY181" s="1"/>
  <c r="AT194"/>
  <c r="AQ194"/>
  <c r="AO194" s="1"/>
  <c r="AO181" s="1"/>
  <c r="BD189"/>
  <c r="AY189"/>
  <c r="AT189"/>
  <c r="AO189"/>
  <c r="BD188"/>
  <c r="AY188"/>
  <c r="AT188"/>
  <c r="AO188"/>
  <c r="BD186"/>
  <c r="AY186"/>
  <c r="AT186"/>
  <c r="AO186"/>
  <c r="BD185"/>
  <c r="AY185"/>
  <c r="AT185"/>
  <c r="AO185"/>
  <c r="BD184"/>
  <c r="AY184"/>
  <c r="AT184"/>
  <c r="AO184"/>
  <c r="BD183"/>
  <c r="AY183"/>
  <c r="AT183"/>
  <c r="AO183"/>
  <c r="BD182"/>
  <c r="AY182"/>
  <c r="AT182"/>
  <c r="AO182"/>
  <c r="BH181"/>
  <c r="BG181"/>
  <c r="BF181"/>
  <c r="BC181"/>
  <c r="BB181"/>
  <c r="BA181"/>
  <c r="AZ181"/>
  <c r="AX181"/>
  <c r="AW181"/>
  <c r="AV181"/>
  <c r="AU181"/>
  <c r="AS181"/>
  <c r="AR181"/>
  <c r="AQ181"/>
  <c r="AP181"/>
  <c r="AO178"/>
  <c r="AT177"/>
  <c r="AO177"/>
  <c r="BD176"/>
  <c r="AY176"/>
  <c r="AT176"/>
  <c r="AS176"/>
  <c r="AO176" s="1"/>
  <c r="BD175"/>
  <c r="AY175"/>
  <c r="AT175"/>
  <c r="AQ175"/>
  <c r="AO175" s="1"/>
  <c r="BD174"/>
  <c r="AY174"/>
  <c r="AT174"/>
  <c r="AS174"/>
  <c r="AO174"/>
  <c r="BD173"/>
  <c r="AY173"/>
  <c r="AT173"/>
  <c r="AS173"/>
  <c r="AO173" s="1"/>
  <c r="BD172"/>
  <c r="AY172"/>
  <c r="AT172"/>
  <c r="AO172"/>
  <c r="BD171"/>
  <c r="AY171"/>
  <c r="AT171"/>
  <c r="AO171"/>
  <c r="BD170"/>
  <c r="AY170"/>
  <c r="AT170"/>
  <c r="AO170"/>
  <c r="BD169"/>
  <c r="AY169"/>
  <c r="AT169"/>
  <c r="AO169"/>
  <c r="BD168"/>
  <c r="AY168"/>
  <c r="AT168"/>
  <c r="AS168"/>
  <c r="AO168"/>
  <c r="BD167"/>
  <c r="AY167"/>
  <c r="AT167"/>
  <c r="AO167"/>
  <c r="BD166"/>
  <c r="AY166"/>
  <c r="AT166"/>
  <c r="AS166"/>
  <c r="AO166" s="1"/>
  <c r="BD165"/>
  <c r="AY165"/>
  <c r="AT165"/>
  <c r="AO165"/>
  <c r="BD164"/>
  <c r="AY164"/>
  <c r="AT164"/>
  <c r="AO164"/>
  <c r="BD163"/>
  <c r="AY163"/>
  <c r="AT163"/>
  <c r="AO163"/>
  <c r="AT159"/>
  <c r="AO159"/>
  <c r="AT158"/>
  <c r="AO158"/>
  <c r="BD157"/>
  <c r="AY157"/>
  <c r="AT157"/>
  <c r="AO157"/>
  <c r="BH156"/>
  <c r="BG156" s="1"/>
  <c r="BC156"/>
  <c r="BB156"/>
  <c r="BA156" s="1"/>
  <c r="AX156"/>
  <c r="AW156" s="1"/>
  <c r="AS156"/>
  <c r="AR156"/>
  <c r="AQ156" s="1"/>
  <c r="BH155"/>
  <c r="BC155"/>
  <c r="BB155"/>
  <c r="AX155"/>
  <c r="AR155"/>
  <c r="BH154"/>
  <c r="BD154" s="1"/>
  <c r="BD148" s="1"/>
  <c r="BC154"/>
  <c r="AY154" s="1"/>
  <c r="AY148" s="1"/>
  <c r="AX154"/>
  <c r="AT154" s="1"/>
  <c r="AT148" s="1"/>
  <c r="AS154"/>
  <c r="AO154" s="1"/>
  <c r="AO148" s="1"/>
  <c r="BD153"/>
  <c r="AY153"/>
  <c r="AT153"/>
  <c r="AO153"/>
  <c r="BD152"/>
  <c r="AY152"/>
  <c r="AT152"/>
  <c r="AO152"/>
  <c r="BD151"/>
  <c r="AY151"/>
  <c r="AT151"/>
  <c r="AO151"/>
  <c r="BD149"/>
  <c r="AY149"/>
  <c r="AT149"/>
  <c r="AO149"/>
  <c r="BH148"/>
  <c r="BG148"/>
  <c r="BF148"/>
  <c r="BE148"/>
  <c r="BB148"/>
  <c r="BA148"/>
  <c r="AZ148"/>
  <c r="AX148"/>
  <c r="AW148"/>
  <c r="AV148"/>
  <c r="AU148"/>
  <c r="AR148"/>
  <c r="AQ148"/>
  <c r="AP148"/>
  <c r="BH147"/>
  <c r="BD147" s="1"/>
  <c r="BC147"/>
  <c r="AY147" s="1"/>
  <c r="AY136" s="1"/>
  <c r="AX147"/>
  <c r="AT147" s="1"/>
  <c r="AS147"/>
  <c r="AO147" s="1"/>
  <c r="BD143"/>
  <c r="AY143"/>
  <c r="AT143"/>
  <c r="AO143"/>
  <c r="AO142"/>
  <c r="BD141"/>
  <c r="AY141"/>
  <c r="AT141"/>
  <c r="AO141"/>
  <c r="BD139"/>
  <c r="AY139"/>
  <c r="AT139"/>
  <c r="AO139"/>
  <c r="BD138"/>
  <c r="AY138"/>
  <c r="AT138"/>
  <c r="AO138"/>
  <c r="BD137"/>
  <c r="BD136" s="1"/>
  <c r="AY137"/>
  <c r="AT137"/>
  <c r="AT136" s="1"/>
  <c r="AS137"/>
  <c r="AO137"/>
  <c r="BG136"/>
  <c r="BF136"/>
  <c r="BE136"/>
  <c r="BC136"/>
  <c r="BB136"/>
  <c r="BA136"/>
  <c r="AZ136"/>
  <c r="AW136"/>
  <c r="AV136"/>
  <c r="AU136"/>
  <c r="AS136"/>
  <c r="AR136"/>
  <c r="AQ136"/>
  <c r="AP136"/>
  <c r="BD135"/>
  <c r="AY135"/>
  <c r="AY132" s="1"/>
  <c r="AT135"/>
  <c r="AS135"/>
  <c r="AO135" s="1"/>
  <c r="AO132" s="1"/>
  <c r="BD134"/>
  <c r="AY134"/>
  <c r="AT134"/>
  <c r="AO134"/>
  <c r="BD133"/>
  <c r="AY133"/>
  <c r="AX133"/>
  <c r="AT133" s="1"/>
  <c r="AS133"/>
  <c r="AO133" s="1"/>
  <c r="BH132"/>
  <c r="BG132"/>
  <c r="BF132"/>
  <c r="BE132"/>
  <c r="BD132"/>
  <c r="BC132"/>
  <c r="BB132"/>
  <c r="BA132"/>
  <c r="AZ132"/>
  <c r="AX132"/>
  <c r="AW132"/>
  <c r="AV132"/>
  <c r="AU132"/>
  <c r="AT132"/>
  <c r="AR132"/>
  <c r="AQ132"/>
  <c r="AP132"/>
  <c r="AS130"/>
  <c r="AQ130"/>
  <c r="AP130"/>
  <c r="AO130" s="1"/>
  <c r="BH129"/>
  <c r="BH92" s="1"/>
  <c r="BF129"/>
  <c r="BD129"/>
  <c r="BC129"/>
  <c r="BA129"/>
  <c r="AY129" s="1"/>
  <c r="AY92" s="1"/>
  <c r="AU129"/>
  <c r="AT129" s="1"/>
  <c r="AO129"/>
  <c r="BD128"/>
  <c r="AY128"/>
  <c r="AT128"/>
  <c r="AO128"/>
  <c r="AO126"/>
  <c r="AO125"/>
  <c r="AO124"/>
  <c r="AO123"/>
  <c r="BD122"/>
  <c r="AY122"/>
  <c r="AT122"/>
  <c r="AS122"/>
  <c r="AO122"/>
  <c r="BD121"/>
  <c r="AY121"/>
  <c r="AT121"/>
  <c r="AO121"/>
  <c r="BD120"/>
  <c r="AY120"/>
  <c r="AT120"/>
  <c r="AS120"/>
  <c r="AO120" s="1"/>
  <c r="BD119"/>
  <c r="AY119"/>
  <c r="AT119"/>
  <c r="AO119"/>
  <c r="AO92" s="1"/>
  <c r="BD118"/>
  <c r="AY118"/>
  <c r="AT118"/>
  <c r="AO118"/>
  <c r="BD117"/>
  <c r="AY117"/>
  <c r="AT117"/>
  <c r="AS117"/>
  <c r="AO117"/>
  <c r="BD116"/>
  <c r="AY116"/>
  <c r="AT116"/>
  <c r="AO116"/>
  <c r="BD115"/>
  <c r="AY115"/>
  <c r="AT115"/>
  <c r="AQ115"/>
  <c r="AO115" s="1"/>
  <c r="BD114"/>
  <c r="AY114"/>
  <c r="BD113"/>
  <c r="BD92" s="1"/>
  <c r="AY113"/>
  <c r="AT113"/>
  <c r="AQ113"/>
  <c r="AO113"/>
  <c r="AS109"/>
  <c r="AO109"/>
  <c r="AO108"/>
  <c r="AO107"/>
  <c r="AO106"/>
  <c r="AO105"/>
  <c r="AO104"/>
  <c r="AO103"/>
  <c r="AO102"/>
  <c r="AO101"/>
  <c r="AO100"/>
  <c r="AO99"/>
  <c r="AO98"/>
  <c r="AO97"/>
  <c r="AO96"/>
  <c r="AO95"/>
  <c r="AO94"/>
  <c r="AO93"/>
  <c r="BG92"/>
  <c r="BF92"/>
  <c r="BE92"/>
  <c r="BC92"/>
  <c r="BB92"/>
  <c r="BA92"/>
  <c r="AZ92"/>
  <c r="AX92"/>
  <c r="AW92"/>
  <c r="AV92"/>
  <c r="AU92"/>
  <c r="BD91"/>
  <c r="AY91"/>
  <c r="AT91"/>
  <c r="AO91"/>
  <c r="BD90"/>
  <c r="AY90"/>
  <c r="AT90"/>
  <c r="AO90"/>
  <c r="BD89"/>
  <c r="AY89"/>
  <c r="AT89"/>
  <c r="AO89"/>
  <c r="BD88"/>
  <c r="AY88"/>
  <c r="AT88"/>
  <c r="AO88"/>
  <c r="BD87"/>
  <c r="AY87"/>
  <c r="AT87"/>
  <c r="AO87"/>
  <c r="BD86"/>
  <c r="AY86"/>
  <c r="AT86"/>
  <c r="AO86"/>
  <c r="BD85"/>
  <c r="AY85"/>
  <c r="AT85"/>
  <c r="AO85"/>
  <c r="BD84"/>
  <c r="AY84"/>
  <c r="AT84"/>
  <c r="AO84"/>
  <c r="BD83"/>
  <c r="AY83"/>
  <c r="AT83"/>
  <c r="AO83"/>
  <c r="BD82"/>
  <c r="AY82"/>
  <c r="AT82"/>
  <c r="AO82"/>
  <c r="BD81"/>
  <c r="AY81"/>
  <c r="AT81"/>
  <c r="AO81"/>
  <c r="BD80"/>
  <c r="AY80"/>
  <c r="AT80"/>
  <c r="AO80"/>
  <c r="BD79"/>
  <c r="AY79"/>
  <c r="AT79"/>
  <c r="AO79"/>
  <c r="BD78"/>
  <c r="AY78"/>
  <c r="AT78"/>
  <c r="AO78"/>
  <c r="BD77"/>
  <c r="AY77"/>
  <c r="AT77"/>
  <c r="AO77"/>
  <c r="BD75"/>
  <c r="AY75"/>
  <c r="AT75"/>
  <c r="AO75"/>
  <c r="BD74"/>
  <c r="AY74"/>
  <c r="AT74"/>
  <c r="AO74"/>
  <c r="BD73"/>
  <c r="AY73"/>
  <c r="AT73"/>
  <c r="AO73"/>
  <c r="BD72"/>
  <c r="AY72"/>
  <c r="AT72"/>
  <c r="AO72"/>
  <c r="BD71"/>
  <c r="AY71"/>
  <c r="AT71"/>
  <c r="AO71"/>
  <c r="BD70"/>
  <c r="AY70"/>
  <c r="AT70"/>
  <c r="AO70"/>
  <c r="AO69"/>
  <c r="AO68"/>
  <c r="BD67"/>
  <c r="AY67"/>
  <c r="AT67"/>
  <c r="AO67"/>
  <c r="BD66"/>
  <c r="AY66"/>
  <c r="AT66"/>
  <c r="AS66"/>
  <c r="AO66" s="1"/>
  <c r="AO56" s="1"/>
  <c r="BD65"/>
  <c r="AY65"/>
  <c r="AT65"/>
  <c r="AO65"/>
  <c r="BD64"/>
  <c r="AY64"/>
  <c r="AT64"/>
  <c r="AS64"/>
  <c r="AO64"/>
  <c r="BD63"/>
  <c r="AY63"/>
  <c r="AY56" s="1"/>
  <c r="AT63"/>
  <c r="AO63"/>
  <c r="BD62"/>
  <c r="AY62"/>
  <c r="AT62"/>
  <c r="AO62"/>
  <c r="BD61"/>
  <c r="AY61"/>
  <c r="AT61"/>
  <c r="AO61"/>
  <c r="BD60"/>
  <c r="AY60"/>
  <c r="AT60"/>
  <c r="AO60"/>
  <c r="BD59"/>
  <c r="AY59"/>
  <c r="AT59"/>
  <c r="AO59"/>
  <c r="BD58"/>
  <c r="AY58"/>
  <c r="AT58"/>
  <c r="AS58"/>
  <c r="AO58"/>
  <c r="BD57"/>
  <c r="AY57"/>
  <c r="AT57"/>
  <c r="AQ57"/>
  <c r="AO57" s="1"/>
  <c r="BH56"/>
  <c r="BG56"/>
  <c r="BF56"/>
  <c r="BE56"/>
  <c r="BD56"/>
  <c r="BC56"/>
  <c r="BB56"/>
  <c r="BA56"/>
  <c r="AZ56"/>
  <c r="AX56"/>
  <c r="AW56"/>
  <c r="AV56"/>
  <c r="AU56"/>
  <c r="AT56"/>
  <c r="AS56"/>
  <c r="AR56"/>
  <c r="AQ56"/>
  <c r="AP56"/>
  <c r="AO47"/>
  <c r="AO46"/>
  <c r="BD45"/>
  <c r="AY45"/>
  <c r="AT45"/>
  <c r="AO45"/>
  <c r="BD42"/>
  <c r="AY42"/>
  <c r="AT42"/>
  <c r="AO42"/>
  <c r="AQ38"/>
  <c r="AO38" s="1"/>
  <c r="AO36" s="1"/>
  <c r="BD37"/>
  <c r="AY37"/>
  <c r="AT37"/>
  <c r="AO37"/>
  <c r="BH36"/>
  <c r="BG36"/>
  <c r="BF36"/>
  <c r="BE36"/>
  <c r="BD36"/>
  <c r="BC36"/>
  <c r="BB36"/>
  <c r="BA36"/>
  <c r="AZ36"/>
  <c r="AY36"/>
  <c r="AX36"/>
  <c r="AW36"/>
  <c r="AV36"/>
  <c r="AU36"/>
  <c r="AT36"/>
  <c r="AS36"/>
  <c r="AR36"/>
  <c r="AP36"/>
  <c r="BD35"/>
  <c r="AY35"/>
  <c r="AT35"/>
  <c r="AS35"/>
  <c r="AO35"/>
  <c r="BD34"/>
  <c r="AY34"/>
  <c r="AT34"/>
  <c r="AS34"/>
  <c r="AO34" s="1"/>
  <c r="BH33"/>
  <c r="BD33" s="1"/>
  <c r="BC33"/>
  <c r="AY33" s="1"/>
  <c r="AX33"/>
  <c r="AT33" s="1"/>
  <c r="AS33"/>
  <c r="AO33" s="1"/>
  <c r="BD32"/>
  <c r="AY32"/>
  <c r="AT32"/>
  <c r="AS32"/>
  <c r="AO32"/>
  <c r="BD31"/>
  <c r="AY31"/>
  <c r="AT31"/>
  <c r="AS31"/>
  <c r="AO31" s="1"/>
  <c r="BD30"/>
  <c r="AY30"/>
  <c r="AT30"/>
  <c r="AO30"/>
  <c r="BD29"/>
  <c r="AY29"/>
  <c r="AT29"/>
  <c r="AO29"/>
  <c r="BD27"/>
  <c r="AY27"/>
  <c r="AT27"/>
  <c r="AS27"/>
  <c r="AO27"/>
  <c r="BH26"/>
  <c r="BD26"/>
  <c r="BC26"/>
  <c r="AY26"/>
  <c r="AX26"/>
  <c r="AT26"/>
  <c r="AS26"/>
  <c r="AO26"/>
  <c r="BH25"/>
  <c r="BD25"/>
  <c r="BC25"/>
  <c r="AY25"/>
  <c r="AX25"/>
  <c r="AT25"/>
  <c r="AS25"/>
  <c r="AO25"/>
  <c r="BH24"/>
  <c r="BD24"/>
  <c r="BD23" s="1"/>
  <c r="BC24"/>
  <c r="AY24"/>
  <c r="AX24"/>
  <c r="AT24"/>
  <c r="AT23" s="1"/>
  <c r="AS24"/>
  <c r="AO24"/>
  <c r="BG23"/>
  <c r="BF23"/>
  <c r="BE23"/>
  <c r="BC23"/>
  <c r="BB23"/>
  <c r="BA23"/>
  <c r="AZ23"/>
  <c r="AY23"/>
  <c r="AW23"/>
  <c r="AV23"/>
  <c r="AU23"/>
  <c r="AS23"/>
  <c r="AR23"/>
  <c r="AQ23"/>
  <c r="AP23"/>
  <c r="AO23"/>
  <c r="AE775"/>
  <c r="AE772"/>
  <c r="AI765"/>
  <c r="AF765"/>
  <c r="AE765"/>
  <c r="AI763"/>
  <c r="AF763"/>
  <c r="AE763"/>
  <c r="AM762"/>
  <c r="AK762"/>
  <c r="AJ762"/>
  <c r="AI762"/>
  <c r="AH762"/>
  <c r="AG762"/>
  <c r="AF762"/>
  <c r="AE762"/>
  <c r="AI761"/>
  <c r="AF761"/>
  <c r="AE761"/>
  <c r="AF760"/>
  <c r="AE760"/>
  <c r="AI759"/>
  <c r="AF759"/>
  <c r="AE759"/>
  <c r="AF758"/>
  <c r="AE758"/>
  <c r="AI757"/>
  <c r="AF757"/>
  <c r="AE757"/>
  <c r="AI756"/>
  <c r="AF756"/>
  <c r="AE756"/>
  <c r="AI755"/>
  <c r="AF755"/>
  <c r="AE755"/>
  <c r="AF754"/>
  <c r="AE754"/>
  <c r="AI753"/>
  <c r="AF753"/>
  <c r="AE753"/>
  <c r="AM752"/>
  <c r="AK752"/>
  <c r="AJ752"/>
  <c r="AI752"/>
  <c r="AH752"/>
  <c r="AG752"/>
  <c r="AF752"/>
  <c r="AE752"/>
  <c r="AI751"/>
  <c r="AF751"/>
  <c r="AE751"/>
  <c r="AF750"/>
  <c r="AE750"/>
  <c r="AF748"/>
  <c r="AE748"/>
  <c r="AF747"/>
  <c r="AE747"/>
  <c r="AF745"/>
  <c r="AE745"/>
  <c r="AF744"/>
  <c r="AF743"/>
  <c r="AE743"/>
  <c r="AF742"/>
  <c r="AE742"/>
  <c r="AI741"/>
  <c r="AF741"/>
  <c r="AE741"/>
  <c r="AI740"/>
  <c r="AF740"/>
  <c r="AE740"/>
  <c r="AF739"/>
  <c r="AE739"/>
  <c r="AI738"/>
  <c r="AF738"/>
  <c r="AE738"/>
  <c r="AF737"/>
  <c r="AE737"/>
  <c r="AF736"/>
  <c r="AE736"/>
  <c r="AM735"/>
  <c r="AK735"/>
  <c r="AJ735"/>
  <c r="AI735"/>
  <c r="AH735"/>
  <c r="AG735"/>
  <c r="AF735"/>
  <c r="AE735"/>
  <c r="AM733"/>
  <c r="AK733"/>
  <c r="AJ733"/>
  <c r="AI733"/>
  <c r="AH733"/>
  <c r="AG733"/>
  <c r="AF733"/>
  <c r="AE733"/>
  <c r="AI725"/>
  <c r="AF725"/>
  <c r="AE725"/>
  <c r="AF724"/>
  <c r="AE724"/>
  <c r="AM723"/>
  <c r="AK723"/>
  <c r="AJ723"/>
  <c r="AI723"/>
  <c r="AH723"/>
  <c r="AG723"/>
  <c r="AF723"/>
  <c r="AE723"/>
  <c r="AI722"/>
  <c r="AF722"/>
  <c r="AE722"/>
  <c r="AI721"/>
  <c r="AF721"/>
  <c r="AE721"/>
  <c r="AM720"/>
  <c r="AK720"/>
  <c r="AJ720"/>
  <c r="AI720"/>
  <c r="AH720"/>
  <c r="AG720"/>
  <c r="AF720"/>
  <c r="AE720"/>
  <c r="AI718"/>
  <c r="AF718"/>
  <c r="AE718"/>
  <c r="AI717"/>
  <c r="AF717"/>
  <c r="AE717"/>
  <c r="AI716"/>
  <c r="AF716"/>
  <c r="AE716"/>
  <c r="AI715"/>
  <c r="AF715"/>
  <c r="AE715"/>
  <c r="AI714"/>
  <c r="AF714"/>
  <c r="AE714"/>
  <c r="AF713"/>
  <c r="AE713"/>
  <c r="AF712"/>
  <c r="AE712"/>
  <c r="AM711"/>
  <c r="AK711"/>
  <c r="AJ711"/>
  <c r="AI711"/>
  <c r="AH711"/>
  <c r="AG711"/>
  <c r="AF711"/>
  <c r="AE711"/>
  <c r="AI710"/>
  <c r="AF710"/>
  <c r="AE710"/>
  <c r="AI709"/>
  <c r="AF709"/>
  <c r="AE709"/>
  <c r="AI708"/>
  <c r="AF708"/>
  <c r="AE708"/>
  <c r="AI707"/>
  <c r="AF707"/>
  <c r="AE707"/>
  <c r="AM706"/>
  <c r="AK706"/>
  <c r="AJ706"/>
  <c r="AI706"/>
  <c r="AH706"/>
  <c r="AG706"/>
  <c r="AF706"/>
  <c r="AE706"/>
  <c r="AF705"/>
  <c r="AE705"/>
  <c r="AI704"/>
  <c r="AF704"/>
  <c r="AE704"/>
  <c r="AI703"/>
  <c r="AF703"/>
  <c r="AE703"/>
  <c r="AM702"/>
  <c r="AK702"/>
  <c r="AJ702"/>
  <c r="AI702"/>
  <c r="AH702"/>
  <c r="AG702"/>
  <c r="AF702"/>
  <c r="AE702"/>
  <c r="AI701"/>
  <c r="AF701"/>
  <c r="AE701"/>
  <c r="AM700"/>
  <c r="AK700"/>
  <c r="AJ700"/>
  <c r="AI700"/>
  <c r="AH700"/>
  <c r="AG700"/>
  <c r="AF700"/>
  <c r="AE700"/>
  <c r="AI699"/>
  <c r="AE699" s="1"/>
  <c r="AG699"/>
  <c r="AF699"/>
  <c r="AI698"/>
  <c r="AE698" s="1"/>
  <c r="AG698"/>
  <c r="AF698"/>
  <c r="AF697"/>
  <c r="AI696"/>
  <c r="AF696"/>
  <c r="AE696"/>
  <c r="AN695"/>
  <c r="AM695"/>
  <c r="AL695"/>
  <c r="AK695"/>
  <c r="AJ695"/>
  <c r="AI695"/>
  <c r="AH695"/>
  <c r="AG695"/>
  <c r="AF695"/>
  <c r="AI694"/>
  <c r="AF694"/>
  <c r="AE694"/>
  <c r="AI693"/>
  <c r="AF693"/>
  <c r="AE693"/>
  <c r="AF692"/>
  <c r="AE692"/>
  <c r="AF691"/>
  <c r="AE691"/>
  <c r="AI690"/>
  <c r="AF690"/>
  <c r="AE690"/>
  <c r="AI689"/>
  <c r="AF689"/>
  <c r="AE689"/>
  <c r="AI688"/>
  <c r="AF688"/>
  <c r="AE688"/>
  <c r="AI687"/>
  <c r="AF687"/>
  <c r="AE687"/>
  <c r="AI686"/>
  <c r="AF686"/>
  <c r="AE686"/>
  <c r="AN685"/>
  <c r="AM685"/>
  <c r="AL685"/>
  <c r="AK685"/>
  <c r="AJ685"/>
  <c r="AI685"/>
  <c r="AH685"/>
  <c r="AG685"/>
  <c r="AF685"/>
  <c r="AE685"/>
  <c r="AF684"/>
  <c r="AE684"/>
  <c r="AF683"/>
  <c r="AE683"/>
  <c r="AI682"/>
  <c r="AF682"/>
  <c r="AE682"/>
  <c r="AF681"/>
  <c r="AE681"/>
  <c r="AI680"/>
  <c r="AF680"/>
  <c r="AE680"/>
  <c r="AI679"/>
  <c r="AF679"/>
  <c r="AE679"/>
  <c r="AF678"/>
  <c r="AE678"/>
  <c r="AF677"/>
  <c r="AE677"/>
  <c r="AI676"/>
  <c r="AF676"/>
  <c r="AE676"/>
  <c r="AF675"/>
  <c r="AE675"/>
  <c r="AF674"/>
  <c r="AE674"/>
  <c r="AF673"/>
  <c r="AE673"/>
  <c r="AI672"/>
  <c r="AF672"/>
  <c r="AE672"/>
  <c r="AF671"/>
  <c r="AE671"/>
  <c r="AI670"/>
  <c r="AF670"/>
  <c r="AE670"/>
  <c r="AF669"/>
  <c r="AE669"/>
  <c r="AI668"/>
  <c r="AF668"/>
  <c r="AE668"/>
  <c r="AF667"/>
  <c r="AE667"/>
  <c r="AI666"/>
  <c r="AF666"/>
  <c r="AE666"/>
  <c r="AN665"/>
  <c r="AM665"/>
  <c r="AL665"/>
  <c r="AK665"/>
  <c r="AJ665"/>
  <c r="AI665"/>
  <c r="AH665"/>
  <c r="AG665"/>
  <c r="AF665"/>
  <c r="AE665"/>
  <c r="AG660"/>
  <c r="AF660"/>
  <c r="AE660"/>
  <c r="AG659"/>
  <c r="AF659"/>
  <c r="AE659"/>
  <c r="AM658"/>
  <c r="AK658"/>
  <c r="AJ658"/>
  <c r="AI658"/>
  <c r="AH658"/>
  <c r="AG658"/>
  <c r="AF658"/>
  <c r="AE658"/>
  <c r="AF657"/>
  <c r="AE657"/>
  <c r="AM656"/>
  <c r="AK656"/>
  <c r="AJ656"/>
  <c r="AI656"/>
  <c r="AH656"/>
  <c r="AG656"/>
  <c r="AF656"/>
  <c r="AE656"/>
  <c r="AM647"/>
  <c r="AF647"/>
  <c r="AE647"/>
  <c r="AF646"/>
  <c r="AE646"/>
  <c r="AF645"/>
  <c r="AE645"/>
  <c r="AM643"/>
  <c r="AF643"/>
  <c r="AE643"/>
  <c r="AN642"/>
  <c r="AM642"/>
  <c r="AK642"/>
  <c r="AJ642"/>
  <c r="AI642"/>
  <c r="AH642"/>
  <c r="AG642"/>
  <c r="AF642"/>
  <c r="AE642"/>
  <c r="AN640"/>
  <c r="AM640"/>
  <c r="AK640"/>
  <c r="AJ640"/>
  <c r="AI640"/>
  <c r="AH640"/>
  <c r="AG640"/>
  <c r="AF640"/>
  <c r="AE640"/>
  <c r="AF634"/>
  <c r="AE634"/>
  <c r="AN633"/>
  <c r="AM633"/>
  <c r="AK633"/>
  <c r="AJ633"/>
  <c r="AI633"/>
  <c r="AH633"/>
  <c r="AG633"/>
  <c r="AF633"/>
  <c r="AE633"/>
  <c r="AN628"/>
  <c r="AM628"/>
  <c r="AK628"/>
  <c r="AJ628"/>
  <c r="AI628"/>
  <c r="AH628"/>
  <c r="AG628"/>
  <c r="AF628"/>
  <c r="AE628"/>
  <c r="AF626"/>
  <c r="AE626"/>
  <c r="AF625"/>
  <c r="AE625"/>
  <c r="AF624"/>
  <c r="AE624"/>
  <c r="AF623"/>
  <c r="AE623"/>
  <c r="AF622"/>
  <c r="AE622"/>
  <c r="AN621"/>
  <c r="AN652" s="1"/>
  <c r="AN18" s="1"/>
  <c r="AM621"/>
  <c r="AM652" s="1"/>
  <c r="AM777" s="1"/>
  <c r="AL621"/>
  <c r="AL652" s="1"/>
  <c r="AK621"/>
  <c r="AK652" s="1"/>
  <c r="AK777" s="1"/>
  <c r="AJ621"/>
  <c r="AJ652" s="1"/>
  <c r="AI621"/>
  <c r="AI652" s="1"/>
  <c r="AI777" s="1"/>
  <c r="AH621"/>
  <c r="AH652" s="1"/>
  <c r="AG621"/>
  <c r="AG652" s="1"/>
  <c r="AG777" s="1"/>
  <c r="AF621"/>
  <c r="AF652" s="1"/>
  <c r="AF777" s="1"/>
  <c r="AE621"/>
  <c r="AM620"/>
  <c r="AI620"/>
  <c r="AG620"/>
  <c r="AF620"/>
  <c r="AE620"/>
  <c r="AM619"/>
  <c r="AI619"/>
  <c r="AG619"/>
  <c r="AF619"/>
  <c r="AE619"/>
  <c r="AM618"/>
  <c r="AI618"/>
  <c r="AG618"/>
  <c r="AF618"/>
  <c r="AE618"/>
  <c r="AN617"/>
  <c r="AM617"/>
  <c r="AK617"/>
  <c r="AJ617"/>
  <c r="AI617"/>
  <c r="AH617"/>
  <c r="AG617"/>
  <c r="AF617"/>
  <c r="AE617"/>
  <c r="AM616"/>
  <c r="AF616"/>
  <c r="AE616"/>
  <c r="AM615"/>
  <c r="AF615"/>
  <c r="AE615"/>
  <c r="AN614"/>
  <c r="AM614"/>
  <c r="AK614"/>
  <c r="AJ614"/>
  <c r="AI614"/>
  <c r="AH614"/>
  <c r="AG614"/>
  <c r="AF614"/>
  <c r="AE614"/>
  <c r="AF613"/>
  <c r="AE613"/>
  <c r="AF612"/>
  <c r="AE612"/>
  <c r="AF611"/>
  <c r="AE611"/>
  <c r="AN610"/>
  <c r="AM610"/>
  <c r="AK610"/>
  <c r="AJ610"/>
  <c r="AI610"/>
  <c r="AH610"/>
  <c r="AG610"/>
  <c r="AF610"/>
  <c r="AE610"/>
  <c r="AM609"/>
  <c r="AF609"/>
  <c r="AE609"/>
  <c r="AN608"/>
  <c r="AM608"/>
  <c r="AF608"/>
  <c r="AE608"/>
  <c r="AM607"/>
  <c r="AF607"/>
  <c r="AE607"/>
  <c r="AM606"/>
  <c r="AF606"/>
  <c r="AE606"/>
  <c r="AM605"/>
  <c r="AF605"/>
  <c r="AE605"/>
  <c r="AM604"/>
  <c r="AF604"/>
  <c r="AE604"/>
  <c r="AN603"/>
  <c r="AM603"/>
  <c r="AF603"/>
  <c r="AE603"/>
  <c r="AF602"/>
  <c r="AF601"/>
  <c r="AE601"/>
  <c r="AM600"/>
  <c r="AF600"/>
  <c r="AE600"/>
  <c r="AM599"/>
  <c r="AF599"/>
  <c r="AE599"/>
  <c r="AF598"/>
  <c r="AE598"/>
  <c r="AM597"/>
  <c r="AF597"/>
  <c r="AE597"/>
  <c r="AN596"/>
  <c r="AM596"/>
  <c r="AF596"/>
  <c r="AE596"/>
  <c r="AF595"/>
  <c r="AE595"/>
  <c r="AF594"/>
  <c r="AE594"/>
  <c r="AF593"/>
  <c r="AE593"/>
  <c r="AN592"/>
  <c r="AM592"/>
  <c r="AF592"/>
  <c r="AE592"/>
  <c r="AF591"/>
  <c r="AE591"/>
  <c r="AF590"/>
  <c r="AE590"/>
  <c r="AF589"/>
  <c r="AE589"/>
  <c r="AN588"/>
  <c r="AM588"/>
  <c r="AK588"/>
  <c r="AJ588"/>
  <c r="AI588"/>
  <c r="AH588"/>
  <c r="AG588"/>
  <c r="AF588"/>
  <c r="AE588"/>
  <c r="AN586"/>
  <c r="AM586"/>
  <c r="AK586"/>
  <c r="AJ586"/>
  <c r="AI586"/>
  <c r="AH586"/>
  <c r="AG586"/>
  <c r="AE586"/>
  <c r="AN584"/>
  <c r="AM584"/>
  <c r="AF584"/>
  <c r="AE584"/>
  <c r="AN583"/>
  <c r="AM583"/>
  <c r="AF583"/>
  <c r="AE583"/>
  <c r="AF582"/>
  <c r="AE582"/>
  <c r="AN581"/>
  <c r="AM581"/>
  <c r="AF581"/>
  <c r="AE581"/>
  <c r="AN580"/>
  <c r="AM580"/>
  <c r="AF580"/>
  <c r="AE580"/>
  <c r="AF579"/>
  <c r="AE579"/>
  <c r="AN578"/>
  <c r="AM578"/>
  <c r="AF578"/>
  <c r="AE578"/>
  <c r="AN577"/>
  <c r="AM577"/>
  <c r="AF577"/>
  <c r="AE577"/>
  <c r="AN576"/>
  <c r="AM576"/>
  <c r="AF576"/>
  <c r="AE576"/>
  <c r="AN575"/>
  <c r="AM575"/>
  <c r="AF575"/>
  <c r="AE575"/>
  <c r="AN574"/>
  <c r="AM574"/>
  <c r="AF574"/>
  <c r="AE574"/>
  <c r="AN573"/>
  <c r="AM573"/>
  <c r="AF573"/>
  <c r="AE573"/>
  <c r="AF572"/>
  <c r="AE572"/>
  <c r="AN571"/>
  <c r="AM571"/>
  <c r="AF571"/>
  <c r="AE571"/>
  <c r="AN570"/>
  <c r="AM570"/>
  <c r="AF570"/>
  <c r="AE570"/>
  <c r="AN569"/>
  <c r="AM569"/>
  <c r="AF569"/>
  <c r="AE569"/>
  <c r="AN568"/>
  <c r="AM568"/>
  <c r="AF568"/>
  <c r="AE568"/>
  <c r="AN567"/>
  <c r="AM567"/>
  <c r="AK567"/>
  <c r="AJ567"/>
  <c r="AI567"/>
  <c r="AH567"/>
  <c r="AG567"/>
  <c r="AF567"/>
  <c r="AE567"/>
  <c r="AN566"/>
  <c r="AM566"/>
  <c r="AF566"/>
  <c r="AE566"/>
  <c r="AF565"/>
  <c r="AE565"/>
  <c r="AF564"/>
  <c r="AE564"/>
  <c r="AM563"/>
  <c r="AF563"/>
  <c r="AE563"/>
  <c r="AN562"/>
  <c r="AM562"/>
  <c r="AF562"/>
  <c r="AE562"/>
  <c r="AF561"/>
  <c r="AE561"/>
  <c r="AF560"/>
  <c r="AE560"/>
  <c r="AN559"/>
  <c r="AM559"/>
  <c r="AF559"/>
  <c r="AE559"/>
  <c r="AF558"/>
  <c r="AE558"/>
  <c r="AM557"/>
  <c r="AF557"/>
  <c r="AE557"/>
  <c r="AN556"/>
  <c r="AM556"/>
  <c r="AF556"/>
  <c r="AE556"/>
  <c r="AF555"/>
  <c r="AE555"/>
  <c r="AF554"/>
  <c r="AE554"/>
  <c r="AF553"/>
  <c r="AE553"/>
  <c r="AF552"/>
  <c r="AE552"/>
  <c r="AF551"/>
  <c r="AE551"/>
  <c r="AN550"/>
  <c r="AM550"/>
  <c r="AF550"/>
  <c r="AE550"/>
  <c r="AF549"/>
  <c r="AE549"/>
  <c r="AN548"/>
  <c r="AM548"/>
  <c r="AF548"/>
  <c r="AE548"/>
  <c r="AN547"/>
  <c r="AM547"/>
  <c r="AF547"/>
  <c r="AE547"/>
  <c r="AM546"/>
  <c r="AF546"/>
  <c r="AE546"/>
  <c r="AF545"/>
  <c r="AE545"/>
  <c r="AF544"/>
  <c r="AE544"/>
  <c r="AF543"/>
  <c r="AE543"/>
  <c r="AN542"/>
  <c r="AM542"/>
  <c r="AF542"/>
  <c r="AE542"/>
  <c r="AM541"/>
  <c r="AF541"/>
  <c r="AE541"/>
  <c r="AM540"/>
  <c r="AF540"/>
  <c r="AE540"/>
  <c r="AM539"/>
  <c r="AF539"/>
  <c r="AE539"/>
  <c r="AM538"/>
  <c r="AF538"/>
  <c r="AE538"/>
  <c r="AN537"/>
  <c r="AM537"/>
  <c r="AF537"/>
  <c r="AE537"/>
  <c r="AN536"/>
  <c r="AM536"/>
  <c r="AF536"/>
  <c r="AE536"/>
  <c r="AF535"/>
  <c r="AE535"/>
  <c r="AN534"/>
  <c r="AM534"/>
  <c r="AF534"/>
  <c r="AE534"/>
  <c r="AN533"/>
  <c r="AM533"/>
  <c r="AF533"/>
  <c r="AE533"/>
  <c r="AN532"/>
  <c r="AM532"/>
  <c r="AF532"/>
  <c r="AE532"/>
  <c r="AF531"/>
  <c r="AE531"/>
  <c r="AM530"/>
  <c r="AF530"/>
  <c r="AE530"/>
  <c r="AM529"/>
  <c r="AF529"/>
  <c r="AE529"/>
  <c r="AN528"/>
  <c r="AM528"/>
  <c r="AF528"/>
  <c r="AE528"/>
  <c r="AN527"/>
  <c r="AM527"/>
  <c r="AK527"/>
  <c r="AJ527"/>
  <c r="AI527"/>
  <c r="AH527"/>
  <c r="AG527"/>
  <c r="AG525" s="1"/>
  <c r="AF527"/>
  <c r="AF788" s="1"/>
  <c r="AF789" s="1"/>
  <c r="AE527"/>
  <c r="AE788" s="1"/>
  <c r="AE789" s="1"/>
  <c r="AN525"/>
  <c r="AM525"/>
  <c r="AK525"/>
  <c r="AJ525"/>
  <c r="AI525"/>
  <c r="AH525"/>
  <c r="AF525"/>
  <c r="AF524"/>
  <c r="AE524"/>
  <c r="AN523"/>
  <c r="AM523"/>
  <c r="AK523"/>
  <c r="AI523"/>
  <c r="AH523"/>
  <c r="AG523"/>
  <c r="AF523"/>
  <c r="AE523"/>
  <c r="AF521"/>
  <c r="AE521"/>
  <c r="AF520"/>
  <c r="AE520"/>
  <c r="AF519"/>
  <c r="AE519"/>
  <c r="AF518"/>
  <c r="AE518"/>
  <c r="AF517"/>
  <c r="AE517"/>
  <c r="AF516"/>
  <c r="AE516"/>
  <c r="AF515"/>
  <c r="AE515"/>
  <c r="AF514"/>
  <c r="AE514"/>
  <c r="AF513"/>
  <c r="AE513"/>
  <c r="AN512"/>
  <c r="AF512" s="1"/>
  <c r="AM512"/>
  <c r="AI512"/>
  <c r="AE512"/>
  <c r="AF511"/>
  <c r="AE511"/>
  <c r="AM510"/>
  <c r="AF510"/>
  <c r="AE510"/>
  <c r="AF509"/>
  <c r="AE509"/>
  <c r="AF508"/>
  <c r="AE508"/>
  <c r="AF507"/>
  <c r="AE507"/>
  <c r="AF506"/>
  <c r="AE506"/>
  <c r="AM505"/>
  <c r="AK505" s="1"/>
  <c r="AK504" s="1"/>
  <c r="AF505"/>
  <c r="AE505"/>
  <c r="AN504"/>
  <c r="AF504" s="1"/>
  <c r="AJ504"/>
  <c r="AI504"/>
  <c r="AH504"/>
  <c r="AG504"/>
  <c r="AE504"/>
  <c r="AM503"/>
  <c r="AF503"/>
  <c r="AE503"/>
  <c r="AM501"/>
  <c r="AF501"/>
  <c r="AE501"/>
  <c r="AF500"/>
  <c r="AE500"/>
  <c r="AF499"/>
  <c r="AE499"/>
  <c r="AF498"/>
  <c r="AE498"/>
  <c r="AN497"/>
  <c r="AM497"/>
  <c r="AL497"/>
  <c r="AK497"/>
  <c r="AK495" s="1"/>
  <c r="AJ497"/>
  <c r="AI497"/>
  <c r="AI495" s="1"/>
  <c r="AH497"/>
  <c r="AG497"/>
  <c r="AG495" s="1"/>
  <c r="AF497"/>
  <c r="AE497"/>
  <c r="AF496"/>
  <c r="AE496"/>
  <c r="AE495" s="1"/>
  <c r="AN495"/>
  <c r="AM495"/>
  <c r="AJ495"/>
  <c r="AH495"/>
  <c r="AF495"/>
  <c r="AN491"/>
  <c r="AF491" s="1"/>
  <c r="AM491"/>
  <c r="AK491"/>
  <c r="AJ491"/>
  <c r="AI491"/>
  <c r="AH491"/>
  <c r="AG491"/>
  <c r="AE491"/>
  <c r="AF489"/>
  <c r="AE489"/>
  <c r="AF488"/>
  <c r="AE488"/>
  <c r="AF486"/>
  <c r="AM485"/>
  <c r="AF485"/>
  <c r="AE485"/>
  <c r="AF484"/>
  <c r="AE484"/>
  <c r="AF483"/>
  <c r="AE483"/>
  <c r="AM482"/>
  <c r="AF482"/>
  <c r="AE482"/>
  <c r="AN481"/>
  <c r="AF481" s="1"/>
  <c r="AE481"/>
  <c r="AF480"/>
  <c r="AE480"/>
  <c r="AF479"/>
  <c r="AE479"/>
  <c r="AF478"/>
  <c r="AE478"/>
  <c r="AF477"/>
  <c r="AE477"/>
  <c r="AF476"/>
  <c r="AE476"/>
  <c r="AF475"/>
  <c r="AE475"/>
  <c r="AF474"/>
  <c r="AE474"/>
  <c r="AM473"/>
  <c r="AF473"/>
  <c r="AE473"/>
  <c r="AM472"/>
  <c r="AF472"/>
  <c r="AE472"/>
  <c r="AM471"/>
  <c r="AF471"/>
  <c r="AE471"/>
  <c r="AF465"/>
  <c r="AE465"/>
  <c r="AF464"/>
  <c r="AE464"/>
  <c r="AF463"/>
  <c r="AE463"/>
  <c r="AF462"/>
  <c r="AE462"/>
  <c r="AM461"/>
  <c r="AF461"/>
  <c r="AE461"/>
  <c r="AM460"/>
  <c r="AF460"/>
  <c r="AE460"/>
  <c r="AF459"/>
  <c r="AE459"/>
  <c r="AF458"/>
  <c r="AE458"/>
  <c r="AF457"/>
  <c r="AE457"/>
  <c r="AF455"/>
  <c r="AE455"/>
  <c r="AF454"/>
  <c r="AE454"/>
  <c r="AF453"/>
  <c r="AE453"/>
  <c r="AF452"/>
  <c r="AE452"/>
  <c r="AF451"/>
  <c r="AE451"/>
  <c r="AF450"/>
  <c r="AE450"/>
  <c r="AF449"/>
  <c r="AE449"/>
  <c r="AF447"/>
  <c r="AE447"/>
  <c r="AF446"/>
  <c r="AE446"/>
  <c r="AF445"/>
  <c r="AE445"/>
  <c r="AF444"/>
  <c r="AE444"/>
  <c r="AF443"/>
  <c r="AE443"/>
  <c r="AF442"/>
  <c r="AE442"/>
  <c r="AF441"/>
  <c r="AE441"/>
  <c r="AF440"/>
  <c r="AE440"/>
  <c r="AM439"/>
  <c r="AF439"/>
  <c r="AE439"/>
  <c r="AF438"/>
  <c r="AE438"/>
  <c r="AM437"/>
  <c r="AF437"/>
  <c r="AE437"/>
  <c r="AF436"/>
  <c r="AE436"/>
  <c r="AF435"/>
  <c r="AE435"/>
  <c r="AM434"/>
  <c r="AF434"/>
  <c r="AE434"/>
  <c r="AM432"/>
  <c r="AF432"/>
  <c r="AE432"/>
  <c r="AF427"/>
  <c r="AE427"/>
  <c r="AM426"/>
  <c r="AF426"/>
  <c r="AE426"/>
  <c r="AM425"/>
  <c r="AF425"/>
  <c r="AE425"/>
  <c r="AF423"/>
  <c r="AE423"/>
  <c r="AF422"/>
  <c r="AE422"/>
  <c r="AF421"/>
  <c r="AE421"/>
  <c r="AF420"/>
  <c r="AE420"/>
  <c r="AF419"/>
  <c r="AE419"/>
  <c r="AF418"/>
  <c r="AE418"/>
  <c r="AM416"/>
  <c r="AF416"/>
  <c r="AE416"/>
  <c r="AF415"/>
  <c r="AE415"/>
  <c r="AF414"/>
  <c r="AE414"/>
  <c r="AF413"/>
  <c r="AE413"/>
  <c r="AF412"/>
  <c r="AE412"/>
  <c r="AF411"/>
  <c r="AE411"/>
  <c r="AF410"/>
  <c r="AE410"/>
  <c r="AF409"/>
  <c r="AE409"/>
  <c r="AF408"/>
  <c r="AE408"/>
  <c r="AM407"/>
  <c r="AF407"/>
  <c r="AE407"/>
  <c r="AM406"/>
  <c r="AF406"/>
  <c r="AE406"/>
  <c r="AM405"/>
  <c r="AK405"/>
  <c r="AI405" s="1"/>
  <c r="AF405"/>
  <c r="AN404"/>
  <c r="AM404"/>
  <c r="AK404"/>
  <c r="AJ404"/>
  <c r="AH404"/>
  <c r="AF404"/>
  <c r="AM402"/>
  <c r="AF402"/>
  <c r="AE402"/>
  <c r="AE401" s="1"/>
  <c r="AN401"/>
  <c r="AM401"/>
  <c r="AK401"/>
  <c r="AJ401"/>
  <c r="AI401"/>
  <c r="AH401"/>
  <c r="AG401"/>
  <c r="AF401"/>
  <c r="AM400"/>
  <c r="AF400"/>
  <c r="AE400"/>
  <c r="AE399" s="1"/>
  <c r="AN399"/>
  <c r="AM399"/>
  <c r="AK399"/>
  <c r="AJ399"/>
  <c r="AI399"/>
  <c r="AH399"/>
  <c r="AG399"/>
  <c r="AF399"/>
  <c r="AF397"/>
  <c r="AE397"/>
  <c r="AI396"/>
  <c r="AI395" s="1"/>
  <c r="AF396"/>
  <c r="AE396"/>
  <c r="AE395" s="1"/>
  <c r="AN395"/>
  <c r="AM395"/>
  <c r="AK395"/>
  <c r="AJ395"/>
  <c r="AH395"/>
  <c r="AG395"/>
  <c r="AF395"/>
  <c r="AM393"/>
  <c r="AF393"/>
  <c r="AE393"/>
  <c r="AE392" s="1"/>
  <c r="AN392"/>
  <c r="AM392"/>
  <c r="AK392"/>
  <c r="AJ392"/>
  <c r="AI392"/>
  <c r="AH392"/>
  <c r="AG392"/>
  <c r="AF392"/>
  <c r="AF390"/>
  <c r="AE390"/>
  <c r="AF389"/>
  <c r="AE389"/>
  <c r="AF388"/>
  <c r="AE388"/>
  <c r="AF387"/>
  <c r="AE387"/>
  <c r="AF386"/>
  <c r="AE386"/>
  <c r="AN383"/>
  <c r="AM383"/>
  <c r="AJ383"/>
  <c r="AI383"/>
  <c r="AF383"/>
  <c r="AE383"/>
  <c r="AF382"/>
  <c r="AE382"/>
  <c r="AM381"/>
  <c r="AF381"/>
  <c r="AE381"/>
  <c r="AF379"/>
  <c r="AE379"/>
  <c r="AF378"/>
  <c r="AE378"/>
  <c r="AI377"/>
  <c r="AF377"/>
  <c r="AE377"/>
  <c r="AF376"/>
  <c r="AE376"/>
  <c r="AI375"/>
  <c r="AF375"/>
  <c r="AE375"/>
  <c r="AF373"/>
  <c r="AE373"/>
  <c r="AF372"/>
  <c r="AE372"/>
  <c r="AI369"/>
  <c r="AF369"/>
  <c r="AE369"/>
  <c r="AF367"/>
  <c r="AE367"/>
  <c r="AF366"/>
  <c r="AE366"/>
  <c r="AI365"/>
  <c r="AF365"/>
  <c r="AE365"/>
  <c r="AF364"/>
  <c r="AE364"/>
  <c r="AF363"/>
  <c r="AE363"/>
  <c r="AF362"/>
  <c r="AE362"/>
  <c r="AM361"/>
  <c r="AF361"/>
  <c r="AE361"/>
  <c r="AF360"/>
  <c r="AE360"/>
  <c r="AI359"/>
  <c r="AF359"/>
  <c r="AE359"/>
  <c r="AF358"/>
  <c r="AE358"/>
  <c r="AN356"/>
  <c r="AM356"/>
  <c r="AF356"/>
  <c r="AE356"/>
  <c r="AF355"/>
  <c r="AE355"/>
  <c r="AF353"/>
  <c r="AE353"/>
  <c r="AM352"/>
  <c r="AF352"/>
  <c r="AE352"/>
  <c r="AI351"/>
  <c r="AF351"/>
  <c r="AE351"/>
  <c r="AN350"/>
  <c r="AM350"/>
  <c r="AE350" s="1"/>
  <c r="AE346" s="1"/>
  <c r="AI350"/>
  <c r="AF350"/>
  <c r="AM347"/>
  <c r="AF347"/>
  <c r="AE347"/>
  <c r="AN346"/>
  <c r="AM346"/>
  <c r="AK346"/>
  <c r="AJ346"/>
  <c r="AI346"/>
  <c r="AH346"/>
  <c r="AG346"/>
  <c r="AF346"/>
  <c r="AM345"/>
  <c r="AF345"/>
  <c r="AE345"/>
  <c r="AF344"/>
  <c r="AE344"/>
  <c r="AF343"/>
  <c r="AE343"/>
  <c r="AN342"/>
  <c r="AF342"/>
  <c r="AE342"/>
  <c r="AM341"/>
  <c r="AF341"/>
  <c r="AE341"/>
  <c r="AN340"/>
  <c r="AM340"/>
  <c r="AF340"/>
  <c r="AE340"/>
  <c r="AF339"/>
  <c r="AE339"/>
  <c r="AF338"/>
  <c r="AE338"/>
  <c r="AF337"/>
  <c r="AE337"/>
  <c r="AF336"/>
  <c r="AE336"/>
  <c r="AH335"/>
  <c r="AG335"/>
  <c r="AF335"/>
  <c r="AE335"/>
  <c r="AN334"/>
  <c r="AM334"/>
  <c r="AF334"/>
  <c r="AE334"/>
  <c r="AF333"/>
  <c r="AE333"/>
  <c r="AM332"/>
  <c r="AF332"/>
  <c r="AE332"/>
  <c r="AM331"/>
  <c r="AF331"/>
  <c r="AE331"/>
  <c r="AF330"/>
  <c r="AE330"/>
  <c r="AF329"/>
  <c r="AE329"/>
  <c r="AF328"/>
  <c r="AE328"/>
  <c r="AF327"/>
  <c r="AE327"/>
  <c r="AF326"/>
  <c r="AE326"/>
  <c r="AF324"/>
  <c r="AE324"/>
  <c r="AF323"/>
  <c r="AE323"/>
  <c r="AF322"/>
  <c r="AE322"/>
  <c r="AF321"/>
  <c r="AE321"/>
  <c r="AF320"/>
  <c r="AE320"/>
  <c r="AF319"/>
  <c r="AE319"/>
  <c r="AF317"/>
  <c r="AE317"/>
  <c r="AF316"/>
  <c r="AE316"/>
  <c r="AN314"/>
  <c r="AM314"/>
  <c r="AJ314"/>
  <c r="AI314"/>
  <c r="AF314"/>
  <c r="AE314"/>
  <c r="AF313"/>
  <c r="AE313"/>
  <c r="AF312"/>
  <c r="AE312"/>
  <c r="AM311"/>
  <c r="AF311"/>
  <c r="AE311"/>
  <c r="AM309"/>
  <c r="AK309" s="1"/>
  <c r="AF309"/>
  <c r="AN308"/>
  <c r="AF308" s="1"/>
  <c r="AJ308"/>
  <c r="AH308"/>
  <c r="AF307"/>
  <c r="AE307"/>
  <c r="AF306"/>
  <c r="AE306"/>
  <c r="AF305"/>
  <c r="AE305"/>
  <c r="AF304"/>
  <c r="AE304"/>
  <c r="AN303"/>
  <c r="AM303"/>
  <c r="AF303"/>
  <c r="AE303"/>
  <c r="AM302"/>
  <c r="AF302"/>
  <c r="AE302"/>
  <c r="AM301"/>
  <c r="AF301"/>
  <c r="AE301"/>
  <c r="AM300"/>
  <c r="AF300"/>
  <c r="AE300"/>
  <c r="AF299"/>
  <c r="AE299"/>
  <c r="AF297"/>
  <c r="AE297"/>
  <c r="AN296"/>
  <c r="AM296"/>
  <c r="AK296"/>
  <c r="AJ296"/>
  <c r="AI296"/>
  <c r="AH296"/>
  <c r="AG296"/>
  <c r="AF296"/>
  <c r="AE296"/>
  <c r="AF295"/>
  <c r="AE295"/>
  <c r="AM294"/>
  <c r="AF294"/>
  <c r="AE294"/>
  <c r="AN293"/>
  <c r="AM293"/>
  <c r="AF293"/>
  <c r="AE293"/>
  <c r="AF292"/>
  <c r="AE292"/>
  <c r="AM291"/>
  <c r="AF291"/>
  <c r="AE291"/>
  <c r="AI290"/>
  <c r="AF290"/>
  <c r="AE290"/>
  <c r="AF289"/>
  <c r="AE289"/>
  <c r="AF288"/>
  <c r="AE288"/>
  <c r="AF287"/>
  <c r="AE287"/>
  <c r="AM286"/>
  <c r="AF286"/>
  <c r="AE286"/>
  <c r="AM285"/>
  <c r="AF285"/>
  <c r="AE285"/>
  <c r="AN284"/>
  <c r="AM284"/>
  <c r="AF284"/>
  <c r="AE284"/>
  <c r="AN283"/>
  <c r="AM283"/>
  <c r="AK283"/>
  <c r="AJ283"/>
  <c r="AI283"/>
  <c r="AH283"/>
  <c r="AG283"/>
  <c r="AF283"/>
  <c r="AE283"/>
  <c r="AF282"/>
  <c r="AE282"/>
  <c r="AF281"/>
  <c r="AE281"/>
  <c r="AF280"/>
  <c r="AE280"/>
  <c r="AM279"/>
  <c r="AF279"/>
  <c r="AE279"/>
  <c r="AF278"/>
  <c r="AE278"/>
  <c r="AF277"/>
  <c r="AE277"/>
  <c r="AF276"/>
  <c r="AE276"/>
  <c r="AF275"/>
  <c r="AE275"/>
  <c r="AF274"/>
  <c r="AE274"/>
  <c r="AN273"/>
  <c r="AM273"/>
  <c r="AK273"/>
  <c r="AJ273"/>
  <c r="AI273"/>
  <c r="AH273"/>
  <c r="AG273"/>
  <c r="AF273"/>
  <c r="AE273"/>
  <c r="AF272"/>
  <c r="AE272"/>
  <c r="AF271"/>
  <c r="AE271"/>
  <c r="AN270"/>
  <c r="AM270"/>
  <c r="AF270"/>
  <c r="AE270"/>
  <c r="AM269"/>
  <c r="AF269"/>
  <c r="AE269"/>
  <c r="AF268"/>
  <c r="AE268"/>
  <c r="AM267"/>
  <c r="AF267"/>
  <c r="AE267"/>
  <c r="AF265"/>
  <c r="AE265"/>
  <c r="AF264"/>
  <c r="AE264"/>
  <c r="AM258"/>
  <c r="AF258"/>
  <c r="AE258"/>
  <c r="AI257"/>
  <c r="AF257"/>
  <c r="AE257"/>
  <c r="AM255"/>
  <c r="AF255"/>
  <c r="AE255"/>
  <c r="AM253"/>
  <c r="AF253"/>
  <c r="AE253"/>
  <c r="AM250"/>
  <c r="AF250"/>
  <c r="AE250"/>
  <c r="AM249"/>
  <c r="AF249"/>
  <c r="AE249"/>
  <c r="AM247"/>
  <c r="AF247"/>
  <c r="AE247"/>
  <c r="AM244"/>
  <c r="AF244"/>
  <c r="AE244"/>
  <c r="AN242"/>
  <c r="AM242"/>
  <c r="AF242"/>
  <c r="AE242"/>
  <c r="AM240"/>
  <c r="AF240"/>
  <c r="AE240"/>
  <c r="AM238"/>
  <c r="AF238"/>
  <c r="AE238"/>
  <c r="AN237"/>
  <c r="AM237"/>
  <c r="AK237"/>
  <c r="AJ237"/>
  <c r="AI237"/>
  <c r="AH237"/>
  <c r="AG237"/>
  <c r="AF237"/>
  <c r="AE237"/>
  <c r="AF236"/>
  <c r="AE236"/>
  <c r="AM235"/>
  <c r="AF235"/>
  <c r="AE235"/>
  <c r="AF234"/>
  <c r="AE234"/>
  <c r="AM233"/>
  <c r="AF233"/>
  <c r="AE233"/>
  <c r="AF232"/>
  <c r="AE232"/>
  <c r="AF231"/>
  <c r="AE231"/>
  <c r="AM229"/>
  <c r="AF229"/>
  <c r="AE229"/>
  <c r="AF228"/>
  <c r="AE228"/>
  <c r="AF227"/>
  <c r="AE227"/>
  <c r="AF226"/>
  <c r="AE226"/>
  <c r="AF225"/>
  <c r="AE225"/>
  <c r="AF223"/>
  <c r="AE223"/>
  <c r="AM222"/>
  <c r="AF222"/>
  <c r="AE222"/>
  <c r="AN221"/>
  <c r="AM221"/>
  <c r="AF221"/>
  <c r="AE221"/>
  <c r="AN220"/>
  <c r="AM220"/>
  <c r="AF220"/>
  <c r="AE220"/>
  <c r="AM219"/>
  <c r="AF219"/>
  <c r="AE219"/>
  <c r="AM218"/>
  <c r="AF218"/>
  <c r="AE218"/>
  <c r="AF217"/>
  <c r="AE217"/>
  <c r="AM216"/>
  <c r="AF216"/>
  <c r="AE216"/>
  <c r="AM215"/>
  <c r="AF215"/>
  <c r="AE215"/>
  <c r="AM214"/>
  <c r="AF214"/>
  <c r="AE214"/>
  <c r="AF211"/>
  <c r="AE211"/>
  <c r="AG210"/>
  <c r="AF210"/>
  <c r="AE210"/>
  <c r="AF209"/>
  <c r="AE209"/>
  <c r="AM208"/>
  <c r="AG208"/>
  <c r="AF208"/>
  <c r="AE208"/>
  <c r="AF207"/>
  <c r="AE207"/>
  <c r="AF206"/>
  <c r="AE206"/>
  <c r="AF205"/>
  <c r="AE205"/>
  <c r="AF204"/>
  <c r="AE204"/>
  <c r="AF202"/>
  <c r="AE202"/>
  <c r="AF201"/>
  <c r="AE201"/>
  <c r="AF200"/>
  <c r="AE200"/>
  <c r="AF199"/>
  <c r="AE199"/>
  <c r="AF196"/>
  <c r="AE196"/>
  <c r="AF195"/>
  <c r="AE195"/>
  <c r="AF194"/>
  <c r="AE194"/>
  <c r="AF193"/>
  <c r="AE193"/>
  <c r="AI192"/>
  <c r="AF192"/>
  <c r="AE192"/>
  <c r="AF191"/>
  <c r="AE191"/>
  <c r="AF190"/>
  <c r="AE190"/>
  <c r="AI189"/>
  <c r="AF189"/>
  <c r="AE189"/>
  <c r="AF188"/>
  <c r="AE188"/>
  <c r="AF187"/>
  <c r="AE187"/>
  <c r="AG186"/>
  <c r="AF186"/>
  <c r="AE186"/>
  <c r="AF185"/>
  <c r="AE185"/>
  <c r="AG184"/>
  <c r="AF184"/>
  <c r="AE184"/>
  <c r="AM183"/>
  <c r="AF183"/>
  <c r="AE183"/>
  <c r="AM182"/>
  <c r="AF182"/>
  <c r="AE182"/>
  <c r="AN181"/>
  <c r="AM181"/>
  <c r="AK181"/>
  <c r="AJ181"/>
  <c r="AI181"/>
  <c r="AH181"/>
  <c r="AG181"/>
  <c r="AF181"/>
  <c r="AE181"/>
  <c r="AF180"/>
  <c r="AE180"/>
  <c r="AM179"/>
  <c r="AF179"/>
  <c r="AE179"/>
  <c r="AM178"/>
  <c r="AF178"/>
  <c r="AE178"/>
  <c r="AF177"/>
  <c r="AE177"/>
  <c r="AM176"/>
  <c r="AF176"/>
  <c r="AE176"/>
  <c r="AN175"/>
  <c r="AM175"/>
  <c r="AF175"/>
  <c r="AE175"/>
  <c r="AN174"/>
  <c r="AM174"/>
  <c r="AF174"/>
  <c r="AE174"/>
  <c r="AM173"/>
  <c r="AF173"/>
  <c r="AE173"/>
  <c r="AM171"/>
  <c r="AF171"/>
  <c r="AE171"/>
  <c r="AF170"/>
  <c r="AE170"/>
  <c r="AM169"/>
  <c r="AF169"/>
  <c r="AE169"/>
  <c r="AF167"/>
  <c r="AE167"/>
  <c r="AM166"/>
  <c r="AF166"/>
  <c r="AE166"/>
  <c r="AM165"/>
  <c r="AF165"/>
  <c r="AE165"/>
  <c r="AM164"/>
  <c r="AF164"/>
  <c r="AE164"/>
  <c r="AF163"/>
  <c r="AE163"/>
  <c r="AI162"/>
  <c r="AF162"/>
  <c r="AE162"/>
  <c r="AI161"/>
  <c r="AF161"/>
  <c r="AE161"/>
  <c r="AI160"/>
  <c r="AF160"/>
  <c r="AE160"/>
  <c r="AF159"/>
  <c r="AE159"/>
  <c r="AF158"/>
  <c r="AE158"/>
  <c r="AF157"/>
  <c r="AE157"/>
  <c r="AM156"/>
  <c r="AK156"/>
  <c r="AI156" s="1"/>
  <c r="AF156"/>
  <c r="AN155"/>
  <c r="AM155"/>
  <c r="AJ155"/>
  <c r="AH155"/>
  <c r="AF155"/>
  <c r="AM154"/>
  <c r="AM148" s="1"/>
  <c r="AF154"/>
  <c r="AE154"/>
  <c r="AF153"/>
  <c r="AE153"/>
  <c r="AF152"/>
  <c r="AE152"/>
  <c r="AF151"/>
  <c r="AE151"/>
  <c r="AF150"/>
  <c r="AF149"/>
  <c r="AE149"/>
  <c r="AN148"/>
  <c r="AF148" s="1"/>
  <c r="AK148"/>
  <c r="AJ148"/>
  <c r="AI148"/>
  <c r="AH148"/>
  <c r="AG148"/>
  <c r="AE148"/>
  <c r="AM147"/>
  <c r="AF147"/>
  <c r="AE147"/>
  <c r="AF146"/>
  <c r="AE146"/>
  <c r="AM145"/>
  <c r="AM136" s="1"/>
  <c r="AF145"/>
  <c r="AE145"/>
  <c r="AF144"/>
  <c r="AE144"/>
  <c r="AF143"/>
  <c r="AE143"/>
  <c r="AF141"/>
  <c r="AE141"/>
  <c r="AF140"/>
  <c r="AE140"/>
  <c r="AF139"/>
  <c r="AE139"/>
  <c r="AM138"/>
  <c r="AF138"/>
  <c r="AE138"/>
  <c r="AF137"/>
  <c r="AE137"/>
  <c r="AN136"/>
  <c r="AF136" s="1"/>
  <c r="AK136"/>
  <c r="AJ136"/>
  <c r="AI136"/>
  <c r="AH136"/>
  <c r="AG136"/>
  <c r="AE136"/>
  <c r="AF135"/>
  <c r="AE135"/>
  <c r="AF134"/>
  <c r="AE134"/>
  <c r="AE132" s="1"/>
  <c r="AF133"/>
  <c r="AE133"/>
  <c r="AN132"/>
  <c r="AM132"/>
  <c r="AK132"/>
  <c r="AJ132"/>
  <c r="AI132"/>
  <c r="AH132"/>
  <c r="AG132"/>
  <c r="AF132"/>
  <c r="AF131"/>
  <c r="AI129"/>
  <c r="AG129"/>
  <c r="AF129"/>
  <c r="AE129"/>
  <c r="AF128"/>
  <c r="AE128"/>
  <c r="AM126"/>
  <c r="AF126"/>
  <c r="AE126"/>
  <c r="AF125"/>
  <c r="AE125"/>
  <c r="AF124"/>
  <c r="AE124"/>
  <c r="AF123"/>
  <c r="AE123"/>
  <c r="AF122"/>
  <c r="AE122"/>
  <c r="AF121"/>
  <c r="AE121"/>
  <c r="AM120"/>
  <c r="AF120"/>
  <c r="AE120"/>
  <c r="AM119"/>
  <c r="AF119"/>
  <c r="AE119"/>
  <c r="AF118"/>
  <c r="AE118"/>
  <c r="AM117"/>
  <c r="AF117"/>
  <c r="AE117"/>
  <c r="AF116"/>
  <c r="AE116"/>
  <c r="AI115"/>
  <c r="AF115"/>
  <c r="AE115"/>
  <c r="AI114"/>
  <c r="AF114"/>
  <c r="AE114"/>
  <c r="AI113"/>
  <c r="AF113"/>
  <c r="AE113"/>
  <c r="AM112"/>
  <c r="AF112"/>
  <c r="AE112"/>
  <c r="AF111"/>
  <c r="AF110"/>
  <c r="AM109"/>
  <c r="AF109"/>
  <c r="AE109"/>
  <c r="AI108"/>
  <c r="AF108"/>
  <c r="AE108"/>
  <c r="AF107"/>
  <c r="AF106"/>
  <c r="AF105"/>
  <c r="AF104"/>
  <c r="AF103"/>
  <c r="AM102"/>
  <c r="AF102"/>
  <c r="AE102"/>
  <c r="AF101"/>
  <c r="AE101"/>
  <c r="AF100"/>
  <c r="AE100"/>
  <c r="AF99"/>
  <c r="AE99"/>
  <c r="AF98"/>
  <c r="AE98"/>
  <c r="AF97"/>
  <c r="AE97"/>
  <c r="AF96"/>
  <c r="AE96"/>
  <c r="AI95"/>
  <c r="AF95"/>
  <c r="AE95"/>
  <c r="AF94"/>
  <c r="AE94"/>
  <c r="AM93"/>
  <c r="AF93"/>
  <c r="AE93"/>
  <c r="AN92"/>
  <c r="AM92"/>
  <c r="AK92"/>
  <c r="AJ92"/>
  <c r="AI92"/>
  <c r="AH92"/>
  <c r="AG92"/>
  <c r="AF92"/>
  <c r="AE92"/>
  <c r="AF91"/>
  <c r="AE91"/>
  <c r="AF90"/>
  <c r="AE90"/>
  <c r="AF89"/>
  <c r="AE89"/>
  <c r="AF88"/>
  <c r="AE88"/>
  <c r="AF87"/>
  <c r="AE87"/>
  <c r="AF86"/>
  <c r="AE86"/>
  <c r="AF85"/>
  <c r="AE85"/>
  <c r="AF84"/>
  <c r="AE84"/>
  <c r="AF83"/>
  <c r="AE83"/>
  <c r="AF82"/>
  <c r="AE82"/>
  <c r="AF81"/>
  <c r="AE81"/>
  <c r="AF80"/>
  <c r="AE80"/>
  <c r="AF79"/>
  <c r="AE79"/>
  <c r="AM78"/>
  <c r="AF78"/>
  <c r="AE78"/>
  <c r="AF77"/>
  <c r="AE77"/>
  <c r="AM76"/>
  <c r="AF76"/>
  <c r="AE76"/>
  <c r="AF75"/>
  <c r="AE75"/>
  <c r="AM74"/>
  <c r="AF74"/>
  <c r="AE74"/>
  <c r="AF73"/>
  <c r="AE73"/>
  <c r="AF72"/>
  <c r="AE72"/>
  <c r="AF71"/>
  <c r="AE71"/>
  <c r="AF70"/>
  <c r="AE70"/>
  <c r="AM67"/>
  <c r="AF67"/>
  <c r="AE67"/>
  <c r="AM66"/>
  <c r="AF66"/>
  <c r="AE66"/>
  <c r="AF65"/>
  <c r="AE65"/>
  <c r="AM64"/>
  <c r="AF64"/>
  <c r="AE64"/>
  <c r="AF63"/>
  <c r="AE63"/>
  <c r="AM62"/>
  <c r="AF62"/>
  <c r="AE62"/>
  <c r="AI61"/>
  <c r="AF61"/>
  <c r="AE61"/>
  <c r="AF60"/>
  <c r="AE60"/>
  <c r="AF59"/>
  <c r="AE59"/>
  <c r="AF58"/>
  <c r="AE58"/>
  <c r="AF57"/>
  <c r="AE57"/>
  <c r="AN56"/>
  <c r="AM56"/>
  <c r="AL56"/>
  <c r="AK56"/>
  <c r="AJ56"/>
  <c r="AI56"/>
  <c r="AH56"/>
  <c r="AG56"/>
  <c r="AF56"/>
  <c r="AE56"/>
  <c r="AF55"/>
  <c r="AE55"/>
  <c r="AM54"/>
  <c r="AF54"/>
  <c r="AE54"/>
  <c r="AF53"/>
  <c r="AE53"/>
  <c r="AF52"/>
  <c r="AE52"/>
  <c r="AF51"/>
  <c r="AE51"/>
  <c r="AF50"/>
  <c r="AE50"/>
  <c r="AF49"/>
  <c r="AE49"/>
  <c r="AF48"/>
  <c r="AE48"/>
  <c r="AF47"/>
  <c r="AE47"/>
  <c r="AF46"/>
  <c r="AE46"/>
  <c r="AF45"/>
  <c r="AE45"/>
  <c r="AM44"/>
  <c r="AF44"/>
  <c r="AE44"/>
  <c r="AF43"/>
  <c r="AE43"/>
  <c r="AF42"/>
  <c r="AE42"/>
  <c r="AM41"/>
  <c r="AI41"/>
  <c r="AG41"/>
  <c r="AF41"/>
  <c r="AE41"/>
  <c r="AF40"/>
  <c r="AE40"/>
  <c r="AF39"/>
  <c r="AE39"/>
  <c r="AF38"/>
  <c r="AE38"/>
  <c r="AF37"/>
  <c r="AE37"/>
  <c r="AN36"/>
  <c r="AM36"/>
  <c r="AK36"/>
  <c r="AJ36"/>
  <c r="AI36"/>
  <c r="AH36"/>
  <c r="AG36"/>
  <c r="AF36"/>
  <c r="AE36"/>
  <c r="AN35"/>
  <c r="AM35"/>
  <c r="AF35"/>
  <c r="AE35"/>
  <c r="AF33"/>
  <c r="AE33"/>
  <c r="AM32"/>
  <c r="AF32"/>
  <c r="AE32"/>
  <c r="AM31"/>
  <c r="AF31"/>
  <c r="AE31"/>
  <c r="AM30"/>
  <c r="AF30"/>
  <c r="AE30"/>
  <c r="AF29"/>
  <c r="AE29"/>
  <c r="AF28"/>
  <c r="AE28"/>
  <c r="AF27"/>
  <c r="AE27"/>
  <c r="AM26"/>
  <c r="AE26" s="1"/>
  <c r="AE23" s="1"/>
  <c r="AM25"/>
  <c r="AE25"/>
  <c r="AM24"/>
  <c r="AE24"/>
  <c r="AN23"/>
  <c r="AM23"/>
  <c r="AL23"/>
  <c r="AK23"/>
  <c r="AJ23"/>
  <c r="AI23"/>
  <c r="AH23"/>
  <c r="AG23"/>
  <c r="AF23"/>
  <c r="AN19"/>
  <c r="AJ19"/>
  <c r="AJ773" s="1"/>
  <c r="AH19"/>
  <c r="AF19"/>
  <c r="AO136" l="1"/>
  <c r="AQ733"/>
  <c r="AQ777" s="1"/>
  <c r="AO711"/>
  <c r="AO706"/>
  <c r="AO617"/>
  <c r="BA155"/>
  <c r="AZ156"/>
  <c r="AP309"/>
  <c r="AV309"/>
  <c r="AW308"/>
  <c r="BF309"/>
  <c r="BG308"/>
  <c r="AQ404"/>
  <c r="AP405"/>
  <c r="AW404"/>
  <c r="AV405"/>
  <c r="AU505"/>
  <c r="AV504"/>
  <c r="BA505"/>
  <c r="BB504"/>
  <c r="BG155"/>
  <c r="BF156"/>
  <c r="AQ155"/>
  <c r="AP156"/>
  <c r="AW155"/>
  <c r="AW19" s="1"/>
  <c r="AV156"/>
  <c r="BB308"/>
  <c r="BB19" s="1"/>
  <c r="BA309"/>
  <c r="BA404"/>
  <c r="AZ405"/>
  <c r="BG404"/>
  <c r="BF405"/>
  <c r="AO505"/>
  <c r="AO504" s="1"/>
  <c r="AR504"/>
  <c r="AR19" s="1"/>
  <c r="BE505"/>
  <c r="BF504"/>
  <c r="AO237"/>
  <c r="AO346"/>
  <c r="AO495"/>
  <c r="AO527"/>
  <c r="AO567"/>
  <c r="AO665"/>
  <c r="AO735"/>
  <c r="AO752"/>
  <c r="AX23"/>
  <c r="BH23"/>
  <c r="AQ36"/>
  <c r="AQ19" s="1"/>
  <c r="AS132"/>
  <c r="AX136"/>
  <c r="BH136"/>
  <c r="AS148"/>
  <c r="BC148"/>
  <c r="BC19" s="1"/>
  <c r="AS155"/>
  <c r="BE181"/>
  <c r="AS399"/>
  <c r="AG156"/>
  <c r="AI155"/>
  <c r="AI309"/>
  <c r="AK308"/>
  <c r="AH777"/>
  <c r="AH18"/>
  <c r="AJ777"/>
  <c r="AJ18"/>
  <c r="AG405"/>
  <c r="AI404"/>
  <c r="AH773"/>
  <c r="AN774"/>
  <c r="AE695"/>
  <c r="AE652" s="1"/>
  <c r="AE777" s="1"/>
  <c r="AE778" s="1"/>
  <c r="AK155"/>
  <c r="AK19" s="1"/>
  <c r="AM308"/>
  <c r="AM504"/>
  <c r="AM19" s="1"/>
  <c r="AE525"/>
  <c r="AN773"/>
  <c r="AH774"/>
  <c r="AJ774"/>
  <c r="AO733" l="1"/>
  <c r="AO652"/>
  <c r="BC774"/>
  <c r="BC773"/>
  <c r="BC18"/>
  <c r="AQ774"/>
  <c r="AQ773"/>
  <c r="AQ18"/>
  <c r="BE504"/>
  <c r="BD505"/>
  <c r="BD504" s="1"/>
  <c r="BB18"/>
  <c r="BB774"/>
  <c r="BB773"/>
  <c r="AW774"/>
  <c r="AW773"/>
  <c r="AW18"/>
  <c r="AU405"/>
  <c r="AV404"/>
  <c r="AO405"/>
  <c r="AO404" s="1"/>
  <c r="AP404"/>
  <c r="AY156"/>
  <c r="AY155" s="1"/>
  <c r="AZ155"/>
  <c r="AX19"/>
  <c r="BG19"/>
  <c r="AO525"/>
  <c r="AO788"/>
  <c r="AR18"/>
  <c r="AR774"/>
  <c r="AR773"/>
  <c r="BE405"/>
  <c r="BF404"/>
  <c r="AY405"/>
  <c r="AY404" s="1"/>
  <c r="AZ404"/>
  <c r="AZ309"/>
  <c r="BA308"/>
  <c r="AU156"/>
  <c r="AV155"/>
  <c r="AO156"/>
  <c r="AO155" s="1"/>
  <c r="AP155"/>
  <c r="BE156"/>
  <c r="BF155"/>
  <c r="BA504"/>
  <c r="AZ505"/>
  <c r="AU504"/>
  <c r="AT505"/>
  <c r="AT504" s="1"/>
  <c r="BF308"/>
  <c r="BE309"/>
  <c r="AV308"/>
  <c r="AU309"/>
  <c r="AO309"/>
  <c r="AO308" s="1"/>
  <c r="AS19"/>
  <c r="BH19"/>
  <c r="AO777"/>
  <c r="AO778" s="1"/>
  <c r="BA19"/>
  <c r="AM773"/>
  <c r="AM774"/>
  <c r="AM18"/>
  <c r="AE405"/>
  <c r="AE404" s="1"/>
  <c r="AG404"/>
  <c r="AI308"/>
  <c r="AG309"/>
  <c r="AE156"/>
  <c r="AE155" s="1"/>
  <c r="AG155"/>
  <c r="AF774"/>
  <c r="AF773"/>
  <c r="AK774"/>
  <c r="AK18"/>
  <c r="AK773"/>
  <c r="AF18"/>
  <c r="AI19"/>
  <c r="AS774" l="1"/>
  <c r="AS773"/>
  <c r="AS18"/>
  <c r="BE155"/>
  <c r="BD156"/>
  <c r="BD155" s="1"/>
  <c r="AU155"/>
  <c r="AT156"/>
  <c r="AT155" s="1"/>
  <c r="AZ308"/>
  <c r="AY309"/>
  <c r="AY308" s="1"/>
  <c r="BE404"/>
  <c r="BD405"/>
  <c r="BD404" s="1"/>
  <c r="BG774"/>
  <c r="BG773"/>
  <c r="BG18"/>
  <c r="AO19"/>
  <c r="BA774"/>
  <c r="BA773"/>
  <c r="BA18"/>
  <c r="BH18"/>
  <c r="BH774"/>
  <c r="BH773"/>
  <c r="AT309"/>
  <c r="AT308" s="1"/>
  <c r="AU308"/>
  <c r="BD309"/>
  <c r="BD308" s="1"/>
  <c r="BE308"/>
  <c r="AY505"/>
  <c r="AY504" s="1"/>
  <c r="AZ504"/>
  <c r="AZ19" s="1"/>
  <c r="AX18"/>
  <c r="AX774"/>
  <c r="AX773"/>
  <c r="AU404"/>
  <c r="AT405"/>
  <c r="AT404" s="1"/>
  <c r="BF19"/>
  <c r="AP19"/>
  <c r="AV19"/>
  <c r="AY19"/>
  <c r="AG308"/>
  <c r="AE309"/>
  <c r="AE308" s="1"/>
  <c r="AG19"/>
  <c r="AI774"/>
  <c r="AI18"/>
  <c r="AI773"/>
  <c r="AE19"/>
  <c r="AZ18" l="1"/>
  <c r="AZ774"/>
  <c r="AZ773"/>
  <c r="AT19"/>
  <c r="BD19"/>
  <c r="AY774"/>
  <c r="AY781" s="1"/>
  <c r="AY773"/>
  <c r="AY18"/>
  <c r="AP18"/>
  <c r="AP774"/>
  <c r="AP773"/>
  <c r="AO774"/>
  <c r="AO781" s="1"/>
  <c r="AO773"/>
  <c r="AO18"/>
  <c r="AV18"/>
  <c r="AV774"/>
  <c r="AV773"/>
  <c r="BF18"/>
  <c r="BF774"/>
  <c r="BF773"/>
  <c r="AU19"/>
  <c r="BE19"/>
  <c r="AE774"/>
  <c r="AE781" s="1"/>
  <c r="AE18"/>
  <c r="AE773"/>
  <c r="AG774"/>
  <c r="AG18"/>
  <c r="AG773"/>
  <c r="AU774" l="1"/>
  <c r="AU773"/>
  <c r="AU18"/>
  <c r="BD18"/>
  <c r="BD774"/>
  <c r="BD781" s="1"/>
  <c r="BD773"/>
  <c r="BE774"/>
  <c r="BE773"/>
  <c r="BE18"/>
  <c r="AT18"/>
  <c r="AT774"/>
  <c r="AT781" s="1"/>
  <c r="AT773"/>
</calcChain>
</file>

<file path=xl/sharedStrings.xml><?xml version="1.0" encoding="utf-8"?>
<sst xmlns="http://schemas.openxmlformats.org/spreadsheetml/2006/main" count="4904" uniqueCount="1214">
  <si>
    <t>Финансовый орган субъекта Российской Федерации</t>
  </si>
  <si>
    <t>Единица измерения: тыс. руб. (с точностью до первого десятичного знака)</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</si>
  <si>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</si>
  <si>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</si>
  <si>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</si>
  <si>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</si>
  <si>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Российской Федерации</t>
  </si>
  <si>
    <t>Субъекта Российской Федерации</t>
  </si>
  <si>
    <t>Муниципального образования</t>
  </si>
  <si>
    <t xml:space="preserve">Федеральные законы </t>
  </si>
  <si>
    <t xml:space="preserve">Указы Президента Российской Федерации </t>
  </si>
  <si>
    <t>Законы субъекта Российской Федерации</t>
  </si>
  <si>
    <t xml:space="preserve">Нормативные правовые акты субъекта Российской Федерации </t>
  </si>
  <si>
    <t xml:space="preserve">в том числе краевые программы субъекта Российской Федерации </t>
  </si>
  <si>
    <t>Договоры, соглашения</t>
  </si>
  <si>
    <t>Финансовое обеспечение</t>
  </si>
  <si>
    <t>Исполнение (порядок расходования средств)</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</si>
  <si>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</si>
  <si>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</si>
  <si>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</si>
  <si>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</si>
  <si>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</si>
  <si>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номер пункта, подпункта</t>
  </si>
  <si>
    <t>2</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</si>
  <si>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</si>
  <si>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</si>
  <si>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</si>
  <si>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в том числе:</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</si>
  <si>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</si>
  <si>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2.1.2. установление, изменение и отмена местных налогов и сборов городского округа</t>
  </si>
  <si>
    <t>2.1.3. владение, пользование и распоряжение имуществом, находящимся в муниципальной собственности городского округа</t>
  </si>
  <si>
    <t>АПБ</t>
  </si>
  <si>
    <t xml:space="preserve">ст.16,17 ФЗ от 10.03.99 № 131-ФЗ "Об общих принципах организации местного самоуправления в РФ". </t>
  </si>
  <si>
    <t>ст.16,17</t>
  </si>
  <si>
    <t>01.01.2009, без срока</t>
  </si>
  <si>
    <t>Постановление Администрации города от 30.09.2015 № 153п « Об утверждении муниципальной  программы  «Управление имуществом и земельными ресурсами муниципального образования город Дивногорск"</t>
  </si>
  <si>
    <t>в целом</t>
  </si>
  <si>
    <t>01.01.2016,  без срока</t>
  </si>
  <si>
    <t>01.01.2016, без срока</t>
  </si>
  <si>
    <r>
      <rPr>
        <b/>
        <sz val="8"/>
        <rFont val="Times New Roman"/>
        <family val="1"/>
        <charset val="204"/>
      </rPr>
      <t>адм</t>
    </r>
    <r>
      <rPr>
        <sz val="8"/>
        <rFont val="Times New Roman"/>
        <family val="1"/>
        <charset val="204"/>
      </rPr>
      <t xml:space="preserve"> долг за э\э по и\л</t>
    </r>
  </si>
  <si>
    <t xml:space="preserve">адм </t>
  </si>
  <si>
    <r>
      <rPr>
        <b/>
        <sz val="8"/>
        <rFont val="Times New Roman"/>
        <family val="1"/>
        <charset val="204"/>
      </rPr>
      <t>адм</t>
    </r>
    <r>
      <rPr>
        <sz val="8"/>
        <rFont val="Times New Roman"/>
        <family val="1"/>
        <charset val="204"/>
      </rPr>
      <t xml:space="preserve"> разработка нпд-Лиственка</t>
    </r>
  </si>
  <si>
    <t>ФУ</t>
  </si>
  <si>
    <t>ГК РФ (ч.2) №14-ФЗ от 26.01.1996</t>
  </si>
  <si>
    <t>ст.1069,       1070</t>
  </si>
  <si>
    <t>с 01.03.1996</t>
  </si>
  <si>
    <t>Устав МО город Дивногорск, принят 17.12.1995,Распоряжение администрации города Дивногорска от 01.12.2017 №2696р, от 09.04.18 №832р, от 13.04.18 №856р, от 05.07.18 №1577р,1576р, от17.09.18 №2088р "Об исполнении требований исполнительного документа", ,Распоряжение администрации города Дивногорска от 01.12.2017 №2696р "Об исполнении требований исполнительного документа"</t>
  </si>
  <si>
    <t xml:space="preserve"> п.28 ст.43 Устава</t>
  </si>
  <si>
    <t xml:space="preserve">   Изменения и дополнения, внесенные в устав муниципального образования вступают в силу после истечения срока полномочий представительного органа муниципального образования, </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</si>
  <si>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</si>
  <si>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ГХ</t>
  </si>
  <si>
    <t xml:space="preserve">Постановление Правительства Красноярского края от 30.09.2013 № 503-п "Об утверждении государственной программы Красноярского края "Реформирование и модернизация жилищно - коммунального хозяйства" </t>
  </si>
  <si>
    <t xml:space="preserve">Соглашение от 14.05.2018 № 503/10 </t>
  </si>
  <si>
    <t xml:space="preserve">Постановление администрации города Дивногорска от 30.09.2015 №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
</t>
  </si>
  <si>
    <t xml:space="preserve">Постановление Правительства Красноярского края от 30.09.2013 № 510-п ОБ УТВЕРЖДЕНИИ ГОСУДАРСТВЕННОЙ ПРОГРАММЫ КРАСНОЯРСКОГО КРАЯ
"РАЗВИТИЕ ТРАНСПОРТНОЙ СИСТЕМЫ"
</t>
  </si>
  <si>
    <t>Соглашение от 14.05.2018 № 191/С</t>
  </si>
  <si>
    <t>Соглашение от 19.03.2018 № 70/С</t>
  </si>
  <si>
    <t>адм</t>
  </si>
  <si>
    <t>апб</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</si>
  <si>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</si>
  <si>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Постановление Правительства Красноярского края от 30.09.2013 № 510-п ОБ УТВЕРЖДЕНИИ ГОСУДАРСТВЕННОЙ ПРОГРАММЫ КРАСНОЯРСКОГО КРАЯ
"РАЗВИТИЕ ТРАНСПОРТНОЙ СИСТЕМЫ"</t>
  </si>
  <si>
    <t>Соглашение от 07.07.2021 № 220/С</t>
  </si>
  <si>
    <t>Постановление администрации г. Дивногорска Красноярского края от 30.09.2015 N 155п</t>
  </si>
  <si>
    <t>Постановление Правительства Красноярского края от 30.09.2013 № 510-п ОБ УТВЕРЖДЕНИИ ГОСУДАРСТВЕННОЙ ПРОГРАММЫ КРАСНОЯРСКОГО КРАЯ</t>
  </si>
  <si>
    <t xml:space="preserve">Постановление администрации города Дивногорска от 30.09.2015 № 155п ОБ УТВЕРЖДЕНИИ МУНИЦИПАЛЬНОЙ ПРОГРАММЫ "ТРАНСПОРТНАЯ
СИСТЕМА МУНИЦИПАЛЬНОГО ОБРАЗОВАНИЯ ГОРОД ДИВНОГОРСК"
</t>
  </si>
  <si>
    <t xml:space="preserve">Соглашение от 20.03.2018 № 91/С </t>
  </si>
  <si>
    <t xml:space="preserve">Соглашение от 23.03.2018 № 112/С </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</si>
  <si>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</si>
  <si>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Федеральный закон №185-ФЗ от 21.07.2007 «О Фонде  содействия реформированию жилищно-коммунального хозяйства» (далее Фонд); Постановление Правительства Российской Федерации от 30.12.2017 №1710 «Об утверждении государственной программы «Обеспечение доступным и комфортным жильем и коммунальными услугами граждан Российской Федерации»</t>
  </si>
  <si>
    <t>Государственная программа Красноярского края "Создание условий для обеспечения доступным и комфортным жильем граждан Красноярского края" на 2014-2018 годы, утвержденная постановлением Правительства Красноярского края от 13.09.2013 №514-п</t>
  </si>
  <si>
    <t>10.04.2014, 31.12.2017</t>
  </si>
  <si>
    <t>Соглашение о предоставлении субсидии муниципальному образованию Красноярского края из краевого бюджета от 10.03.2016 № 13( с доп.сог. От 26.05.16,от 13.09.16</t>
  </si>
  <si>
    <t xml:space="preserve">Постановление администрации города Дивногорска от 30.09.2015 № 151-п "Об утверждении муниципальной программы "Обеспечение доступным и комфортным жильем граждан муниципального образования город Дивногорск" на 2016-2018 годы"(в ред. от 11.11.2016,от 20.12.2016 №253п, от 13.03.2017 №60п, от 25.04.1 №82п), Постановление администрации города Дивногорска от 01.12.2016№230п "Об утверждении порядка предоставления и расходования финансовых средств на реализацию РАП "Переселение граждан из аварийного жилищного фонда в Красноярском крае" на 2013-2017 годы. </t>
  </si>
  <si>
    <t>01.01.2016 31.12.2017</t>
  </si>
  <si>
    <t>10.03.2016 31.12.2017</t>
  </si>
  <si>
    <t>государственной программы «Создание условий для обеспечения доступным и комфортным жильем граждан»  утвержденная постановлением Правительства Красноярского края от 13.09.2013 №514-п</t>
  </si>
  <si>
    <t>30.09.2013-31.12.2020,</t>
  </si>
  <si>
    <t>30.09.2013-31.12.2020</t>
  </si>
  <si>
    <t>Соглашение о предоставлении субсидии муниципальному образованию Красноярского края из краевого бюджета от 20.03.2019 № 3</t>
  </si>
  <si>
    <t>20.03.2019-31.12.2019</t>
  </si>
  <si>
    <t>Региональная адресная программа "Переселение граждан из аварийного жилищного фонда в Красноярском  крае" на 2019-2025 годы</t>
  </si>
  <si>
    <t>29.03.2019-31.12.2025</t>
  </si>
  <si>
    <t xml:space="preserve">Соглашение о предоставлении субсидии муниципальному образованию Красноярского края из краевого бюджета от </t>
  </si>
  <si>
    <r>
      <rPr>
        <b/>
        <sz val="8"/>
        <rFont val="Times New Roman"/>
        <family val="1"/>
        <charset val="204"/>
      </rPr>
      <t>адм</t>
    </r>
    <r>
      <rPr>
        <sz val="8"/>
        <rFont val="Times New Roman"/>
        <family val="1"/>
        <charset val="204"/>
      </rPr>
      <t xml:space="preserve"> (опл за мун.жилье по суд.иску)</t>
    </r>
  </si>
  <si>
    <t>Государственная программа Красноярского края "Создание условий для обеспечения доступным и комфортным жильем граждан Красноярского края" на 2014-2018 годы, утвержденная постановлением Правительства Красноярского края от 13.09.2013 №514-п; Постановление Правительства Красноярского края от 15.01.2020 №12-п "Об утверждении распределения субсидий бюджетам МО Красноярскогок края на предоставление социальных выплат семьям на приобретение(строительство) жилья, ЗКК  от 05.12.2019 №8-3414 "О краевом бюджете на 2020г. и пл пер 2021-2022гг",</t>
  </si>
  <si>
    <t>Государственная программа Красноярского края "Создание условий для обеспечения доступным и комфортным жильем граждан Красноярского края" на 2021 год и пл пер 2022-2023гг от 26.06.2020, утвержденная постановлением Правительства Красноярского края от 30.09.2013 №514-п, Постановлением Правительства Красноярского края от 20.01.2023 №37-п "Об утверждении распределения субсидий бюджетам МО Красноярского края на предоставление социальных выплат молодым семьям на приобретение (строительство)жилья, отобранных для участия в мероприятии "Субсидии бюджетам МО на предоставление социальных выплат молодым семьям на приобретение (строительство)жилья"подпрограммы "Улучшение жилищных условий отдельных категорий граждан" госпрограммы Красноярского края "Создание условий для обеспечения доступным и комфортным жильем граждан" на 2023 год и пл пер 2024-2025гг"</t>
  </si>
  <si>
    <t>Постановление администрации города Дивногорска от 30.09.2015 № 151-п "Об утверждении муниципальной программы "Обеспечение доступным и комфортным жильем граждан муниципального образования город Дивногорск" на 2016-2018 годы"(в ред.  от 13.03.2017 №60п, от 25.04.1 №82п),  Решением Городского Совета депутатов  от 18.12.2018 №34-249-ГС "О бюджете города Дивногорск на 2019 год и пл пер 2020-2021гг", Постановление администрации г.Дивногорска от 08.04.2019 № 40п "Об утверждении порядка расходования субсидии, предоставляемой в 2019 г. бюджету г.Дивногорска из краевого бюджета на предоставление социальных выплат молодым семьям на приобретение (строительство) жилья</t>
  </si>
  <si>
    <t>Закон Красноярского края от 09.12.2022 № 4-1351 "О краевом бюджете на 2023 год и пл пер 2024-2025гг"</t>
  </si>
  <si>
    <t>Соглашение о предоставлении субсидии из краевого бюджета бюджету города Дивногорска Красн.кр. На предоставление социальных выплат молодым сесьям на приобретение (строительство)жилья</t>
  </si>
  <si>
    <t>04709000-1-2023-002</t>
  </si>
  <si>
    <t xml:space="preserve"> Распоряжение адм г.Дивногорска от 22.04.2021 "Об утверждении порядка расходовании субсидии, предоставляемой в 2021 г б-ту г.Дивногорска из краевого б-та на предоставление социальных выплат молодым семьям на приобретение (строительство) жилья; Решение Дивногорского городского Совета депутатов от 21.12.2022 №29190-ГС "О бюджете города Дивногорск на 2023 год пл пер 2024-2025 годов", Распоряжение администрации г.Дивногорска от 02.03.2023г. №242р "Об утверждении порядка расходования субсидии, предоставляемой в 2023 году бюджету г.Дивногорска из краевого бюджета на предоставление социальных выплат молодым семья на приобретение (строительство) жилья</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</si>
  <si>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</si>
  <si>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Постановление адм г.Дивногорска от 24.03.2021 "Об утверждении Порядка предоставления субсидий из бюджета города на возмещение недополученных доходов, возникающих в результате небольшой интенсивности пассажиропотоков, организаций, выполняющихперевозки пассажиров автомобильным транспортом по муниципальным маршрутам регулярных пассажирских перевозок на 2021 г и пл пер 2022-2023гг"</t>
  </si>
  <si>
    <t>2.1.16. участие в предупреждении и ликвидации последствий чрезвычайных ситуаций в границах городского округа</t>
  </si>
  <si>
    <t>фу</t>
  </si>
  <si>
    <t>гх</t>
  </si>
  <si>
    <t xml:space="preserve">Постановление Правительства Красноярского края от 30.09.2013 № 515-п ОБ УТВЕРЖДЕНИИ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
</t>
  </si>
  <si>
    <t>Соглашение от 10.05.2018 № 7ПМ</t>
  </si>
  <si>
    <t>Постановление администрации города Дивногорска от 30.09.2015 №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t>
  </si>
  <si>
    <t>2.1.19. обеспечение первичных мер пожарной безопасности в границах городского округа</t>
  </si>
  <si>
    <t>администрация</t>
  </si>
  <si>
    <t xml:space="preserve">Постановление Правительства Красноярского края от 30.09.2013 N 511-п
(ред. от 18.10.2018)
"Об утверждении государственной программы Красноярского края "Развитие культуры и туризма"
</t>
  </si>
  <si>
    <t xml:space="preserve">Соглашение от 14.05.2018 № 179ГС </t>
  </si>
  <si>
    <t>2.1.21.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</si>
  <si>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Обр</t>
  </si>
  <si>
    <t>Бюджетный кодекс Российской Федерации</t>
  </si>
  <si>
    <t xml:space="preserve">статья 179 </t>
  </si>
  <si>
    <t>31.07.1998 - бессрочный</t>
  </si>
  <si>
    <t xml:space="preserve">Закон Красноярского края от 08.12.2016 № 2-195 «О краевом бюджете на 2017 год и плановый период 2018 - 2019 годов» </t>
  </si>
  <si>
    <t xml:space="preserve">статья 6 </t>
  </si>
  <si>
    <t>01.01.2017 - 31.12.2019</t>
  </si>
  <si>
    <t xml:space="preserve">Постановление Правительства Красноярского края от 24.03.2017 N 154-п
"О распределении субсидий бюджетам муниципальных образований Красноярского края на приобретение и распространение световозвращающих приспособлений среди учащихся первых классов муниципальных общеобразовательных организаций в 2017 году"
</t>
  </si>
  <si>
    <t>В целом</t>
  </si>
  <si>
    <t>Постановление Правительства Красноярского края от 30.09.2013 №510-п «Об утверждении государственной программы Красноярского края «Развитие транспортной системы»</t>
  </si>
  <si>
    <t xml:space="preserve">Соглашение от 23.05.2017 №75-6005 «О предоставлении субсидии муниципальному образованию из краевого бюджета на проведение мероприятий,  направленных на обеспечение безопасного участия детей в дорожном движении в 2017 году» </t>
  </si>
  <si>
    <t xml:space="preserve">Постановление администрации города Дивногорска от 30.09.2015 № 152п "Об утверждении муниципальной программы "Система образования города Дивногорска" </t>
  </si>
  <si>
    <t xml:space="preserve">Постановление Правительства Красноярского края от 24.03.2017 N 154-п "О распределении субсидий бюджетам муниципальных образований Красноярского края на приобретение и распространение световозвращающих приспособлений среди учащихся первых классов муниципальных общеобразовательных организаций в 2017 году"
</t>
  </si>
  <si>
    <t xml:space="preserve">статья 69.2 </t>
  </si>
  <si>
    <t>Закон Красноярского края от 06.12.2018 № 6-2299 «О краевом бюджете на 2019 год и плановый период 2020–2021 годов»</t>
  </si>
  <si>
    <t>01.01.2019 - 31.12.2021</t>
  </si>
  <si>
    <t>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t>
  </si>
  <si>
    <t>01.01.2016 - бессрочный</t>
  </si>
  <si>
    <t>Постановление Правительства Красноярского края от 30.09.2013 N 508-п "Об утверждении государственной программы Красноярского края "Развитие образования"</t>
  </si>
  <si>
    <t>Соглашение о предоставлении субсидии из бюджета Красноярского края бюджету муниципального образования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 04709000-1-2019-003 от 30.04.2019</t>
  </si>
  <si>
    <t>Закон Красноярского края от 30.11.2017 № 4-1155 «О краевом бюджете на 2018 год и плановый период 2019 - 2020 годов»</t>
  </si>
  <si>
    <t>01.01.2018 - 31.12.2020</t>
  </si>
  <si>
    <t>Постановление администарции города Дивногорска от 24.12.2012 № 264п "Об утверждении Положения о порядке и условиях формирования муниципального задания в отношении муниципальных учреждений, финансового обеспечения и оценки выполнения муниципального задания"</t>
  </si>
  <si>
    <t>131-ФЗ от 06.10.2003 "Об общих принципах организации местного самоуправления"</t>
  </si>
  <si>
    <t>Указ Губернатора Красноярского края от 25.10.2022 №317-уг "О социально-экономических мерах поддержки лиц, принимающих участие в специальной военной операции, и членов их семей"</t>
  </si>
  <si>
    <t>Постановление администрации города Дивногорска от 15.11.2022 №202п</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</si>
  <si>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</si>
  <si>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ОБР</t>
  </si>
  <si>
    <t>Закон Красноярского края от 05.12.2019 № 8-3414 "О краевом бюджете на 2020 год и плановый период 2021 - 2022 годов", Закон Красноярского края от 02.04.2020 N 9-3811 "О внесении изменений в Закон края "О краевом бюджете на 2020 год и плановый период 2021 - 2022 годов" (подписан Губернатором Красноярского края 13.04.2020)</t>
  </si>
  <si>
    <t>обр</t>
  </si>
  <si>
    <t xml:space="preserve">Постановление Правительства Красноярского края от 06.03.2017 N 119-п "О распределении муниципальным образованиям Красноярского края субсидий на проведение работ в общеобразовательных организациях с целью устранения предписаний надзорных органов к зданиям общеобразовательных организаций в 2017 году"
</t>
  </si>
  <si>
    <t xml:space="preserve">Постановление Правительства Красноярского края от 30.09.2013 N 508-п "Об утверждении государственной программы Красноярского края "Развитие образования"
</t>
  </si>
  <si>
    <t xml:space="preserve">Соглашение о предоставлении субсидии бюджету муниципального образования на проведение работ в общеобразовательных организациях с целью устранения тредпнсаннй надзорных органов к зданиям общеобразовательных организаций от 14.03.2017
</t>
  </si>
  <si>
    <t>Постановление Правительства Красноярского края от 24.04.2019 № 193-п «Об утверждении распределения субсидий бюджетам городских округов и муниципальных районов Красноярского края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на 2019 год»</t>
  </si>
  <si>
    <t>Постановление Правительства Красноярского края от 30.09.2013 № 517-п «Об утверждении государственной программы Красноярского края «Содействие развитию местного самоуправления»</t>
  </si>
  <si>
    <t>Соглашение о предоставлении субсидии муниципальному образованию Красноярского края из краевого бюджета  №131/12-18 от 11.05.2018</t>
  </si>
  <si>
    <t xml:space="preserve">Постановление администрации города Дивногорска от 27.07.2018 № 144п "Об утверждении Порядка финансирования и расходования субсидии, предоставляемой муниципальному образованию город Дивногорск Красноярского края из краевого бюджетав2018 году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t>
  </si>
  <si>
    <t>"Бюджетный кодекс Российской Федерации" от 31.07.1998 N 145-ФЗ (ред. от 27.12.2019)</t>
  </si>
  <si>
    <t>статья 139</t>
  </si>
  <si>
    <t>31.07.1998-бессрочный</t>
  </si>
  <si>
    <t>Закон Красноярского края от 10.07.2007 N 2-317 (ред. от 05.12.2019) "О межбюджетных отношениях в Красноярском крае" (подписан Губернатором Красноярского края 20.07.2007) (вместе с "Методикой определения расчетного объема дотации на выравнивание бюджетной обеспеченности бюджетов городских округов и консолидированных бюджетов муниципальных районов края", "Методикой распределения дотаций на выравнивание бюджетной обеспеченности поселений", "Методикой распределения дотаций на выравнивание бюджетной обеспеченности муниципальных районов (городских округов) и определения уровня расчетной бюджетной обеспеченности муниципальных районов (городских округов) после выравнивания", "Методикой расчета объема субсидии из бюджетов поселений в краевой бюджет", "Порядком определения объемов районных фондов...</t>
  </si>
  <si>
    <t>статья 10</t>
  </si>
  <si>
    <t>01.01.2008 - бессрочный</t>
  </si>
  <si>
    <t>Постановление Правительства Красноярского края от 31.12.2019 N 810-п "Об утверждении Порядка предоставления и распределения субсидии бюджетам муниципальных районов и городских округов Красноярского края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</si>
  <si>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Постановление Правительства Красноярского края от 03.05.2018 № 223-п «Об утверждении распределения субсидий бюджетам городских округов и муниципальных районов Красноярского края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на 2018 год»</t>
  </si>
  <si>
    <t>Проект соглашения</t>
  </si>
  <si>
    <t>Закон Красноярского края от 30.11.2017 № 4-1155 «О краевом бюджете на 2018 год и плановый период 2019–2020 годов», Закон Красноярского края от 29.10.2009 N 9-3864 "О системах оплаты труда работников краевых государственных учреждений".</t>
  </si>
  <si>
    <t xml:space="preserve">Договор № В068718/2159Д от 19.11.2018 года на пожертвование денежных средств юридическому лицу – резиденту РФ от ООО «РН-Ванкор» на развитие инфраструктуры города </t>
  </si>
  <si>
    <t>Соглашение о предоставлении субсидии муниципальному образованию из краевого бюджета на создание в общеобразовательных организациях, расположенных в сельской местности, условий для занятий физической культурой и спортом в 2019 году от 05.04.2019</t>
  </si>
  <si>
    <t>статья 16</t>
  </si>
  <si>
    <t>01.01.2020 - бессрочный</t>
  </si>
  <si>
    <t>Постановление Правительства Красноярского края от 30.09.2013 N 508-п (ред. от 10.12.2019) "Об утверждении государственной программы Красноярского края "Развитие образования" (с изм. и доп., вступающими в силу с 01.01.2020), Постановление Правительства Красноярского края от 30.09.2015 N 495-п (ред. от 05.04.2018)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t>
  </si>
  <si>
    <t>01.01.2014-бессрочный, 01.01.2016-бессрочный</t>
  </si>
  <si>
    <t>Соглашение о предоставлении субсидии из бюджета Красноярского края местному бюджету на внедрение целевой модели цифровой образовательной среды в общеобразовательных организациях и профессиональных образовательных организациях в 2020-2022 годах № 04709000-1-2020-004 от 18.01.2020</t>
  </si>
  <si>
    <t>Закон Красноярского края от 05.12.2019 N 8-3414 "О краевом бюджете на 2020 год и плановый период 2021 - 2022 годов" (подписан Губернатором Красноярского края 18.12.2019)</t>
  </si>
  <si>
    <t>статья 180</t>
  </si>
  <si>
    <t>статья 7</t>
  </si>
  <si>
    <t>01.01.2018 - 31.12.2021</t>
  </si>
  <si>
    <t>статья 181</t>
  </si>
  <si>
    <t>статья 8</t>
  </si>
  <si>
    <t>01.01.2018 - 31.12.2022</t>
  </si>
  <si>
    <t>статья 182</t>
  </si>
  <si>
    <t>статья 9</t>
  </si>
  <si>
    <t>01.01.2018 - 31.12.2023</t>
  </si>
  <si>
    <t>статья 183</t>
  </si>
  <si>
    <t>01.01.2018 - 31.12.2024</t>
  </si>
  <si>
    <t>Постановление Правительства Красноярского края от 26.07.2019 N 387-п "Об утверждении распределения в 2020 году субсидий бюджетам муниципальных районов и городских округов Красноярского края на устройство плоскостных спортивных сооружений в сельской местности", Постановление Правительства Красноярского края от 21.04.2020 N 266-п "О внесении изменений в Постановление Правительства Красноярского края от 26.07.2019 N 387-п "Об утверждении распределения в 2020 году субсидий бюджетам муниципальных районов и городских округов Красноярского края на устройство плоскостных спортивных сооружений в сельской местности"</t>
  </si>
  <si>
    <t>Проект</t>
  </si>
  <si>
    <t>статья 69.3</t>
  </si>
  <si>
    <t xml:space="preserve">Соглашение о предоставлении субсидии бюджету муниципального образования на развитие инфраструктуры общеобразовательных организаций на проведение работ в общеобразовательных организациях с целью приведения зданий и сооружений общеобразовательных организаций в соответствие требованиям надзорных органов в 2019 году
о предоставлении субсидии бюджету муниципального образования
на развитие инфраструктуры общеобразовательных организаций на проведение работ в общеобразовательных организациях с целью приведения зданий и сооружений общеобразовательных организаций в соответствие требованиям надзорных органов в 2019 год
</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</si>
  <si>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</si>
  <si>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Обр  ддт</t>
  </si>
  <si>
    <t>Закон Красноярского края от 05.12.2019 № 8-3414 "О краевом бюджете на 2020 год и плановый период 2021 - 2022 годов"</t>
  </si>
  <si>
    <t xml:space="preserve">Распоряжение Правительства Красноярского края от 18.09.2020 N 670-р &lt;О внедрении системы персонифицированного финансирования дополнительного образования детей в Красноярском крае&gt;, </t>
  </si>
  <si>
    <r>
      <t xml:space="preserve">Постановление администрации города Дивногорска от 02.11.2020 </t>
    </r>
    <r>
      <rPr>
        <i/>
        <sz val="8"/>
        <color indexed="8"/>
        <rFont val="Times New Roman Cyr"/>
        <charset val="204"/>
      </rPr>
      <t>№ 176п "Об утверждении Правил персанифицированного финансирования дополнительного образования детей в городском округе города Дивногорск", Постановление администрации города Дивногорска от 02.11.2020 № 177п "О внесении изменений в постановление администрации города Дивногорска от 18.11.2015 № 182п "Об утверждении Порядка формирования муниципального задания в отношении муниципальных учреждений и финансового обеспечения выполнения муниципального задания"</t>
    </r>
  </si>
  <si>
    <t>статья 184</t>
  </si>
  <si>
    <t>статья 11</t>
  </si>
  <si>
    <t>Федеральный закон от 06.10.2003 № 131-ФЗ «Об общих принципах организации местного самоуправления в Российской Федерации»</t>
  </si>
  <si>
    <t>06.10.2003 - бессрочный</t>
  </si>
  <si>
    <t>Закон Красноярского края от 30.11.2017 № 4-1155 «О краевом бюджете на 2018 год и плановый период 2019–2020 годов»</t>
  </si>
  <si>
    <t>Постановление Правительства Красноярского края от 02.04.2018 № 122-п «Об утверждении распределения субсидий бюджетам муниципальных образований Красноярского края на реализацию мероприятий по созданию в дошкольных образовательных организациях, организаций дополнительного образования детей условий для получения детьми с ограниченными возможностями здоровья и детьми-инвалидами качественного образования в 2018».</t>
  </si>
  <si>
    <t>Соглашение о предоставлении субсидии из бюджета  Красноярского края бюджету муниципального образования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от 15.05.2018 № 04709000-1-2018-004</t>
  </si>
  <si>
    <t>Постановление администрации г. Дивногорска от 24.07.2018 № 139п "Об утверждении Порядка финансирования и расходования субсидии, предоставляемой муниципальному образованию город Дивногорск Красноярского края из бюджета Красноярского края в 2018 году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t>
  </si>
  <si>
    <t>Культура</t>
  </si>
  <si>
    <t>Закон Красноярского края от 28.06.2007 № 2-190 «О культуре»</t>
  </si>
  <si>
    <t>статья10</t>
  </si>
  <si>
    <t xml:space="preserve"> 28.06.2007- бессрочный</t>
  </si>
  <si>
    <t>Постановление администарции города Дивногорска от 24.12.2012 № 264п "Об утверждении Положения о порядке и условиях формирования муниципального задания в отношении муниципальных учреждений, финансового обеспечения и оценки выполнения муниципального задания",Постановление администрации города Дивногорска от 30.09.2015 № 148п "Об утверждении муниципальной программы "Культура муниципального образования город Дивногорск"</t>
  </si>
  <si>
    <t>Постановление администрации города Дивногорска от 30.09.2015 № 148п "Об утверждении муниципальной программы "Культура муниципального образования город Дивногорск"</t>
  </si>
  <si>
    <t>статья 17</t>
  </si>
  <si>
    <t>статья11</t>
  </si>
  <si>
    <t>статья 18</t>
  </si>
  <si>
    <t>статья12</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</si>
  <si>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</si>
  <si>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Федеральный закон от 06.10.2003 № 131-ФЗ «Об общих принципах организации местного самоуправления в Российской Федерации», Федеральный Закон от 24.07.1998 № 124-ФЗ «Об основных гарантиях прав ребенка в РФ»</t>
  </si>
  <si>
    <t xml:space="preserve">Закон Красноярского края от 07.07.2009 N 8-3618 "Об обеспечении прав детей на отдых, оздоровление и занятость в Красноярском крае"  </t>
  </si>
  <si>
    <t>Соглашение о предоставлении субсидии на организацию отдыха детей в каникулярное время в 2017 году  от 01.03.2017</t>
  </si>
  <si>
    <t>Постановление администрации города Дивногорска от 29.12.2017 № 212п "Об утверждении Положений о лагерях, организованных образовательными организациями, осуществляющими организацию отдыха и оздоровления обучающихся в каникулярное время (с круглосуточным или дневным пребыванием)".</t>
  </si>
  <si>
    <t xml:space="preserve">Закон Красноярского края от 07.07.2009 N 8-3618 "Об обеспечении прав детей на отдых, оздоровление и занятость в Красноярском крае"     </t>
  </si>
  <si>
    <t>Постановление администрации города Дивногорска от 30.03.2017 № 67п "Об утверждении порядка финансирования и расходования субсидии, предоставляемых муниципальному образованию город Дивногорск из краевого бюджета, на организацию отдыха детей в каникулярное время в 2017 году".</t>
  </si>
  <si>
    <t>Закон Красноярского края от 07.07.2009 N 8-3618 "Об обеспечении прав детей на отдых, оздоровление и занятость в Красноярском крае"</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</si>
  <si>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</si>
  <si>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гимц,тцо</t>
  </si>
  <si>
    <t xml:space="preserve">Закон Красноярского края от 08.12.2016 № 2-195 «О краевом бюджете на 2017 год и плановый период 2018 - 2019 годов», Устав Красноярского края - статья 103
 </t>
  </si>
  <si>
    <t>мску</t>
  </si>
  <si>
    <t xml:space="preserve">Федеральный закон от 06.10.2003 N 131-ФЗ
"Об общих принципах организации местного самоуправления в Российской Федерации"
</t>
  </si>
  <si>
    <t xml:space="preserve">статья 16 </t>
  </si>
  <si>
    <t>Закон Красноярского края от 29.10.2009 № 9-3864 «О системах оплаты труда работников краевых государственных учреждений»</t>
  </si>
  <si>
    <t>статья 2, 3, 4</t>
  </si>
  <si>
    <t>16.11.2009 - бессрочный</t>
  </si>
  <si>
    <t>Постановление администрации г. Дивногорска от 16.05.2012 № 119п "Об утверждении Положения о системах оплаты труда работников муниципальных учреждений города Дивногорска"
  Постановление администрации г. Дивногорска от 30.09.2015 №152п «Система образования города Дивногорска» (в ред. пост. №142п от 24.07.2018)</t>
  </si>
  <si>
    <t xml:space="preserve">Постановление администрации города
Дивногорска от 25.09.2013 № 187п  Об утверждении Положения об оплате труда работников
муниципального специализированного казенного 
учреждения по ведению бюджетного учета
«Межведомственная централизованная бухгалтерия»
</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</si>
  <si>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</si>
  <si>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культура</t>
  </si>
  <si>
    <t>Постановление Правительства Красноярского края от 30.09.2013 № 511 -п «Об утверждении государственной программы Красноярского края «Развитие культуры и туризма».</t>
  </si>
  <si>
    <t>Соглашение о предоставлении субсидии на комплектование книжных фондов библиотек муниципальному образованию Красноярского края из краевого бюджета №58 от 19.02.2018</t>
  </si>
  <si>
    <t>01.01.2023 - 31.12.2025</t>
  </si>
  <si>
    <t>Соглашение о предоставлении субсидии на комплектование книжных фондов библиотек муниципальному образованию Красноярского края из краевого бюджета № 04709000-1-2023-005 от 24.01.2023</t>
  </si>
  <si>
    <t>Закон Красноярского края от 09.12.2021 № 2-255 «О краевом бюджете на 2022 год и плановый период 2023–2024 годов»</t>
  </si>
  <si>
    <t>01.01.2022 - 31.12.2022</t>
  </si>
  <si>
    <t>Постановление Правительства Красноярского края от 03.11.2021N 783-п "Об утверждении Порядка предоставления и распределения субсидий  бюджетам муниципальных образований Красноярского края на государственную поддрежку отрасли культуры"</t>
  </si>
  <si>
    <t>Соглашение о предоставлении субсидии на создание виртуального концертного зала №04709000-1-2022-009 от 21.01.2022</t>
  </si>
  <si>
    <t>2.1.30. создание условий для организации досуга и обеспечения жителей городского округа услугами организаций культуры</t>
  </si>
  <si>
    <t>Федеральный закон от 25.06.2002 № 73-ФЗ «Об объектах культурного наследия (памятниках истории и культуры) народов Российской Федерации»</t>
  </si>
  <si>
    <t>Закон Красноярского края от 23.04.2009 № 8-3166 «Об объектах культурного наследия (памятниках истории и культуры) народов Российской Федерации, расположенных на территории Красноярского края»</t>
  </si>
  <si>
    <t>Соглашение о предоставлении субсидии на комплектование книжных фондов библиотек муниципальному образованию Красноярского края из краевого бюджета № 04709000-1-2023-003 от 25.01.2023</t>
  </si>
  <si>
    <t>проект</t>
  </si>
  <si>
    <t>Постановление Правительства Красноярского края от 08.06.2017 № 317-п «Об утверждении списка муниципальных образований Красноярского края – победителей конкурса на предоставление субсидий бюджетам муниципальных образований Красноярского края на реализацию социокультурных проектов муниципальными учреждениями культуры и образовательными организациями в области культуры в 2017 году», Постановление Правительства Красноярского края от 16.09.2009 N 478-п "Об утверждении Порядка конкурсного отбора, распределения, предоставления, расходования средств субсидий бюджетам муниципальных образований края на реализацию социокультурных проектов муниципальными учреждениями культуры и образовательными организациями в области культуры"</t>
  </si>
  <si>
    <t>Соглашение о предоставлении субсидии муниципальному образованию Красноярского края из краевого бюджета  №286 от 16.06.2017</t>
  </si>
  <si>
    <t xml:space="preserve">Постановление Правительства Красноярского края от 10.05.2017 № 259-п «Об утверждении распределения субсидий бюджетам городских округов и муниципальных районов Красноярского края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на 2017 год» </t>
  </si>
  <si>
    <t>Соглашение о предоставлении субсидии муниципальному образованию Красноярского края из краевого бюджета  №132/12-17 от 29.05.2017</t>
  </si>
  <si>
    <t>Закон Красноярского края от 06.12.2018 № 6-2299 "О краевом бюджете на 2019 год и плановый период 2020 - 2021 годов"</t>
  </si>
  <si>
    <t>Постановление Правительства Красноярского края от 30.09.2015 N 495-п (ред. от 05.04.2018)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30.09.2013 N 511-п (ред. от 28.05.2019) "Об утверждении государственной программы Красноярского края "Развитие культуры и туризма", Постановление Правительства Красноярского края от 24.06.2019 N 321-п "Об утверждении распределения в 2019 году субсидий бюджетам муниципальных образований Красноярского края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t>
  </si>
  <si>
    <t>01.01.20016 - бессрочно; 01.01.2014-бессрочно; 25.06.2019-бессрочно</t>
  </si>
  <si>
    <t>Соглашение о предоставлении субсидии муниципальному образованию Красноярского края из краевого бюджета  № 246 от 27.06.2019</t>
  </si>
  <si>
    <t>Бюджетный кодекс Российской Федерации, Федеральный закон от 12.01.1996 N 7-ФЗ "О некоммерческих организациях", Федеральный закон от 03.11.2006 N 174-ФЗ "Об автономных учреждениях"</t>
  </si>
  <si>
    <t>статья 69.4</t>
  </si>
  <si>
    <t>Постановление Правительства Красноярского края от 10.05.2018 №240-п «Об утверждении перечня победителей конкурсного отбора для предоставления средств субсидии бюджетам муниципальных образований Красноярского края на развитие и укрепление материально-технической базы, осуществление ремонтных работ (текущего ремонта) зданий муниципальных учреждений культуры клубного типа в 2018 году»  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t>
  </si>
  <si>
    <t>Соглашение о предоставлении субсидии №04709000-1-2018-005 от 14.05.2018</t>
  </si>
  <si>
    <t>Постановление администрации города Дивногорска от 10.07.2018 № 133п "0б утверждении Порядка финансирования и расходования субсидии, предоставляемой из краевого бюджета бюджету города Дивногорска на обеспечение развития и укрепления материально-технической базы муниципальных домов культуры в населенных пунктах с числом жителей до 50 тысяч человек в 201 8 году".</t>
  </si>
  <si>
    <t>Постановление Правительства Красноярского края от 30.09.2015 N 495-п (ред. от 05.04.2018)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30.09.2013 N 511-п (ред. от 28.05.2019) "Об утверждении государственной программы Красноярского края "Развитие культуры и туризма",  Постановление Правительства Красноярского края № 220-п от 08.05.2019 "Об утверждении распределения в 2019 году субсидий бюджетам муниципальных образований Красноярского края на приобретение специального оборудования, сырья и расходных материалов для муниципальных домов ремёсел и муниципальных клубных формирований по ремёслам,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ремёслам"</t>
  </si>
  <si>
    <t>01.01.20016 - бессрочно; 01.01.2014-бессрочно; 14.05.2019-бессрочно</t>
  </si>
  <si>
    <t>Соглашение о предоставлении субсидии муниципальному образованию Красноярского края из краевого бюджета  № 164 от 15.05.2019</t>
  </si>
  <si>
    <t>Постановление администрации г. Дивногорска от 18.05.2012 № 122п «Об утверждении Примерного положения об оплате труда работников муниципальных учреждений в сфере культуры"</t>
  </si>
  <si>
    <t>2.1.33.обеспечение условий для развития на территории городского округа физической культуры, школьного спорта и массового спорта</t>
  </si>
  <si>
    <t>спорт</t>
  </si>
  <si>
    <t>Постановление Правительства Красноярского края от 30.09.2013 № 519 - п «Об утверждении государственной программы Красноярского края «Молодежь Красноярского края в XXI веке»</t>
  </si>
  <si>
    <t xml:space="preserve">Постановление администрации города Дивногорска от 30.09.2015 № 149п "Об утверждении муниципальной программы "Физическая культура, спорт и молодежная политика в муниципальном образовании город Дивногорск" </t>
  </si>
  <si>
    <t>01.01.2000 - бессрочный</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</si>
  <si>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t>
  </si>
  <si>
    <t>Постановление Правительства Красноярского края от 30.09.2013 № 518-п «Об утверждении государственной программы Красноярского края «Развитие физической культуры и спорта»</t>
  </si>
  <si>
    <t>Соглашение о предоставлении субсидии №53ДЮС от 07.05.2019</t>
  </si>
  <si>
    <t xml:space="preserve"> Закон Красноярского края от 10.07.2007 № 2-317 "О межбюджетных отношениях в Красноярском крае"</t>
  </si>
  <si>
    <t>Соглашение о предоставлении субсидии № 6/МТБ от 23.03.2018</t>
  </si>
  <si>
    <t>Соглашение о предоставлении субсидии № 6/МТБ от 23.03.2019</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</si>
  <si>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</si>
  <si>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статья 12</t>
  </si>
  <si>
    <t>Соглашение о предоставлении субсидии № 6/МТБ от 23.03.2020</t>
  </si>
  <si>
    <t>спорт   до сш</t>
  </si>
  <si>
    <t>Постановление администрации города Дивногорска от 30.09.2015 № 149п "Об утверждении муниципальной программы "Физическая культура, спорт и молодежная политика в муниципальном образовании город Дивногорск" (в ред. от 01.04.2016 № 35п, 18.05.2016 № 56п, 29.06.2016 № 103п, 12.07.2016 № 130п, 10.10.2016 № 175п, 08.11.2016 № 209п, от 06.12.2016 №238п)</t>
  </si>
  <si>
    <t xml:space="preserve">Постановление Правительства Красноярского края № 495-п от 30.09.2015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30.09.2013 N 518-п (ред. от 28.05.2019) "Об утверждении государственной программы Красноярского края "Развитие физической культуры и спорта", Постановление Правительства Красноярского края от 22.08.2019 N 435-п "Об утверждении распределения в 2019 году субсидий бюджетам муниципальных районов и городских округов Красноярского края на обеспечение муниципальных физкультурно-спортивных организаций и муниципальных организаций дополнительного образования, осуществляющих деятельность в области физической культуры и спорта, осуществляющих подготовку спортивного резерва для спортивных сборных команд Красноярского края в соответствии с требованиями федеральных стандартов спортивной подготовки" </t>
  </si>
  <si>
    <t>02.10.2015 - бессрочный; 01.01.2014 - бессрочно; 24.08.2019-бессрочно</t>
  </si>
  <si>
    <t xml:space="preserve">Соглашение № 111ФС от 30.08.2019г.  </t>
  </si>
  <si>
    <t>Закон Красноярского края от 09.12.2022 № 4-1351 «О краевом бюджете на 2023 год и плановый период 2024–2025 годов»</t>
  </si>
  <si>
    <t>01.01.2023-31.12.2025</t>
  </si>
  <si>
    <t>Постановление Правительства Красноярского края от 02.02.20222 № 63-п "О порядке предоставления и распределения субсидий бюджетам муниципальных образований Красноярского края на устройство быстровозводимых крытых конструкций и Постановление Правительства Красноярского края от 06.03.2023 г. № 169-п "Об утверждении распределения субсидии бюджетам муниципальных образований Красноярского края на устройство быстровозводимых крытых конструкций"</t>
  </si>
  <si>
    <t>Соглашение о предоставлении субсидии местному бюджету на устройство быстровозвоимых крытых кнструкций из краевого бюджета № 1КК23 от 03.04.2023 г.</t>
  </si>
  <si>
    <t xml:space="preserve"> Закон Красноярского края от 10.07.2007 № 2-317 "О межбюджетных отношениях в Красноярском крае"   Закон Красноярского края от 30.11.2017 № 4-1155 «О краевом бюджете на 2018 год и плановый период 2019–2020 годов»</t>
  </si>
  <si>
    <t>01.01.2014 - бессрочный</t>
  </si>
  <si>
    <t>Соглашение о предоставлении субсидии №107К от 14.05.2018</t>
  </si>
  <si>
    <t>14.05.2018</t>
  </si>
  <si>
    <t>Постановление Правительства Красноярского края от 02.02.2022 № 60-п "Об утверждении Методики распределения иных межбюджетных трансфертов бюджетам муниципальных образований Красноярского края на поддержку физкультурно-спортивных клубов по месту жительства и правил их предоставления и признания утратившими силу отдельных постановлений Правительства Красноярского края"</t>
  </si>
  <si>
    <t>Постановление Правительства Красноярского края от 13.01.2023 № 13-п "Об утверждении распределения иных межбюджетных трансфертов бюджетам муниципальных образований Красноярского края на поддержку физкультурно-спортивных клубов по месту жительства на 2023 год"</t>
  </si>
  <si>
    <t>Соглашение о предоставлении иного межбюджетного трансферта из краевого бюджета местному бюджету № 4К от 15.02.2023</t>
  </si>
  <si>
    <t>15.02.2023</t>
  </si>
  <si>
    <t>Закон Красноярского края от 09.12.2022 № 4-1351 "О краевом бюджете на 2023 год и плановый период 2024 - 2025 годов"</t>
  </si>
  <si>
    <t>Постановление Правительства Красноярского края от 26.11.2021 № 829-п " Об утверждении Методики распределения иных межбюджетных трансфертов из краевого бюджета бюджетам муниципальных образований Красноярского края на устройство плоскостных спортивных сооружений в сельской местности и правил их предоставления"</t>
  </si>
  <si>
    <t>Постановление Правительства Красноярского края от 10.02.2023 № 105-п "Об утверждении распределения иных межбюджетных трансфертов из краевого бюджета бюджетам муниципальных образований Красноярского края на устройство плоскостных спортивных сооружений в сельской местности на 2023 год"</t>
  </si>
  <si>
    <t>Соглашение о предоставлении иного межбюджетного трансферта из краевого бюджета местному бюджету № 3УПС23 от 14.02.2023</t>
  </si>
  <si>
    <t>14.02.2023</t>
  </si>
  <si>
    <t>Соглашение о предоставлении субсидии №15УПС от 24.04.2018</t>
  </si>
  <si>
    <t>24.04.2018</t>
  </si>
  <si>
    <t>Бюджетный кодекс Российской Федерации от 31.07.1998 N 145-ФЗ (ред. от 27.12.2019)</t>
  </si>
  <si>
    <t>Закон Красноярского края от 06.12.2018 N 6-2299 (ред. от 03.10.2019) "О краевом бюджете на 2019 год и плановый период 2020 - 2021 годов" (подписан Губернатором Красноярского края 17.12.2018)</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</si>
  <si>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</si>
  <si>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Постановление Правительства Красноярского края от 30.09.2013 № 518-п «Об утверждении государственной программы Красноярского края «Развитие физической культуры и спорта», Постановление Правительства Красноярского края от 26.07.2019 N 387-п "Об утверждении распределения в 2020 году субсидий бюджетам муниципальных районов и городских округов Красноярского края на устройство плоскостных спортивных сооружений в сельской местности"</t>
  </si>
  <si>
    <t>01.01.2014 - бессрочный, 26.07.2019-бессрочный</t>
  </si>
  <si>
    <t>Соглашение о предоставлении субсидии №7УПС20</t>
  </si>
  <si>
    <t>02.08.2019</t>
  </si>
  <si>
    <t>статья 19</t>
  </si>
  <si>
    <t>Закон Красноярского края от 10.12.2020 N 10-4538 (ред. от 22.04.2021) "О краевом бюджете на 2021 год и плановый период 2022 - 2023 годов" (подписан Губернатором Красноярского края 24.12.2020)</t>
  </si>
  <si>
    <t xml:space="preserve">Постановление Правительства Красноярского края от 30.09.2015 N 495-п, Постановление Правительства Красноярского края от 12.02.2020 N 97-п (ред. от 12.11.2020) "Об утверждении Порядка предоставления и распределения субсидии бюджетам муниципальных образований Красноярского края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спорта",Постановление Правительства Красноярского края от 05.03.2021 N 116-п "Об утверждении распределения в 2021 году субсидий бюджетам муниципальных образований Красноярского края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Приказ министерства финансов Красноярского края от 20.12.2019 N 171 (ред. от 01.04.2021) "Об утверждении Типовой формы соглашения о предоставлении субсидии местному бюджету из краевого бюджета".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</si>
  <si>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01.01.2016 - бессрочный, 14.02.2020- бессрочный, 10.03.2021- бессрочный, 21.12.2019-бессрочный</t>
  </si>
  <si>
    <t>Соглашение № 40МБТ21 от 05.04.2021</t>
  </si>
  <si>
    <t>2.1.34. организация проведения официальных физкультурно-оздоровительных и спортивных мероприятий городского округа</t>
  </si>
  <si>
    <t>Спорт</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</si>
  <si>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</si>
  <si>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2.1.35. создание условий для массового отдыха жителей городского округа и организация обустройства мест массового отдыха населения</t>
  </si>
  <si>
    <t>2.1.36. формирование и содержание муниципального архива</t>
  </si>
  <si>
    <t>2.1.37. организация ритуальных услуг и содержание мест захоронения</t>
  </si>
  <si>
    <t xml:space="preserve">Постановление администрации г. Дивногорска Красноярского края от 30.09.2015 N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
</t>
  </si>
  <si>
    <t>2.1.38.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</si>
  <si>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r>
      <rPr>
        <sz val="8"/>
        <rFont val="Times New Roman"/>
        <family val="1"/>
        <charset val="204"/>
      </rPr>
      <t>Постановление администрации г. Дивногорска Красноярского края от 30.09.2015 N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t>
    </r>
    <r>
      <rPr>
        <b/>
        <sz val="8"/>
        <rFont val="Times New Roman"/>
        <family val="1"/>
        <charset val="204"/>
      </rPr>
      <t xml:space="preserve">
</t>
    </r>
  </si>
  <si>
    <t>2.1.39. утверждение правил благоустройства территории городского округа, осуществление контроля за их соблюдением</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</si>
  <si>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</si>
  <si>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Постановление администрации г. Дивногорска Красноярского края от 30.09.2015 N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t>
  </si>
  <si>
    <t>СПОРТ</t>
  </si>
  <si>
    <t xml:space="preserve">Постановление администрации г. Дивногорска Красноярского края от 01.11.2017 N 196пОб утверждении муниципальной программы  «Формирование комфортной городской (сельской)  среды» в муниципальном образовании город Дивногорск на 2018-2024 годы» </t>
  </si>
  <si>
    <t>усгх</t>
  </si>
  <si>
    <t>Постановление Правительства РФ от 30.12.2017 № 1710 "Об утверждении госпрограммы "Обеспечение доступным т комфортным жильем и коммунальными услугами граждан РФ.В целях своевременного и качественного проведения работ по благоустройству дворовых территорий многоквартирных домов и проездов к дворовым территориям, на основании Постановления Правительства от 10.02.2017 №169  "Об утверждении правил предоставления и распределения субсидий из федерального бюджета бюджетам субъектов РФ на поддержку гос программ субъектов РФ и муниц прграмм формирования современной городской среды"</t>
  </si>
  <si>
    <t xml:space="preserve">Постановление администрации г. Дивногорска Красноярского края от 30.09.2015 N 154п, Постановление адм г.Дивногорска от 01.11.2017 № 196п "Об утверждении МП "Формирование комфортной городской (сельской) среды" в МО г.Дивногорск на 2018-2024гг"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
</t>
  </si>
  <si>
    <t>Постановление адм г.Дивногорска от 06.04.2018 №41п "Об утверждении порядка предоставления субсидий юридическим лицам, некоммерческим организациям в целях финансового обеспечения (возмещения) затрат в связи с проведением работ по благоустройству дворовых территорий и проездов к дворовым территориям МО г.Дивногорск</t>
  </si>
  <si>
    <t>адм-ция</t>
  </si>
  <si>
    <t xml:space="preserve">Постановление Правительства Красноярского края от 30.09.2013 N 515-п
(ред. от 09.10.2018)
"Об утверждении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
</t>
  </si>
  <si>
    <t xml:space="preserve">Соглашение от 10.05.2018 № 11 </t>
  </si>
  <si>
    <r>
      <rPr>
        <sz val="8"/>
        <rFont val="Times New Roman"/>
        <family val="1"/>
        <charset val="204"/>
      </rPr>
      <t>Постановление администрации г. Дивногорска Красноярского края от 30.09.2015 N 154п
"Об утверждении муниципальной программы "Функционирование жилищно-коммунального хозяйства и повышение энергетической эффективности муниципального образования город Дивногорск"</t>
    </r>
    <r>
      <rPr>
        <sz val="8"/>
        <rFont val="Calibri"/>
        <family val="2"/>
        <charset val="204"/>
        <scheme val="minor"/>
      </rPr>
      <t xml:space="preserve">
</t>
    </r>
  </si>
  <si>
    <t xml:space="preserve">Постановление администрации города Дивногорска от 30.09.2013 № 198 п Об утверждении Положения об оплате труда 
работников муниципального казенного учреждения 
«Городское хозяйство» города Дивногорска 
</t>
  </si>
  <si>
    <t>культура-цбс</t>
  </si>
  <si>
    <t>Соглашение № 1ИЦ от 12.01.2022</t>
  </si>
  <si>
    <t>Постановление администрации г. Дивногорска Красноярского края от 30.09.2015 N 154п</t>
  </si>
  <si>
    <t>Постановление Правительства Красноярского края от 04.06.2020 N 407-п "Об утверждении Порядка предоставления иных межбюджетных трансфертов"</t>
  </si>
  <si>
    <t>Соглашение № 04709000-1-2022-005 от 19.01.2023</t>
  </si>
  <si>
    <t>cпорт</t>
  </si>
  <si>
    <t>Закон Красноярского края от 09.12.2022 № 4-1351 "О краевом бюджете на 2023 год и плановый период 2024 - 2025 гдов"</t>
  </si>
  <si>
    <t>Постановление Правительства Красноярского края от 30.09.2015 № 495-п "Правила формирования, предоставления и распределения субсидий из краевого бюджета бюджетам муниципальных образований Красноярского края"</t>
  </si>
  <si>
    <t>Постановление Правительства Красноярского края от 30.09.2013 № 511-п "Об утверждении государственной программы Красноярского края "Развитие культуры и туризма", постановление Правительства Красноярского края от 06.03.2020 № 150-п "Об утверждении порядка предоставления и распределения субсидий бюджетам муниципальных образований на организацию туристско-рекреационных зон на территории Красноярского края"</t>
  </si>
  <si>
    <t>Соглашение о предоставлении субсидии из бюджета Красноярского края бюджету городского округа город Дивногорск на создание туристско-рекреационной зоны № 1 от 05.04.2023</t>
  </si>
  <si>
    <t>Соглашение о предоставлении субсидии из бюджета Красноярского края бюджету городского округа город Дивногорск на создание туристско-рекреационной зоны № 1 от 05.04.2024</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</si>
  <si>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</si>
  <si>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</si>
  <si>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Постановление администрации г.Дивногорска от 30.09.2015 №151п "О внесении изменений в постановление адм города от 30.09.2015 №151 "Об утверждении МП "Обеспечение доступным и комфортным жильем граждан МО г.Дивногрск"</t>
  </si>
  <si>
    <t>2.1.52. содействие развитию малого и среднего предпринимательства</t>
  </si>
  <si>
    <t>Администрация</t>
  </si>
  <si>
    <t>Постановление Правительства Красноярского края от 30/09/2013 №505"Об утверждении государственной  программы ККр"Развитие инвестиционной деятельности, малого и среднего предпринимательства"</t>
  </si>
  <si>
    <t>Постановление администрации города Дивногорска от 30.09.2015 № 146п «Об утверждении муниципальной программы "Содействие развитию местного самоуправления"</t>
  </si>
  <si>
    <t>Постановление адм г.Дивногорска от 28.08.2020 № 121п "Об утверждении Порядка и условий предоставления субсидий субъектам малого и среднего предпринимательства, осуществившим расходы на строительство (реконструкцию) для собственных нужд производственных зданий, строений, сооружений и (или) приобретение оборудования за счет привлеченных целевых заемных средств, предоставляемых на условиях платности и возвратности кредитными и лизинговыми организациями, региональной микрофинансовой организацией, федеральными и региональными институтами развития и поддержки субъетов малого и среднего предпринимательства, в целях создания и (или) развития, и (или) модернизации производства товаров (работ, услуг);Постановление администрации г.Дивногорска от 02.02.2022г №23п "Об утверждении Порядка предоставления субсидий субъекта малого и среднего предпринимательства и физическим лицам, применяющим специальный налоговый режим "Налог на профессиональный доход" на возмещение затрат при осуществлении предпринимательской деятельности"</t>
  </si>
  <si>
    <t>2.1.54. организация и осуществление мероприятий по работе с детьми и молодежью в городском округе</t>
  </si>
  <si>
    <t xml:space="preserve">Закон Красноярского края от 09.12.2022 № 4-1351 «О краевом бюджете на 2023 год и плановый период 2024-2025 годов» </t>
  </si>
  <si>
    <t xml:space="preserve">Постановление Правительства Красноярского края от 30.09.2015 №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t>
  </si>
  <si>
    <t>Постановление Правительства Красноярского края от 27.12.2019 № 771-п «Об утверждении порядка предоставления и распределения субсидий бюджетам муниципальных образований Красноярского края на развитие системы патриотического воспитания в рамках деятельности муниципальных молодежных центров»</t>
  </si>
  <si>
    <t>Соглашение о предоставлении субсидии местному бюджету из краевого бюджета № 2-1 от 09.03.2023</t>
  </si>
  <si>
    <t>Постановление Правительства Красноярского края от 31.12.2019 № 795-п «Об утверждении порядка предоставления и распределения субсидий бюджетам муниципальных образований Красноярского края на поддержку деятельности муниципальных молодежных центров"</t>
  </si>
  <si>
    <t>Соглашение о предоставлении субсидии местному бюджету из краевого бюджета № 4 от 15.02.2023</t>
  </si>
  <si>
    <t>Закон Красноярского края от 30.11.2017 № 4-1155 «О краевом бюджете на 2018 год и плановый период 2019–2020 годов», Закон Красноярского края от 08.12.2006 № 20-5445 «О государственной молодежной политике Красноярского края».</t>
  </si>
  <si>
    <t>Соглашение о предоставлении субсидии №22/МЦ от 19.03.2019</t>
  </si>
  <si>
    <t>19.03.2019</t>
  </si>
  <si>
    <t>Постановление Правительства Красноярского края от 30.09.2015 N 495-п (ред. от 05.04.2018)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края",Постановление Правительства Красноярского края от 30.09.2013 № 519 - п «Об утверждении государственной программы Красноярского края «Молодежь Красноярского края в XXI веке», Постановление Правительства Красноярского края от 30.12.2019 N 776-п "Об утверждении Порядка предоставления и распределения субсидий бюджетам муниципальных образований Красноярского края на организационную и материально-техническую модернизацию муниципальных молодежных центров", Постановление Правительства Красноярского края от 15.05.2020 N 352-п "Об утверждении распределения субсидий муниципальным образованиям Красноярского края на организационную и материально-техническую модернизацию муниципальных молодежных центров в 2020 году".</t>
  </si>
  <si>
    <t>Соглашение о предоставлении субсидии на организационную и материально-техническую модернизацию муниципального молодежного центра бюджету города Дивногорска из краевого бюджета № 2 от 19.05.2020г.</t>
  </si>
  <si>
    <t>Закон Красноярского края от 09.12.2022 № 4-1351 "О краевом бюджете на 2023 год и плановый период на 2024-2025 годов"</t>
  </si>
  <si>
    <t>Постановление Правительства Красноярского края от 25.04.2022 № 322-п "Об утверждении Порядка предоставления и распределения субсидий бюджетам муниципальных образований Красноярского края на развитие экстримальных видов спорта в рамках деятельности муниципальных молодежных центров" и Постановление Правительства Красноярского края от 12.05.2023 № 378-п "Об утверждении распределения субсидий бюджетам муниципальных образований Красноярского края на развитие экстримальных видов спорта в рамках деятельности муниципальных молодежных центров в 2023 году"</t>
  </si>
  <si>
    <t>Соглашение о предоставлении субсидии местному бюджету из краевого бюджета № 1 от 15.05.2023 г.</t>
  </si>
  <si>
    <t xml:space="preserve">Постановление администарции города Дивногорска от 24.12.2012 № 264п "Об утверждении Положения о порядке и условиях формирования муниципального задания в отношении муниципальных учреждений, финансового обеспечения и оценки выполнения муниципального задания"
</t>
  </si>
  <si>
    <t>Постановление администрации города Дивногорска от 30.09.2015 № 149п "Об утверждении муниципальной программы "Физическая культура, спорт и молодежная политика в муниципальном образовании город Дивногорск"</t>
  </si>
  <si>
    <t>Закон Красноярского края от 10.12.2020 № 10-4538 «О краевом бюджете на 2021 год и плановый период 2022–2023 годов», Закон Красноярского края от 08.12.2006 № 20-5445 «О государственной молодежной политике Красноярского края».</t>
  </si>
  <si>
    <t>01.01.2022 - 31.12.2024</t>
  </si>
  <si>
    <t>Постановление Правительства Красноярского края от 30.09.2013 № 519 - п «Об утверждении государственной программы Красноярского края «Молодежь Красноярского края в XXI веке», постановление Правительства Красноярского края от 31.12.2019 № 795-п</t>
  </si>
  <si>
    <t>Соглашение о предоставлении субсидии № 2 от 07.02.2022</t>
  </si>
  <si>
    <t>07.02.2022</t>
  </si>
  <si>
    <t>Соглашение о предоставлении субсидии №73 от 24.05.2021</t>
  </si>
  <si>
    <t>2.1.55.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</si>
  <si>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 xml:space="preserve">2.1.56. ДНД-оказание поддержки  гражданам и их объединениям, участвующим в охране общественного порядка, создание условий для деятельности нардных дружин - </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</si>
  <si>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</si>
  <si>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</si>
  <si>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горсовет</t>
  </si>
  <si>
    <t>Федеральный закон №131-ФЗ "Об общих принципах организации местного самоуправления в РФ" от 06.10.2003</t>
  </si>
  <si>
    <t>ст.35,52,53 Федерального закона 131-ФЗ</t>
  </si>
  <si>
    <t>08.10.2003г.</t>
  </si>
  <si>
    <t xml:space="preserve">                                    Решение     Дивногорского городского Совета депутатов "О бюджете города Дивногорска на 2021год и плановый период2022-2023 годов"                                              </t>
  </si>
  <si>
    <t>5-21-ГС</t>
  </si>
  <si>
    <t xml:space="preserve">   Постановл. правит. Краснояр.кр «Об утв. распред и Порядка предост. в 2018 году субсидий ... на повыш. размеров опл. труда работников бюдж.сферы Красноярского края с 1 января 2018 года на 4 процента»</t>
  </si>
  <si>
    <t>729-П</t>
  </si>
  <si>
    <t>Федерального Закона от 06.10.2003 № 131-ФЗ «Об общих принципах организации местного самоуправления в Российской Федерации»</t>
  </si>
  <si>
    <t xml:space="preserve">Статьи 35, 53 </t>
  </si>
  <si>
    <t>Решение городского Совета депутатов от 27.03.2008 № 39-234-ГС ( в редакции от 27.11.2008 № 45-275-ГС, от 29.01.2009 № 47-283-ГС, от 30.06.2011 № 15-102-ГС, от 25.10.2012 № 27-168-*ГС, 31.10.2013 № 37-224-ГС) "Положение об оплате труда депутатов, выборных должностных лиц, осуществляющих свои полномочия на постоянной основе в муниципальном образовании г.Дивногорск"</t>
  </si>
  <si>
    <t>Закон Красноярского края от 27.12.2005 №17-4356                          «О предельных нормативах размеров оплаты труда муниципальных служащих»                       (с изменениями  от 20.12.2007 № 4-1128, от 07.02.2008  № 4-1252, от 18.12.2008  №7-2633, от 24.12.2009 № 9-4311, от 25.03.2010 № 10-4502, от 19.05.2011 № 12-5881, от 10.11.2011 № 13-6409, от 11.10.12 № 3-512 и от 20.09.2013 № 5-1521)</t>
  </si>
  <si>
    <t xml:space="preserve">решение городского Совета депутатов
от 20.12.2007 №36-216-ГС (в редакции от 27.03.2008 №39-233-ГС, от 29.01.2009 №47-284-ГС, от 29.04.2010 №2-5-ГС, от 30.06.2011 №15-103-ГС, от 25.10.2012 №27-169-ГС) «Положение о предельных нормативах размеров  оплаты труда  муниципальных служащих в муниципальном образовании г.Дивногорск»
</t>
  </si>
  <si>
    <t>Постановление администрации города от 30.09.2013 № 196-п"Об утверждении положения об оплате труда работников администрации города Дивногорска, не являющихся лицами, замещающими муниципальные должности и должности муниципальной службы" (в редакции от 21.05.2015 № 84п)</t>
  </si>
  <si>
    <t>Постановление Совета администрации Красноярского края от 29.12.2007 № 512-п (ред. от 22.05.2014)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лиц, замещающих иные муниципальные должности, и муниципальных служащих»</t>
  </si>
  <si>
    <t xml:space="preserve">Постановление администрации города Дивногорска от 30.09.2015 № 148п "Об утверждении муниципальной.программы "Культура муниципального образования город Дивногорск" </t>
  </si>
  <si>
    <t>Постановление администрации города Дивногорска от 30.09.2015 № 148п "Об утверждении муниципальной.программы "Культура муниципального образования город Дивногорск" Решение Дивногорского городского Совета депутатов от 18.06.2015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г.Дивногорск"</t>
  </si>
  <si>
    <t>Постановление администрации г. Дивногорска от 16.05.2012 № 119п "Об утверждении Положения о системах оплаты труда работников муниципальных учреждений города Дивногорска" Постановление администрации г. Дивногорска от 18.05.2012 № 122п «Об утверждении Примерного положения об оплате труда работников муниципальных учреждений в сфере культуры"</t>
  </si>
  <si>
    <t>Постановление администрации города Дивногорска от 30.09.2015 № 149п "Об утверждении муниципальной.программы "Физическая культура, спорт и молодежная политика в муниципальном образовании город Дивногорск" Решение Дивногорского городского Совета депутатов от 18.06.2015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г.Дивногорск"</t>
  </si>
  <si>
    <t>ксо</t>
  </si>
  <si>
    <t>образование</t>
  </si>
  <si>
    <t xml:space="preserve">Постановление администрации города Дивногорска от 30.09.2015 № 152п "Об утверждении муниципальной программы "Система образования города Дивногорска", Решение Дивногорского городского Совета депутатов от 18.06.2015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г.Дивногорск" </t>
  </si>
  <si>
    <t>Закон Красноярского края от 24.04.2008 №5-1565 "Об особенностях правового регулирования муниципальной службы в Красноярском крае"</t>
  </si>
  <si>
    <t>Решение Дивногорского городского Совета депутатов от 18.06.2015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г.Дивногорск"</t>
  </si>
  <si>
    <t>Ст.2 гл.2, п.2 ст.54 гл.7 Решения</t>
  </si>
  <si>
    <t>21.04.2016г;       01.01.2016г</t>
  </si>
  <si>
    <t>01.06.2015г.</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</si>
  <si>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</si>
  <si>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 xml:space="preserve">                                       Решение     Дивногорского городского Совета депутатов  "Об утвержд. Положения об оплате ... в МО г.Дивногорск"  </t>
  </si>
  <si>
    <t>23-192-ГС</t>
  </si>
  <si>
    <t>Статьи 35, 53 Федерального Закона от 06.10.2003 № 131-ФЗ «Об общих принципах организации местного самоуправления в Российской Федерации»</t>
  </si>
  <si>
    <t>Постановление Правительства Красноярского края от 27.03.2014 №106-п "Об утверждении Порядка (методики) распределения грантов бюджетам городских округов и муниципальных районов Красноярского края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Красноярского края по результатам эффективности их деятельности, порядка, условий предоставления и расходования средств грантов, порядка предоставления отчетности об использовании средств грантов", постановления Правительства Красноярского края от 07.12.2017 №727-п "ОБ утверждении распределения грантов бюджетам городских округов и муниципальных районов Краснорского края в целях содействия достижению и (или0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Красноярского края по результатам оценки эффективности их деятельности на 2017 год"</t>
  </si>
  <si>
    <t>Решение     Дивногорского городского Совета депутатов № 23-192-ГС от 19.12.17 "Об утвержд. Положения об оплате ... в МО г.Дивногорск"  Устав города Дивногорска ст.7, ст.8. Решение ДГСД от 21.04.16 № 6-65-ГС "Положение о бюджетном процессе в МО г.Дивногорск"</t>
  </si>
  <si>
    <t>Постановление Правительства Красноярского края от 08.12.2017 №729-п «Об утверждении распределения и Порядка предоставления в 2018 году субсидий бюджетам муниципальных образований Красноярского края на частичное финансирование (возмещение) расходов на повышение размеров оплаты труда работников бюджетной сферы Красноярского края с 1 января 2018 года на 4 процента», Постановлением Правительства Красноярского края от 15.12.2009 № 648 – п «Об утверждении примерного положения об оплате труда работников бюджетных и казенных учреждений, подведомственных министерству образования и науки Красноярского края»</t>
  </si>
  <si>
    <t xml:space="preserve"> 01.01.2008 - бессрочный</t>
  </si>
  <si>
    <t>Постановление администрации г. Дивногорска от 16.05.2012 № 119п "Об утверждении Положения о системах оплаты труда работников муниципальных учреждений города Дивногорска", Постановление администрации города Дивногорска от 20.09.2013 № 180п "Об утверждении Примерного положения об оплате труда работников муниципальных учреждений в области образования"</t>
  </si>
  <si>
    <t>Постановление Совета администрации Красноярского края от 29.12.2007 №512-п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лиц, замещающих иные муниципальные должности, и муниципальных служащих"</t>
  </si>
  <si>
    <t>01.01.2008г</t>
  </si>
  <si>
    <t>Решение Дивногорского городского Совета депутатов Красноярского края от 21.04.2016 №6-65-ГС "Об утверждении Положения о бюджетном процессе в муниципальном образовании город Дивногорск",                  Постановление администрации города Дивногорска от 30.09.2015 № 147П "Об утверждении муниципальной программы "Управление муниципальными финансами"</t>
  </si>
  <si>
    <r>
      <rPr>
        <b/>
        <sz val="8"/>
        <rFont val="Times New Roman"/>
        <family val="1"/>
        <charset val="204"/>
      </rPr>
      <t>2.2.3.</t>
    </r>
    <r>
      <rPr>
        <sz val="8"/>
        <rFont val="Times New Roman"/>
        <family val="1"/>
        <charset val="204"/>
      </rPr>
      <t xml:space="preserve"> обслуживание муниципального долга без учета обслуживания долговых обязательств в части процентов, пеней и штрафных санкций по полученным бюджетным кредитам</t>
    </r>
  </si>
  <si>
    <t>2.2.4. обслуживание долговых обязательств в части процентов, пеней и штрафных санкций по полученным бюджетным кредитам</t>
  </si>
  <si>
    <t>Бюджетный кодекс Российской федерации</t>
  </si>
  <si>
    <t>статья 93.2 п 10</t>
  </si>
  <si>
    <t>Закон Красноярского края от 06.12.2018 №6-2299 "О краевом бюджете на 2019 год и плановый период 2020-2021 годов"</t>
  </si>
  <si>
    <t>Договор о предоставлении бюджетного кредита от 29.11.2017 №209/12-17</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</si>
  <si>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 ГХ, АПБ )</t>
  </si>
  <si>
    <t xml:space="preserve">Постановление администрации города Дивногорска от 30.09.2013 № 198 п Об утверждении Положения об оплате труда 
работников муниципального казенного учреждения 
«Городское хозяйство» города Дивногорска </t>
  </si>
  <si>
    <t>Постановление адм г.Дивногорска от 30.09.2015 № 154п "Об утверждении МП "Функционировнаие жилищно-коммунального хозяйства и повышение энергетической эффективности МО г.Дивногорск"</t>
  </si>
  <si>
    <t>Решение Дивногоского городского Совета депутатов Красноярского края от 24.09.2009 № 54-317-ГС «Об утверждении Положения о бюджетном процессе  в муниципальном образовании город Дивногорск», постановление Администрации города Дивногорска от 30.09.2013  № 195п
Об утверждении  Положения об оплате труда работников муниципального казенного учреждения «Архитектурно-планировочное бюро»</t>
  </si>
  <si>
    <t>мку закупки</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</si>
  <si>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</si>
  <si>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Решение Дивногорского городского Совета депутатов от 23.06.2020 № 58-3508-ГС "О назначении выборов депутатов Дивногорского городского Совета депутатов 6 созыва городского округа город Дивногорск Красноярского края"</t>
  </si>
  <si>
    <t>Распоряжение администрации города Дивногорска от 13.07.2020 № 996-р "О перечислении избирательной комиссии муниципального образования г.Дивногорск"</t>
  </si>
  <si>
    <t>2.2.23.  Предоставление доплаты за выслугу лет к трудовой пенсии муниципальным служащим за счет средств местного бюджета</t>
  </si>
  <si>
    <t>мску мцб</t>
  </si>
  <si>
    <t>Трудовой кодекс Российской Федерации, Федеральный закон от 02.03.2007 N 25-ФЗ (ред. от 27.12.2018) "О муниципальной службе в Российской Федерации", Федеральный закон от 15.12.2001 N 166-ФЗ (ред. от 27.12.2018) "О государственном пенсионном обеспечении в Российской Федерации"</t>
  </si>
  <si>
    <t>ст.327; ст.24; ст.7 п2,4</t>
  </si>
  <si>
    <t>30.12.2001 - бессрочный, 01.06.2007-бессрочный, 15.12.2001-бессрочный</t>
  </si>
  <si>
    <t xml:space="preserve">Закон Красноярского края от 24.04.2008 N 5-1565 (ред. от 03.10.2019) "Об особенностях правового регулирования муниципальной службы в Красноярском крае", Закон Красноярского края от 26.06.2008 N 6-1832 (ред. от 29.06.2017)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Красноярском крае" (подписан Губернатором Красноярского края 08.07.2008), </t>
  </si>
  <si>
    <t>01.07.2008 - бессрочный, 01.08.2008-бессрочный</t>
  </si>
  <si>
    <t>Решение Дивногорского городского Совета депутатов от 28.09.2017г. № 21-171-ГС «Об утверждении Положения об условиях и порядке предоставления муниципальному служащему права на пенсию за выслугу лет за счет средств бюджета города Дивногорска», решением Дивногорского городского Совета депутатов от 18.06.2015 № 55-341-ГС «Об утверждении Положения об оплате труда депутатов, выборных должностных лиц, осуществляющих свои полномочия на постоянной основе, и муниципальных служащих в муниципальном образовании г. Дивногорск» (в вред. от 24.09.2019г. № 45-289-ГС)</t>
  </si>
  <si>
    <t>2.2.24. Горячее питание</t>
  </si>
  <si>
    <t>Закон Красноярского края от 05.12.2019 № 8-3414 "О краевом бюджете на 2020 год и плановый период 2021 - 2022 годов", Закон Красноярского края от 02.11.2000 N 12-961 (ред. от 09.07.2020) "О защите прав ребенка" (с изм. и доп., вступающими в силу с 01.09.2020)</t>
  </si>
  <si>
    <t>Постановление Правительства Красноярского края от 30.09.2013 N 508-п (ред. от 20.10.2020) "Об утверждении государственной программы Красноярского края "Развитие образования", Постановление Правительства Красноярского края от 30.09.2015 N 495-п (ред. от 24.07.2020)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18.09.2020 N 628-п "Об утверждении Порядка предоставления и распределения субсидий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</si>
  <si>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Соглашение о предоставлении субсидии бюджету городского округа города Дивногорск из краевого бюджета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в2020 году № 04709000-1-2020-009 от 15.09.2020 (с дополнениями от 21.09.2020 № 04709000-1-2020-009/1, от 22.09.2020 №04709000-1-2020-009/2)</t>
  </si>
  <si>
    <t>2,2,25.Полномочия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</si>
  <si>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</si>
  <si>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2.3.1. по перечню, предусмотренному Законом № 131-ФЗ, всего</t>
  </si>
  <si>
    <t>2.3.1.13. Осуществление мероприятий по отлову и содержанию безнадзорных животных, обитающих на территории городского округа</t>
  </si>
  <si>
    <t xml:space="preserve"> ГХ</t>
  </si>
  <si>
    <t>2.3.1.15. 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</si>
  <si>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 xml:space="preserve">Постановление Правительства Красноярского края от 30.09.2015 N 495-п "Об утверждении Правил формирования, предоставления и распределения субсидий из краевого бюджета бюджетам муниципальных образований Красноярского края"
Постановление Правительства Красноярского края от 10.05.2018 N 238-п "Об утверждении распределения в 2018 году 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t>
  </si>
  <si>
    <t>Соглашение о предоставлении субсидии № 58/А от 14.05.2018</t>
  </si>
  <si>
    <t>…</t>
  </si>
  <si>
    <t>2.3.2. по участию в осуществлении государственных полномочий (не переданных в соответствии со статьей 19 Закона № 131-ФЗ), если это участие предусмотрено федеральными законами, всего</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</si>
  <si>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</si>
  <si>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2.3.3.2. обеспечение мер социальной поддержки населения</t>
  </si>
  <si>
    <r>
      <rPr>
        <b/>
        <sz val="8"/>
        <rFont val="Times New Roman"/>
        <family val="1"/>
        <charset val="204"/>
      </rPr>
      <t>адм</t>
    </r>
    <r>
      <rPr>
        <sz val="8"/>
        <rFont val="Times New Roman"/>
        <family val="1"/>
        <charset val="204"/>
      </rPr>
      <t xml:space="preserve"> соц.выпл.погребение умершего "Почетного гражданина"</t>
    </r>
  </si>
  <si>
    <r>
      <rPr>
        <b/>
        <sz val="8"/>
        <rFont val="Times New Roman"/>
        <family val="1"/>
        <charset val="204"/>
      </rPr>
      <t xml:space="preserve">адм </t>
    </r>
    <r>
      <rPr>
        <sz val="8"/>
        <rFont val="Times New Roman"/>
        <family val="1"/>
        <charset val="204"/>
      </rPr>
      <t xml:space="preserve">
выпл уполн полиции</t>
    </r>
  </si>
  <si>
    <r>
      <rPr>
        <b/>
        <sz val="8"/>
        <rFont val="Times New Roman"/>
        <family val="1"/>
        <charset val="204"/>
      </rPr>
      <t xml:space="preserve">адм </t>
    </r>
    <r>
      <rPr>
        <sz val="8"/>
        <rFont val="Times New Roman"/>
        <family val="1"/>
        <charset val="204"/>
      </rPr>
      <t xml:space="preserve"> ежем матер выпл почетному гр </t>
    </r>
  </si>
  <si>
    <r>
      <t xml:space="preserve">адм </t>
    </r>
    <r>
      <rPr>
        <sz val="8"/>
        <rFont val="Times New Roman"/>
        <family val="1"/>
        <charset val="204"/>
      </rPr>
      <t>единовр.выпл.ден.премии почет.зв."Почет. Гр.г.Дивногорска"</t>
    </r>
  </si>
  <si>
    <t>решение городского Совета депутатов от 28.02.2013 № 30-192-ГС "Об утверждении Положения о почетном звании "Почетный гражданин г.Дивногорска"
от 20.12.2007 №36-216-ГС (в редакции от 27.03.2008 №39-233-ГС, от 29.01.2009 №47-284-ГС, от 29.04.2010 №2-5-ГС, от 30.06.2011 №15-103-ГС, от 25.10.2012 №27-169-ГС) «Положение о предельных нормативах размеров  оплаты труда  муниципальных служащих в муниципальном образовании г.Дивногорск»</t>
  </si>
  <si>
    <r>
      <t xml:space="preserve">адм </t>
    </r>
    <r>
      <rPr>
        <sz val="8"/>
        <rFont val="Times New Roman"/>
        <family val="1"/>
        <charset val="204"/>
      </rPr>
      <t>расх на подписку гр</t>
    </r>
  </si>
  <si>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</si>
  <si>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2.4.1. за счет субвенций, предоставленных из федерального бюджета, всего</t>
  </si>
  <si>
    <t>2.4.1.2. по составлению списков кандидатов в присяжные заседатели</t>
  </si>
  <si>
    <t>2.4.1.3. на осуществление воинского учета на территориях, на которых отсутствуют структурные подразделения военных комиссариатов</t>
  </si>
  <si>
    <t>Постановление Правительства РФ от 29 апреля 2006 № 258 «О субвенциях на осуществление полномочий по первичному воинскому учету на территориях, где отсутствуют военные комиссариаты»</t>
  </si>
  <si>
    <t>Указ Президента РФ от 07.12.2012 №690 Об утверждении положения о военных комиссариатах"</t>
  </si>
  <si>
    <t>Постановление Администрации г.Дивногорска от 23.05.2012 № 126-п "Об утверждении порядка использования субвенции на осуществление полномочий по первичному воинскому учету на территориях, где отсутствуют военные комиссариаты"</t>
  </si>
  <si>
    <t>2.4.1.22. Всероссийская перепись населения</t>
  </si>
  <si>
    <t>ФЗ от 25.01.2002 №8-ФЗ "О всероссийской переписи населения"</t>
  </si>
  <si>
    <t>постановление Правительства РФ "Об образовании комисси Правительства РФ по проведению Всероссийской переписи населения 2020года"</t>
  </si>
  <si>
    <t>п.3</t>
  </si>
  <si>
    <t>29.03.2017 №1185</t>
  </si>
  <si>
    <t>Распоряжение адм г.Дивногорска от 07.06.2019 №1172р "О создании Комиссии по подготовке и проведению Всероссийской переписи населения 2020 года на территории МО г.Дивногорск"</t>
  </si>
  <si>
    <t>2.4.2. за счет субвенций, предоставленных из бюджета субъекта Российской Федерации, всего</t>
  </si>
  <si>
    <t>2.4.2.1.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 (адм комис-8210075140, КДН-8210076040, опека-0140075520, кол.дог-8210074290, соц.под-ка0250075130, формир и содер. Арх. Ф-да-0340075190)-119,129,244,850.</t>
  </si>
  <si>
    <t>Закон Красноярского края от 30.01.2014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договорв и территориальных соглашений и контроля за их выполнением"</t>
  </si>
  <si>
    <t>Постановление Администрации г.Дивногорска от 10.09.2014 № 201п "Об утверждении порядка использования субвенции на реализацию Закона Красноярского края от 30.01.2014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договорв и территориальных соглашений и контроля за их выполнением"</t>
  </si>
  <si>
    <t>акон Красноярского края края от 23.04.2009 № 8-3170 "О наделении органов местного самоуправления государственными полномочиями по созданию и обеспечению деятельности административных комиссий"</t>
  </si>
  <si>
    <t>Постановление Администрации г.Дивногорска от 09.04.2012 № 74п "Об утверждении порядка использования субвенции на реализацию Закона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</si>
  <si>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26.12.2006 № 21-5589 "О наделении органов местного самоуправления государственными полномочиями по созданию и обеспечению деятельности по делам несовершеннолетних и защите их прав"</t>
  </si>
  <si>
    <t>Постановление Администрации г.Дивногорска от 01.02.2010 № 95п "Об утверждении порядка использования субвенции на реализацию Закона Красноярского края от 26.12.2006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</si>
  <si>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Федеральный закон от 22 октября 2004 г. N 125-ФЗ "Об архивном деле в Российской Федерации" </t>
  </si>
  <si>
    <t>статья 15</t>
  </si>
  <si>
    <t>22.10.2004 - бессрочный</t>
  </si>
  <si>
    <t xml:space="preserve">Закон Красноярского края от 21.12.2010 № 11-5564 "О наделении органов местного самоуправления государственными полномочиями в области архивного дела"
</t>
  </si>
  <si>
    <t xml:space="preserve">30.12.2010 - бессрочный
</t>
  </si>
  <si>
    <t xml:space="preserve">Постановление администрации города Дивногорска от 30.03.2012 № 67п "Об утверждении порядка использования субвенции на реализацию Закона Красноярского края от 21.12.2010 № 11-5564 «О наделении органов местного самоуправления государственными полномочиями в области архивного дела» </t>
  </si>
  <si>
    <t xml:space="preserve">Федеральный закон от 24.04.2008 г. N 48-ФЗ "Об опеке и попечительстве" </t>
  </si>
  <si>
    <t>01.09.2008 - бессрочный</t>
  </si>
  <si>
    <t xml:space="preserve">Закон Красноярского края от 22.10.1997 N 15-590 "Об организации работы по опеке и попечительству в Красноярском крае", Закон Красноярского края от 20.12.2007 N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
</t>
  </si>
  <si>
    <t>Постановление Правительства Красноярского края от 24.05.2011 № 287п «Об утверждении порядка назначения и предоставления единовременной выплаты гражданам, усыновившим (удочерившим) детей-сирот и детей, оставшихся без попечения родителей, в возрасте 7 лет и старше, проживающих на территории Красноярского края, и порядка возврата полученных усыновителями денежных средств при отмене усыновления (удочерения) ребенка»</t>
  </si>
  <si>
    <t xml:space="preserve">Постановление администрации г. Дивногорска от 27.03.2012 № 63п "О наделении государственными полномочиями отдел образования  администрации города Дивногорска" </t>
  </si>
  <si>
    <t>2.4.2.2.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самоуправления-111,121</t>
  </si>
  <si>
    <t>Закон Красноярского края края от 23.04.2009 № 8-3170 "О наделении органов местного самоуправления государственными полномочиями по созданию и обеспечению деятельности административных комиссий"</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</si>
  <si>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</si>
  <si>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Закон Красноярского края от 24 декабря 2009 № 9-4225 «О наделении органов местного самоуправления отдельных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а также лиц из их числа, не имеющих жилого помещения»</t>
  </si>
  <si>
    <t>остановление администрации города от 18.06.2014 № 141п "Об утверждении порядка взаимодействия отделов и специалистов администрации города Дивногорска по реализации зЗакона Красноярского края от 24.12.2009 № 9-4225 "О наделении органов местного самоуправления отдельных муниципальных районов и городских округов края государственными полномочиями по обеспечению жилыми помещениями детей-сирот и детей, оставщихся без попечения родителей, лиц из числа детей-сирот и детей, оставшихся бех попечения родителей"</t>
  </si>
  <si>
    <t>2.4.2.35.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Федерации)(024001510)</t>
  </si>
  <si>
    <t>усзн</t>
  </si>
  <si>
    <t>Закон РФ от 06.10.2003г. №131-ФЗ "Об общих принципах организации местного самоуправления в Российской Фелдерации"</t>
  </si>
  <si>
    <t>ст. 19</t>
  </si>
  <si>
    <t>01.01.2009; действует по настоящее время</t>
  </si>
  <si>
    <t xml:space="preserve"> к ЗКК от 09.12.2010 г. № 11-5397 "О наделении органов местного самоуправления МО края гос.полномочиями по социальному обслуживанию населения" ; </t>
  </si>
  <si>
    <t>приложение № 2</t>
  </si>
  <si>
    <t>01.01.2011; действует по настоящее время</t>
  </si>
  <si>
    <t>п.п. 3.2</t>
  </si>
  <si>
    <t>с 01.01.2014; действует по настояще время</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</si>
  <si>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граждан)-0110075540, 0220006400</t>
  </si>
  <si>
    <t>Федеральный закон от 29.12.2012 № 273-ФЗ «Об образовании в Российской Федерации»</t>
  </si>
  <si>
    <t>01.09.2013 - бесрочный</t>
  </si>
  <si>
    <t xml:space="preserve">Закон Красноярского края от 27.10.2005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 инвалидами, детьми сиротами и детьми оставшимися без попечения родителей, а также за детьми с туберкулезной интоксикацией обучающимися в образовательных организациях, реализующих образовательную программу дошкольного образования, без взимания родительской платы», Закон Красноярского края от 26.06.2014 № 6-2519 «Об образовании в Красноярском крае". </t>
  </si>
  <si>
    <t>статья 5</t>
  </si>
  <si>
    <t>01.01.2008 - бесрочный</t>
  </si>
  <si>
    <t>Постановление администрации г. Дивногорска от 11.04.2014 № 82п "О порядке расходования и учета субвенций на реализацию государственных полномочий по осуществлению присмотра и ухода за детьми инвалидами, детьми сиротами и детьми оставшимися без попечения родителей, а также за детьми с туберкулезной интоксикацией обучающимися в образовательных организациях, реализующих образовательную программу дошкольного образования, без взимания родительской платы".</t>
  </si>
  <si>
    <t xml:space="preserve">Закон Красноярского края от 27.10.2005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 инвалидами, детьми сиротами и детьми оставшимися без попечения родителей, а также за детьми с туберкулезной интоксикацией обучающимися в образовательных организациях, реализующих образовательную программу дошкольного образования, без взимания родительской платы», Закон Красноярского края от 26.06.2014 № 6-2519 «Об образовании в Красноярском крае" </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</si>
  <si>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граждан)0120075660, 011075560</t>
  </si>
  <si>
    <t>Закон Красноярского края от 02.11.2000 N 12-961 "О защите прав ребенка", Закон Красноярского края от 27.12.2005 N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</si>
  <si>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Постановление Правительства Красноярского края от 24.02.2015 N 65-п "Об утверждении Порядка учета и исчисления величины среднедушевого дохода семьи для определения права на получение мер социальной поддержки, предусмотренных пунктами 3, 4 статьи 11 Закона Красноярского края от 02.11.2000 N 12-961 "О защите прав ребенка"</t>
  </si>
  <si>
    <t>Постановление администрации города Дивногорска от 14.12.2016 № 246 п "Об утверждении Порядка обеспечения обучающихся в муниципальных общеобразовательных организациях по имеющим государственную аккредитацию основным общеобразовательным программам горячим завтраком и (или) горячим обедом без взимания платы»</t>
  </si>
  <si>
    <t>Постановление Правительства Красноярского края от 25.11.2014 N 561-п "О предоставлении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находящиеся на территории Красноярского края", Постановление Правительства Красноярского края от 24.02.2015 N 65-п "Об утверждении Порядка учета и исчисления величины среднедушевого дохода семьи для определения права на получение мер социальной поддержки, предусмотренных пунктами 3, 4 статьи 11 Закона Красноярского края от 02.11.2000 N 12-961 "О защите прав ребенка"</t>
  </si>
  <si>
    <t xml:space="preserve">Постановление администрации города Дивногорска от 07.02.2014 № 08п "О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t>
  </si>
  <si>
    <t>2.4.2.41.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</si>
  <si>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2.4.2.45.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</si>
  <si>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</si>
  <si>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2.4.2.60. на установление подлежащих государственному регулированию цен (тарифов) на товары (услуги) в соответствии с законодательством Российской Федерации</t>
  </si>
  <si>
    <t>ЗККр от 01.12.2014 №7-2835 "Об отдельных мерах по обеспечению ограничения платы граждан за коммунальные услуги" , от 01.12.2014 №7-2839 "О наделении омсу городских округов и муниципальных районов края отдельными государственными полномочиями Красн.кр.по реализхации отдельных мер по обеспечению ограничения платы граждан за коммунальные услуги"</t>
  </si>
  <si>
    <t xml:space="preserve">Постановление Правительства Красноярского края от 09.04.2015 № 165 - п "О реализации отдельных мер по обеспечению ограничения граждан за коммунальные услуги" </t>
  </si>
  <si>
    <t>Постановление адм г.Дивногорска от 07.07.2017 № 129п "Об утверждении Положения о порядке предоставления субсидий в целях возмещения недополученных доходов и (или) финансового обеспечения (возмещения) затрат, возникающих в связи с применением предельного индекса при оказании коммунальнгых услуг, в соответствии с законодательством Красноярсого края от 01.12.2014 №7-2835 "Об отдельных мерах по обеспечению ограничения платы граждан за коммунальные услуги" на территории МО г.Дивногорск"</t>
  </si>
  <si>
    <t>2.5.Расходы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Российской Федерации</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</si>
  <si>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местности)-0120074090, 0120075640.</t>
  </si>
  <si>
    <t xml:space="preserve">Закон Красноярского края от 26.06.2014 № 6-2519 «Об образовании в Красноярском крае" </t>
  </si>
  <si>
    <t>28.07.2014 - бесрочный</t>
  </si>
  <si>
    <t xml:space="preserve">Постановление администрации г. Дивногорска от 12.12.2017 № 231п "Об утверждении порядка расходования субвенции на финансовое обеспечение государственных гарантий прав граждан на получение общедоступного и бесплатного дошкольного, начального общего, основного общего, среднего общего образования, дополнительного образования детей в муниципальных образовательных организациях". Постановление администрации города Дивногорска от 30.09.2015 № 152п "Об утверждении муниципальной программы "Система образования города Дивногорска" </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</si>
  <si>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организациях)-0110074080, 0110075880.</t>
  </si>
  <si>
    <t>2.5.4.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</si>
  <si>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2.6.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</si>
  <si>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2.6.1. по предоставлению субсидий в бюджет субъекта Российской Федерации, всего</t>
  </si>
  <si>
    <t>2.6.2. по предоставлению иных межбюджетных трансфертов, всего</t>
  </si>
  <si>
    <t>2.6.2.1. адм Предоставление иных межбюджетных трансфертов на осуществление ликвидационных мероприятий, связанных с прекращением исполнения органами местного самоуправления</t>
  </si>
  <si>
    <t>2.7. Условно утвержденные расходы на первый и второй годы планового периода в соответствии с решением о местном бюджете</t>
  </si>
  <si>
    <t>Итого расходных обязательств муниципальных образований, без учета внутренних оборотов</t>
  </si>
  <si>
    <t>Итого расходных обязательств муниципальных образований</t>
  </si>
  <si>
    <t>________</t>
  </si>
  <si>
    <t xml:space="preserve">                           Л.И.Прикатова</t>
  </si>
  <si>
    <t>возврат за 2021год</t>
  </si>
  <si>
    <t>(должность руководителя</t>
  </si>
  <si>
    <t>(подпись)</t>
  </si>
  <si>
    <t>(расшифровка подписи)</t>
  </si>
  <si>
    <t>надо</t>
  </si>
  <si>
    <t xml:space="preserve">Реестр расходных обязательств           МО г.Дивногорск на   04.10.2023г. </t>
  </si>
  <si>
    <t xml:space="preserve">Код расхода по БК </t>
  </si>
  <si>
    <t>отчетный 2022</t>
  </si>
  <si>
    <t xml:space="preserve">раздел/
подраздел
КЦСР
КВР
</t>
  </si>
  <si>
    <t>Всего</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</si>
  <si>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</si>
  <si>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</si>
  <si>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</si>
  <si>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</si>
  <si>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</si>
  <si>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исполнено</t>
  </si>
  <si>
    <t>46=47+48+49+50</t>
  </si>
  <si>
    <t>0113
1010088010,244</t>
  </si>
  <si>
    <t>0412
1010088030,244</t>
  </si>
  <si>
    <t>0412
1020088020,244</t>
  </si>
  <si>
    <t>412
0550087140,244</t>
  </si>
  <si>
    <t>0412
0550087015,414</t>
  </si>
  <si>
    <t>0113
8210084080,244</t>
  </si>
  <si>
    <t>0412
8210086110,244</t>
  </si>
  <si>
    <t>0412
8210086210,244</t>
  </si>
  <si>
    <t>0113
8210080020,831</t>
  </si>
  <si>
    <t>0502
0810075710,243,244</t>
  </si>
  <si>
    <t>0502
0810075750,414</t>
  </si>
  <si>
    <t>0502
085007572,414</t>
  </si>
  <si>
    <t>0502
085007572,415</t>
  </si>
  <si>
    <t>0502
085F552431,410</t>
  </si>
  <si>
    <t>0502
0810084010,811</t>
  </si>
  <si>
    <t>0502
0810086130,414</t>
  </si>
  <si>
    <t>0502
08100S5710,414</t>
  </si>
  <si>
    <t>0502
08100S5710,243,244</t>
  </si>
  <si>
    <t>0502
08100S5710,244</t>
  </si>
  <si>
    <t>0502
08100S5750,414</t>
  </si>
  <si>
    <t>0502
08500S5720,414</t>
  </si>
  <si>
    <t>0502
0810075710,410</t>
  </si>
  <si>
    <t>0502
0850075720,410</t>
  </si>
  <si>
    <t>0502
0850085720,244</t>
  </si>
  <si>
    <t>0502
0850086170,414</t>
  </si>
  <si>
    <t>0502
8210088950,853</t>
  </si>
  <si>
    <t>0502
0850089080,244</t>
  </si>
  <si>
    <t>0502
0850089420,244</t>
  </si>
  <si>
    <t>0409
0710073950,414/244</t>
  </si>
  <si>
    <t>0409
07100S3950,414/244</t>
  </si>
  <si>
    <r>
      <rPr>
        <b/>
        <sz val="8"/>
        <rFont val="Times New Roman"/>
        <family val="1"/>
        <charset val="204"/>
      </rPr>
      <t>0409</t>
    </r>
    <r>
      <rPr>
        <sz val="8"/>
        <rFont val="Times New Roman"/>
        <family val="1"/>
        <charset val="204"/>
      </rPr>
      <t xml:space="preserve">
0710075070,</t>
    </r>
    <r>
      <rPr>
        <b/>
        <sz val="8"/>
        <rFont val="Times New Roman"/>
        <family val="1"/>
        <charset val="204"/>
      </rPr>
      <t>244</t>
    </r>
  </si>
  <si>
    <t>0409
0710075080</t>
  </si>
  <si>
    <t>0409
0710075090,244</t>
  </si>
  <si>
    <t>0409
0710085080,244</t>
  </si>
  <si>
    <t>0409
0710088040,044</t>
  </si>
  <si>
    <t>0409
0710088070</t>
  </si>
  <si>
    <t>0409
0710086080,244</t>
  </si>
  <si>
    <t>0409
0710088170,244</t>
  </si>
  <si>
    <t>0409
0710089070</t>
  </si>
  <si>
    <t>0409
0710089360,244</t>
  </si>
  <si>
    <t>0409
0710089370,244</t>
  </si>
  <si>
    <t>0409
0710089080,244</t>
  </si>
  <si>
    <t>0409
0710089090,244</t>
  </si>
  <si>
    <t>0409
07100S5070,244</t>
  </si>
  <si>
    <t>0409
07100S5080</t>
  </si>
  <si>
    <t>0409
07100S5090,244</t>
  </si>
  <si>
    <t>0409
073R374270,244</t>
  </si>
  <si>
    <t>0409
0710083210,244</t>
  </si>
  <si>
    <t>0409
,073R374920,</t>
  </si>
  <si>
    <t>0409
073R310601,244</t>
  </si>
  <si>
    <t>0409
111F255550,631</t>
  </si>
  <si>
    <t>0409
1110088590,244</t>
  </si>
  <si>
    <t>0409
0730089310</t>
  </si>
  <si>
    <t>0409
0730089510,244</t>
  </si>
  <si>
    <t>0409
0730089600,244</t>
  </si>
  <si>
    <t>0409
0710089180</t>
  </si>
  <si>
    <t>0409
0710089190</t>
  </si>
  <si>
    <t>0409
0730089300</t>
  </si>
  <si>
    <t>0409
0730089400</t>
  </si>
  <si>
    <t>0409
0730089500,244</t>
  </si>
  <si>
    <t>0409
07300S4920</t>
  </si>
  <si>
    <t>0409
0710078400,244</t>
  </si>
  <si>
    <t>0409
07100S8400,244</t>
  </si>
  <si>
    <t>0113
05500S6080,414</t>
  </si>
  <si>
    <t>0113
550086080,414</t>
  </si>
  <si>
    <t>0113
0550076080,414</t>
  </si>
  <si>
    <t>0501
0530076030,412</t>
  </si>
  <si>
    <t>0501
05300S6030,412</t>
  </si>
  <si>
    <r>
      <t>0501
0530009502</t>
    </r>
    <r>
      <rPr>
        <b/>
        <sz val="8"/>
        <rFont val="Times New Roman"/>
        <family val="1"/>
        <charset val="204"/>
      </rPr>
      <t>,414</t>
    </r>
  </si>
  <si>
    <t>0501
0530009602,414</t>
  </si>
  <si>
    <t>0501
0530086070,414</t>
  </si>
  <si>
    <t>0501
0501
0530087050,414</t>
  </si>
  <si>
    <r>
      <t>0501
0530087060,</t>
    </r>
    <r>
      <rPr>
        <b/>
        <sz val="8"/>
        <rFont val="Times New Roman"/>
        <family val="1"/>
        <charset val="204"/>
      </rPr>
      <t>414</t>
    </r>
  </si>
  <si>
    <t>0501
053008879,412</t>
  </si>
  <si>
    <t>0501
0550086010,414</t>
  </si>
  <si>
    <t>0501
0550087120,414</t>
  </si>
  <si>
    <t>0501
0550087130,244</t>
  </si>
  <si>
    <t>0505
0550087130,244</t>
  </si>
  <si>
    <t>0502
0520074610,414</t>
  </si>
  <si>
    <t>0502
05200S4610,414</t>
  </si>
  <si>
    <t>0502
0520086010,414</t>
  </si>
  <si>
    <t>0502
0520088690,414</t>
  </si>
  <si>
    <t>0501
0530088790,412</t>
  </si>
  <si>
    <t>0501
053F367483,410</t>
  </si>
  <si>
    <t>0501
053F367483,853</t>
  </si>
  <si>
    <t>0501
053F367484,410</t>
  </si>
  <si>
    <t>0501
053F367484,853</t>
  </si>
  <si>
    <t>0501
053F36748S,410</t>
  </si>
  <si>
    <t>0501
053F36748S,853</t>
  </si>
  <si>
    <t xml:space="preserve">0501
0530088602,244
</t>
  </si>
  <si>
    <r>
      <t>0501
0830084060,</t>
    </r>
    <r>
      <rPr>
        <b/>
        <sz val="8"/>
        <rFont val="Times New Roman"/>
        <family val="1"/>
        <charset val="204"/>
      </rPr>
      <t>244</t>
    </r>
  </si>
  <si>
    <r>
      <t>0501
0810084060,</t>
    </r>
    <r>
      <rPr>
        <b/>
        <sz val="8"/>
        <rFont val="Times New Roman"/>
        <family val="1"/>
        <charset val="204"/>
      </rPr>
      <t>853</t>
    </r>
  </si>
  <si>
    <t>0501
0810084070,244</t>
  </si>
  <si>
    <t>0501
0810087190,244</t>
  </si>
  <si>
    <t>0501
0840087010,244</t>
  </si>
  <si>
    <t>0501
0840087030,244</t>
  </si>
  <si>
    <t>0501
8210084070,244</t>
  </si>
  <si>
    <t>1003
05400L0200,322</t>
  </si>
  <si>
    <t>1003
05400L 4970,322</t>
  </si>
  <si>
    <t>0412
82100L5110,244</t>
  </si>
  <si>
    <t>0412
05500870010,244</t>
  </si>
  <si>
    <t>0408
0720074020,811</t>
  </si>
  <si>
    <t>0408
0720088060,244</t>
  </si>
  <si>
    <t>0408
0720088060,811</t>
  </si>
  <si>
    <t>0111
8210088930,870</t>
  </si>
  <si>
    <t>0111
8210089910,870</t>
  </si>
  <si>
    <t>0412
8210088990,870</t>
  </si>
  <si>
    <t>0113
8210077440,244</t>
  </si>
  <si>
    <t>0309
0840086090,244</t>
  </si>
  <si>
    <t>310
0820087070,244</t>
  </si>
  <si>
    <t>0310
0820087080</t>
  </si>
  <si>
    <t>0309
0820089340,244</t>
  </si>
  <si>
    <t>0310
0820083130,244</t>
  </si>
  <si>
    <t>0310
0820087070,244</t>
  </si>
  <si>
    <t>О106
094008021,870</t>
  </si>
  <si>
    <t>0310
0820074120,244</t>
  </si>
  <si>
    <t>0310
0820089010,244</t>
  </si>
  <si>
    <t>0310
0820089030,244</t>
  </si>
  <si>
    <t>0310
0820089090,244</t>
  </si>
  <si>
    <t>0310
08200S4120,244</t>
  </si>
  <si>
    <t>0701
0110073980,622</t>
  </si>
  <si>
    <t>0701
0110077440,612</t>
  </si>
  <si>
    <t>0701
0110077450,611</t>
  </si>
  <si>
    <t>0701
0110077450,612</t>
  </si>
  <si>
    <t>0701
0110078400612</t>
  </si>
  <si>
    <t>0701
0110010340,611</t>
  </si>
  <si>
    <t>0701
0110010340,621</t>
  </si>
  <si>
    <t>0701
01100L 02710,612</t>
  </si>
  <si>
    <t>0701
0110080610,611</t>
  </si>
  <si>
    <t>0701
0110080610,612</t>
  </si>
  <si>
    <t>0701
0110080610,621</t>
  </si>
  <si>
    <t>0701
0110080611,622</t>
  </si>
  <si>
    <t>0701
0110080610,870</t>
  </si>
  <si>
    <t>0701
011008061Р,611</t>
  </si>
  <si>
    <t>0701
011008061Р,621</t>
  </si>
  <si>
    <t>0701
011008061Т,611</t>
  </si>
  <si>
    <t>0701
011008061Т,612</t>
  </si>
  <si>
    <t>0701
011008061Т,621</t>
  </si>
  <si>
    <t>0701
011008061Z,611</t>
  </si>
  <si>
    <t>0701
011008061Z,621</t>
  </si>
  <si>
    <t>0701
011008061Z,870</t>
  </si>
  <si>
    <t>0701
01100S3980,623</t>
  </si>
  <si>
    <t>0701
01100S8400,612</t>
  </si>
  <si>
    <t>0701
0110089560,612</t>
  </si>
  <si>
    <t>0701
0110089560,622</t>
  </si>
  <si>
    <r>
      <t>0702
0120</t>
    </r>
    <r>
      <rPr>
        <b/>
        <sz val="8"/>
        <rFont val="Times New Roman"/>
        <family val="1"/>
        <charset val="204"/>
      </rPr>
      <t>R373980,612</t>
    </r>
  </si>
  <si>
    <r>
      <t>0702
01200</t>
    </r>
    <r>
      <rPr>
        <b/>
        <sz val="8"/>
        <rFont val="Times New Roman"/>
        <family val="1"/>
        <charset val="204"/>
      </rPr>
      <t>R3 73980,622</t>
    </r>
  </si>
  <si>
    <t>0702
0120053030,611</t>
  </si>
  <si>
    <t>0702
0120053030,621</t>
  </si>
  <si>
    <t>0702
0120053030,870</t>
  </si>
  <si>
    <t>0702
0120074300,612</t>
  </si>
  <si>
    <t>0702
0120075630,622</t>
  </si>
  <si>
    <t>0702
0120075630,612</t>
  </si>
  <si>
    <t>0702
0120077450,612</t>
  </si>
  <si>
    <t>0702
0120077450,622</t>
  </si>
  <si>
    <t>0702
0120010340,611</t>
  </si>
  <si>
    <t>0702
0120010340,621</t>
  </si>
  <si>
    <t>0702
0120078400,612</t>
  </si>
  <si>
    <t>0702
0120015980,612</t>
  </si>
  <si>
    <t>0702
0120015980,622</t>
  </si>
  <si>
    <t>0702
0120075590,612</t>
  </si>
  <si>
    <t>0702
0120075590,622</t>
  </si>
  <si>
    <t>0702
0120078400,622</t>
  </si>
  <si>
    <t>0702
0120078450,612</t>
  </si>
  <si>
    <t>0702
0120080610,110</t>
  </si>
  <si>
    <t>0702
0120080610,244</t>
  </si>
  <si>
    <t>0702
0120080610,870</t>
  </si>
  <si>
    <t>0702
0120088130,622</t>
  </si>
  <si>
    <t>0702
012E151690,244</t>
  </si>
  <si>
    <t>0702
012E274300,612</t>
  </si>
  <si>
    <t>0702
012E151690,612</t>
  </si>
  <si>
    <t>0702
012E151690,620</t>
  </si>
  <si>
    <t>0702
012E452100,244</t>
  </si>
  <si>
    <t>0702
012E452100,610</t>
  </si>
  <si>
    <t>0702
012E452100,620</t>
  </si>
  <si>
    <t>0702
012ЕВ51790,611</t>
  </si>
  <si>
    <t>0702
012ЕВ51790,621</t>
  </si>
  <si>
    <t>0702
0120080610,611</t>
  </si>
  <si>
    <t>0702
0120080610,612</t>
  </si>
  <si>
    <t>0702
0120080610,621,622</t>
  </si>
  <si>
    <t>0702
0120080610,852,853</t>
  </si>
  <si>
    <t>0702
012008061T,611</t>
  </si>
  <si>
    <t>0702
012008061T,621</t>
  </si>
  <si>
    <t>0702
012008061Z,611</t>
  </si>
  <si>
    <t>0702
012008061Z,621</t>
  </si>
  <si>
    <t>0702
012008061Z,870</t>
  </si>
  <si>
    <t>0702
0120074200,612</t>
  </si>
  <si>
    <t>0702
01200S4040,612</t>
  </si>
  <si>
    <t>0702
01200S4200,612</t>
  </si>
  <si>
    <t>0702
01200S8400,622</t>
  </si>
  <si>
    <t>0702
01200S8400,612</t>
  </si>
  <si>
    <t>0702
01200S4300,612</t>
  </si>
  <si>
    <t>0702
01200S5590,612</t>
  </si>
  <si>
    <t>0702
01200S5630,622</t>
  </si>
  <si>
    <t>0702
01200S5630,612</t>
  </si>
  <si>
    <t>0702
01200S5980,612</t>
  </si>
  <si>
    <t>0702
01200S5980,622</t>
  </si>
  <si>
    <t>0702
01200S8450,612</t>
  </si>
  <si>
    <t>0702
0120088130,244</t>
  </si>
  <si>
    <t>0703
0120080620,611</t>
  </si>
  <si>
    <t>0703
0120080620,614</t>
  </si>
  <si>
    <t>0703
012008062T,611</t>
  </si>
  <si>
    <t>0703
012008062T,614</t>
  </si>
  <si>
    <t>0703
012008062Z,611</t>
  </si>
  <si>
    <t>0703
012008062Z,614</t>
  </si>
  <si>
    <t>0703
0120080620,612</t>
  </si>
  <si>
    <t>0703
0120078400,612</t>
  </si>
  <si>
    <t>0703
01200S8400,612</t>
  </si>
  <si>
    <t>0703
012008065Е,611</t>
  </si>
  <si>
    <t>0703
012008065Е,614</t>
  </si>
  <si>
    <t>0703
012008065Е,633</t>
  </si>
  <si>
    <t>0703
012008065Е,613</t>
  </si>
  <si>
    <t>0703
012008065Е,615</t>
  </si>
  <si>
    <t>0703
012008065Е,623</t>
  </si>
  <si>
    <t>0703
012008065Е,625</t>
  </si>
  <si>
    <t>0703
012008065E,635</t>
  </si>
  <si>
    <t>0703
01200S065E,614</t>
  </si>
  <si>
    <t>0703
0120010340,611</t>
  </si>
  <si>
    <t>0703
012008065Е,813</t>
  </si>
  <si>
    <t>0703
012008065Е,816</t>
  </si>
  <si>
    <t>0703
0120075680,614</t>
  </si>
  <si>
    <t>0703
01200S568E,614</t>
  </si>
  <si>
    <t>0703
012007568E,614</t>
  </si>
  <si>
    <t>0703
01200R0271,612</t>
  </si>
  <si>
    <t>0703
0330010340,611</t>
  </si>
  <si>
    <t>0703
0330077450,612</t>
  </si>
  <si>
    <t>0703
033080620,611</t>
  </si>
  <si>
    <t>0703
033080620,612</t>
  </si>
  <si>
    <t>0703
033008062T,611</t>
  </si>
  <si>
    <t>0703
033008062Z,611</t>
  </si>
  <si>
    <t>0703,
033008065,611</t>
  </si>
  <si>
    <t>0703,
012008065А,611</t>
  </si>
  <si>
    <t>0707
0130073970,244</t>
  </si>
  <si>
    <t>0707
0130073970,323</t>
  </si>
  <si>
    <t>0707
01300S649G/244</t>
  </si>
  <si>
    <t>0707
01300S649G,612</t>
  </si>
  <si>
    <t>0707
01300S649G,622</t>
  </si>
  <si>
    <t>0707
01300S649D/323</t>
  </si>
  <si>
    <t xml:space="preserve">0707
01300S649U/244
</t>
  </si>
  <si>
    <t xml:space="preserve">0707
01300S649U/612
</t>
  </si>
  <si>
    <t>0707
01300S649J/244</t>
  </si>
  <si>
    <t>0709
0140080220,110</t>
  </si>
  <si>
    <t>0709
0140080220,244</t>
  </si>
  <si>
    <t>0709
0140080220,247</t>
  </si>
  <si>
    <t>0709
0140080220,320</t>
  </si>
  <si>
    <t>0709
0140080220,350</t>
  </si>
  <si>
    <t>0709
0140080220,830</t>
  </si>
  <si>
    <t>0709
0140010340,110</t>
  </si>
  <si>
    <t>0709
0140080220,850</t>
  </si>
  <si>
    <t>0801
0310074880,612</t>
  </si>
  <si>
    <t>0801
03100L519F,612</t>
  </si>
  <si>
    <t>0801
0310080640,611</t>
  </si>
  <si>
    <t>0801
0310080640,612</t>
  </si>
  <si>
    <t>0801
031008064T,611</t>
  </si>
  <si>
    <t>0801
031008064Z,611</t>
  </si>
  <si>
    <t>0801
03100L5191,612</t>
  </si>
  <si>
    <t>0801
0310077440,612</t>
  </si>
  <si>
    <t>0801
03100S4880,612</t>
  </si>
  <si>
    <t>0801
031A354530,612</t>
  </si>
  <si>
    <t>0801
0310021380,612</t>
  </si>
  <si>
    <t>0801
0310080630,611</t>
  </si>
  <si>
    <t>0801
0310080630,612</t>
  </si>
  <si>
    <t>0801
031008063Т,611</t>
  </si>
  <si>
    <t>0801
031008063Z,611</t>
  </si>
  <si>
    <t>0801
031А155970,612</t>
  </si>
  <si>
    <t>0801
0310074760,612</t>
  </si>
  <si>
    <t>0801
03100S476,612</t>
  </si>
  <si>
    <t>0801
0310077450,612</t>
  </si>
  <si>
    <t>0801
0310078400,612</t>
  </si>
  <si>
    <t>0801
03100S8400,612</t>
  </si>
  <si>
    <t>0801
03100S4810,612</t>
  </si>
  <si>
    <t>0801
03100S1380,612</t>
  </si>
  <si>
    <t>0801
0320074760,612</t>
  </si>
  <si>
    <t>080103200S4760,612</t>
  </si>
  <si>
    <t>0801
0320074810,612</t>
  </si>
  <si>
    <t>0801
0320078400,612</t>
  </si>
  <si>
    <t>0801
032A274820,612</t>
  </si>
  <si>
    <t>0801
032A354530,612</t>
  </si>
  <si>
    <t>0801
032А174840,612</t>
  </si>
  <si>
    <t>0801
0320080610,611</t>
  </si>
  <si>
    <t>0801
0320080610,612</t>
  </si>
  <si>
    <t>0801
032008061Т,611</t>
  </si>
  <si>
    <t>0801
032008061Z,611</t>
  </si>
  <si>
    <t>0801
03200L 4670,612</t>
  </si>
  <si>
    <t>0801
0320021380,612</t>
  </si>
  <si>
    <t>0801
03200S1380,612</t>
  </si>
  <si>
    <t>0801
032A174840,612</t>
  </si>
  <si>
    <t>0804
0340010340,110</t>
  </si>
  <si>
    <t>0804
0340080220,110</t>
  </si>
  <si>
    <t>0804
0340080220,244</t>
  </si>
  <si>
    <t>0804
0340080220,247</t>
  </si>
  <si>
    <t>0804
0340080220,321</t>
  </si>
  <si>
    <t>0804
0340080220,830</t>
  </si>
  <si>
    <t>0804
0340080220,850</t>
  </si>
  <si>
    <t>1101
0410080620,611</t>
  </si>
  <si>
    <t xml:space="preserve">1103
0410080620,611
</t>
  </si>
  <si>
    <t xml:space="preserve">1103
0410080620,612
</t>
  </si>
  <si>
    <t>1101
041008061Z,621</t>
  </si>
  <si>
    <t>1101
0410026540,612</t>
  </si>
  <si>
    <t>1101
0410080620,612</t>
  </si>
  <si>
    <t>1101
041008062T,612</t>
  </si>
  <si>
    <t>1103
041008062T,611,612</t>
  </si>
  <si>
    <t>1101
041008061T,621</t>
  </si>
  <si>
    <t>1101
041008062Z,611</t>
  </si>
  <si>
    <t>1103
041008062Z,611</t>
  </si>
  <si>
    <t>1101
0410080610,621</t>
  </si>
  <si>
    <t>1101
0410074370,612</t>
  </si>
  <si>
    <t>1101
0410074370,622</t>
  </si>
  <si>
    <t>1101
04100S4370,622</t>
  </si>
  <si>
    <t>1101
04100S4370,612</t>
  </si>
  <si>
    <t>1103
04100S6500,612</t>
  </si>
  <si>
    <t>1103
04100S6540,612</t>
  </si>
  <si>
    <t>1101
0410026500,612</t>
  </si>
  <si>
    <t>1101
0410010340,611</t>
  </si>
  <si>
    <t>1102
0410074040,622</t>
  </si>
  <si>
    <t>1102
0410074180,622</t>
  </si>
  <si>
    <t>1103
0410074180,612</t>
  </si>
  <si>
    <t>1103
04100S437,612</t>
  </si>
  <si>
    <t>1102
0410010340,621</t>
  </si>
  <si>
    <t>1102
041007845,622</t>
  </si>
  <si>
    <t>1103
041007845,612</t>
  </si>
  <si>
    <t>1102
041007437,622</t>
  </si>
  <si>
    <t>1102
041007420,622</t>
  </si>
  <si>
    <t>1102
0410074200,622</t>
  </si>
  <si>
    <t>1102
0410080530,621</t>
  </si>
  <si>
    <t>1102
0410084050,622</t>
  </si>
  <si>
    <t>1102
0410080610,621,622</t>
  </si>
  <si>
    <t>1102
041008061T,621</t>
  </si>
  <si>
    <t>1102
041008061Z,621</t>
  </si>
  <si>
    <t>1102
041008062Z,611</t>
  </si>
  <si>
    <t>1102
04100S4040,622</t>
  </si>
  <si>
    <t>1102
04100S4180,622</t>
  </si>
  <si>
    <t>1102
04100S4200,622</t>
  </si>
  <si>
    <t>1102
0410074370,622</t>
  </si>
  <si>
    <t>1102
04100S437,622</t>
  </si>
  <si>
    <t>1102,04100S8450,622</t>
  </si>
  <si>
    <t>1103
04100S8450,612</t>
  </si>
  <si>
    <t>1102
0410080520,621</t>
  </si>
  <si>
    <t>1102
0410080520,611</t>
  </si>
  <si>
    <t>0909
0810075550,244</t>
  </si>
  <si>
    <t>0909
08100S5550,244</t>
  </si>
  <si>
    <t>0503
0810084030,244</t>
  </si>
  <si>
    <t>0503
0810084040,244</t>
  </si>
  <si>
    <t>0503
0810074800,244</t>
  </si>
  <si>
    <t>0503
0810083140,244</t>
  </si>
  <si>
    <t>0503
0810083180,244</t>
  </si>
  <si>
    <t>0503
0810084120,244</t>
  </si>
  <si>
    <t>0503
081008402E,247</t>
  </si>
  <si>
    <t>0503
081008402E,850</t>
  </si>
  <si>
    <t>0503
0810084080,244</t>
  </si>
  <si>
    <t>0503
0810084090,244</t>
  </si>
  <si>
    <t>0503
0810084110,243</t>
  </si>
  <si>
    <t>0503
0810084160,244</t>
  </si>
  <si>
    <t>0503
0810084170,244</t>
  </si>
  <si>
    <t>0503
0810084170,243</t>
  </si>
  <si>
    <t>0503
0810084180,244</t>
  </si>
  <si>
    <t>0503
0810084200,244</t>
  </si>
  <si>
    <t>0503
0810084210,244</t>
  </si>
  <si>
    <t>0503
0810084190,244</t>
  </si>
  <si>
    <t>0503
0810086140,244</t>
  </si>
  <si>
    <t>0503
0810086150,244</t>
  </si>
  <si>
    <t>0503
0810086860,244</t>
  </si>
  <si>
    <t>0503
0810089160,244</t>
  </si>
  <si>
    <t>0503
0810089170,244</t>
  </si>
  <si>
    <t>0503
08100S4800</t>
  </si>
  <si>
    <t>503
1110074800 244</t>
  </si>
  <si>
    <t>503
11100S4800 244</t>
  </si>
  <si>
    <t>0503
1110074800, 622</t>
  </si>
  <si>
    <t>0503
11100S4800, 622</t>
  </si>
  <si>
    <t>0503
1110083110,244</t>
  </si>
  <si>
    <t>0503
1110084240,244</t>
  </si>
  <si>
    <t>0503
1110083120,244</t>
  </si>
  <si>
    <t>0503
1110083150,244</t>
  </si>
  <si>
    <t>0503
1110083160,244</t>
  </si>
  <si>
    <t>0503
1110083170,244</t>
  </si>
  <si>
    <t>0503
1110084510,244</t>
  </si>
  <si>
    <t>0503
111F25550,244</t>
  </si>
  <si>
    <t>0503
111F25550,631</t>
  </si>
  <si>
    <t>0503
11100R/F25550,811</t>
  </si>
  <si>
    <t>0503
11100S/L 555Э,244</t>
  </si>
  <si>
    <t>0503
11100Э555Э,11100S/L555Э,811</t>
  </si>
  <si>
    <t>0503
08100L2990,244</t>
  </si>
  <si>
    <t>0503
08100R2990,244</t>
  </si>
  <si>
    <t>0503
1110074520,244</t>
  </si>
  <si>
    <t>0503
1110078440,244</t>
  </si>
  <si>
    <t>0503
1110084250,244</t>
  </si>
  <si>
    <t>0503
1110085550,244</t>
  </si>
  <si>
    <t>0503
1110085570,244</t>
  </si>
  <si>
    <t>0503
1110088560,244</t>
  </si>
  <si>
    <t>0503
1110088570,244</t>
  </si>
  <si>
    <t>0503
1110088580,244</t>
  </si>
  <si>
    <t>0503
1110088590,244</t>
  </si>
  <si>
    <t>0503
1110088660,244</t>
  </si>
  <si>
    <t>0503
1110089570,244</t>
  </si>
  <si>
    <t>0503
0810087050,243</t>
  </si>
  <si>
    <t>0503
0810087110,244</t>
  </si>
  <si>
    <t>0503
0810087040,244</t>
  </si>
  <si>
    <t>0503
0810087870,244</t>
  </si>
  <si>
    <t>0503
0810089320,244</t>
  </si>
  <si>
    <t>0503
0810089330,244</t>
  </si>
  <si>
    <t>0503
0810089340,244</t>
  </si>
  <si>
    <t>0503
0810089350,244</t>
  </si>
  <si>
    <t>0503
0810089470,244</t>
  </si>
  <si>
    <t>0503
0810074630,244</t>
  </si>
  <si>
    <t>0503
08100S4630,244</t>
  </si>
  <si>
    <t>0605
0810074630,244</t>
  </si>
  <si>
    <t>0605
08100S4630,244</t>
  </si>
  <si>
    <t>0503
0830084020,244</t>
  </si>
  <si>
    <t>0503
083008402Е,247</t>
  </si>
  <si>
    <t>0113
8210088990,244</t>
  </si>
  <si>
    <t>0503
0840088991,244</t>
  </si>
  <si>
    <t>0503
08600R5550,244</t>
  </si>
  <si>
    <t>0503
08600R5550,811</t>
  </si>
  <si>
    <t>0503
08600S555Э,244</t>
  </si>
  <si>
    <t>0503
08600S555Э,811</t>
  </si>
  <si>
    <t>0503
11100S8440,244</t>
  </si>
  <si>
    <t>0503
1110084240,612</t>
  </si>
  <si>
    <t>0703/0503
111F254240,612</t>
  </si>
  <si>
    <t>0503
111F25424F,612</t>
  </si>
  <si>
    <t>0503
1110088670,612</t>
  </si>
  <si>
    <t>0503
111F274510,622</t>
  </si>
  <si>
    <t>0503
111F274510,244</t>
  </si>
  <si>
    <t>0412
0360074800,622</t>
  </si>
  <si>
    <t>0412
03600S4800,622</t>
  </si>
  <si>
    <t>0412
05500S4660,244</t>
  </si>
  <si>
    <t>0412
0550087010,244</t>
  </si>
  <si>
    <t>0412
0840089190,244</t>
  </si>
  <si>
    <t>0412
0620076070,811</t>
  </si>
  <si>
    <t>0412
06200S6070,244</t>
  </si>
  <si>
    <t>0412
062007661,0811</t>
  </si>
  <si>
    <t>0412
062007668,813</t>
  </si>
  <si>
    <t>0412
06200S6610,811</t>
  </si>
  <si>
    <t>0412
82100S668,811/813</t>
  </si>
  <si>
    <t>0412
06200S6680,813</t>
  </si>
  <si>
    <t>0412
06200S6070,811</t>
  </si>
  <si>
    <t>0707
0420074540,622</t>
  </si>
  <si>
    <t>0707
042007456,622</t>
  </si>
  <si>
    <t>0707
0420074570,622</t>
  </si>
  <si>
    <t>0707
0420074650,622</t>
  </si>
  <si>
    <t>0707
0420010340,621</t>
  </si>
  <si>
    <t>0707
0420080610,621/622</t>
  </si>
  <si>
    <t>0707
042008061T,621</t>
  </si>
  <si>
    <t>0707
042008061Z,621</t>
  </si>
  <si>
    <t>0707
042E876620,622</t>
  </si>
  <si>
    <t>0707
0420076630,622</t>
  </si>
  <si>
    <t>0707
042008810,622</t>
  </si>
  <si>
    <t>0707
0420088680,622</t>
  </si>
  <si>
    <t>0707
04200S663,622</t>
  </si>
  <si>
    <t>0707
04200S4540,622</t>
  </si>
  <si>
    <t>0707
04200S4560,622</t>
  </si>
  <si>
    <t>0707
04200S4570,622</t>
  </si>
  <si>
    <t>0314
8210086120,123</t>
  </si>
  <si>
    <t>0103
8110080210,120</t>
  </si>
  <si>
    <t>0103
8110080210,244</t>
  </si>
  <si>
    <t>0103
8110080210,830</t>
  </si>
  <si>
    <t>0103
8110080210,852</t>
  </si>
  <si>
    <t>0103
8110080230,129</t>
  </si>
  <si>
    <t>0103
8110080910,129</t>
  </si>
  <si>
    <t>0106
8110080210,129</t>
  </si>
  <si>
    <t>0104
8210010340,129</t>
  </si>
  <si>
    <t>0102
8210080230,129,122</t>
  </si>
  <si>
    <t>0104
8210080210,122,129</t>
  </si>
  <si>
    <t>0104
8210080210,244</t>
  </si>
  <si>
    <t>0104
8210080210,247</t>
  </si>
  <si>
    <t>0104
8210080210,830</t>
  </si>
  <si>
    <t>0104
8210080210,850</t>
  </si>
  <si>
    <t>0104
8210080910,129</t>
  </si>
  <si>
    <t>0104
8210077450,244</t>
  </si>
  <si>
    <t>1006
8210074240,244</t>
  </si>
  <si>
    <t>1006
8210074240,321</t>
  </si>
  <si>
    <t>0804
0340080210,244</t>
  </si>
  <si>
    <t>0804
0340080210,120</t>
  </si>
  <si>
    <t>0804
0340080910,129</t>
  </si>
  <si>
    <t>0804
0340080210,850</t>
  </si>
  <si>
    <t>1105
0440080210,120</t>
  </si>
  <si>
    <t>1105
0440080210,850</t>
  </si>
  <si>
    <t>1105
0440080210,244</t>
  </si>
  <si>
    <t>0106
8410080210,129</t>
  </si>
  <si>
    <t>0106
8410080210,244</t>
  </si>
  <si>
    <t>0709
0140080030,831</t>
  </si>
  <si>
    <t>0709
0140080210,129</t>
  </si>
  <si>
    <t>0709
0140080210,244</t>
  </si>
  <si>
    <t>0709
0140080210,850</t>
  </si>
  <si>
    <t>0709
0140080910,129</t>
  </si>
  <si>
    <t>1003
0120074420,870</t>
  </si>
  <si>
    <t>0106
0940010340,129</t>
  </si>
  <si>
    <t>0106
0940080210,129,122</t>
  </si>
  <si>
    <t>0106
0940080210,244</t>
  </si>
  <si>
    <t>0106
0940080210,321</t>
  </si>
  <si>
    <t>0106
0940080210,850</t>
  </si>
  <si>
    <t>0106
0940080910,129</t>
  </si>
  <si>
    <t>0103
8110080210,121</t>
  </si>
  <si>
    <t>0103
8110080230</t>
  </si>
  <si>
    <t>0103
8110080910</t>
  </si>
  <si>
    <t>0106
8110080210,121</t>
  </si>
  <si>
    <t>О104
8210010340,121</t>
  </si>
  <si>
    <t>0102
8210080230</t>
  </si>
  <si>
    <t>0104
8210080210</t>
  </si>
  <si>
    <t>0104
8210080910</t>
  </si>
  <si>
    <t>0804
0340080210</t>
  </si>
  <si>
    <t>0804
0340080910</t>
  </si>
  <si>
    <t>1105
0440080210</t>
  </si>
  <si>
    <t>0106
8410080210,121</t>
  </si>
  <si>
    <t>0709
0140080210</t>
  </si>
  <si>
    <t>0709
0140080910</t>
  </si>
  <si>
    <t>0106
0940010340,121</t>
  </si>
  <si>
    <t>0106
0940080210</t>
  </si>
  <si>
    <t>0106
0940080910</t>
  </si>
  <si>
    <t>1301
8210088940,730</t>
  </si>
  <si>
    <t>0309
084007413,110</t>
  </si>
  <si>
    <r>
      <rPr>
        <b/>
        <sz val="8"/>
        <rFont val="Times New Roman"/>
        <family val="1"/>
        <charset val="204"/>
      </rPr>
      <t>0310</t>
    </r>
    <r>
      <rPr>
        <sz val="8"/>
        <rFont val="Times New Roman"/>
        <family val="1"/>
        <charset val="204"/>
      </rPr>
      <t>/
084007413,244</t>
    </r>
  </si>
  <si>
    <t>0310
0840010340,110</t>
  </si>
  <si>
    <t>0310
0840080220,110</t>
  </si>
  <si>
    <t>0310
0840080220,244</t>
  </si>
  <si>
    <t>0310
08400S4130,110</t>
  </si>
  <si>
    <t>0309
08400S4130,244</t>
  </si>
  <si>
    <t>0505
0840080220,110</t>
  </si>
  <si>
    <t>0505
0840080220,244</t>
  </si>
  <si>
    <t>0505
0840080220,320</t>
  </si>
  <si>
    <t>0505
0840080220,831</t>
  </si>
  <si>
    <t>0505
0840080220,850</t>
  </si>
  <si>
    <t>0505
0840087040,244</t>
  </si>
  <si>
    <t>0505
0840087870,244</t>
  </si>
  <si>
    <t>0505
0550080220,110</t>
  </si>
  <si>
    <t>0505
0550080220,244</t>
  </si>
  <si>
    <t>0505
0550080220,830</t>
  </si>
  <si>
    <t>0505
0550080220,850</t>
  </si>
  <si>
    <t>0505
0810080040,853</t>
  </si>
  <si>
    <t>0113
8310080220,110</t>
  </si>
  <si>
    <t>0113
8310080220,244</t>
  </si>
  <si>
    <t>0107
8210081110,880</t>
  </si>
  <si>
    <t>0113
8210081120,244</t>
  </si>
  <si>
    <t>0113
821W058530,244</t>
  </si>
  <si>
    <t>1001
0630088080,312</t>
  </si>
  <si>
    <t>1001
0630088080,244</t>
  </si>
  <si>
    <t>1003
01200L3040,612</t>
  </si>
  <si>
    <t>1003
01200L3040,622</t>
  </si>
  <si>
    <t>1003
012L3040,870</t>
  </si>
  <si>
    <t>0701
0110008530,612</t>
  </si>
  <si>
    <t>0701
0110008530,622</t>
  </si>
  <si>
    <t>0702
0120008530,612</t>
  </si>
  <si>
    <t>0702
0120008530,622</t>
  </si>
  <si>
    <t>0702
0120008530,870</t>
  </si>
  <si>
    <t>0412
0810085180,244</t>
  </si>
  <si>
    <t>1101
0410074360,612</t>
  </si>
  <si>
    <t>1101
04100S4360,612</t>
  </si>
  <si>
    <t>1003
821008530,330</t>
  </si>
  <si>
    <t>1003
8210085060,350</t>
  </si>
  <si>
    <t>1003
8210088050,310</t>
  </si>
  <si>
    <t>0113
8210088090,330</t>
  </si>
  <si>
    <t>1003
8210088710,321</t>
  </si>
  <si>
    <t>0105
8210051200,244</t>
  </si>
  <si>
    <t>0203
8210051180,120</t>
  </si>
  <si>
    <t>0203
8210051180,244</t>
  </si>
  <si>
    <t>0113
8210054690,244</t>
  </si>
  <si>
    <t>0104
8210074290,129</t>
  </si>
  <si>
    <t>0104
8210074290,244</t>
  </si>
  <si>
    <t>0104
8210075140,129</t>
  </si>
  <si>
    <t>0104
8210075140,244</t>
  </si>
  <si>
    <t>0104
8210076040,129</t>
  </si>
  <si>
    <t>0104
8210076040,244</t>
  </si>
  <si>
    <t>1006
8210002890,129</t>
  </si>
  <si>
    <t>1006
8210002890,244</t>
  </si>
  <si>
    <r>
      <t xml:space="preserve">1006
</t>
    </r>
    <r>
      <rPr>
        <b/>
        <sz val="8"/>
        <rFont val="Times New Roman"/>
        <family val="1"/>
        <charset val="204"/>
      </rPr>
      <t>8210075870</t>
    </r>
    <r>
      <rPr>
        <sz val="8"/>
        <rFont val="Times New Roman"/>
        <family val="1"/>
        <charset val="204"/>
      </rPr>
      <t>,129</t>
    </r>
  </si>
  <si>
    <r>
      <t xml:space="preserve">1006
</t>
    </r>
    <r>
      <rPr>
        <b/>
        <sz val="8"/>
        <rFont val="Times New Roman"/>
        <family val="1"/>
        <charset val="204"/>
      </rPr>
      <t>8210075870</t>
    </r>
    <r>
      <rPr>
        <sz val="8"/>
        <rFont val="Times New Roman"/>
        <family val="1"/>
        <charset val="204"/>
      </rPr>
      <t>,244</t>
    </r>
  </si>
  <si>
    <t>0104
8210078460,129</t>
  </si>
  <si>
    <t>О709
0140078460,129</t>
  </si>
  <si>
    <t>О709
0140078460,244</t>
  </si>
  <si>
    <t>0113
8210078460,244</t>
  </si>
  <si>
    <t>0804
0340075190,120</t>
  </si>
  <si>
    <t>0804
0340075190,244</t>
  </si>
  <si>
    <t>0709
0140075520,120</t>
  </si>
  <si>
    <t>0709
0140075520,244</t>
  </si>
  <si>
    <t>0709
0140075520,853</t>
  </si>
  <si>
    <t>0104
8210074290,121</t>
  </si>
  <si>
    <t>0104
8210075140,121</t>
  </si>
  <si>
    <t>0104
8210076040,121</t>
  </si>
  <si>
    <t>1006
8210002890,120</t>
  </si>
  <si>
    <t>0104
8210078460,121</t>
  </si>
  <si>
    <r>
      <t xml:space="preserve">1006
</t>
    </r>
    <r>
      <rPr>
        <b/>
        <sz val="8"/>
        <rFont val="Times New Roman"/>
        <family val="1"/>
        <charset val="204"/>
      </rPr>
      <t>8210075870</t>
    </r>
    <r>
      <rPr>
        <sz val="8"/>
        <rFont val="Times New Roman"/>
        <family val="1"/>
        <charset val="204"/>
      </rPr>
      <t>,121</t>
    </r>
  </si>
  <si>
    <t>0709
0140078460,121</t>
  </si>
  <si>
    <t>0804
0340075190,121</t>
  </si>
  <si>
    <t>0709
0140075520,121</t>
  </si>
  <si>
    <r>
      <t xml:space="preserve">1004
</t>
    </r>
    <r>
      <rPr>
        <b/>
        <sz val="8"/>
        <rFont val="Times New Roman"/>
        <family val="1"/>
        <charset val="204"/>
      </rPr>
      <t>0140075870</t>
    </r>
    <r>
      <rPr>
        <sz val="8"/>
        <rFont val="Times New Roman"/>
        <family val="1"/>
        <charset val="204"/>
      </rPr>
      <t>,412</t>
    </r>
  </si>
  <si>
    <t>1004
82100R820,322</t>
  </si>
  <si>
    <t>1004
01400L820,412</t>
  </si>
  <si>
    <t>1002
0240001510,611</t>
  </si>
  <si>
    <t>0701
0110075540,612</t>
  </si>
  <si>
    <t>0701
0110075540,622</t>
  </si>
  <si>
    <t>0701
0110075540,870</t>
  </si>
  <si>
    <t>1003
0120075660,612</t>
  </si>
  <si>
    <t>1003
0120075660,622</t>
  </si>
  <si>
    <t>1003
0120075660,870</t>
  </si>
  <si>
    <t>1004
0110075560,321</t>
  </si>
  <si>
    <t>0707
0130076490,110</t>
  </si>
  <si>
    <t>0707/0709
013007649,244</t>
  </si>
  <si>
    <t>0707/0709
0130076490,321</t>
  </si>
  <si>
    <t>0707/0709
013007649,323</t>
  </si>
  <si>
    <t>0707/0709
0130076490,612</t>
  </si>
  <si>
    <t>0707/0709
0130076490,622</t>
  </si>
  <si>
    <t>0707
0130076490,870</t>
  </si>
  <si>
    <t>0412
0810075180,110</t>
  </si>
  <si>
    <t>0412
0810075180,244</t>
  </si>
  <si>
    <t>0502
0810075700,631</t>
  </si>
  <si>
    <t>0502
0810075700,811</t>
  </si>
  <si>
    <t>0702
0120074090,110</t>
  </si>
  <si>
    <t>0702
0120074090,244</t>
  </si>
  <si>
    <t>0702
0120074090,611</t>
  </si>
  <si>
    <t>0702
0120074090,612</t>
  </si>
  <si>
    <t>0702
0120074090,621</t>
  </si>
  <si>
    <t>0702
0120074090,870</t>
  </si>
  <si>
    <t>0702
012007564,110</t>
  </si>
  <si>
    <t>0702
012007564,244</t>
  </si>
  <si>
    <t>0702
012007564,320</t>
  </si>
  <si>
    <t>0702
012007564,611</t>
  </si>
  <si>
    <t>0702
012007564,614</t>
  </si>
  <si>
    <t>0702
012007564,612</t>
  </si>
  <si>
    <t>0702
012007564,621</t>
  </si>
  <si>
    <t>0702
012007564,624</t>
  </si>
  <si>
    <t>0702
012007564,622</t>
  </si>
  <si>
    <t>0702
012007564,870</t>
  </si>
  <si>
    <t>0701
0110074080,611</t>
  </si>
  <si>
    <t>0701
0110074080,612</t>
  </si>
  <si>
    <t>0701
0110074080,621</t>
  </si>
  <si>
    <t>0701
0110074080,870</t>
  </si>
  <si>
    <t>0701
0110075880,611</t>
  </si>
  <si>
    <t>0701
0110075880,612</t>
  </si>
  <si>
    <t>0701
0110075880,621</t>
  </si>
  <si>
    <t>0701
0110075880,622</t>
  </si>
  <si>
    <t>0701
0110075880,870</t>
  </si>
  <si>
    <t>О703
0120075640,611</t>
  </si>
  <si>
    <t>О703
0120075640,614</t>
  </si>
  <si>
    <t>О703
0120075640,621</t>
  </si>
  <si>
    <t>О703
0120075640,624</t>
  </si>
  <si>
    <t>субвенции</t>
  </si>
  <si>
    <t>р-ца субв</t>
  </si>
  <si>
    <t>надо субв</t>
  </si>
  <si>
    <t>(+42388,2)</t>
  </si>
  <si>
    <t>(-42388,2)</t>
  </si>
  <si>
    <t>Руководитель Финансового управления                                                   Л.И.Прикатова</t>
  </si>
  <si>
    <t>разница общ</t>
  </si>
  <si>
    <t xml:space="preserve">надо всего </t>
  </si>
  <si>
    <t>б/310 итог</t>
  </si>
  <si>
    <t>разница 310</t>
  </si>
  <si>
    <t>надо ОМСУ</t>
  </si>
  <si>
    <t>ОМСУ</t>
  </si>
  <si>
    <t>р-ца ОМСУ</t>
  </si>
  <si>
    <t>текущий 2023</t>
  </si>
  <si>
    <t>плановый 2024</t>
  </si>
  <si>
    <t>плановый период</t>
  </si>
  <si>
    <t>в т.ч за счет целевых средств федерального бюджета</t>
  </si>
  <si>
    <t>2025г.</t>
  </si>
  <si>
    <t>2026г.</t>
  </si>
  <si>
    <t>51=52+53+54+55</t>
  </si>
  <si>
    <t>56=57+58+59+60</t>
  </si>
  <si>
    <t>(+11663)</t>
  </si>
  <si>
    <t>(-11663,0)</t>
  </si>
  <si>
    <t>омсу2023</t>
  </si>
  <si>
    <t>РРО МО г.Дивногорск (корр № 11 от 20.12.2023г)</t>
  </si>
  <si>
    <t>0501
8210084070,247</t>
  </si>
  <si>
    <t>0703
012007568D,614</t>
  </si>
  <si>
    <t>0801
0320010330,611</t>
  </si>
  <si>
    <t>0801
0310010330,611</t>
  </si>
</sst>
</file>

<file path=xl/styles.xml><?xml version="1.0" encoding="utf-8"?>
<styleSheet xmlns="http://schemas.openxmlformats.org/spreadsheetml/2006/main">
  <fonts count="32">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8"/>
      <name val="Times New Roman"/>
      <family val="1"/>
      <charset val="204"/>
    </font>
    <font>
      <sz val="8"/>
      <name val="Times New Roman"/>
      <family val="1"/>
      <charset val="204"/>
    </font>
    <font>
      <sz val="8"/>
      <name val="Calibri"/>
      <family val="2"/>
      <charset val="204"/>
      <scheme val="minor"/>
    </font>
    <font>
      <sz val="8"/>
      <name val="Times New Roman Cyr"/>
      <family val="1"/>
      <charset val="204"/>
    </font>
    <font>
      <sz val="8"/>
      <name val="Times New Roman Cyr"/>
      <charset val="204"/>
    </font>
    <font>
      <sz val="10"/>
      <name val="Arial Cyr"/>
      <charset val="204"/>
    </font>
    <font>
      <sz val="8"/>
      <color theme="1"/>
      <name val="Calibri"/>
      <family val="2"/>
      <charset val="204"/>
      <scheme val="minor"/>
    </font>
    <font>
      <b/>
      <sz val="8"/>
      <name val="Times New Roman Cyr"/>
      <family val="1"/>
      <charset val="204"/>
    </font>
    <font>
      <sz val="8"/>
      <color indexed="8"/>
      <name val="Times New Roman"/>
      <family val="1"/>
      <charset val="204"/>
    </font>
    <font>
      <sz val="8"/>
      <color indexed="8"/>
      <name val="Times New Roman Cyr"/>
      <family val="1"/>
      <charset val="204"/>
    </font>
    <font>
      <i/>
      <sz val="8"/>
      <color indexed="8"/>
      <name val="Times New Roman Cyr"/>
      <charset val="204"/>
    </font>
    <font>
      <sz val="8"/>
      <color rgb="FFFF0000"/>
      <name val="Times New Roman"/>
      <family val="1"/>
      <charset val="204"/>
    </font>
    <font>
      <sz val="7"/>
      <name val="Times New Roman"/>
      <family val="1"/>
      <charset val="204"/>
    </font>
    <font>
      <sz val="9"/>
      <color indexed="8"/>
      <name val="Times New Roman"/>
      <family val="1"/>
      <charset val="204"/>
    </font>
    <font>
      <sz val="8"/>
      <color theme="1"/>
      <name val="Times New Roman"/>
      <family val="1"/>
      <charset val="204"/>
    </font>
    <font>
      <sz val="7"/>
      <color indexed="8"/>
      <name val="Times New Roman"/>
      <family val="1"/>
      <charset val="204"/>
    </font>
    <font>
      <sz val="12"/>
      <color indexed="8"/>
      <name val="Times New Roman"/>
      <family val="1"/>
      <charset val="204"/>
    </font>
    <font>
      <sz val="7"/>
      <color theme="1"/>
      <name val="Times New Roman"/>
      <family val="1"/>
      <charset val="204"/>
    </font>
    <font>
      <sz val="7"/>
      <color theme="1"/>
      <name val="Calibri"/>
      <family val="2"/>
      <charset val="204"/>
      <scheme val="minor"/>
    </font>
    <font>
      <sz val="10"/>
      <name val="Arial"/>
      <family val="2"/>
      <charset val="204"/>
    </font>
    <font>
      <b/>
      <sz val="8"/>
      <name val="Calibri"/>
      <family val="2"/>
      <charset val="204"/>
      <scheme val="minor"/>
    </font>
    <font>
      <sz val="11"/>
      <color theme="1"/>
      <name val="Calibri"/>
      <family val="2"/>
      <scheme val="minor"/>
    </font>
    <font>
      <b/>
      <sz val="8"/>
      <color rgb="FF000000"/>
      <name val="Calibri"/>
      <family val="2"/>
      <charset val="204"/>
      <scheme val="minor"/>
    </font>
    <font>
      <b/>
      <sz val="6"/>
      <color rgb="FF000000"/>
      <name val="Times New Roman"/>
      <family val="1"/>
      <charset val="204"/>
    </font>
    <font>
      <b/>
      <sz val="11"/>
      <name val="Times New Roman"/>
      <family val="1"/>
      <charset val="204"/>
    </font>
    <font>
      <b/>
      <sz val="10"/>
      <name val="Times New Roman"/>
      <family val="1"/>
      <charset val="204"/>
    </font>
    <font>
      <b/>
      <sz val="10"/>
      <name val="Calibri"/>
      <family val="2"/>
      <charset val="204"/>
      <scheme val="minor"/>
    </font>
    <font>
      <sz val="16"/>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s>
  <cellStyleXfs count="4">
    <xf numFmtId="0" fontId="0" fillId="0" borderId="0"/>
    <xf numFmtId="0" fontId="8" fillId="0" borderId="0"/>
    <xf numFmtId="0" fontId="22" fillId="0" borderId="0"/>
    <xf numFmtId="0" fontId="24" fillId="0" borderId="0"/>
  </cellStyleXfs>
  <cellXfs count="441">
    <xf numFmtId="0" fontId="0" fillId="0" borderId="0" xfId="0"/>
    <xf numFmtId="0" fontId="3" fillId="2" borderId="0" xfId="0" applyFont="1" applyFill="1" applyAlignment="1">
      <alignment wrapText="1"/>
    </xf>
    <xf numFmtId="0" fontId="4" fillId="2" borderId="0" xfId="0" applyFont="1" applyFill="1"/>
    <xf numFmtId="0" fontId="4" fillId="2" borderId="0" xfId="0" applyFont="1" applyFill="1" applyAlignment="1">
      <alignment horizontal="center" vertical="center"/>
    </xf>
    <xf numFmtId="0" fontId="4" fillId="2" borderId="0" xfId="0" applyFont="1" applyFill="1" applyAlignment="1"/>
    <xf numFmtId="0" fontId="4" fillId="2" borderId="1" xfId="0" applyFont="1" applyFill="1" applyBorder="1" applyAlignment="1">
      <alignment horizontal="center" vertical="center"/>
    </xf>
    <xf numFmtId="0" fontId="4" fillId="2" borderId="1" xfId="0" applyFont="1" applyFill="1" applyBorder="1" applyAlignment="1"/>
    <xf numFmtId="0" fontId="4" fillId="2" borderId="1" xfId="0" applyFont="1" applyFill="1" applyBorder="1"/>
    <xf numFmtId="0" fontId="4" fillId="2" borderId="0" xfId="0" applyFont="1" applyFill="1" applyBorder="1"/>
    <xf numFmtId="0" fontId="4" fillId="2" borderId="2"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49" fontId="4"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2" borderId="2" xfId="0" applyFont="1" applyFill="1" applyBorder="1" applyAlignment="1">
      <alignment horizontal="justify" wrapText="1"/>
    </xf>
    <xf numFmtId="0" fontId="3" fillId="2" borderId="3" xfId="0" applyFont="1" applyFill="1" applyBorder="1" applyAlignment="1">
      <alignment horizontal="center" vertical="center"/>
    </xf>
    <xf numFmtId="0" fontId="4" fillId="2" borderId="9" xfId="0" applyFont="1" applyFill="1" applyBorder="1" applyAlignment="1">
      <alignment horizontal="justify" wrapText="1"/>
    </xf>
    <xf numFmtId="0" fontId="4" fillId="2" borderId="4" xfId="0" applyFont="1" applyFill="1" applyBorder="1" applyAlignment="1">
      <alignment horizontal="center" vertical="center"/>
    </xf>
    <xf numFmtId="0" fontId="4" fillId="2" borderId="3" xfId="0" applyFont="1" applyFill="1" applyBorder="1" applyAlignment="1"/>
    <xf numFmtId="0" fontId="4" fillId="2" borderId="3" xfId="0" applyFont="1" applyFill="1" applyBorder="1"/>
    <xf numFmtId="0" fontId="4" fillId="2" borderId="10" xfId="0" applyFont="1" applyFill="1" applyBorder="1" applyAlignment="1">
      <alignment horizontal="justify" vertical="top" wrapText="1"/>
    </xf>
    <xf numFmtId="0" fontId="4" fillId="2" borderId="8" xfId="0" applyFont="1" applyFill="1" applyBorder="1" applyAlignment="1">
      <alignment horizontal="center" vertical="center"/>
    </xf>
    <xf numFmtId="0" fontId="4" fillId="2" borderId="11" xfId="0" applyFont="1" applyFill="1" applyBorder="1" applyAlignment="1">
      <alignment horizontal="justify" vertical="top" wrapText="1"/>
    </xf>
    <xf numFmtId="0" fontId="4" fillId="2" borderId="3" xfId="0" applyFont="1" applyFill="1" applyBorder="1" applyAlignment="1">
      <alignment horizontal="center" vertical="center"/>
    </xf>
    <xf numFmtId="0" fontId="3" fillId="2" borderId="10" xfId="0" applyFont="1" applyFill="1" applyBorder="1" applyAlignment="1">
      <alignment horizontal="justify" vertical="top" wrapText="1"/>
    </xf>
    <xf numFmtId="0" fontId="3" fillId="2" borderId="10" xfId="0" applyFont="1" applyFill="1" applyBorder="1" applyAlignment="1">
      <alignment horizontal="center" wrapText="1"/>
    </xf>
    <xf numFmtId="0" fontId="3" fillId="2" borderId="3" xfId="0" applyFont="1" applyFill="1" applyBorder="1" applyAlignment="1"/>
    <xf numFmtId="0" fontId="3" fillId="2" borderId="3" xfId="0" applyFont="1" applyFill="1" applyBorder="1"/>
    <xf numFmtId="0" fontId="4" fillId="2" borderId="12" xfId="0" applyFont="1" applyFill="1" applyBorder="1" applyAlignment="1">
      <alignment horizontal="center" wrapText="1"/>
    </xf>
    <xf numFmtId="0" fontId="4" fillId="2" borderId="8" xfId="0" applyFont="1" applyFill="1" applyBorder="1" applyAlignment="1">
      <alignment horizontal="center" vertical="top" wrapText="1"/>
    </xf>
    <xf numFmtId="14" fontId="4" fillId="2" borderId="8" xfId="0" applyNumberFormat="1" applyFont="1" applyFill="1" applyBorder="1" applyAlignment="1">
      <alignment horizontal="center" vertical="top" wrapText="1"/>
    </xf>
    <xf numFmtId="0" fontId="4" fillId="2" borderId="8" xfId="0" applyFont="1" applyFill="1" applyBorder="1" applyAlignment="1">
      <alignment horizontal="center" vertical="top"/>
    </xf>
    <xf numFmtId="0" fontId="4" fillId="2" borderId="8" xfId="0" applyFont="1" applyFill="1" applyBorder="1" applyAlignment="1">
      <alignment horizontal="center" wrapText="1"/>
    </xf>
    <xf numFmtId="0" fontId="4" fillId="2" borderId="3" xfId="0" applyFont="1" applyFill="1" applyBorder="1" applyAlignment="1">
      <alignment vertical="center" wrapText="1"/>
    </xf>
    <xf numFmtId="4" fontId="4" fillId="2" borderId="3" xfId="0" applyNumberFormat="1" applyFont="1" applyFill="1" applyBorder="1" applyAlignment="1">
      <alignment vertical="center" wrapText="1"/>
    </xf>
    <xf numFmtId="0" fontId="4" fillId="2" borderId="10" xfId="0" applyFont="1" applyFill="1" applyBorder="1" applyAlignment="1">
      <alignment horizontal="center" wrapText="1"/>
    </xf>
    <xf numFmtId="0" fontId="4"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xf numFmtId="0" fontId="4" fillId="2" borderId="5" xfId="0" applyFont="1" applyFill="1" applyBorder="1"/>
    <xf numFmtId="0" fontId="7" fillId="2" borderId="13" xfId="0" applyFont="1" applyFill="1" applyBorder="1" applyAlignment="1">
      <alignment horizontal="center" vertical="top" wrapText="1"/>
    </xf>
    <xf numFmtId="0" fontId="7" fillId="2" borderId="13" xfId="0" applyFont="1" applyFill="1" applyBorder="1"/>
    <xf numFmtId="0" fontId="7" fillId="2" borderId="5" xfId="0" applyFont="1" applyFill="1" applyBorder="1" applyAlignment="1">
      <alignment horizontal="center" vertical="top" wrapText="1"/>
    </xf>
    <xf numFmtId="0" fontId="7" fillId="2" borderId="5" xfId="0" applyFont="1" applyFill="1" applyBorder="1"/>
    <xf numFmtId="0" fontId="5" fillId="2" borderId="8" xfId="0" applyFont="1" applyFill="1" applyBorder="1" applyAlignment="1">
      <alignment horizontal="center" vertical="top" wrapText="1"/>
    </xf>
    <xf numFmtId="0" fontId="4" fillId="2" borderId="3" xfId="0" applyFont="1" applyFill="1" applyBorder="1" applyAlignment="1">
      <alignment wrapText="1"/>
    </xf>
    <xf numFmtId="0" fontId="4" fillId="2" borderId="3" xfId="0" applyFont="1" applyFill="1" applyBorder="1" applyAlignment="1">
      <alignment horizontal="center" wrapText="1"/>
    </xf>
    <xf numFmtId="0" fontId="4" fillId="2" borderId="11" xfId="0" applyFont="1" applyFill="1" applyBorder="1" applyAlignment="1">
      <alignment horizontal="center" wrapText="1"/>
    </xf>
    <xf numFmtId="0" fontId="4" fillId="2" borderId="4" xfId="0" applyFont="1" applyFill="1" applyBorder="1" applyAlignment="1"/>
    <xf numFmtId="0" fontId="4" fillId="2" borderId="4" xfId="0" applyFont="1" applyFill="1" applyBorder="1"/>
    <xf numFmtId="0" fontId="3" fillId="2" borderId="11" xfId="0" applyFont="1" applyFill="1" applyBorder="1" applyAlignment="1">
      <alignment horizontal="justify" vertical="top" wrapText="1"/>
    </xf>
    <xf numFmtId="0" fontId="3" fillId="2" borderId="11" xfId="0" applyFont="1" applyFill="1" applyBorder="1" applyAlignment="1">
      <alignment horizontal="center" wrapText="1"/>
    </xf>
    <xf numFmtId="0" fontId="3" fillId="2" borderId="4" xfId="0" applyFont="1" applyFill="1" applyBorder="1" applyAlignment="1"/>
    <xf numFmtId="0" fontId="3" fillId="2" borderId="4" xfId="0" applyFont="1" applyFill="1" applyBorder="1"/>
    <xf numFmtId="0" fontId="4" fillId="2" borderId="3" xfId="0" applyFont="1" applyFill="1" applyBorder="1" applyAlignment="1">
      <alignment horizontal="justify" vertical="top" wrapText="1"/>
    </xf>
    <xf numFmtId="0" fontId="4" fillId="2" borderId="0" xfId="0" applyFont="1" applyFill="1" applyBorder="1" applyAlignment="1">
      <alignment horizontal="center" wrapText="1"/>
    </xf>
    <xf numFmtId="0" fontId="4" fillId="2" borderId="5" xfId="0" applyFont="1" applyFill="1" applyBorder="1" applyAlignment="1">
      <alignment wrapText="1"/>
    </xf>
    <xf numFmtId="0" fontId="4" fillId="2" borderId="8" xfId="0" applyFont="1" applyFill="1" applyBorder="1"/>
    <xf numFmtId="0" fontId="4" fillId="2" borderId="5" xfId="0" applyFont="1" applyFill="1" applyBorder="1" applyAlignment="1">
      <alignment horizontal="center" vertical="top" wrapText="1"/>
    </xf>
    <xf numFmtId="0" fontId="4" fillId="2" borderId="14" xfId="0" applyFont="1" applyFill="1" applyBorder="1" applyAlignment="1">
      <alignment horizontal="center" wrapText="1"/>
    </xf>
    <xf numFmtId="0" fontId="4" fillId="2" borderId="5" xfId="0" applyFont="1" applyFill="1" applyBorder="1" applyAlignment="1">
      <alignment horizontal="center" wrapText="1"/>
    </xf>
    <xf numFmtId="0" fontId="3" fillId="2" borderId="3" xfId="0" applyFont="1" applyFill="1" applyBorder="1" applyAlignment="1">
      <alignment horizontal="center" wrapText="1"/>
    </xf>
    <xf numFmtId="0" fontId="4" fillId="2" borderId="15" xfId="0" applyFont="1" applyFill="1" applyBorder="1" applyAlignment="1">
      <alignment horizontal="center" wrapText="1"/>
    </xf>
    <xf numFmtId="0" fontId="4" fillId="2" borderId="4" xfId="0" applyFont="1" applyFill="1" applyBorder="1" applyAlignment="1">
      <alignment horizontal="center" vertical="top" wrapText="1"/>
    </xf>
    <xf numFmtId="0" fontId="4" fillId="2" borderId="3" xfId="0" applyFont="1" applyFill="1" applyBorder="1" applyAlignment="1">
      <alignment vertical="top" wrapText="1"/>
    </xf>
    <xf numFmtId="14" fontId="4" fillId="2" borderId="3" xfId="0" applyNumberFormat="1" applyFont="1" applyFill="1" applyBorder="1" applyAlignment="1">
      <alignment vertical="top" wrapText="1"/>
    </xf>
    <xf numFmtId="49" fontId="4" fillId="2" borderId="5" xfId="0" applyNumberFormat="1" applyFont="1" applyFill="1" applyBorder="1" applyAlignment="1">
      <alignment horizontal="justify" vertical="distributed" wrapText="1"/>
    </xf>
    <xf numFmtId="49" fontId="4" fillId="2" borderId="5" xfId="0" applyNumberFormat="1" applyFont="1" applyFill="1" applyBorder="1" applyAlignment="1">
      <alignment wrapText="1"/>
    </xf>
    <xf numFmtId="0" fontId="4" fillId="2" borderId="8" xfId="0" applyFont="1" applyFill="1" applyBorder="1" applyAlignment="1">
      <alignment vertical="top" wrapText="1"/>
    </xf>
    <xf numFmtId="14" fontId="4" fillId="2" borderId="8" xfId="0" applyNumberFormat="1" applyFont="1" applyFill="1" applyBorder="1" applyAlignment="1">
      <alignment vertical="top" wrapText="1"/>
    </xf>
    <xf numFmtId="0" fontId="4" fillId="2" borderId="8" xfId="0" applyFont="1" applyFill="1" applyBorder="1" applyAlignment="1">
      <alignment wrapText="1"/>
    </xf>
    <xf numFmtId="0" fontId="4" fillId="2" borderId="8" xfId="0" applyFont="1" applyFill="1" applyBorder="1" applyAlignment="1">
      <alignment horizontal="justify" vertical="distributed"/>
    </xf>
    <xf numFmtId="49" fontId="4" fillId="2" borderId="8" xfId="0" applyNumberFormat="1" applyFont="1" applyFill="1" applyBorder="1" applyAlignment="1">
      <alignment wrapText="1"/>
    </xf>
    <xf numFmtId="0" fontId="3" fillId="2" borderId="8" xfId="0" applyFont="1" applyFill="1" applyBorder="1" applyAlignment="1"/>
    <xf numFmtId="0" fontId="3" fillId="2" borderId="8" xfId="0" applyFont="1" applyFill="1" applyBorder="1"/>
    <xf numFmtId="0" fontId="4" fillId="2" borderId="8" xfId="0" applyFont="1" applyFill="1" applyBorder="1" applyAlignment="1"/>
    <xf numFmtId="0" fontId="3" fillId="2" borderId="8" xfId="0" applyFont="1" applyFill="1" applyBorder="1" applyAlignment="1">
      <alignment wrapText="1"/>
    </xf>
    <xf numFmtId="0" fontId="3" fillId="2" borderId="8" xfId="0" applyFont="1" applyFill="1" applyBorder="1" applyAlignment="1">
      <alignment horizontal="center" vertical="top" wrapText="1"/>
    </xf>
    <xf numFmtId="0" fontId="4" fillId="2" borderId="10" xfId="0" applyFont="1" applyFill="1" applyBorder="1" applyAlignment="1">
      <alignment horizontal="justify" wrapText="1"/>
    </xf>
    <xf numFmtId="0" fontId="4" fillId="2" borderId="16" xfId="0" applyFont="1" applyFill="1" applyBorder="1" applyAlignment="1">
      <alignment horizontal="center" vertical="center"/>
    </xf>
    <xf numFmtId="0" fontId="4" fillId="2" borderId="0" xfId="0" applyFont="1" applyFill="1" applyAlignment="1">
      <alignment wrapText="1"/>
    </xf>
    <xf numFmtId="0" fontId="4" fillId="2" borderId="4" xfId="0" applyFont="1" applyFill="1" applyBorder="1" applyAlignment="1">
      <alignment horizontal="justify" vertical="top" wrapText="1"/>
    </xf>
    <xf numFmtId="0" fontId="6" fillId="2" borderId="8" xfId="0" applyFont="1" applyFill="1" applyBorder="1" applyAlignment="1">
      <alignment horizontal="center" vertical="top" wrapText="1"/>
    </xf>
    <xf numFmtId="0" fontId="6" fillId="2" borderId="8" xfId="0" applyFont="1" applyFill="1" applyBorder="1"/>
    <xf numFmtId="0" fontId="4" fillId="2" borderId="2" xfId="0" applyFont="1" applyFill="1" applyBorder="1" applyAlignment="1"/>
    <xf numFmtId="0" fontId="5" fillId="2" borderId="5" xfId="0" applyFont="1" applyFill="1" applyBorder="1" applyAlignment="1"/>
    <xf numFmtId="0" fontId="3" fillId="2" borderId="3" xfId="0" applyFont="1" applyFill="1" applyBorder="1" applyAlignment="1">
      <alignment horizontal="justify" vertical="top" wrapText="1"/>
    </xf>
    <xf numFmtId="0" fontId="3" fillId="2" borderId="2" xfId="0" applyFont="1" applyFill="1" applyBorder="1" applyAlignment="1"/>
    <xf numFmtId="0" fontId="6" fillId="2" borderId="3" xfId="0" applyFont="1" applyFill="1" applyBorder="1" applyAlignment="1">
      <alignment horizontal="center" vertical="top" wrapText="1"/>
    </xf>
    <xf numFmtId="0" fontId="6" fillId="2" borderId="3" xfId="0" applyFont="1" applyFill="1" applyBorder="1"/>
    <xf numFmtId="0" fontId="4" fillId="2" borderId="6" xfId="0" applyFont="1" applyFill="1" applyBorder="1" applyAlignment="1">
      <alignment horizontal="center" wrapText="1"/>
    </xf>
    <xf numFmtId="0" fontId="4" fillId="2" borderId="3" xfId="0" applyNumberFormat="1" applyFont="1" applyFill="1" applyBorder="1" applyAlignment="1">
      <alignment horizontal="center" vertical="top" wrapText="1"/>
    </xf>
    <xf numFmtId="0" fontId="4" fillId="2" borderId="3" xfId="1" applyFont="1" applyFill="1" applyBorder="1" applyAlignment="1">
      <alignment horizontal="center" vertical="top" wrapText="1"/>
    </xf>
    <xf numFmtId="0" fontId="4" fillId="2" borderId="8" xfId="0" applyNumberFormat="1" applyFont="1" applyFill="1" applyBorder="1" applyAlignment="1">
      <alignment horizontal="center" vertical="top" wrapText="1"/>
    </xf>
    <xf numFmtId="0" fontId="6" fillId="2" borderId="3" xfId="0" applyNumberFormat="1" applyFont="1" applyFill="1" applyBorder="1" applyAlignment="1">
      <alignment horizontal="center" vertical="top" wrapText="1"/>
    </xf>
    <xf numFmtId="0" fontId="6" fillId="2" borderId="3" xfId="0" applyNumberFormat="1" applyFont="1" applyFill="1" applyBorder="1" applyAlignment="1">
      <alignment vertical="top" wrapText="1"/>
    </xf>
    <xf numFmtId="0" fontId="4" fillId="2" borderId="4" xfId="0" applyFont="1" applyFill="1" applyBorder="1" applyAlignment="1">
      <alignment horizontal="center" vertical="center" wrapText="1"/>
    </xf>
    <xf numFmtId="0" fontId="4" fillId="2" borderId="5" xfId="0" applyNumberFormat="1" applyFont="1" applyFill="1" applyBorder="1" applyAlignment="1">
      <alignment horizontal="center" vertical="top" wrapText="1"/>
    </xf>
    <xf numFmtId="0" fontId="9" fillId="2" borderId="8" xfId="0" applyFont="1" applyFill="1" applyBorder="1" applyAlignment="1">
      <alignment horizontal="center" vertical="top" wrapText="1"/>
    </xf>
    <xf numFmtId="0" fontId="3" fillId="2" borderId="12" xfId="0" applyFont="1" applyFill="1" applyBorder="1" applyAlignment="1">
      <alignment horizontal="center" wrapText="1"/>
    </xf>
    <xf numFmtId="14"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top" wrapText="1"/>
    </xf>
    <xf numFmtId="0" fontId="4" fillId="2" borderId="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6" fillId="2" borderId="3" xfId="0" applyFont="1" applyFill="1" applyBorder="1" applyAlignment="1">
      <alignment horizontal="center" wrapText="1"/>
    </xf>
    <xf numFmtId="0" fontId="10" fillId="2" borderId="3" xfId="0" applyFont="1" applyFill="1" applyBorder="1" applyAlignment="1">
      <alignment wrapText="1"/>
    </xf>
    <xf numFmtId="0" fontId="4" fillId="2" borderId="0" xfId="0" applyNumberFormat="1" applyFont="1" applyFill="1" applyBorder="1" applyAlignment="1">
      <alignment horizontal="center" vertical="top" wrapText="1"/>
    </xf>
    <xf numFmtId="0" fontId="4" fillId="2" borderId="0" xfId="0" applyFont="1" applyFill="1" applyAlignment="1">
      <alignment vertical="center" wrapText="1"/>
    </xf>
    <xf numFmtId="0" fontId="6" fillId="2" borderId="3" xfId="0" applyFont="1" applyFill="1" applyBorder="1" applyAlignment="1">
      <alignment wrapText="1"/>
    </xf>
    <xf numFmtId="0" fontId="7" fillId="2" borderId="3" xfId="0" applyFont="1" applyFill="1" applyBorder="1" applyAlignment="1">
      <alignment wrapText="1"/>
    </xf>
    <xf numFmtId="0" fontId="6" fillId="2" borderId="3" xfId="0" applyFont="1" applyFill="1" applyBorder="1" applyAlignment="1"/>
    <xf numFmtId="0" fontId="10" fillId="2" borderId="3" xfId="0" applyFont="1" applyFill="1" applyBorder="1"/>
    <xf numFmtId="0" fontId="7" fillId="2" borderId="3" xfId="0" applyNumberFormat="1" applyFont="1" applyFill="1" applyBorder="1" applyAlignment="1">
      <alignment horizontal="center" vertical="top" wrapText="1"/>
    </xf>
    <xf numFmtId="0" fontId="6" fillId="2" borderId="8" xfId="0" applyNumberFormat="1" applyFont="1" applyFill="1" applyBorder="1" applyAlignment="1">
      <alignment horizontal="center" vertical="top" wrapText="1"/>
    </xf>
    <xf numFmtId="0" fontId="11" fillId="2" borderId="3" xfId="0" applyFont="1" applyFill="1" applyBorder="1" applyAlignment="1">
      <alignment horizontal="center" vertical="center" wrapText="1"/>
    </xf>
    <xf numFmtId="49" fontId="4" fillId="2" borderId="3" xfId="0" applyNumberFormat="1" applyFont="1" applyFill="1" applyBorder="1" applyAlignment="1">
      <alignment wrapText="1"/>
    </xf>
    <xf numFmtId="14" fontId="11" fillId="2" borderId="3" xfId="0" applyNumberFormat="1" applyFont="1" applyFill="1" applyBorder="1" applyAlignment="1">
      <alignment horizontal="center" vertical="center" wrapText="1"/>
    </xf>
    <xf numFmtId="0" fontId="12" fillId="2" borderId="3" xfId="0" applyNumberFormat="1" applyFont="1" applyFill="1" applyBorder="1" applyAlignment="1">
      <alignment horizontal="center" vertical="top" wrapText="1"/>
    </xf>
    <xf numFmtId="0" fontId="11" fillId="2" borderId="0" xfId="0" applyFont="1" applyFill="1" applyBorder="1" applyAlignment="1">
      <alignment horizontal="center" vertical="center" wrapText="1"/>
    </xf>
    <xf numFmtId="0" fontId="4" fillId="2" borderId="0" xfId="0" applyFont="1" applyFill="1" applyAlignment="1">
      <alignment horizontal="center" vertical="top" wrapText="1"/>
    </xf>
    <xf numFmtId="0" fontId="4" fillId="2" borderId="0" xfId="0" applyFont="1" applyFill="1" applyAlignment="1">
      <alignment vertical="top" wrapText="1"/>
    </xf>
    <xf numFmtId="0" fontId="11" fillId="2" borderId="3" xfId="0" applyFont="1" applyFill="1" applyBorder="1" applyAlignment="1">
      <alignment horizontal="center" vertical="top" wrapText="1"/>
    </xf>
    <xf numFmtId="0" fontId="6" fillId="2" borderId="3" xfId="0" applyFont="1" applyFill="1" applyBorder="1" applyAlignment="1">
      <alignment vertical="top" wrapText="1"/>
    </xf>
    <xf numFmtId="0" fontId="6" fillId="2" borderId="4" xfId="0" applyNumberFormat="1" applyFont="1" applyFill="1" applyBorder="1" applyAlignment="1">
      <alignment horizontal="center" vertical="top" wrapText="1"/>
    </xf>
    <xf numFmtId="0" fontId="4" fillId="2" borderId="14" xfId="0" applyFont="1" applyFill="1" applyBorder="1" applyAlignment="1">
      <alignment horizontal="center" vertical="center" wrapText="1"/>
    </xf>
    <xf numFmtId="0" fontId="4" fillId="2" borderId="2" xfId="0" applyFont="1" applyFill="1" applyBorder="1" applyAlignment="1">
      <alignment horizontal="center" vertical="top" wrapText="1"/>
    </xf>
    <xf numFmtId="14" fontId="4" fillId="2" borderId="4" xfId="0" applyNumberFormat="1" applyFont="1" applyFill="1" applyBorder="1" applyAlignment="1">
      <alignment horizontal="center" vertical="top" wrapText="1"/>
    </xf>
    <xf numFmtId="49" fontId="4" fillId="2" borderId="3" xfId="0" applyNumberFormat="1" applyFont="1" applyFill="1" applyBorder="1" applyAlignment="1">
      <alignment horizontal="center" vertical="top" wrapText="1"/>
    </xf>
    <xf numFmtId="0" fontId="4" fillId="2" borderId="3" xfId="0" applyFont="1" applyFill="1" applyBorder="1" applyAlignment="1">
      <alignment vertical="top"/>
    </xf>
    <xf numFmtId="0" fontId="11" fillId="2" borderId="8" xfId="0" applyFont="1" applyFill="1" applyBorder="1" applyAlignment="1">
      <alignment horizontal="center" vertical="center" wrapText="1"/>
    </xf>
    <xf numFmtId="0" fontId="11" fillId="2" borderId="8" xfId="0" applyFont="1" applyFill="1" applyBorder="1" applyAlignment="1">
      <alignment horizontal="center" vertical="top" wrapText="1"/>
    </xf>
    <xf numFmtId="49" fontId="11" fillId="2" borderId="3" xfId="0" applyNumberFormat="1" applyFont="1" applyFill="1" applyBorder="1" applyAlignment="1">
      <alignment horizontal="center" vertical="center" wrapText="1"/>
    </xf>
    <xf numFmtId="14" fontId="4" fillId="2" borderId="8"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2" borderId="3" xfId="0" applyFont="1" applyFill="1" applyBorder="1" applyAlignment="1">
      <alignment vertical="center"/>
    </xf>
    <xf numFmtId="14" fontId="4" fillId="2" borderId="3" xfId="0" applyNumberFormat="1" applyFont="1" applyFill="1" applyBorder="1"/>
    <xf numFmtId="0" fontId="14" fillId="2" borderId="3" xfId="0" applyFont="1" applyFill="1" applyBorder="1" applyAlignment="1">
      <alignment horizontal="left" vertical="center"/>
    </xf>
    <xf numFmtId="0" fontId="15"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49" fontId="15" fillId="2" borderId="3" xfId="0" applyNumberFormat="1" applyFont="1" applyFill="1" applyBorder="1" applyAlignment="1">
      <alignment wrapText="1"/>
    </xf>
    <xf numFmtId="14" fontId="15" fillId="2" borderId="3" xfId="0"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5" xfId="0" applyFont="1" applyFill="1" applyBorder="1"/>
    <xf numFmtId="0" fontId="3" fillId="2" borderId="3" xfId="0" applyFont="1" applyFill="1" applyBorder="1" applyAlignment="1">
      <alignment horizontal="center" vertical="top" wrapText="1"/>
    </xf>
    <xf numFmtId="0" fontId="4" fillId="2" borderId="10" xfId="0" applyNumberFormat="1" applyFont="1" applyFill="1" applyBorder="1" applyAlignment="1">
      <alignment horizontal="justify" vertical="top"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6" fillId="2" borderId="4" xfId="0" applyFont="1" applyFill="1" applyBorder="1" applyAlignment="1">
      <alignment wrapText="1"/>
    </xf>
    <xf numFmtId="14" fontId="4" fillId="2" borderId="3" xfId="0" applyNumberFormat="1" applyFont="1" applyFill="1" applyBorder="1" applyAlignment="1">
      <alignment vertical="center"/>
    </xf>
    <xf numFmtId="14" fontId="4" fillId="2" borderId="4" xfId="0" applyNumberFormat="1" applyFont="1" applyFill="1" applyBorder="1" applyAlignment="1">
      <alignment vertical="center"/>
    </xf>
    <xf numFmtId="0" fontId="4" fillId="2" borderId="18" xfId="0" applyFont="1" applyFill="1" applyBorder="1" applyAlignment="1">
      <alignment wrapText="1"/>
    </xf>
    <xf numFmtId="0" fontId="4" fillId="2" borderId="15" xfId="0" applyFont="1" applyFill="1" applyBorder="1" applyAlignment="1">
      <alignment wrapText="1"/>
    </xf>
    <xf numFmtId="0" fontId="17" fillId="2" borderId="3" xfId="0" applyFont="1" applyFill="1" applyBorder="1" applyAlignment="1">
      <alignment wrapText="1"/>
    </xf>
    <xf numFmtId="0" fontId="18"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0" fillId="2" borderId="3" xfId="0" applyFont="1" applyFill="1" applyBorder="1" applyAlignment="1">
      <alignment wrapText="1"/>
    </xf>
    <xf numFmtId="14" fontId="18" fillId="2" borderId="3" xfId="0" applyNumberFormat="1" applyFont="1" applyFill="1" applyBorder="1" applyAlignment="1">
      <alignment horizontal="center" vertical="center" wrapText="1"/>
    </xf>
    <xf numFmtId="0" fontId="3" fillId="2" borderId="0" xfId="0" applyFont="1" applyFill="1" applyBorder="1" applyAlignment="1">
      <alignment horizontal="justify" vertical="top" wrapText="1"/>
    </xf>
    <xf numFmtId="0" fontId="3" fillId="2" borderId="0" xfId="0" applyFont="1" applyFill="1" applyBorder="1" applyAlignment="1">
      <alignment horizontal="center" wrapText="1"/>
    </xf>
    <xf numFmtId="0" fontId="4" fillId="2" borderId="0" xfId="0" applyFont="1" applyFill="1" applyBorder="1" applyAlignment="1">
      <alignment horizontal="justify" vertical="top" wrapText="1"/>
    </xf>
    <xf numFmtId="0" fontId="3" fillId="2" borderId="2" xfId="0" applyFont="1" applyFill="1" applyBorder="1" applyAlignment="1">
      <alignment horizontal="justify" vertical="top" wrapText="1"/>
    </xf>
    <xf numFmtId="0" fontId="3" fillId="2" borderId="8" xfId="0" applyFont="1" applyFill="1" applyBorder="1" applyAlignment="1">
      <alignment horizontal="center" vertical="center"/>
    </xf>
    <xf numFmtId="0" fontId="12" fillId="2" borderId="3" xfId="0" applyFont="1" applyFill="1" applyBorder="1" applyAlignment="1">
      <alignment horizontal="center" vertical="center"/>
    </xf>
    <xf numFmtId="14" fontId="12" fillId="2" borderId="3" xfId="0" applyNumberFormat="1" applyFont="1" applyFill="1" applyBorder="1" applyAlignment="1">
      <alignment horizontal="center" vertical="center"/>
    </xf>
    <xf numFmtId="0" fontId="4" fillId="2" borderId="4" xfId="0" applyFont="1" applyFill="1" applyBorder="1" applyAlignment="1">
      <alignment wrapText="1"/>
    </xf>
    <xf numFmtId="0" fontId="4" fillId="2" borderId="15" xfId="0" applyFont="1" applyFill="1" applyBorder="1" applyAlignment="1">
      <alignment horizontal="justify" vertical="top" wrapText="1"/>
    </xf>
    <xf numFmtId="0" fontId="4" fillId="2" borderId="2" xfId="0" applyFont="1" applyFill="1" applyBorder="1" applyAlignment="1">
      <alignment horizontal="justify" wrapText="1"/>
    </xf>
    <xf numFmtId="0" fontId="4" fillId="2" borderId="6" xfId="0" applyFont="1" applyFill="1" applyBorder="1" applyAlignment="1">
      <alignment horizontal="center" vertical="center"/>
    </xf>
    <xf numFmtId="0" fontId="4" fillId="2" borderId="3"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xf>
    <xf numFmtId="0" fontId="4" fillId="2" borderId="0" xfId="0" applyFont="1" applyFill="1" applyBorder="1" applyAlignment="1">
      <alignment horizontal="justify" wrapText="1"/>
    </xf>
    <xf numFmtId="0" fontId="4" fillId="2" borderId="8" xfId="0" applyNumberFormat="1" applyFont="1" applyFill="1" applyBorder="1" applyAlignment="1">
      <alignment horizontal="center" vertical="center" wrapText="1"/>
    </xf>
    <xf numFmtId="0" fontId="4" fillId="2" borderId="3" xfId="0" applyFont="1" applyFill="1" applyBorder="1" applyAlignment="1">
      <alignment horizontal="justify" wrapText="1"/>
    </xf>
    <xf numFmtId="0" fontId="6" fillId="2" borderId="3" xfId="0" applyFont="1" applyFill="1" applyBorder="1" applyAlignment="1">
      <alignment horizontal="center" vertical="center"/>
    </xf>
    <xf numFmtId="14" fontId="6" fillId="2" borderId="3" xfId="0" applyNumberFormat="1" applyFont="1" applyFill="1" applyBorder="1" applyAlignment="1">
      <alignment horizontal="center" vertical="center"/>
    </xf>
    <xf numFmtId="0" fontId="4" fillId="2" borderId="3" xfId="0" applyFont="1" applyFill="1" applyBorder="1" applyAlignment="1">
      <alignment horizontal="center"/>
    </xf>
    <xf numFmtId="0" fontId="4" fillId="2" borderId="8" xfId="0" applyFont="1" applyFill="1" applyBorder="1" applyAlignment="1">
      <alignment vertical="center" wrapText="1"/>
    </xf>
    <xf numFmtId="0" fontId="5" fillId="2" borderId="8" xfId="0" applyFont="1" applyFill="1" applyBorder="1" applyAlignment="1"/>
    <xf numFmtId="0" fontId="5" fillId="2" borderId="3" xfId="0" applyFont="1" applyFill="1" applyBorder="1" applyAlignment="1">
      <alignment horizontal="center" vertical="center" wrapText="1"/>
    </xf>
    <xf numFmtId="0" fontId="5" fillId="2" borderId="8" xfId="0" applyFont="1" applyFill="1" applyBorder="1" applyAlignment="1">
      <alignment vertical="center" wrapText="1"/>
    </xf>
    <xf numFmtId="0" fontId="3" fillId="2" borderId="8" xfId="0" applyFont="1" applyFill="1" applyBorder="1" applyAlignment="1">
      <alignment horizontal="justify" vertical="top" wrapText="1"/>
    </xf>
    <xf numFmtId="0" fontId="3" fillId="2" borderId="1" xfId="0" applyFont="1" applyFill="1" applyBorder="1" applyAlignment="1">
      <alignment horizontal="center" vertical="center"/>
    </xf>
    <xf numFmtId="0" fontId="3" fillId="2" borderId="8" xfId="0" applyFont="1" applyFill="1" applyBorder="1" applyAlignment="1">
      <alignment horizontal="distributed" vertical="center"/>
    </xf>
    <xf numFmtId="0" fontId="3" fillId="2" borderId="8" xfId="0" applyFont="1" applyFill="1" applyBorder="1" applyAlignment="1">
      <alignment vertical="center" wrapText="1"/>
    </xf>
    <xf numFmtId="0" fontId="4" fillId="2" borderId="7" xfId="0" applyFont="1" applyFill="1" applyBorder="1" applyAlignment="1">
      <alignment horizontal="center" vertical="center"/>
    </xf>
    <xf numFmtId="0" fontId="4" fillId="2" borderId="3" xfId="0" applyFont="1" applyFill="1" applyBorder="1" applyAlignment="1">
      <alignment horizontal="distributed" vertical="center"/>
    </xf>
    <xf numFmtId="0" fontId="4" fillId="2" borderId="12" xfId="0" applyFont="1" applyFill="1" applyBorder="1" applyAlignment="1">
      <alignment horizontal="justify" wrapText="1"/>
    </xf>
    <xf numFmtId="0" fontId="4" fillId="2" borderId="5" xfId="0" applyFont="1" applyFill="1" applyBorder="1" applyAlignment="1">
      <alignment horizontal="distributed" vertical="center"/>
    </xf>
    <xf numFmtId="0" fontId="4" fillId="2" borderId="2" xfId="0" applyFont="1" applyFill="1" applyBorder="1" applyAlignment="1">
      <alignment wrapText="1"/>
    </xf>
    <xf numFmtId="0" fontId="4" fillId="2" borderId="2" xfId="0" applyNumberFormat="1" applyFont="1" applyFill="1" applyBorder="1" applyAlignment="1">
      <alignment horizontal="center" vertical="top" wrapText="1"/>
    </xf>
    <xf numFmtId="0" fontId="4" fillId="2" borderId="9"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top" wrapText="1"/>
    </xf>
    <xf numFmtId="0" fontId="4" fillId="2" borderId="5" xfId="0" applyFont="1" applyFill="1" applyBorder="1" applyAlignment="1">
      <alignment vertical="center"/>
    </xf>
    <xf numFmtId="0" fontId="6" fillId="2" borderId="4" xfId="0" applyFont="1" applyFill="1" applyBorder="1" applyAlignment="1">
      <alignment vertical="center" wrapText="1"/>
    </xf>
    <xf numFmtId="14" fontId="6" fillId="2" borderId="4" xfId="0" applyNumberFormat="1" applyFont="1" applyFill="1" applyBorder="1" applyAlignment="1">
      <alignment vertical="center" wrapText="1"/>
    </xf>
    <xf numFmtId="0" fontId="4" fillId="2" borderId="4" xfId="0" applyNumberFormat="1" applyFont="1" applyFill="1" applyBorder="1" applyAlignment="1">
      <alignment vertical="center" wrapText="1"/>
    </xf>
    <xf numFmtId="0" fontId="4" fillId="2" borderId="5" xfId="0" applyFont="1" applyFill="1" applyBorder="1" applyAlignment="1">
      <alignment vertical="center" wrapText="1"/>
    </xf>
    <xf numFmtId="14" fontId="4" fillId="2" borderId="5" xfId="0" applyNumberFormat="1" applyFont="1" applyFill="1" applyBorder="1" applyAlignment="1">
      <alignment vertical="center" wrapText="1"/>
    </xf>
    <xf numFmtId="0" fontId="4" fillId="2" borderId="8" xfId="0" applyFont="1" applyFill="1" applyBorder="1" applyAlignment="1">
      <alignment vertical="center"/>
    </xf>
    <xf numFmtId="0" fontId="6" fillId="2" borderId="3" xfId="0" applyFont="1" applyFill="1" applyBorder="1" applyAlignment="1">
      <alignment vertical="center" wrapText="1"/>
    </xf>
    <xf numFmtId="0" fontId="5" fillId="2" borderId="3" xfId="0" applyFont="1" applyFill="1" applyBorder="1" applyAlignment="1">
      <alignment vertical="center"/>
    </xf>
    <xf numFmtId="0" fontId="6" fillId="2" borderId="3" xfId="0" applyFont="1" applyFill="1" applyBorder="1" applyAlignment="1">
      <alignment vertical="center"/>
    </xf>
    <xf numFmtId="0" fontId="4" fillId="2" borderId="15" xfId="0" applyFont="1" applyFill="1" applyBorder="1" applyAlignment="1">
      <alignment vertical="center" wrapText="1"/>
    </xf>
    <xf numFmtId="0" fontId="3" fillId="2" borderId="8" xfId="0" applyFont="1" applyFill="1" applyBorder="1" applyAlignment="1">
      <alignment vertical="center"/>
    </xf>
    <xf numFmtId="0" fontId="3" fillId="2" borderId="8"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0" xfId="0" applyFont="1" applyFill="1" applyBorder="1" applyAlignment="1">
      <alignment horizontal="center" vertical="center"/>
    </xf>
    <xf numFmtId="0" fontId="5" fillId="2" borderId="8" xfId="0" applyFont="1" applyFill="1" applyBorder="1" applyAlignment="1">
      <alignment vertical="center"/>
    </xf>
    <xf numFmtId="0" fontId="5" fillId="2" borderId="4" xfId="0" applyFont="1" applyFill="1" applyBorder="1" applyAlignment="1">
      <alignment horizontal="center" vertical="center" wrapText="1"/>
    </xf>
    <xf numFmtId="0" fontId="6" fillId="2" borderId="8" xfId="0" applyFont="1" applyFill="1" applyBorder="1" applyAlignment="1">
      <alignment wrapText="1"/>
    </xf>
    <xf numFmtId="0" fontId="5" fillId="2" borderId="15" xfId="0" applyFont="1" applyFill="1" applyBorder="1" applyAlignment="1">
      <alignment vertical="center" wrapText="1"/>
    </xf>
    <xf numFmtId="0" fontId="4" fillId="2" borderId="8" xfId="0" applyFont="1" applyFill="1" applyBorder="1" applyAlignment="1">
      <alignment horizontal="justify" vertical="top" wrapText="1"/>
    </xf>
    <xf numFmtId="0" fontId="4" fillId="2" borderId="2" xfId="0" applyFont="1" applyFill="1" applyBorder="1"/>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17" fillId="2" borderId="8" xfId="0" applyFont="1" applyFill="1" applyBorder="1" applyAlignment="1"/>
    <xf numFmtId="0" fontId="9" fillId="2" borderId="8" xfId="0" applyFont="1" applyFill="1" applyBorder="1" applyAlignment="1"/>
    <xf numFmtId="0" fontId="21" fillId="2" borderId="8" xfId="0" applyFont="1" applyFill="1" applyBorder="1" applyAlignment="1"/>
    <xf numFmtId="0" fontId="6" fillId="2" borderId="5" xfId="0" applyFont="1" applyFill="1" applyBorder="1" applyAlignment="1">
      <alignment horizontal="center" wrapText="1"/>
    </xf>
    <xf numFmtId="0" fontId="5" fillId="2" borderId="3" xfId="0" applyFont="1" applyFill="1" applyBorder="1" applyAlignment="1"/>
    <xf numFmtId="0" fontId="4" fillId="2" borderId="12" xfId="2" applyFont="1" applyFill="1" applyBorder="1" applyAlignment="1">
      <alignment horizontal="center" vertical="top" wrapText="1"/>
    </xf>
    <xf numFmtId="0" fontId="4" fillId="2" borderId="6" xfId="0" applyFont="1" applyFill="1" applyBorder="1" applyAlignment="1">
      <alignment vertical="justify" wrapText="1"/>
    </xf>
    <xf numFmtId="0" fontId="4" fillId="2" borderId="3" xfId="0" applyFont="1" applyFill="1" applyBorder="1" applyAlignment="1">
      <alignment vertical="justify" wrapText="1"/>
    </xf>
    <xf numFmtId="0" fontId="4" fillId="2" borderId="0" xfId="2" applyFont="1" applyFill="1" applyBorder="1" applyAlignment="1">
      <alignment horizontal="center" vertical="top" wrapText="1"/>
    </xf>
    <xf numFmtId="0" fontId="4" fillId="2" borderId="16" xfId="0" applyFont="1" applyFill="1" applyBorder="1" applyAlignment="1">
      <alignment vertical="justify" wrapText="1"/>
    </xf>
    <xf numFmtId="0" fontId="4" fillId="2" borderId="8" xfId="0" applyFont="1" applyFill="1" applyBorder="1" applyAlignment="1">
      <alignment vertical="justify" wrapText="1"/>
    </xf>
    <xf numFmtId="0" fontId="3" fillId="2" borderId="3" xfId="0" applyFont="1" applyFill="1" applyBorder="1" applyAlignment="1">
      <alignment vertical="top" wrapText="1"/>
    </xf>
    <xf numFmtId="0" fontId="3" fillId="2" borderId="6" xfId="0" applyFont="1" applyFill="1" applyBorder="1" applyAlignment="1">
      <alignment horizontal="center" vertical="center"/>
    </xf>
    <xf numFmtId="0" fontId="3" fillId="2" borderId="2" xfId="0" applyFont="1" applyFill="1" applyBorder="1"/>
    <xf numFmtId="0" fontId="4" fillId="2" borderId="0" xfId="0" applyFont="1" applyFill="1" applyBorder="1" applyAlignment="1">
      <alignment vertical="top" wrapText="1"/>
    </xf>
    <xf numFmtId="0" fontId="6" fillId="2" borderId="3"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3" fillId="2" borderId="0" xfId="0" applyFont="1" applyFill="1" applyBorder="1" applyAlignment="1">
      <alignment vertical="top" wrapText="1"/>
    </xf>
    <xf numFmtId="0" fontId="3" fillId="2" borderId="16" xfId="0" applyFont="1" applyFill="1" applyBorder="1" applyAlignment="1">
      <alignment horizontal="center" vertical="center"/>
    </xf>
    <xf numFmtId="0" fontId="3"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0" fontId="3" fillId="2" borderId="2" xfId="0" applyFont="1" applyFill="1" applyBorder="1" applyAlignment="1">
      <alignment wrapText="1"/>
    </xf>
    <xf numFmtId="0" fontId="23" fillId="2" borderId="3" xfId="0" applyFont="1" applyFill="1" applyBorder="1" applyAlignment="1">
      <alignment horizontal="center" vertical="center" wrapText="1"/>
    </xf>
    <xf numFmtId="0" fontId="11" fillId="2" borderId="3" xfId="0" applyNumberFormat="1" applyFont="1" applyFill="1" applyBorder="1" applyAlignment="1">
      <alignment horizontal="center" vertical="center" wrapText="1"/>
    </xf>
    <xf numFmtId="2" fontId="4" fillId="2" borderId="3" xfId="3" applyNumberFormat="1" applyFont="1" applyFill="1" applyBorder="1" applyAlignment="1">
      <alignment horizontal="center" vertical="top" wrapText="1"/>
    </xf>
    <xf numFmtId="0" fontId="25" fillId="2" borderId="19" xfId="0" applyFont="1" applyFill="1" applyBorder="1" applyAlignment="1">
      <alignment vertical="top" wrapText="1" readingOrder="1"/>
    </xf>
    <xf numFmtId="0" fontId="26" fillId="2" borderId="0" xfId="0" applyFont="1" applyFill="1"/>
    <xf numFmtId="0" fontId="3" fillId="2" borderId="2" xfId="0" applyFont="1" applyFill="1" applyBorder="1" applyAlignment="1">
      <alignment horizontal="center" vertical="center"/>
    </xf>
    <xf numFmtId="0" fontId="4" fillId="2" borderId="20" xfId="0" applyFont="1" applyFill="1" applyBorder="1" applyAlignment="1">
      <alignment horizontal="center" vertical="center"/>
    </xf>
    <xf numFmtId="0" fontId="3" fillId="2" borderId="2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5" xfId="0" applyFont="1" applyFill="1" applyBorder="1" applyAlignment="1">
      <alignment horizontal="justify" wrapText="1"/>
    </xf>
    <xf numFmtId="0" fontId="3" fillId="2" borderId="9" xfId="0" applyFont="1" applyFill="1" applyBorder="1"/>
    <xf numFmtId="14" fontId="4" fillId="2" borderId="3" xfId="0" applyNumberFormat="1" applyFont="1" applyFill="1" applyBorder="1" applyAlignment="1">
      <alignment wrapText="1"/>
    </xf>
    <xf numFmtId="0" fontId="3" fillId="2" borderId="15" xfId="0" applyFont="1" applyFill="1" applyBorder="1" applyAlignment="1">
      <alignment horizontal="justify" vertical="top" wrapText="1"/>
    </xf>
    <xf numFmtId="0" fontId="4" fillId="2" borderId="15" xfId="0" applyFont="1" applyFill="1" applyBorder="1" applyAlignment="1">
      <alignment horizontal="center" vertical="center"/>
    </xf>
    <xf numFmtId="0" fontId="4" fillId="2" borderId="14" xfId="0" applyFont="1" applyFill="1" applyBorder="1" applyAlignment="1">
      <alignment horizontal="justify" wrapText="1"/>
    </xf>
    <xf numFmtId="0" fontId="3" fillId="2" borderId="3" xfId="0" applyFont="1" applyFill="1" applyBorder="1" applyAlignment="1">
      <alignment wrapText="1"/>
    </xf>
    <xf numFmtId="0" fontId="4" fillId="2" borderId="2" xfId="0" applyFont="1" applyFill="1" applyBorder="1" applyAlignment="1">
      <alignment horizontal="justify" vertical="top" wrapText="1"/>
    </xf>
    <xf numFmtId="0" fontId="4" fillId="2" borderId="9" xfId="0" applyFont="1" applyFill="1" applyBorder="1" applyAlignment="1">
      <alignment wrapText="1"/>
    </xf>
    <xf numFmtId="0" fontId="4" fillId="2" borderId="0" xfId="0" applyFont="1" applyFill="1" applyBorder="1" applyAlignment="1">
      <alignment horizontal="center" vertical="center"/>
    </xf>
    <xf numFmtId="0" fontId="4" fillId="2" borderId="3" xfId="3" applyFont="1" applyFill="1" applyBorder="1" applyAlignment="1">
      <alignment horizontal="center" vertical="top" wrapText="1"/>
    </xf>
    <xf numFmtId="0" fontId="4" fillId="2" borderId="21" xfId="0" applyFont="1" applyFill="1" applyBorder="1" applyAlignment="1">
      <alignment horizontal="center" vertical="center"/>
    </xf>
    <xf numFmtId="0" fontId="4" fillId="2" borderId="4" xfId="0" applyFont="1" applyFill="1" applyBorder="1" applyAlignment="1">
      <alignment vertical="top" wrapText="1"/>
    </xf>
    <xf numFmtId="0" fontId="4" fillId="2" borderId="3" xfId="0" applyNumberFormat="1" applyFont="1" applyFill="1" applyBorder="1" applyAlignment="1" applyProtection="1">
      <alignment horizontal="center" vertical="top" wrapText="1"/>
    </xf>
    <xf numFmtId="0" fontId="4" fillId="2" borderId="12" xfId="0" applyFont="1" applyFill="1" applyBorder="1" applyAlignment="1">
      <alignment horizontal="justify" vertical="top" wrapText="1"/>
    </xf>
    <xf numFmtId="0" fontId="3" fillId="2" borderId="20" xfId="0" applyFont="1" applyFill="1" applyBorder="1" applyAlignment="1">
      <alignment horizontal="center" wrapText="1"/>
    </xf>
    <xf numFmtId="0" fontId="4" fillId="2" borderId="16" xfId="0" applyFont="1" applyFill="1" applyBorder="1" applyAlignment="1">
      <alignment horizontal="center" wrapText="1"/>
    </xf>
    <xf numFmtId="0" fontId="3" fillId="2" borderId="16" xfId="0" applyFont="1" applyFill="1" applyBorder="1" applyAlignment="1">
      <alignment horizontal="center" wrapText="1"/>
    </xf>
    <xf numFmtId="0" fontId="3" fillId="2" borderId="15" xfId="0" applyFont="1" applyFill="1" applyBorder="1" applyAlignment="1">
      <alignment horizontal="justify" wrapText="1"/>
    </xf>
    <xf numFmtId="0" fontId="3" fillId="2" borderId="9" xfId="0" applyFont="1" applyFill="1" applyBorder="1" applyAlignment="1">
      <alignment horizontal="justify" wrapText="1"/>
    </xf>
    <xf numFmtId="0" fontId="3" fillId="2" borderId="4" xfId="0" applyFont="1" applyFill="1" applyBorder="1" applyAlignment="1">
      <alignment horizontal="center" vertical="center"/>
    </xf>
    <xf numFmtId="2" fontId="4" fillId="2" borderId="22" xfId="0" applyNumberFormat="1" applyFont="1" applyFill="1" applyBorder="1"/>
    <xf numFmtId="0" fontId="4" fillId="2" borderId="22" xfId="0" applyFont="1" applyFill="1" applyBorder="1" applyAlignment="1">
      <alignment horizontal="center" vertical="center"/>
    </xf>
    <xf numFmtId="0" fontId="4" fillId="2" borderId="22" xfId="0" applyFont="1" applyFill="1" applyBorder="1" applyAlignment="1"/>
    <xf numFmtId="0" fontId="4" fillId="2" borderId="22" xfId="0" applyFont="1" applyFill="1" applyBorder="1"/>
    <xf numFmtId="2" fontId="4" fillId="2" borderId="0" xfId="0" applyNumberFormat="1" applyFont="1" applyFill="1" applyBorder="1"/>
    <xf numFmtId="0" fontId="4" fillId="2" borderId="0" xfId="0" applyFont="1" applyFill="1" applyBorder="1" applyAlignment="1"/>
    <xf numFmtId="0" fontId="4" fillId="2" borderId="0" xfId="0" applyFont="1" applyFill="1" applyAlignment="1">
      <alignment horizontal="justify" wrapText="1"/>
    </xf>
    <xf numFmtId="0" fontId="4" fillId="2" borderId="0" xfId="0" applyFont="1" applyFill="1" applyBorder="1" applyAlignment="1">
      <alignment horizontal="justify"/>
    </xf>
    <xf numFmtId="0" fontId="14" fillId="2" borderId="0" xfId="0" applyFont="1" applyFill="1" applyBorder="1" applyAlignment="1">
      <alignment horizontal="center" vertical="center"/>
    </xf>
    <xf numFmtId="0" fontId="4" fillId="2" borderId="0" xfId="0" applyFont="1" applyFill="1" applyBorder="1" applyAlignment="1">
      <alignment horizontal="center"/>
    </xf>
    <xf numFmtId="0" fontId="3" fillId="2" borderId="0" xfId="0" applyFont="1" applyFill="1"/>
    <xf numFmtId="49" fontId="4" fillId="2" borderId="0"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3" fillId="2" borderId="0" xfId="0" applyFont="1" applyFill="1" applyAlignment="1"/>
    <xf numFmtId="2" fontId="10" fillId="2" borderId="3" xfId="0" applyNumberFormat="1" applyFont="1" applyFill="1" applyBorder="1"/>
    <xf numFmtId="2" fontId="3" fillId="2" borderId="3" xfId="0" applyNumberFormat="1" applyFont="1" applyFill="1" applyBorder="1"/>
    <xf numFmtId="4" fontId="4" fillId="2" borderId="3" xfId="0" applyNumberFormat="1" applyFont="1" applyFill="1" applyBorder="1" applyAlignment="1">
      <alignment wrapText="1"/>
    </xf>
    <xf numFmtId="0" fontId="4" fillId="2" borderId="3" xfId="0" applyNumberFormat="1" applyFont="1" applyFill="1" applyBorder="1" applyAlignment="1">
      <alignment wrapText="1"/>
    </xf>
    <xf numFmtId="2" fontId="4" fillId="2" borderId="3" xfId="0" applyNumberFormat="1" applyFont="1" applyFill="1" applyBorder="1"/>
    <xf numFmtId="2" fontId="6" fillId="2" borderId="3" xfId="0" applyNumberFormat="1" applyFont="1" applyFill="1" applyBorder="1"/>
    <xf numFmtId="0" fontId="4" fillId="3" borderId="3" xfId="0" applyFont="1" applyFill="1" applyBorder="1" applyAlignment="1">
      <alignment wrapText="1"/>
    </xf>
    <xf numFmtId="0" fontId="3" fillId="2" borderId="15" xfId="0" applyFont="1" applyFill="1" applyBorder="1"/>
    <xf numFmtId="0" fontId="10" fillId="2" borderId="4" xfId="0" applyFont="1" applyFill="1" applyBorder="1"/>
    <xf numFmtId="0" fontId="3" fillId="2" borderId="9" xfId="0" applyFont="1" applyFill="1" applyBorder="1" applyAlignment="1">
      <alignment horizontal="center" vertical="center"/>
    </xf>
    <xf numFmtId="0" fontId="14" fillId="2" borderId="0" xfId="0" applyFont="1" applyFill="1" applyBorder="1" applyAlignment="1">
      <alignment horizontal="justify"/>
    </xf>
    <xf numFmtId="0" fontId="14" fillId="2" borderId="0" xfId="0" applyFont="1" applyFill="1" applyBorder="1"/>
    <xf numFmtId="0" fontId="28" fillId="2" borderId="0" xfId="0" applyFont="1" applyFill="1" applyBorder="1"/>
    <xf numFmtId="0" fontId="29" fillId="2" borderId="0" xfId="0" applyFont="1" applyFill="1"/>
    <xf numFmtId="0" fontId="6" fillId="2" borderId="0" xfId="0" applyFont="1" applyFill="1" applyBorder="1"/>
    <xf numFmtId="0" fontId="29" fillId="2" borderId="0" xfId="0" applyFont="1" applyFill="1" applyBorder="1"/>
    <xf numFmtId="2" fontId="4" fillId="2" borderId="0" xfId="0" applyNumberFormat="1" applyFont="1" applyFill="1"/>
    <xf numFmtId="0" fontId="30" fillId="2" borderId="3" xfId="0" applyFont="1" applyFill="1" applyBorder="1" applyAlignment="1">
      <alignment wrapText="1"/>
    </xf>
    <xf numFmtId="0" fontId="31" fillId="2" borderId="3" xfId="0" applyFont="1" applyFill="1" applyBorder="1" applyAlignment="1">
      <alignment wrapText="1"/>
    </xf>
    <xf numFmtId="49" fontId="4" fillId="2" borderId="20" xfId="0" applyNumberFormat="1" applyFont="1" applyFill="1" applyBorder="1" applyAlignment="1">
      <alignment horizontal="center" vertical="center" wrapText="1"/>
    </xf>
    <xf numFmtId="49" fontId="4" fillId="2" borderId="22"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21"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top" wrapText="1"/>
    </xf>
    <xf numFmtId="49" fontId="4" fillId="2" borderId="5" xfId="0" applyNumberFormat="1" applyFont="1" applyFill="1" applyBorder="1" applyAlignment="1">
      <alignment horizontal="center" vertical="top" wrapText="1"/>
    </xf>
    <xf numFmtId="49" fontId="4" fillId="2" borderId="8" xfId="0" applyNumberFormat="1" applyFont="1" applyFill="1" applyBorder="1" applyAlignment="1">
      <alignment horizontal="center" vertical="top" wrapText="1"/>
    </xf>
    <xf numFmtId="2" fontId="3" fillId="2" borderId="0" xfId="0" applyNumberFormat="1" applyFont="1" applyFill="1"/>
    <xf numFmtId="49" fontId="4" fillId="2" borderId="4" xfId="0" applyNumberFormat="1" applyFont="1" applyFill="1" applyBorder="1" applyAlignment="1">
      <alignment horizontal="center" vertical="top" wrapText="1"/>
    </xf>
    <xf numFmtId="49" fontId="4" fillId="2" borderId="5" xfId="0" applyNumberFormat="1" applyFont="1" applyFill="1" applyBorder="1" applyAlignment="1">
      <alignment horizontal="center" vertical="top" wrapText="1"/>
    </xf>
    <xf numFmtId="49" fontId="4" fillId="2" borderId="8" xfId="0" applyNumberFormat="1" applyFont="1" applyFill="1" applyBorder="1" applyAlignment="1">
      <alignment horizontal="center" vertical="top" wrapText="1"/>
    </xf>
    <xf numFmtId="49" fontId="4" fillId="2" borderId="9" xfId="0" applyNumberFormat="1" applyFont="1" applyFill="1" applyBorder="1" applyAlignment="1">
      <alignment horizontal="center" vertical="top" wrapText="1"/>
    </xf>
    <xf numFmtId="0" fontId="0" fillId="2" borderId="14" xfId="0" applyFill="1" applyBorder="1" applyAlignment="1">
      <alignment horizontal="center"/>
    </xf>
    <xf numFmtId="49" fontId="3" fillId="2" borderId="21"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0" fontId="0" fillId="2" borderId="5" xfId="0" applyFill="1" applyBorder="1" applyAlignment="1">
      <alignment horizontal="center"/>
    </xf>
    <xf numFmtId="49" fontId="6" fillId="2" borderId="4" xfId="0" applyNumberFormat="1" applyFont="1" applyFill="1" applyBorder="1" applyAlignment="1">
      <alignment horizontal="center" vertical="top" wrapText="1"/>
    </xf>
    <xf numFmtId="49" fontId="6" fillId="2" borderId="5" xfId="0" applyNumberFormat="1" applyFont="1" applyFill="1" applyBorder="1" applyAlignment="1">
      <alignment horizontal="center" vertical="top" wrapText="1"/>
    </xf>
    <xf numFmtId="49" fontId="6" fillId="2" borderId="8" xfId="0" applyNumberFormat="1" applyFont="1" applyFill="1" applyBorder="1" applyAlignment="1">
      <alignment horizontal="center" vertical="top" wrapText="1"/>
    </xf>
    <xf numFmtId="0" fontId="28" fillId="2" borderId="0" xfId="0" applyFont="1" applyFill="1" applyAlignment="1"/>
    <xf numFmtId="49" fontId="4" fillId="2" borderId="22" xfId="0" applyNumberFormat="1" applyFont="1" applyFill="1" applyBorder="1" applyAlignment="1">
      <alignment horizontal="center" vertical="center" wrapText="1"/>
    </xf>
    <xf numFmtId="0" fontId="0" fillId="2" borderId="22" xfId="0" applyFill="1" applyBorder="1" applyAlignment="1">
      <alignment horizontal="center" vertical="center" wrapText="1"/>
    </xf>
    <xf numFmtId="0" fontId="0" fillId="2" borderId="0" xfId="0"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0" fontId="0" fillId="2" borderId="9" xfId="0"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49" fontId="4" fillId="2" borderId="9"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justify" vertical="center" wrapText="1"/>
    </xf>
    <xf numFmtId="0" fontId="4" fillId="2" borderId="0" xfId="0" applyFont="1" applyFill="1" applyBorder="1" applyAlignment="1">
      <alignment horizontal="justify"/>
    </xf>
    <xf numFmtId="0" fontId="14" fillId="2" borderId="0" xfId="0" applyFont="1" applyFill="1" applyBorder="1" applyAlignment="1">
      <alignment horizontal="justify" vertical="center" wrapText="1"/>
    </xf>
    <xf numFmtId="0" fontId="1" fillId="2" borderId="0" xfId="0" applyFont="1" applyFill="1" applyAlignment="1">
      <alignment horizontal="justify"/>
    </xf>
    <xf numFmtId="0" fontId="27" fillId="2" borderId="0" xfId="0" applyFont="1" applyFill="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7" fillId="2" borderId="5" xfId="0" applyFont="1" applyFill="1" applyBorder="1" applyAlignment="1">
      <alignment wrapText="1"/>
    </xf>
    <xf numFmtId="0" fontId="17" fillId="2" borderId="5" xfId="0" applyFont="1" applyFill="1" applyBorder="1" applyAlignment="1"/>
    <xf numFmtId="0" fontId="17" fillId="2" borderId="8" xfId="0" applyFont="1" applyFill="1" applyBorder="1" applyAlignment="1"/>
    <xf numFmtId="0" fontId="9" fillId="2" borderId="5" xfId="0" applyFont="1" applyFill="1" applyBorder="1" applyAlignment="1"/>
    <xf numFmtId="0" fontId="9" fillId="2" borderId="8" xfId="0" applyFont="1" applyFill="1" applyBorder="1" applyAlignment="1"/>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 xfId="0" applyFont="1" applyFill="1" applyBorder="1" applyAlignment="1">
      <alignment horizontal="center" vertical="top" wrapText="1"/>
    </xf>
    <xf numFmtId="0" fontId="4" fillId="2" borderId="8" xfId="0" applyFont="1" applyFill="1" applyBorder="1" applyAlignment="1">
      <alignment horizontal="center" vertical="top"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14" fontId="21" fillId="2" borderId="5" xfId="0" applyNumberFormat="1" applyFont="1" applyFill="1" applyBorder="1" applyAlignment="1"/>
    <xf numFmtId="0" fontId="21" fillId="2" borderId="5" xfId="0" applyFont="1" applyFill="1" applyBorder="1" applyAlignment="1"/>
    <xf numFmtId="0" fontId="21" fillId="2" borderId="8" xfId="0" applyFont="1" applyFill="1" applyBorder="1" applyAlignment="1"/>
    <xf numFmtId="0" fontId="4" fillId="2" borderId="5" xfId="0" applyFont="1" applyFill="1" applyBorder="1" applyAlignment="1">
      <alignment wrapText="1"/>
    </xf>
    <xf numFmtId="0" fontId="4" fillId="2" borderId="4"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2" borderId="4" xfId="0" applyFont="1" applyFill="1" applyBorder="1" applyAlignment="1">
      <alignment vertical="center" wrapText="1"/>
    </xf>
    <xf numFmtId="0" fontId="5" fillId="2" borderId="8" xfId="0" applyFont="1" applyFill="1" applyBorder="1" applyAlignment="1">
      <alignment vertical="center" wrapText="1"/>
    </xf>
    <xf numFmtId="0" fontId="4" fillId="2" borderId="5"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4" fillId="2" borderId="4"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5" fillId="2" borderId="5" xfId="0" applyFont="1" applyFill="1" applyBorder="1"/>
    <xf numFmtId="0" fontId="5" fillId="2" borderId="8" xfId="0" applyFont="1" applyFill="1" applyBorder="1"/>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vertical="center" wrapText="1"/>
    </xf>
    <xf numFmtId="14" fontId="4" fillId="2" borderId="5" xfId="0" applyNumberFormat="1" applyFont="1" applyFill="1" applyBorder="1" applyAlignment="1">
      <alignment vertical="center" wrapText="1"/>
    </xf>
    <xf numFmtId="0" fontId="4" fillId="2" borderId="4" xfId="0" applyFont="1" applyFill="1" applyBorder="1" applyAlignment="1">
      <alignment wrapText="1"/>
    </xf>
    <xf numFmtId="0" fontId="4" fillId="2" borderId="8" xfId="0" applyFont="1" applyFill="1" applyBorder="1" applyAlignment="1">
      <alignment wrapText="1"/>
    </xf>
    <xf numFmtId="0" fontId="0" fillId="2" borderId="5" xfId="0" applyFill="1" applyBorder="1" applyAlignment="1">
      <alignment horizontal="center" vertical="top" wrapText="1"/>
    </xf>
    <xf numFmtId="0" fontId="4" fillId="2" borderId="4" xfId="0" applyFont="1" applyFill="1" applyBorder="1" applyAlignment="1">
      <alignment horizontal="center"/>
    </xf>
    <xf numFmtId="0" fontId="4" fillId="2" borderId="5" xfId="0" applyFont="1" applyFill="1" applyBorder="1" applyAlignment="1">
      <alignment horizontal="center"/>
    </xf>
    <xf numFmtId="0" fontId="0" fillId="2" borderId="5" xfId="0" applyFill="1" applyBorder="1" applyAlignment="1"/>
    <xf numFmtId="14" fontId="15" fillId="2" borderId="4" xfId="0" applyNumberFormat="1" applyFont="1" applyFill="1" applyBorder="1" applyAlignment="1">
      <alignment horizontal="center"/>
    </xf>
    <xf numFmtId="14" fontId="15" fillId="2" borderId="5" xfId="0" applyNumberFormat="1" applyFont="1" applyFill="1" applyBorder="1" applyAlignment="1">
      <alignment horizontal="center"/>
    </xf>
    <xf numFmtId="0" fontId="4" fillId="2" borderId="4" xfId="0" applyFont="1" applyFill="1" applyBorder="1" applyAlignment="1">
      <alignment horizontal="center" wrapText="1"/>
    </xf>
    <xf numFmtId="0" fontId="4" fillId="2" borderId="5" xfId="0" applyFont="1" applyFill="1" applyBorder="1" applyAlignment="1">
      <alignment horizontal="center" wrapText="1"/>
    </xf>
    <xf numFmtId="0" fontId="0" fillId="2" borderId="5" xfId="0" applyFill="1" applyBorder="1" applyAlignment="1">
      <alignment horizontal="center" wrapText="1"/>
    </xf>
    <xf numFmtId="0" fontId="5" fillId="2" borderId="4" xfId="0" applyFont="1" applyFill="1" applyBorder="1" applyAlignment="1">
      <alignment horizontal="center" vertical="top" wrapText="1"/>
    </xf>
    <xf numFmtId="0" fontId="5" fillId="2" borderId="8" xfId="0" applyFont="1" applyFill="1" applyBorder="1" applyAlignment="1">
      <alignment horizontal="center" vertical="top" wrapText="1"/>
    </xf>
    <xf numFmtId="0" fontId="4" fillId="2" borderId="4" xfId="0" applyNumberFormat="1" applyFont="1" applyFill="1" applyBorder="1" applyAlignment="1">
      <alignment horizontal="center" vertical="top" wrapText="1"/>
    </xf>
    <xf numFmtId="0" fontId="4" fillId="2" borderId="5" xfId="0" applyNumberFormat="1" applyFont="1" applyFill="1" applyBorder="1" applyAlignment="1">
      <alignment horizontal="center" vertical="top" wrapText="1"/>
    </xf>
    <xf numFmtId="0" fontId="4" fillId="2" borderId="8" xfId="0" applyNumberFormat="1"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8" xfId="0" applyFont="1" applyFill="1" applyBorder="1" applyAlignment="1">
      <alignment horizontal="center" vertical="top" wrapText="1"/>
    </xf>
    <xf numFmtId="49" fontId="4" fillId="2" borderId="4" xfId="0" applyNumberFormat="1" applyFont="1" applyFill="1" applyBorder="1" applyAlignment="1">
      <alignment horizontal="justify" vertical="distributed" wrapText="1"/>
    </xf>
    <xf numFmtId="49" fontId="4" fillId="2" borderId="5" xfId="0" applyNumberFormat="1" applyFont="1" applyFill="1" applyBorder="1" applyAlignment="1">
      <alignment horizontal="justify" vertical="distributed" wrapText="1"/>
    </xf>
    <xf numFmtId="49" fontId="4" fillId="2" borderId="4" xfId="0" applyNumberFormat="1" applyFont="1" applyFill="1" applyBorder="1" applyAlignment="1">
      <alignment wrapText="1"/>
    </xf>
    <xf numFmtId="49" fontId="4" fillId="2" borderId="5" xfId="0" applyNumberFormat="1" applyFont="1" applyFill="1" applyBorder="1" applyAlignment="1">
      <alignment wrapText="1"/>
    </xf>
    <xf numFmtId="0" fontId="6" fillId="2" borderId="13" xfId="0" applyFont="1" applyFill="1" applyBorder="1" applyAlignment="1">
      <alignment horizontal="center" vertical="top" wrapText="1"/>
    </xf>
    <xf numFmtId="0" fontId="5" fillId="2" borderId="5" xfId="0" applyFont="1" applyFill="1" applyBorder="1" applyAlignment="1"/>
    <xf numFmtId="0" fontId="4" fillId="2" borderId="8" xfId="0" applyFont="1" applyFill="1" applyBorder="1" applyAlignment="1">
      <alignment horizontal="center" wrapText="1"/>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4" fillId="2" borderId="8" xfId="0" applyFont="1" applyFill="1" applyBorder="1" applyAlignment="1">
      <alignment horizontal="center" vertical="top"/>
    </xf>
    <xf numFmtId="0" fontId="5" fillId="2" borderId="8" xfId="0" applyFont="1" applyFill="1" applyBorder="1" applyAlignment="1"/>
    <xf numFmtId="0" fontId="5" fillId="2" borderId="5" xfId="0" applyFont="1" applyFill="1" applyBorder="1" applyAlignment="1">
      <alignment horizontal="center" vertical="top" wrapText="1"/>
    </xf>
    <xf numFmtId="0" fontId="4" fillId="2" borderId="9" xfId="0" applyFont="1" applyFill="1" applyBorder="1" applyAlignment="1">
      <alignment horizontal="center" wrapText="1"/>
    </xf>
    <xf numFmtId="0" fontId="4" fillId="2" borderId="14" xfId="0" applyFont="1" applyFill="1" applyBorder="1" applyAlignment="1">
      <alignment horizontal="center" wrapText="1"/>
    </xf>
    <xf numFmtId="0" fontId="5" fillId="2" borderId="14" xfId="0" applyFont="1" applyFill="1" applyBorder="1" applyAlignment="1"/>
    <xf numFmtId="14" fontId="4" fillId="2" borderId="4" xfId="0" applyNumberFormat="1" applyFont="1" applyFill="1" applyBorder="1" applyAlignment="1">
      <alignment horizontal="center" vertical="top"/>
    </xf>
    <xf numFmtId="14" fontId="4" fillId="2" borderId="5" xfId="0" applyNumberFormat="1" applyFont="1" applyFill="1" applyBorder="1" applyAlignment="1">
      <alignment horizontal="center" vertical="top"/>
    </xf>
    <xf numFmtId="14" fontId="4" fillId="2" borderId="4"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0" fontId="0" fillId="2" borderId="8" xfId="0" applyFill="1" applyBorder="1" applyAlignment="1">
      <alignment horizontal="center" wrapText="1"/>
    </xf>
    <xf numFmtId="14" fontId="4" fillId="2" borderId="4" xfId="0" applyNumberFormat="1" applyFont="1" applyFill="1" applyBorder="1" applyAlignment="1">
      <alignment horizontal="center" vertical="top" wrapText="1"/>
    </xf>
    <xf numFmtId="14" fontId="4" fillId="2" borderId="5" xfId="0" applyNumberFormat="1" applyFont="1" applyFill="1" applyBorder="1" applyAlignment="1">
      <alignment horizontal="center" vertical="top" wrapText="1"/>
    </xf>
    <xf numFmtId="14" fontId="4" fillId="2" borderId="8" xfId="0" applyNumberFormat="1" applyFont="1" applyFill="1" applyBorder="1" applyAlignment="1">
      <alignment horizontal="center" vertical="top" wrapText="1"/>
    </xf>
    <xf numFmtId="0" fontId="0" fillId="2" borderId="8" xfId="0" applyFill="1" applyBorder="1" applyAlignment="1">
      <alignment horizontal="center" vertical="top" wrapText="1"/>
    </xf>
  </cellXfs>
  <cellStyles count="4">
    <cellStyle name="Обычный" xfId="0" builtinId="0"/>
    <cellStyle name="Обычный 2" xfId="2"/>
    <cellStyle name="Обычный 3" xfId="3"/>
    <cellStyle name="Обычный_РРО Культура на 201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H789"/>
  <sheetViews>
    <sheetView tabSelected="1" topLeftCell="A610" workbookViewId="0">
      <selection activeCell="BM612" sqref="BM612"/>
    </sheetView>
  </sheetViews>
  <sheetFormatPr defaultRowHeight="35.65" customHeight="1"/>
  <cols>
    <col min="1" max="1" width="13.5703125" style="2" customWidth="1"/>
    <col min="2" max="2" width="5.42578125" style="2" customWidth="1"/>
    <col min="3" max="3" width="7.7109375" style="2" hidden="1" customWidth="1"/>
    <col min="4" max="4" width="6.42578125" style="2" hidden="1" customWidth="1"/>
    <col min="5" max="5" width="9" style="2" hidden="1" customWidth="1"/>
    <col min="6" max="6" width="6" style="2" hidden="1" customWidth="1"/>
    <col min="7" max="9" width="9.140625" style="2" hidden="1" customWidth="1"/>
    <col min="10" max="11" width="6.5703125" style="2" hidden="1" customWidth="1"/>
    <col min="12" max="12" width="8.140625" style="2" hidden="1" customWidth="1"/>
    <col min="13" max="13" width="8" style="2" hidden="1" customWidth="1"/>
    <col min="14" max="14" width="5.85546875" style="2" hidden="1" customWidth="1"/>
    <col min="15" max="15" width="7.85546875" style="2" hidden="1" customWidth="1"/>
    <col min="16" max="16" width="9.140625" style="2" hidden="1" customWidth="1"/>
    <col min="17" max="17" width="6.42578125" style="2" hidden="1" customWidth="1"/>
    <col min="18" max="19" width="7" style="2" hidden="1" customWidth="1"/>
    <col min="20" max="20" width="9.140625" style="2" hidden="1" customWidth="1"/>
    <col min="21" max="21" width="6" style="2" hidden="1" customWidth="1"/>
    <col min="22" max="22" width="7.85546875" style="2" hidden="1" customWidth="1"/>
    <col min="23" max="23" width="9.140625" style="2" hidden="1" customWidth="1"/>
    <col min="24" max="24" width="7.5703125" style="2" hidden="1" customWidth="1"/>
    <col min="25" max="26" width="9.140625" style="2" hidden="1" customWidth="1"/>
    <col min="27" max="27" width="6.28515625" style="2" hidden="1" customWidth="1"/>
    <col min="28" max="28" width="3" style="2" hidden="1" customWidth="1"/>
    <col min="29" max="29" width="3.28515625" style="2" hidden="1" customWidth="1"/>
    <col min="30" max="30" width="8" style="2" customWidth="1"/>
    <col min="31" max="32" width="10.5703125" style="2" hidden="1" customWidth="1"/>
    <col min="33" max="34" width="8" style="2" hidden="1" customWidth="1"/>
    <col min="35" max="36" width="8.85546875" style="2" hidden="1" customWidth="1"/>
    <col min="37" max="38" width="4.140625" style="2" hidden="1" customWidth="1"/>
    <col min="39" max="39" width="8.7109375" style="2" hidden="1" customWidth="1"/>
    <col min="40" max="40" width="9.85546875" style="2" hidden="1" customWidth="1"/>
    <col min="41" max="41" width="9.42578125" style="2" customWidth="1"/>
    <col min="42" max="42" width="8" style="2" customWidth="1"/>
    <col min="43" max="43" width="9.42578125" style="2" customWidth="1"/>
    <col min="44" max="44" width="4.28515625" style="2" customWidth="1"/>
    <col min="45" max="45" width="8.28515625" style="2" customWidth="1"/>
    <col min="46" max="46" width="9.42578125" style="2" customWidth="1"/>
    <col min="47" max="47" width="9.28515625" style="2" customWidth="1"/>
    <col min="48" max="48" width="8.28515625" style="2" customWidth="1"/>
    <col min="49" max="49" width="4.28515625" style="2" customWidth="1"/>
    <col min="50" max="50" width="8.28515625" style="2" customWidth="1"/>
    <col min="51" max="51" width="9.140625" style="2" customWidth="1"/>
    <col min="52" max="52" width="7.28515625" style="2" customWidth="1"/>
    <col min="53" max="53" width="8.28515625" style="2" customWidth="1"/>
    <col min="54" max="54" width="4" style="2" customWidth="1"/>
    <col min="55" max="55" width="8.42578125" style="2" customWidth="1"/>
    <col min="56" max="56" width="9.140625" style="2" customWidth="1"/>
    <col min="57" max="57" width="7.28515625" style="2" customWidth="1"/>
    <col min="58" max="58" width="8.28515625" style="2" customWidth="1"/>
    <col min="59" max="59" width="4" style="2" customWidth="1"/>
    <col min="60" max="60" width="8.42578125" style="2" customWidth="1"/>
  </cols>
  <sheetData>
    <row r="1" spans="1:60" ht="35.6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358" t="s">
        <v>539</v>
      </c>
      <c r="AF1" s="358"/>
      <c r="AG1" s="358"/>
      <c r="AH1" s="358"/>
      <c r="AI1" s="358"/>
      <c r="AJ1" s="358"/>
      <c r="AK1" s="358"/>
      <c r="AL1" s="358"/>
      <c r="AM1" s="358"/>
      <c r="AN1" s="287"/>
      <c r="AO1" s="1"/>
      <c r="AP1" s="1"/>
      <c r="AQ1" s="1"/>
      <c r="AR1" s="1"/>
      <c r="AS1" s="1"/>
      <c r="AT1" s="1"/>
      <c r="AU1" s="1"/>
      <c r="AV1" s="1"/>
      <c r="AW1" s="1"/>
      <c r="AX1" s="1"/>
      <c r="AY1" s="1"/>
      <c r="AZ1" s="1"/>
      <c r="BA1" s="1"/>
      <c r="BB1" s="1"/>
      <c r="BC1" s="1"/>
      <c r="BD1" s="1"/>
      <c r="BE1" s="1"/>
      <c r="BF1" s="1"/>
      <c r="BG1" s="1"/>
      <c r="BH1" s="1"/>
    </row>
    <row r="2" spans="1:60" ht="35.65" customHeight="1">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row>
    <row r="3" spans="1:60" ht="35.65" customHeight="1">
      <c r="B3" s="3"/>
      <c r="C3" s="4"/>
      <c r="AP3" s="338" t="s">
        <v>1209</v>
      </c>
      <c r="AQ3" s="338"/>
      <c r="AR3" s="338"/>
      <c r="AS3" s="338"/>
      <c r="AT3" s="338"/>
      <c r="AU3" s="338"/>
    </row>
    <row r="4" spans="1:60" ht="35.65" customHeight="1">
      <c r="A4" s="2" t="s">
        <v>0</v>
      </c>
      <c r="B4" s="5"/>
      <c r="C4" s="6"/>
      <c r="D4" s="7"/>
      <c r="E4" s="7"/>
      <c r="F4" s="7"/>
      <c r="G4" s="7"/>
      <c r="H4" s="7"/>
      <c r="I4" s="7"/>
      <c r="J4" s="7"/>
      <c r="K4" s="7"/>
      <c r="L4" s="7"/>
      <c r="M4" s="7"/>
      <c r="N4" s="7"/>
      <c r="O4" s="7"/>
      <c r="P4" s="7"/>
      <c r="Q4" s="7"/>
      <c r="R4" s="7"/>
      <c r="S4" s="7"/>
      <c r="T4" s="8"/>
      <c r="U4" s="8"/>
      <c r="V4" s="8"/>
    </row>
    <row r="5" spans="1:60" ht="35.65" customHeight="1">
      <c r="A5" s="2" t="s">
        <v>1</v>
      </c>
      <c r="B5" s="3"/>
      <c r="C5" s="4"/>
    </row>
    <row r="6" spans="1:60" ht="35.65" customHeight="1">
      <c r="B6" s="3"/>
      <c r="C6" s="4"/>
    </row>
    <row r="7" spans="1:60" ht="35.65" customHeight="1">
      <c r="A7" s="9" t="s">
        <v>2</v>
      </c>
      <c r="B7" s="10" t="s">
        <v>3</v>
      </c>
      <c r="C7" s="10" t="s">
        <v>4</v>
      </c>
      <c r="D7" s="10"/>
      <c r="E7" s="10"/>
      <c r="F7" s="10"/>
      <c r="G7" s="10"/>
      <c r="H7" s="10"/>
      <c r="I7" s="10"/>
      <c r="J7" s="10"/>
      <c r="K7" s="10"/>
      <c r="L7" s="10"/>
      <c r="M7" s="10"/>
      <c r="N7" s="10"/>
      <c r="O7" s="10"/>
      <c r="P7" s="10"/>
      <c r="Q7" s="10"/>
      <c r="R7" s="10"/>
      <c r="S7" s="10"/>
      <c r="T7" s="10"/>
      <c r="U7" s="10"/>
      <c r="V7" s="10"/>
      <c r="W7" s="10"/>
      <c r="X7" s="10"/>
      <c r="Y7" s="10"/>
      <c r="Z7" s="10"/>
      <c r="AA7" s="10"/>
      <c r="AB7" s="10"/>
      <c r="AC7" s="359" t="s">
        <v>5</v>
      </c>
      <c r="AD7" s="359" t="s">
        <v>540</v>
      </c>
      <c r="AE7" s="362" t="s">
        <v>541</v>
      </c>
      <c r="AF7" s="363"/>
      <c r="AG7" s="363"/>
      <c r="AH7" s="363"/>
      <c r="AI7" s="363"/>
      <c r="AJ7" s="363"/>
      <c r="AK7" s="363"/>
      <c r="AL7" s="363"/>
      <c r="AM7" s="363"/>
      <c r="AN7" s="363"/>
      <c r="AO7" s="308"/>
      <c r="AP7" s="309"/>
      <c r="AQ7" s="309"/>
      <c r="AR7" s="309"/>
      <c r="AS7" s="309"/>
      <c r="AT7" s="309"/>
      <c r="AU7" s="309"/>
      <c r="AV7" s="309"/>
      <c r="AW7" s="309"/>
      <c r="AX7" s="309"/>
      <c r="AY7" s="308"/>
      <c r="AZ7" s="309"/>
      <c r="BA7" s="309"/>
      <c r="BB7" s="309"/>
      <c r="BC7" s="339"/>
      <c r="BD7" s="340"/>
      <c r="BE7" s="309"/>
      <c r="BF7" s="309"/>
      <c r="BG7" s="309"/>
      <c r="BH7" s="310"/>
    </row>
    <row r="8" spans="1:60" ht="35.65" customHeight="1">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360"/>
      <c r="AD8" s="360"/>
      <c r="AE8" s="364"/>
      <c r="AF8" s="365"/>
      <c r="AG8" s="365"/>
      <c r="AH8" s="365"/>
      <c r="AI8" s="365"/>
      <c r="AJ8" s="365"/>
      <c r="AK8" s="365"/>
      <c r="AL8" s="365"/>
      <c r="AM8" s="365"/>
      <c r="AN8" s="365"/>
      <c r="AO8" s="311"/>
      <c r="AP8" s="286"/>
      <c r="AQ8" s="286"/>
      <c r="AR8" s="286"/>
      <c r="AS8" s="286"/>
      <c r="AT8" s="286"/>
      <c r="AU8" s="286"/>
      <c r="AV8" s="286"/>
      <c r="AW8" s="286"/>
      <c r="AX8" s="286"/>
      <c r="AY8" s="311"/>
      <c r="AZ8" s="286"/>
      <c r="BA8" s="286"/>
      <c r="BB8" s="286"/>
      <c r="BC8" s="341"/>
      <c r="BD8" s="341"/>
      <c r="BE8" s="286"/>
      <c r="BF8" s="286"/>
      <c r="BG8" s="286"/>
      <c r="BH8" s="312"/>
    </row>
    <row r="9" spans="1:60" ht="35.65" customHeight="1">
      <c r="A9" s="9"/>
      <c r="B9" s="10"/>
      <c r="C9" s="11" t="s">
        <v>6</v>
      </c>
      <c r="D9" s="12"/>
      <c r="E9" s="12"/>
      <c r="F9" s="12"/>
      <c r="G9" s="12"/>
      <c r="H9" s="12"/>
      <c r="I9" s="13"/>
      <c r="J9" s="11" t="s">
        <v>7</v>
      </c>
      <c r="K9" s="14"/>
      <c r="L9" s="14"/>
      <c r="M9" s="14"/>
      <c r="N9" s="14"/>
      <c r="O9" s="14"/>
      <c r="P9" s="14"/>
      <c r="Q9" s="14"/>
      <c r="R9" s="14"/>
      <c r="S9" s="14"/>
      <c r="T9" s="14"/>
      <c r="U9" s="14"/>
      <c r="V9" s="9"/>
      <c r="W9" s="10" t="s">
        <v>8</v>
      </c>
      <c r="X9" s="10"/>
      <c r="Y9" s="10"/>
      <c r="Z9" s="10"/>
      <c r="AA9" s="10"/>
      <c r="AB9" s="10"/>
      <c r="AC9" s="360"/>
      <c r="AD9" s="360"/>
      <c r="AE9" s="364"/>
      <c r="AF9" s="365"/>
      <c r="AG9" s="365"/>
      <c r="AH9" s="365"/>
      <c r="AI9" s="365"/>
      <c r="AJ9" s="365"/>
      <c r="AK9" s="365"/>
      <c r="AL9" s="365"/>
      <c r="AM9" s="365"/>
      <c r="AN9" s="365"/>
      <c r="AO9" s="313"/>
      <c r="AP9" s="314"/>
      <c r="AQ9" s="286"/>
      <c r="AR9" s="286"/>
      <c r="AS9" s="286"/>
      <c r="AT9" s="314"/>
      <c r="AU9" s="314"/>
      <c r="AV9" s="286"/>
      <c r="AW9" s="286"/>
      <c r="AX9" s="286"/>
      <c r="AY9" s="311"/>
      <c r="AZ9" s="286"/>
      <c r="BA9" s="286"/>
      <c r="BB9" s="286"/>
      <c r="BC9" s="341"/>
      <c r="BD9" s="341"/>
      <c r="BE9" s="286"/>
      <c r="BF9" s="286"/>
      <c r="BG9" s="286"/>
      <c r="BH9" s="312"/>
    </row>
    <row r="10" spans="1:60" ht="35.65" customHeight="1">
      <c r="A10" s="9"/>
      <c r="B10" s="10"/>
      <c r="C10" s="15" t="s">
        <v>9</v>
      </c>
      <c r="D10" s="15"/>
      <c r="E10" s="15"/>
      <c r="F10" s="10" t="s">
        <v>10</v>
      </c>
      <c r="G10" s="10"/>
      <c r="H10" s="10"/>
      <c r="I10" s="11"/>
      <c r="J10" s="11" t="s">
        <v>11</v>
      </c>
      <c r="K10" s="14"/>
      <c r="L10" s="9"/>
      <c r="M10" s="13" t="s">
        <v>12</v>
      </c>
      <c r="N10" s="10"/>
      <c r="O10" s="10"/>
      <c r="P10" s="10" t="s">
        <v>13</v>
      </c>
      <c r="Q10" s="10"/>
      <c r="R10" s="10"/>
      <c r="S10" s="10"/>
      <c r="T10" s="10" t="s">
        <v>14</v>
      </c>
      <c r="U10" s="10"/>
      <c r="V10" s="10"/>
      <c r="W10" s="10" t="s">
        <v>15</v>
      </c>
      <c r="X10" s="10"/>
      <c r="Y10" s="10"/>
      <c r="Z10" s="10" t="s">
        <v>16</v>
      </c>
      <c r="AA10" s="10"/>
      <c r="AB10" s="10"/>
      <c r="AC10" s="360"/>
      <c r="AD10" s="361"/>
      <c r="AE10" s="366"/>
      <c r="AF10" s="367"/>
      <c r="AG10" s="367"/>
      <c r="AH10" s="367"/>
      <c r="AI10" s="367"/>
      <c r="AJ10" s="367"/>
      <c r="AK10" s="367"/>
      <c r="AL10" s="367"/>
      <c r="AM10" s="367"/>
      <c r="AN10" s="367"/>
      <c r="AO10" s="315"/>
      <c r="AP10" s="316" t="s">
        <v>1198</v>
      </c>
      <c r="AQ10" s="316"/>
      <c r="AR10" s="316"/>
      <c r="AS10" s="317"/>
      <c r="AT10" s="318"/>
      <c r="AU10" s="316" t="s">
        <v>1199</v>
      </c>
      <c r="AV10" s="316"/>
      <c r="AW10" s="316"/>
      <c r="AX10" s="317"/>
      <c r="AY10" s="342" t="s">
        <v>1200</v>
      </c>
      <c r="AZ10" s="343"/>
      <c r="BA10" s="343"/>
      <c r="BB10" s="343"/>
      <c r="BC10" s="343"/>
      <c r="BD10" s="343"/>
      <c r="BE10" s="343"/>
      <c r="BF10" s="343"/>
      <c r="BG10" s="343"/>
      <c r="BH10" s="344"/>
    </row>
    <row r="11" spans="1:60" ht="35.65" customHeight="1">
      <c r="A11" s="9"/>
      <c r="B11" s="10"/>
      <c r="C11" s="10" t="s">
        <v>17</v>
      </c>
      <c r="D11" s="10" t="s">
        <v>18</v>
      </c>
      <c r="E11" s="10" t="s">
        <v>19</v>
      </c>
      <c r="F11" s="10" t="s">
        <v>17</v>
      </c>
      <c r="G11" s="10" t="s">
        <v>18</v>
      </c>
      <c r="H11" s="10" t="s">
        <v>19</v>
      </c>
      <c r="I11" s="10" t="s">
        <v>20</v>
      </c>
      <c r="J11" s="16" t="s">
        <v>17</v>
      </c>
      <c r="K11" s="16" t="s">
        <v>21</v>
      </c>
      <c r="L11" s="16" t="s">
        <v>19</v>
      </c>
      <c r="M11" s="10" t="s">
        <v>17</v>
      </c>
      <c r="N11" s="10" t="s">
        <v>21</v>
      </c>
      <c r="O11" s="10" t="s">
        <v>19</v>
      </c>
      <c r="P11" s="10" t="s">
        <v>17</v>
      </c>
      <c r="Q11" s="10" t="s">
        <v>22</v>
      </c>
      <c r="R11" s="10" t="s">
        <v>19</v>
      </c>
      <c r="S11" s="10" t="s">
        <v>20</v>
      </c>
      <c r="T11" s="10" t="s">
        <v>17</v>
      </c>
      <c r="U11" s="10" t="s">
        <v>21</v>
      </c>
      <c r="V11" s="10" t="s">
        <v>19</v>
      </c>
      <c r="W11" s="10" t="s">
        <v>17</v>
      </c>
      <c r="X11" s="10" t="s">
        <v>18</v>
      </c>
      <c r="Y11" s="10" t="s">
        <v>19</v>
      </c>
      <c r="Z11" s="10" t="s">
        <v>17</v>
      </c>
      <c r="AA11" s="10" t="s">
        <v>21</v>
      </c>
      <c r="AB11" s="10" t="s">
        <v>19</v>
      </c>
      <c r="AC11" s="360"/>
      <c r="AD11" s="359" t="s">
        <v>542</v>
      </c>
      <c r="AE11" s="349" t="s">
        <v>543</v>
      </c>
      <c r="AF11" s="350"/>
      <c r="AG11" s="345" t="s">
        <v>544</v>
      </c>
      <c r="AH11" s="346"/>
      <c r="AI11" s="347" t="s">
        <v>545</v>
      </c>
      <c r="AJ11" s="348"/>
      <c r="AK11" s="349" t="s">
        <v>546</v>
      </c>
      <c r="AL11" s="350"/>
      <c r="AM11" s="347" t="s">
        <v>547</v>
      </c>
      <c r="AN11" s="351"/>
      <c r="AO11" s="323" t="s">
        <v>543</v>
      </c>
      <c r="AP11" s="323" t="s">
        <v>1201</v>
      </c>
      <c r="AQ11" s="323" t="s">
        <v>545</v>
      </c>
      <c r="AR11" s="323" t="s">
        <v>546</v>
      </c>
      <c r="AS11" s="326" t="s">
        <v>547</v>
      </c>
      <c r="AT11" s="323" t="s">
        <v>543</v>
      </c>
      <c r="AU11" s="323" t="s">
        <v>1201</v>
      </c>
      <c r="AV11" s="323" t="s">
        <v>545</v>
      </c>
      <c r="AW11" s="323" t="s">
        <v>546</v>
      </c>
      <c r="AX11" s="326" t="s">
        <v>547</v>
      </c>
      <c r="AY11" s="328" t="s">
        <v>1202</v>
      </c>
      <c r="AZ11" s="329"/>
      <c r="BA11" s="329"/>
      <c r="BB11" s="329"/>
      <c r="BC11" s="330"/>
      <c r="BD11" s="328" t="s">
        <v>1203</v>
      </c>
      <c r="BE11" s="329"/>
      <c r="BF11" s="329"/>
      <c r="BG11" s="329"/>
      <c r="BH11" s="330"/>
    </row>
    <row r="12" spans="1:60" ht="35.65" customHeight="1">
      <c r="A12" s="9"/>
      <c r="B12" s="10"/>
      <c r="C12" s="10"/>
      <c r="D12" s="10"/>
      <c r="E12" s="10"/>
      <c r="F12" s="10"/>
      <c r="G12" s="10"/>
      <c r="H12" s="10"/>
      <c r="I12" s="10"/>
      <c r="J12" s="17"/>
      <c r="K12" s="17"/>
      <c r="L12" s="17"/>
      <c r="M12" s="10"/>
      <c r="N12" s="10"/>
      <c r="O12" s="10"/>
      <c r="P12" s="10"/>
      <c r="Q12" s="10"/>
      <c r="R12" s="10"/>
      <c r="S12" s="10"/>
      <c r="T12" s="10"/>
      <c r="U12" s="10"/>
      <c r="V12" s="10"/>
      <c r="W12" s="10"/>
      <c r="X12" s="10"/>
      <c r="Y12" s="10"/>
      <c r="Z12" s="10"/>
      <c r="AA12" s="10"/>
      <c r="AB12" s="10"/>
      <c r="AC12" s="360"/>
      <c r="AD12" s="360"/>
      <c r="AE12" s="335" t="s">
        <v>548</v>
      </c>
      <c r="AF12" s="335" t="s">
        <v>549</v>
      </c>
      <c r="AG12" s="335" t="s">
        <v>548</v>
      </c>
      <c r="AH12" s="335" t="s">
        <v>549</v>
      </c>
      <c r="AI12" s="335" t="s">
        <v>548</v>
      </c>
      <c r="AJ12" s="335" t="s">
        <v>549</v>
      </c>
      <c r="AK12" s="335" t="s">
        <v>548</v>
      </c>
      <c r="AL12" s="335" t="s">
        <v>549</v>
      </c>
      <c r="AM12" s="335" t="s">
        <v>548</v>
      </c>
      <c r="AN12" s="335" t="s">
        <v>549</v>
      </c>
      <c r="AO12" s="334"/>
      <c r="AP12" s="334"/>
      <c r="AQ12" s="334"/>
      <c r="AR12" s="334"/>
      <c r="AS12" s="327"/>
      <c r="AT12" s="334"/>
      <c r="AU12" s="334"/>
      <c r="AV12" s="334"/>
      <c r="AW12" s="334"/>
      <c r="AX12" s="327"/>
      <c r="AY12" s="331"/>
      <c r="AZ12" s="332"/>
      <c r="BA12" s="332"/>
      <c r="BB12" s="332"/>
      <c r="BC12" s="333"/>
      <c r="BD12" s="331"/>
      <c r="BE12" s="332"/>
      <c r="BF12" s="332"/>
      <c r="BG12" s="332"/>
      <c r="BH12" s="333"/>
    </row>
    <row r="13" spans="1:60" ht="35.65" customHeight="1">
      <c r="A13" s="9"/>
      <c r="B13" s="10"/>
      <c r="C13" s="10"/>
      <c r="D13" s="10"/>
      <c r="E13" s="10"/>
      <c r="F13" s="10"/>
      <c r="G13" s="10"/>
      <c r="H13" s="10"/>
      <c r="I13" s="10"/>
      <c r="J13" s="17"/>
      <c r="K13" s="17"/>
      <c r="L13" s="17"/>
      <c r="M13" s="10"/>
      <c r="N13" s="10"/>
      <c r="O13" s="10"/>
      <c r="P13" s="10"/>
      <c r="Q13" s="10"/>
      <c r="R13" s="10"/>
      <c r="S13" s="10"/>
      <c r="T13" s="10"/>
      <c r="U13" s="10"/>
      <c r="V13" s="10"/>
      <c r="W13" s="10"/>
      <c r="X13" s="10"/>
      <c r="Y13" s="10"/>
      <c r="Z13" s="10"/>
      <c r="AA13" s="10"/>
      <c r="AB13" s="10"/>
      <c r="AC13" s="360"/>
      <c r="AD13" s="360"/>
      <c r="AE13" s="336"/>
      <c r="AF13" s="336"/>
      <c r="AG13" s="336"/>
      <c r="AH13" s="336"/>
      <c r="AI13" s="336"/>
      <c r="AJ13" s="336"/>
      <c r="AK13" s="336"/>
      <c r="AL13" s="336"/>
      <c r="AM13" s="336"/>
      <c r="AN13" s="336"/>
      <c r="AO13" s="334"/>
      <c r="AP13" s="334"/>
      <c r="AQ13" s="334"/>
      <c r="AR13" s="334"/>
      <c r="AS13" s="327"/>
      <c r="AT13" s="334"/>
      <c r="AU13" s="334"/>
      <c r="AV13" s="334"/>
      <c r="AW13" s="334"/>
      <c r="AX13" s="327"/>
      <c r="AY13" s="323" t="s">
        <v>543</v>
      </c>
      <c r="AZ13" s="323" t="s">
        <v>1201</v>
      </c>
      <c r="BA13" s="323" t="s">
        <v>545</v>
      </c>
      <c r="BB13" s="323" t="s">
        <v>546</v>
      </c>
      <c r="BC13" s="323" t="s">
        <v>547</v>
      </c>
      <c r="BD13" s="323" t="s">
        <v>543</v>
      </c>
      <c r="BE13" s="323" t="s">
        <v>1201</v>
      </c>
      <c r="BF13" s="323" t="s">
        <v>545</v>
      </c>
      <c r="BG13" s="323" t="s">
        <v>546</v>
      </c>
      <c r="BH13" s="323" t="s">
        <v>547</v>
      </c>
    </row>
    <row r="14" spans="1:60" ht="35.65" customHeight="1">
      <c r="A14" s="9"/>
      <c r="B14" s="10"/>
      <c r="C14" s="10"/>
      <c r="D14" s="10"/>
      <c r="E14" s="10"/>
      <c r="F14" s="10"/>
      <c r="G14" s="10"/>
      <c r="H14" s="10"/>
      <c r="I14" s="10"/>
      <c r="J14" s="18"/>
      <c r="K14" s="18"/>
      <c r="L14" s="18"/>
      <c r="M14" s="10"/>
      <c r="N14" s="10"/>
      <c r="O14" s="10"/>
      <c r="P14" s="10"/>
      <c r="Q14" s="10"/>
      <c r="R14" s="10"/>
      <c r="S14" s="10"/>
      <c r="T14" s="10"/>
      <c r="U14" s="10"/>
      <c r="V14" s="10"/>
      <c r="W14" s="10"/>
      <c r="X14" s="10"/>
      <c r="Y14" s="10"/>
      <c r="Z14" s="10"/>
      <c r="AA14" s="10"/>
      <c r="AB14" s="10"/>
      <c r="AC14" s="360"/>
      <c r="AD14" s="360"/>
      <c r="AE14" s="336"/>
      <c r="AF14" s="336"/>
      <c r="AG14" s="336"/>
      <c r="AH14" s="336"/>
      <c r="AI14" s="336"/>
      <c r="AJ14" s="336"/>
      <c r="AK14" s="336"/>
      <c r="AL14" s="336"/>
      <c r="AM14" s="336"/>
      <c r="AN14" s="336"/>
      <c r="AO14" s="334"/>
      <c r="AP14" s="319"/>
      <c r="AQ14" s="320"/>
      <c r="AR14" s="320"/>
      <c r="AS14" s="320"/>
      <c r="AT14" s="334"/>
      <c r="AU14" s="319"/>
      <c r="AV14" s="320"/>
      <c r="AW14" s="320"/>
      <c r="AX14" s="320"/>
      <c r="AY14" s="324"/>
      <c r="AZ14" s="324"/>
      <c r="BA14" s="324"/>
      <c r="BB14" s="324"/>
      <c r="BC14" s="324"/>
      <c r="BD14" s="324"/>
      <c r="BE14" s="324"/>
      <c r="BF14" s="324"/>
      <c r="BG14" s="324"/>
      <c r="BH14" s="324"/>
    </row>
    <row r="15" spans="1:60" ht="35.65" customHeight="1">
      <c r="A15" s="9"/>
      <c r="B15" s="10"/>
      <c r="C15" s="10"/>
      <c r="D15" s="10"/>
      <c r="E15" s="10"/>
      <c r="F15" s="10"/>
      <c r="G15" s="10"/>
      <c r="H15" s="10"/>
      <c r="I15" s="10"/>
      <c r="J15" s="16"/>
      <c r="K15" s="16"/>
      <c r="L15" s="16"/>
      <c r="M15" s="10"/>
      <c r="N15" s="10"/>
      <c r="O15" s="10"/>
      <c r="P15" s="10"/>
      <c r="Q15" s="10"/>
      <c r="R15" s="10"/>
      <c r="S15" s="10"/>
      <c r="T15" s="10"/>
      <c r="U15" s="10"/>
      <c r="V15" s="10"/>
      <c r="W15" s="10"/>
      <c r="X15" s="10"/>
      <c r="Y15" s="10"/>
      <c r="Z15" s="10"/>
      <c r="AA15" s="10"/>
      <c r="AB15" s="10"/>
      <c r="AC15" s="360"/>
      <c r="AD15" s="360"/>
      <c r="AE15" s="336"/>
      <c r="AF15" s="336"/>
      <c r="AG15" s="336"/>
      <c r="AH15" s="336"/>
      <c r="AI15" s="336"/>
      <c r="AJ15" s="336"/>
      <c r="AK15" s="336"/>
      <c r="AL15" s="336"/>
      <c r="AM15" s="336"/>
      <c r="AN15" s="336"/>
      <c r="AO15" s="320"/>
      <c r="AP15" s="320"/>
      <c r="AQ15" s="320"/>
      <c r="AR15" s="320"/>
      <c r="AS15" s="320"/>
      <c r="AT15" s="320"/>
      <c r="AU15" s="320"/>
      <c r="AV15" s="320"/>
      <c r="AW15" s="320"/>
      <c r="AX15" s="320"/>
      <c r="AY15" s="324"/>
      <c r="AZ15" s="324"/>
      <c r="BA15" s="324"/>
      <c r="BB15" s="324"/>
      <c r="BC15" s="324"/>
      <c r="BD15" s="324"/>
      <c r="BE15" s="324"/>
      <c r="BF15" s="324"/>
      <c r="BG15" s="324"/>
      <c r="BH15" s="324"/>
    </row>
    <row r="16" spans="1:60" ht="35.65" customHeight="1">
      <c r="A16" s="9"/>
      <c r="B16" s="10"/>
      <c r="C16" s="10"/>
      <c r="D16" s="10"/>
      <c r="E16" s="10"/>
      <c r="F16" s="10"/>
      <c r="G16" s="10"/>
      <c r="H16" s="10"/>
      <c r="I16" s="10"/>
      <c r="J16" s="19"/>
      <c r="K16" s="19"/>
      <c r="L16" s="19"/>
      <c r="M16" s="10"/>
      <c r="N16" s="10"/>
      <c r="O16" s="10"/>
      <c r="P16" s="10"/>
      <c r="Q16" s="10"/>
      <c r="R16" s="10"/>
      <c r="S16" s="10"/>
      <c r="T16" s="10"/>
      <c r="U16" s="10"/>
      <c r="V16" s="10"/>
      <c r="W16" s="10"/>
      <c r="X16" s="10"/>
      <c r="Y16" s="10"/>
      <c r="Z16" s="10"/>
      <c r="AA16" s="10"/>
      <c r="AB16" s="10"/>
      <c r="AC16" s="361"/>
      <c r="AD16" s="361"/>
      <c r="AE16" s="337"/>
      <c r="AF16" s="337"/>
      <c r="AG16" s="337"/>
      <c r="AH16" s="337"/>
      <c r="AI16" s="337"/>
      <c r="AJ16" s="337"/>
      <c r="AK16" s="337"/>
      <c r="AL16" s="337"/>
      <c r="AM16" s="337"/>
      <c r="AN16" s="337"/>
      <c r="AO16" s="321"/>
      <c r="AP16" s="321"/>
      <c r="AQ16" s="321"/>
      <c r="AR16" s="321"/>
      <c r="AS16" s="321"/>
      <c r="AT16" s="321"/>
      <c r="AU16" s="321"/>
      <c r="AV16" s="321"/>
      <c r="AW16" s="321"/>
      <c r="AX16" s="321"/>
      <c r="AY16" s="325"/>
      <c r="AZ16" s="325"/>
      <c r="BA16" s="325"/>
      <c r="BB16" s="325"/>
      <c r="BC16" s="325"/>
      <c r="BD16" s="325"/>
      <c r="BE16" s="325"/>
      <c r="BF16" s="325"/>
      <c r="BG16" s="325"/>
      <c r="BH16" s="325"/>
    </row>
    <row r="17" spans="1:60" ht="35.65" customHeight="1">
      <c r="A17" s="13">
        <v>1</v>
      </c>
      <c r="B17" s="10" t="s">
        <v>23</v>
      </c>
      <c r="C17" s="20">
        <v>3</v>
      </c>
      <c r="D17" s="20">
        <v>4</v>
      </c>
      <c r="E17" s="20">
        <v>5</v>
      </c>
      <c r="F17" s="20">
        <v>6</v>
      </c>
      <c r="G17" s="20">
        <v>7</v>
      </c>
      <c r="H17" s="20">
        <v>8</v>
      </c>
      <c r="I17" s="20">
        <v>9</v>
      </c>
      <c r="J17" s="20"/>
      <c r="K17" s="20"/>
      <c r="L17" s="20"/>
      <c r="M17" s="20">
        <v>10</v>
      </c>
      <c r="N17" s="20">
        <v>11</v>
      </c>
      <c r="O17" s="20">
        <v>12</v>
      </c>
      <c r="P17" s="20">
        <v>13</v>
      </c>
      <c r="Q17" s="20">
        <v>14</v>
      </c>
      <c r="R17" s="20">
        <v>15</v>
      </c>
      <c r="S17" s="20">
        <v>16</v>
      </c>
      <c r="T17" s="20">
        <v>20</v>
      </c>
      <c r="U17" s="20">
        <v>21</v>
      </c>
      <c r="V17" s="20">
        <v>22</v>
      </c>
      <c r="W17" s="20">
        <v>23</v>
      </c>
      <c r="X17" s="20">
        <v>24</v>
      </c>
      <c r="Y17" s="20">
        <v>25</v>
      </c>
      <c r="Z17" s="20">
        <v>26</v>
      </c>
      <c r="AA17" s="20">
        <v>27</v>
      </c>
      <c r="AB17" s="20">
        <v>28</v>
      </c>
      <c r="AC17" s="20">
        <v>29</v>
      </c>
      <c r="AD17" s="20">
        <v>30</v>
      </c>
      <c r="AE17" s="20" t="s">
        <v>550</v>
      </c>
      <c r="AF17" s="20"/>
      <c r="AG17" s="20">
        <v>47</v>
      </c>
      <c r="AH17" s="20"/>
      <c r="AI17" s="20">
        <v>48</v>
      </c>
      <c r="AJ17" s="20"/>
      <c r="AK17" s="20">
        <v>49</v>
      </c>
      <c r="AL17" s="20"/>
      <c r="AM17" s="20">
        <v>50</v>
      </c>
      <c r="AN17" s="20"/>
      <c r="AO17" s="20" t="s">
        <v>1204</v>
      </c>
      <c r="AP17" s="20">
        <v>52</v>
      </c>
      <c r="AQ17" s="20">
        <v>53</v>
      </c>
      <c r="AR17" s="20">
        <v>54</v>
      </c>
      <c r="AS17" s="20">
        <v>55</v>
      </c>
      <c r="AT17" s="20" t="s">
        <v>1204</v>
      </c>
      <c r="AU17" s="20">
        <v>52</v>
      </c>
      <c r="AV17" s="20">
        <v>53</v>
      </c>
      <c r="AW17" s="20">
        <v>54</v>
      </c>
      <c r="AX17" s="20">
        <v>55</v>
      </c>
      <c r="AY17" s="20" t="s">
        <v>1205</v>
      </c>
      <c r="AZ17" s="20">
        <v>57</v>
      </c>
      <c r="BA17" s="20">
        <v>58</v>
      </c>
      <c r="BB17" s="20">
        <v>59</v>
      </c>
      <c r="BC17" s="20">
        <v>60</v>
      </c>
      <c r="BD17" s="20" t="s">
        <v>1205</v>
      </c>
      <c r="BE17" s="20">
        <v>57</v>
      </c>
      <c r="BF17" s="20">
        <v>58</v>
      </c>
      <c r="BG17" s="20">
        <v>59</v>
      </c>
      <c r="BH17" s="20">
        <v>60</v>
      </c>
    </row>
    <row r="18" spans="1:60" ht="35.65" customHeight="1">
      <c r="A18" s="21" t="s">
        <v>24</v>
      </c>
      <c r="B18" s="22">
        <v>2500</v>
      </c>
      <c r="C18" s="22" t="s">
        <v>25</v>
      </c>
      <c r="D18" s="22" t="s">
        <v>25</v>
      </c>
      <c r="E18" s="22" t="s">
        <v>25</v>
      </c>
      <c r="F18" s="22" t="s">
        <v>25</v>
      </c>
      <c r="G18" s="22" t="s">
        <v>25</v>
      </c>
      <c r="H18" s="22" t="s">
        <v>25</v>
      </c>
      <c r="I18" s="22" t="s">
        <v>25</v>
      </c>
      <c r="J18" s="22"/>
      <c r="K18" s="22"/>
      <c r="L18" s="22"/>
      <c r="M18" s="22" t="s">
        <v>25</v>
      </c>
      <c r="N18" s="22" t="s">
        <v>25</v>
      </c>
      <c r="O18" s="22" t="s">
        <v>25</v>
      </c>
      <c r="P18" s="22" t="s">
        <v>25</v>
      </c>
      <c r="Q18" s="22" t="s">
        <v>25</v>
      </c>
      <c r="R18" s="22" t="s">
        <v>25</v>
      </c>
      <c r="S18" s="22" t="s">
        <v>25</v>
      </c>
      <c r="T18" s="22" t="s">
        <v>25</v>
      </c>
      <c r="U18" s="22" t="s">
        <v>25</v>
      </c>
      <c r="V18" s="22" t="s">
        <v>25</v>
      </c>
      <c r="W18" s="22" t="s">
        <v>25</v>
      </c>
      <c r="X18" s="22" t="s">
        <v>25</v>
      </c>
      <c r="Y18" s="22" t="s">
        <v>25</v>
      </c>
      <c r="Z18" s="22" t="s">
        <v>25</v>
      </c>
      <c r="AA18" s="22" t="s">
        <v>25</v>
      </c>
      <c r="AB18" s="22" t="s">
        <v>25</v>
      </c>
      <c r="AC18" s="22" t="s">
        <v>25</v>
      </c>
      <c r="AD18" s="22" t="s">
        <v>25</v>
      </c>
      <c r="AE18" s="289">
        <f>AE19+AE525+AE628+AE652+AE733+AE767</f>
        <v>2159350.9</v>
      </c>
      <c r="AF18" s="289">
        <f>AH18+AJ18+AL18+AN18</f>
        <v>1831750.4000000001</v>
      </c>
      <c r="AG18" s="289">
        <f>AG19+AG525+AG628+AG652+AG733+AG767</f>
        <v>198315.7</v>
      </c>
      <c r="AH18" s="289">
        <f>AH19+AH525+AH628+AH652+AH733+AH767</f>
        <v>198086</v>
      </c>
      <c r="AI18" s="289">
        <f>AI19+AI525+AI628+AI652+AI733+AI767</f>
        <v>1222839.3999999999</v>
      </c>
      <c r="AJ18" s="289">
        <f>AJ19+AJ525+AJ628+AJ652+AJ733+AJ767</f>
        <v>906843.1</v>
      </c>
      <c r="AK18" s="289">
        <f>AK19+AK525+AK628+AK652+AK733+AK767</f>
        <v>0</v>
      </c>
      <c r="AL18" s="289"/>
      <c r="AM18" s="289">
        <f t="shared" ref="AM18:BH18" si="0">AM19+AM525+AM628+AM652+AM733+AM767</f>
        <v>738195.79999999993</v>
      </c>
      <c r="AN18" s="289">
        <f t="shared" si="0"/>
        <v>726821.3</v>
      </c>
      <c r="AO18" s="289">
        <f t="shared" si="0"/>
        <v>2300496.7000000002</v>
      </c>
      <c r="AP18" s="289">
        <f t="shared" si="0"/>
        <v>60500.399999999994</v>
      </c>
      <c r="AQ18" s="289">
        <f t="shared" si="0"/>
        <v>1404561.5</v>
      </c>
      <c r="AR18" s="289">
        <f t="shared" si="0"/>
        <v>0</v>
      </c>
      <c r="AS18" s="289">
        <f t="shared" si="0"/>
        <v>835434.79999999993</v>
      </c>
      <c r="AT18" s="289">
        <f t="shared" si="0"/>
        <v>1327500.8999999999</v>
      </c>
      <c r="AU18" s="289">
        <f t="shared" si="0"/>
        <v>62019.199999999997</v>
      </c>
      <c r="AV18" s="289">
        <f t="shared" si="0"/>
        <v>577890.6</v>
      </c>
      <c r="AW18" s="289">
        <f t="shared" si="0"/>
        <v>0</v>
      </c>
      <c r="AX18" s="289">
        <f t="shared" si="0"/>
        <v>687591.1</v>
      </c>
      <c r="AY18" s="289">
        <f t="shared" si="0"/>
        <v>1227326.7</v>
      </c>
      <c r="AZ18" s="289">
        <f t="shared" si="0"/>
        <v>43978.7</v>
      </c>
      <c r="BA18" s="289">
        <f t="shared" si="0"/>
        <v>494998.19999999995</v>
      </c>
      <c r="BB18" s="289">
        <f t="shared" si="0"/>
        <v>0</v>
      </c>
      <c r="BC18" s="289">
        <f t="shared" si="0"/>
        <v>688349.79999999993</v>
      </c>
      <c r="BD18" s="289">
        <f t="shared" si="0"/>
        <v>1227326.7</v>
      </c>
      <c r="BE18" s="289">
        <f t="shared" si="0"/>
        <v>43978.7</v>
      </c>
      <c r="BF18" s="289">
        <f t="shared" si="0"/>
        <v>494998.19999999995</v>
      </c>
      <c r="BG18" s="289">
        <f t="shared" si="0"/>
        <v>0</v>
      </c>
      <c r="BH18" s="289">
        <f t="shared" si="0"/>
        <v>688349.79999999993</v>
      </c>
    </row>
    <row r="19" spans="1:60" ht="35.65" customHeight="1">
      <c r="A19" s="21" t="s">
        <v>26</v>
      </c>
      <c r="B19" s="22">
        <v>2501</v>
      </c>
      <c r="C19" s="22" t="s">
        <v>25</v>
      </c>
      <c r="D19" s="22" t="s">
        <v>25</v>
      </c>
      <c r="E19" s="22" t="s">
        <v>25</v>
      </c>
      <c r="F19" s="22" t="s">
        <v>25</v>
      </c>
      <c r="G19" s="22" t="s">
        <v>25</v>
      </c>
      <c r="H19" s="22" t="s">
        <v>25</v>
      </c>
      <c r="I19" s="22" t="s">
        <v>25</v>
      </c>
      <c r="J19" s="22"/>
      <c r="K19" s="22"/>
      <c r="L19" s="22"/>
      <c r="M19" s="22" t="s">
        <v>25</v>
      </c>
      <c r="N19" s="22" t="s">
        <v>25</v>
      </c>
      <c r="O19" s="22" t="s">
        <v>25</v>
      </c>
      <c r="P19" s="22" t="s">
        <v>25</v>
      </c>
      <c r="Q19" s="22" t="s">
        <v>25</v>
      </c>
      <c r="R19" s="22" t="s">
        <v>25</v>
      </c>
      <c r="S19" s="22" t="s">
        <v>25</v>
      </c>
      <c r="T19" s="22" t="s">
        <v>25</v>
      </c>
      <c r="U19" s="22" t="s">
        <v>25</v>
      </c>
      <c r="V19" s="22" t="s">
        <v>25</v>
      </c>
      <c r="W19" s="22" t="s">
        <v>25</v>
      </c>
      <c r="X19" s="22" t="s">
        <v>25</v>
      </c>
      <c r="Y19" s="22" t="s">
        <v>25</v>
      </c>
      <c r="Z19" s="22" t="s">
        <v>25</v>
      </c>
      <c r="AA19" s="22" t="s">
        <v>25</v>
      </c>
      <c r="AB19" s="22" t="s">
        <v>25</v>
      </c>
      <c r="AC19" s="22" t="s">
        <v>25</v>
      </c>
      <c r="AD19" s="22" t="s">
        <v>25</v>
      </c>
      <c r="AE19" s="290">
        <f>AE23+AE36+AE56+AE92+AE132+AE136+AE148+AE155+AE181+AE237+AE273+AE283+AE296+AE308+AE346+AE392+AE395+AE399+AE401+AE404+AE491+AE495+AE504+AE523</f>
        <v>1509881.1</v>
      </c>
      <c r="AF19" s="290">
        <f>AH19+AJ19+AL19+AN19</f>
        <v>1191746.6000000001</v>
      </c>
      <c r="AG19" s="290">
        <f>AG23+AG36+AG56+AG92+AG132+AG136+AG148+AG155+AG181+AG237+AG273+AG283+AG296+AG308+AG346+AG392+AG395+AG399+AG401+AG404+AG491+AG495+AG504+AG523</f>
        <v>183596.2</v>
      </c>
      <c r="AH19" s="290">
        <f>AH23+AH36+AH56+AH92+AH132+AH136+AH148+AH155+AH181+AH237+AH273+AH283+AH296+AH308+AH346+AH392+AH395+AH399+AH401+AH404+AH491+AH495+AH504+AH523</f>
        <v>183368.2</v>
      </c>
      <c r="AI19" s="290">
        <f>AI23+AI36+AI56+AI92+AI132+AI136+AI148+AI155+AI181+AI237+AI273+AI283+AI296+AI308+AI346+AI392+AI395+AI399+AI401+AI404+AI491+AI495+AI504+AI523</f>
        <v>704148.6</v>
      </c>
      <c r="AJ19" s="290">
        <f>AJ23+AJ36+AJ56+AJ92+AJ132+AJ136+AJ148+AJ155+AJ181+AJ237+AJ273+AJ283+AJ296+AJ308+AJ346+AJ392+AJ395+AJ399+AJ401+AJ404+AJ491+AJ495+AJ504+AJ523</f>
        <v>395414.7</v>
      </c>
      <c r="AK19" s="290">
        <f>AK23+AK36+AK56+AK92+AK132+AK136+AK148+AK155+AK181+AK237+AK273+AK283+AK296+AK308+AK346+AK392+AK395+AK399+AK401+AK404+AK491+AK495+AK504+AK523</f>
        <v>0</v>
      </c>
      <c r="AL19" s="290"/>
      <c r="AM19" s="290">
        <f t="shared" ref="AM19:BH19" si="1">AM23+AM36+AM56+AM92+AM132+AM136+AM148+AM155+AM181+AM237+AM273+AM283+AM296+AM308+AM346+AM392+AM395+AM399+AM401+AM404+AM491+AM495+AM504+AM523</f>
        <v>622136.29999999993</v>
      </c>
      <c r="AN19" s="290">
        <f t="shared" si="1"/>
        <v>612963.70000000007</v>
      </c>
      <c r="AO19" s="290">
        <f t="shared" si="1"/>
        <v>1619521.7999999998</v>
      </c>
      <c r="AP19" s="290">
        <f t="shared" si="1"/>
        <v>40018.5</v>
      </c>
      <c r="AQ19" s="290">
        <f t="shared" si="1"/>
        <v>870525.79999999981</v>
      </c>
      <c r="AR19" s="290">
        <f t="shared" si="1"/>
        <v>0</v>
      </c>
      <c r="AS19" s="290">
        <f t="shared" si="1"/>
        <v>708977.5</v>
      </c>
      <c r="AT19" s="290">
        <f t="shared" si="1"/>
        <v>700920.00000000012</v>
      </c>
      <c r="AU19" s="290">
        <f t="shared" si="1"/>
        <v>37951.599999999999</v>
      </c>
      <c r="AV19" s="290">
        <f t="shared" si="1"/>
        <v>92485.3</v>
      </c>
      <c r="AW19" s="290">
        <f t="shared" si="1"/>
        <v>0</v>
      </c>
      <c r="AX19" s="290">
        <f t="shared" si="1"/>
        <v>570483.1</v>
      </c>
      <c r="AY19" s="290">
        <f t="shared" si="1"/>
        <v>600283.1</v>
      </c>
      <c r="AZ19" s="290">
        <f t="shared" si="1"/>
        <v>20078.5</v>
      </c>
      <c r="BA19" s="290">
        <f t="shared" si="1"/>
        <v>8963</v>
      </c>
      <c r="BB19" s="290">
        <f t="shared" si="1"/>
        <v>0</v>
      </c>
      <c r="BC19" s="290">
        <f t="shared" si="1"/>
        <v>571241.6</v>
      </c>
      <c r="BD19" s="290">
        <f t="shared" si="1"/>
        <v>600283.1</v>
      </c>
      <c r="BE19" s="290">
        <f t="shared" si="1"/>
        <v>20078.5</v>
      </c>
      <c r="BF19" s="290">
        <f t="shared" si="1"/>
        <v>8963</v>
      </c>
      <c r="BG19" s="290">
        <f t="shared" si="1"/>
        <v>0</v>
      </c>
      <c r="BH19" s="290">
        <f t="shared" si="1"/>
        <v>571241.6</v>
      </c>
    </row>
    <row r="20" spans="1:60" ht="35.65" customHeight="1">
      <c r="A20" s="23" t="s">
        <v>27</v>
      </c>
      <c r="B20" s="24">
        <v>2502</v>
      </c>
      <c r="C20" s="25"/>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row>
    <row r="21" spans="1:60" ht="35.65" customHeight="1" thickBot="1">
      <c r="A21" s="27" t="s">
        <v>28</v>
      </c>
      <c r="B21" s="28"/>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35.65" customHeight="1">
      <c r="A22" s="29" t="s">
        <v>29</v>
      </c>
      <c r="B22" s="30">
        <v>2503</v>
      </c>
      <c r="C22" s="25"/>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35.65" customHeight="1" thickBot="1">
      <c r="A23" s="31" t="s">
        <v>30</v>
      </c>
      <c r="B23" s="32">
        <v>2504</v>
      </c>
      <c r="C23" s="33"/>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v>1</v>
      </c>
      <c r="AD23" s="285"/>
      <c r="AE23" s="34">
        <f>AE24+AE25+AE26+AE35+AE27+AE29+AE33+AE28+AE30+AE31+AE32</f>
        <v>7898.1</v>
      </c>
      <c r="AF23" s="34">
        <f t="shared" ref="AF23:AN23" si="2">AF24+AF25+AF26+AF35+AF27+AF29+AF33+AF28+AF30+AF31+AF32</f>
        <v>7897.2000000000007</v>
      </c>
      <c r="AG23" s="34">
        <f t="shared" si="2"/>
        <v>0</v>
      </c>
      <c r="AH23" s="34">
        <f t="shared" si="2"/>
        <v>0</v>
      </c>
      <c r="AI23" s="34">
        <f t="shared" si="2"/>
        <v>2465.1</v>
      </c>
      <c r="AJ23" s="34">
        <f t="shared" si="2"/>
        <v>2465.1</v>
      </c>
      <c r="AK23" s="34">
        <f t="shared" si="2"/>
        <v>0</v>
      </c>
      <c r="AL23" s="34">
        <f t="shared" si="2"/>
        <v>0</v>
      </c>
      <c r="AM23" s="34">
        <f t="shared" si="2"/>
        <v>5433</v>
      </c>
      <c r="AN23" s="34">
        <f t="shared" si="2"/>
        <v>5432.1</v>
      </c>
      <c r="AO23" s="34">
        <f>AO24+AO25+AO26+AO35+AO27+AO29+AO33+AO28+AO30+AO31+AO32+AO34</f>
        <v>7061</v>
      </c>
      <c r="AP23" s="34">
        <f t="shared" ref="AP23:AS23" si="3">AP24+AP25+AP26+AP35+AP27+AP29+AP33+AP28+AP30+AP31+AP32+AP34</f>
        <v>0</v>
      </c>
      <c r="AQ23" s="34">
        <f t="shared" si="3"/>
        <v>0</v>
      </c>
      <c r="AR23" s="34">
        <f t="shared" si="3"/>
        <v>0</v>
      </c>
      <c r="AS23" s="34">
        <f t="shared" si="3"/>
        <v>7061</v>
      </c>
      <c r="AT23" s="34">
        <f t="shared" ref="AT23:BH23" si="4">AT24+AT25+AT26+AT35+AT27+AT29+AT33+AT28+AT58+AT30+AT31+AT32+AT34</f>
        <v>5980</v>
      </c>
      <c r="AU23" s="34">
        <f t="shared" si="4"/>
        <v>0</v>
      </c>
      <c r="AV23" s="34">
        <f t="shared" si="4"/>
        <v>0</v>
      </c>
      <c r="AW23" s="34">
        <f t="shared" si="4"/>
        <v>0</v>
      </c>
      <c r="AX23" s="34">
        <f t="shared" si="4"/>
        <v>5980</v>
      </c>
      <c r="AY23" s="34">
        <f t="shared" si="4"/>
        <v>5980</v>
      </c>
      <c r="AZ23" s="34">
        <f t="shared" si="4"/>
        <v>0</v>
      </c>
      <c r="BA23" s="34">
        <f t="shared" si="4"/>
        <v>0</v>
      </c>
      <c r="BB23" s="34">
        <f t="shared" si="4"/>
        <v>0</v>
      </c>
      <c r="BC23" s="34">
        <f t="shared" si="4"/>
        <v>5980</v>
      </c>
      <c r="BD23" s="34">
        <f t="shared" si="4"/>
        <v>5980</v>
      </c>
      <c r="BE23" s="34">
        <f t="shared" si="4"/>
        <v>0</v>
      </c>
      <c r="BF23" s="34">
        <f t="shared" si="4"/>
        <v>0</v>
      </c>
      <c r="BG23" s="34">
        <f t="shared" si="4"/>
        <v>0</v>
      </c>
      <c r="BH23" s="34">
        <f t="shared" si="4"/>
        <v>5980</v>
      </c>
    </row>
    <row r="24" spans="1:60" ht="35.65" customHeight="1" thickBot="1">
      <c r="A24" s="27" t="s">
        <v>31</v>
      </c>
      <c r="B24" s="35"/>
      <c r="C24" s="407" t="s">
        <v>32</v>
      </c>
      <c r="D24" s="375" t="s">
        <v>33</v>
      </c>
      <c r="E24" s="437" t="s">
        <v>34</v>
      </c>
      <c r="F24" s="26"/>
      <c r="G24" s="26"/>
      <c r="H24" s="26"/>
      <c r="I24" s="26"/>
      <c r="J24" s="26"/>
      <c r="K24" s="26"/>
      <c r="L24" s="26"/>
      <c r="M24" s="26"/>
      <c r="N24" s="26"/>
      <c r="O24" s="26"/>
      <c r="P24" s="26"/>
      <c r="Q24" s="26"/>
      <c r="R24" s="26"/>
      <c r="S24" s="26"/>
      <c r="T24" s="26"/>
      <c r="U24" s="26"/>
      <c r="V24" s="26"/>
      <c r="W24" s="407" t="s">
        <v>35</v>
      </c>
      <c r="X24" s="375" t="s">
        <v>36</v>
      </c>
      <c r="Y24" s="437" t="s">
        <v>37</v>
      </c>
      <c r="Z24" s="407" t="s">
        <v>35</v>
      </c>
      <c r="AA24" s="424" t="s">
        <v>36</v>
      </c>
      <c r="AB24" s="375" t="s">
        <v>38</v>
      </c>
      <c r="AC24" s="26"/>
      <c r="AD24" s="52" t="s">
        <v>551</v>
      </c>
      <c r="AE24" s="26">
        <f t="shared" ref="AE24:AE33" si="5">AG24+AI24+AK24+AM24</f>
        <v>0</v>
      </c>
      <c r="AF24" s="26"/>
      <c r="AG24" s="26"/>
      <c r="AH24" s="26"/>
      <c r="AI24" s="26"/>
      <c r="AJ24" s="26"/>
      <c r="AK24" s="26"/>
      <c r="AL24" s="26"/>
      <c r="AM24" s="26">
        <f>1275-1275</f>
        <v>0</v>
      </c>
      <c r="AN24" s="26"/>
      <c r="AO24" s="26">
        <f>AP24+AQ24+AR24+AS24</f>
        <v>0</v>
      </c>
      <c r="AP24" s="26"/>
      <c r="AQ24" s="26"/>
      <c r="AR24" s="26"/>
      <c r="AS24" s="26">
        <f>1275-1275</f>
        <v>0</v>
      </c>
      <c r="AT24" s="26">
        <f>AU24+AV24+AW24+AX24</f>
        <v>0</v>
      </c>
      <c r="AU24" s="26"/>
      <c r="AV24" s="26"/>
      <c r="AW24" s="26"/>
      <c r="AX24" s="26">
        <f>1275-1275</f>
        <v>0</v>
      </c>
      <c r="AY24" s="26">
        <f>AZ24+BA24+BB24+BC24</f>
        <v>0</v>
      </c>
      <c r="AZ24" s="26"/>
      <c r="BA24" s="26"/>
      <c r="BB24" s="26"/>
      <c r="BC24" s="26">
        <f>1275-1275</f>
        <v>0</v>
      </c>
      <c r="BD24" s="26">
        <f>BE24+BF24+BG24+BH24</f>
        <v>0</v>
      </c>
      <c r="BE24" s="26"/>
      <c r="BF24" s="26"/>
      <c r="BG24" s="26"/>
      <c r="BH24" s="26">
        <f>1275-1275</f>
        <v>0</v>
      </c>
    </row>
    <row r="25" spans="1:60" ht="35.65" customHeight="1" thickBot="1">
      <c r="A25" s="27" t="s">
        <v>31</v>
      </c>
      <c r="B25" s="35"/>
      <c r="C25" s="408"/>
      <c r="D25" s="388"/>
      <c r="E25" s="438"/>
      <c r="F25" s="26"/>
      <c r="G25" s="26"/>
      <c r="H25" s="26"/>
      <c r="I25" s="26"/>
      <c r="J25" s="26"/>
      <c r="K25" s="26"/>
      <c r="L25" s="26"/>
      <c r="M25" s="26"/>
      <c r="N25" s="26"/>
      <c r="O25" s="26"/>
      <c r="P25" s="26"/>
      <c r="Q25" s="26"/>
      <c r="R25" s="26"/>
      <c r="S25" s="26"/>
      <c r="T25" s="26"/>
      <c r="U25" s="26"/>
      <c r="V25" s="26"/>
      <c r="W25" s="408"/>
      <c r="X25" s="388"/>
      <c r="Y25" s="438"/>
      <c r="Z25" s="408"/>
      <c r="AA25" s="425"/>
      <c r="AB25" s="388"/>
      <c r="AC25" s="26"/>
      <c r="AD25" s="52" t="s">
        <v>552</v>
      </c>
      <c r="AE25" s="26">
        <f t="shared" si="5"/>
        <v>0</v>
      </c>
      <c r="AF25" s="26"/>
      <c r="AG25" s="26"/>
      <c r="AH25" s="26"/>
      <c r="AI25" s="26"/>
      <c r="AJ25" s="26"/>
      <c r="AK25" s="26"/>
      <c r="AL25" s="26"/>
      <c r="AM25" s="26">
        <f>500-500</f>
        <v>0</v>
      </c>
      <c r="AN25" s="26"/>
      <c r="AO25" s="26">
        <f t="shared" ref="AO25:AO35" si="6">AP25+AQ25+AR25+AS25</f>
        <v>0</v>
      </c>
      <c r="AP25" s="26"/>
      <c r="AQ25" s="26"/>
      <c r="AR25" s="26"/>
      <c r="AS25" s="26">
        <f>100-100</f>
        <v>0</v>
      </c>
      <c r="AT25" s="26">
        <f t="shared" ref="AT25:AT27" si="7">AU25+AV25+AW25+AX25</f>
        <v>0</v>
      </c>
      <c r="AU25" s="26"/>
      <c r="AV25" s="26"/>
      <c r="AW25" s="26"/>
      <c r="AX25" s="26">
        <f>500-500</f>
        <v>0</v>
      </c>
      <c r="AY25" s="26">
        <f t="shared" ref="AY25:AY35" si="8">AZ25+BA25+BB25+BC25</f>
        <v>0</v>
      </c>
      <c r="AZ25" s="26"/>
      <c r="BA25" s="26"/>
      <c r="BB25" s="26"/>
      <c r="BC25" s="26">
        <f>500-500</f>
        <v>0</v>
      </c>
      <c r="BD25" s="26">
        <f>BE25+BF25+BG25+BH25</f>
        <v>0</v>
      </c>
      <c r="BE25" s="26"/>
      <c r="BF25" s="26"/>
      <c r="BG25" s="26"/>
      <c r="BH25" s="26">
        <f>500-500</f>
        <v>0</v>
      </c>
    </row>
    <row r="26" spans="1:60" ht="35.65" customHeight="1" thickBot="1">
      <c r="A26" s="27" t="s">
        <v>31</v>
      </c>
      <c r="B26" s="35"/>
      <c r="C26" s="408"/>
      <c r="D26" s="376"/>
      <c r="E26" s="439"/>
      <c r="F26" s="26"/>
      <c r="G26" s="26"/>
      <c r="H26" s="26"/>
      <c r="I26" s="26"/>
      <c r="J26" s="26"/>
      <c r="K26" s="26"/>
      <c r="L26" s="26"/>
      <c r="M26" s="26"/>
      <c r="N26" s="26"/>
      <c r="O26" s="26"/>
      <c r="P26" s="26"/>
      <c r="Q26" s="26"/>
      <c r="R26" s="26"/>
      <c r="S26" s="26"/>
      <c r="T26" s="26"/>
      <c r="U26" s="26"/>
      <c r="V26" s="26"/>
      <c r="W26" s="408"/>
      <c r="X26" s="388"/>
      <c r="Y26" s="438"/>
      <c r="Z26" s="408"/>
      <c r="AA26" s="425"/>
      <c r="AB26" s="388"/>
      <c r="AC26" s="26"/>
      <c r="AD26" s="52" t="s">
        <v>553</v>
      </c>
      <c r="AE26" s="26">
        <f t="shared" si="5"/>
        <v>0</v>
      </c>
      <c r="AF26" s="26"/>
      <c r="AG26" s="26"/>
      <c r="AH26" s="26"/>
      <c r="AI26" s="26"/>
      <c r="AJ26" s="26"/>
      <c r="AK26" s="26"/>
      <c r="AL26" s="26"/>
      <c r="AM26" s="26">
        <f>350-300-50</f>
        <v>0</v>
      </c>
      <c r="AN26" s="26"/>
      <c r="AO26" s="26">
        <f t="shared" si="6"/>
        <v>0</v>
      </c>
      <c r="AP26" s="26"/>
      <c r="AQ26" s="26"/>
      <c r="AR26" s="26"/>
      <c r="AS26" s="26">
        <f>350-300-50</f>
        <v>0</v>
      </c>
      <c r="AT26" s="26">
        <f t="shared" si="7"/>
        <v>0</v>
      </c>
      <c r="AU26" s="26"/>
      <c r="AV26" s="26"/>
      <c r="AW26" s="26"/>
      <c r="AX26" s="26">
        <f>350-300-50</f>
        <v>0</v>
      </c>
      <c r="AY26" s="26">
        <f t="shared" si="8"/>
        <v>0</v>
      </c>
      <c r="AZ26" s="26"/>
      <c r="BA26" s="26"/>
      <c r="BB26" s="26"/>
      <c r="BC26" s="26">
        <f>350-300-50</f>
        <v>0</v>
      </c>
      <c r="BD26" s="26">
        <f>BE26+BF26+BG26+BH26</f>
        <v>0</v>
      </c>
      <c r="BE26" s="26"/>
      <c r="BF26" s="26"/>
      <c r="BG26" s="26"/>
      <c r="BH26" s="26">
        <f>350-300-50</f>
        <v>0</v>
      </c>
    </row>
    <row r="27" spans="1:60" ht="35.65" customHeight="1" thickBot="1">
      <c r="A27" s="27" t="s">
        <v>31</v>
      </c>
      <c r="B27" s="35"/>
      <c r="C27" s="408"/>
      <c r="D27" s="36"/>
      <c r="E27" s="36"/>
      <c r="F27" s="26"/>
      <c r="G27" s="26"/>
      <c r="H27" s="26"/>
      <c r="I27" s="26"/>
      <c r="J27" s="26"/>
      <c r="K27" s="26"/>
      <c r="L27" s="26"/>
      <c r="M27" s="26"/>
      <c r="N27" s="26"/>
      <c r="O27" s="26"/>
      <c r="P27" s="26"/>
      <c r="Q27" s="26"/>
      <c r="R27" s="26"/>
      <c r="S27" s="26"/>
      <c r="T27" s="26"/>
      <c r="U27" s="26"/>
      <c r="V27" s="26"/>
      <c r="W27" s="408"/>
      <c r="X27" s="376"/>
      <c r="Y27" s="439"/>
      <c r="Z27" s="408"/>
      <c r="AA27" s="426"/>
      <c r="AB27" s="388"/>
      <c r="AC27" s="26"/>
      <c r="AD27" s="291" t="s">
        <v>554</v>
      </c>
      <c r="AE27" s="26">
        <f t="shared" si="5"/>
        <v>180</v>
      </c>
      <c r="AF27" s="26">
        <f>AN27</f>
        <v>180</v>
      </c>
      <c r="AG27" s="26"/>
      <c r="AH27" s="26"/>
      <c r="AI27" s="26"/>
      <c r="AJ27" s="26"/>
      <c r="AK27" s="26"/>
      <c r="AL27" s="26"/>
      <c r="AM27" s="26">
        <v>180</v>
      </c>
      <c r="AN27" s="26">
        <v>180</v>
      </c>
      <c r="AO27" s="26">
        <f t="shared" si="6"/>
        <v>321</v>
      </c>
      <c r="AP27" s="26"/>
      <c r="AQ27" s="26"/>
      <c r="AR27" s="26"/>
      <c r="AS27" s="26">
        <f>180+100+41</f>
        <v>321</v>
      </c>
      <c r="AT27" s="26">
        <f t="shared" si="7"/>
        <v>180</v>
      </c>
      <c r="AU27" s="26"/>
      <c r="AV27" s="26"/>
      <c r="AW27" s="26"/>
      <c r="AX27" s="26">
        <v>180</v>
      </c>
      <c r="AY27" s="26">
        <f t="shared" si="8"/>
        <v>180</v>
      </c>
      <c r="AZ27" s="26"/>
      <c r="BA27" s="26"/>
      <c r="BB27" s="26"/>
      <c r="BC27" s="26">
        <v>180</v>
      </c>
      <c r="BD27" s="26">
        <f>BE27+BF27+BG27+BH27</f>
        <v>180</v>
      </c>
      <c r="BE27" s="26"/>
      <c r="BF27" s="26"/>
      <c r="BG27" s="26"/>
      <c r="BH27" s="26">
        <v>180</v>
      </c>
    </row>
    <row r="28" spans="1:60" ht="35.65" customHeight="1" thickBot="1">
      <c r="A28" s="27" t="s">
        <v>31</v>
      </c>
      <c r="B28" s="35"/>
      <c r="C28" s="436"/>
      <c r="D28" s="36"/>
      <c r="E28" s="36"/>
      <c r="F28" s="26"/>
      <c r="G28" s="26"/>
      <c r="H28" s="26"/>
      <c r="I28" s="26"/>
      <c r="J28" s="26"/>
      <c r="K28" s="26"/>
      <c r="L28" s="26"/>
      <c r="M28" s="26"/>
      <c r="N28" s="26"/>
      <c r="O28" s="26"/>
      <c r="P28" s="26"/>
      <c r="Q28" s="26"/>
      <c r="R28" s="26"/>
      <c r="S28" s="26"/>
      <c r="T28" s="26"/>
      <c r="U28" s="26"/>
      <c r="V28" s="26"/>
      <c r="W28" s="436"/>
      <c r="X28" s="36"/>
      <c r="Y28" s="37"/>
      <c r="Z28" s="436"/>
      <c r="AA28" s="38"/>
      <c r="AB28" s="440"/>
      <c r="AC28" s="26"/>
      <c r="AD28" s="291" t="s">
        <v>555</v>
      </c>
      <c r="AE28" s="26">
        <f t="shared" si="5"/>
        <v>0</v>
      </c>
      <c r="AF28" s="26">
        <f t="shared" ref="AF28:AF33" si="9">AN28</f>
        <v>0</v>
      </c>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row>
    <row r="29" spans="1:60" ht="35.65" customHeight="1" thickBot="1">
      <c r="A29" s="27" t="s">
        <v>39</v>
      </c>
      <c r="B29" s="35"/>
      <c r="C29" s="39"/>
      <c r="D29" s="36"/>
      <c r="E29" s="36"/>
      <c r="F29" s="26"/>
      <c r="G29" s="26"/>
      <c r="H29" s="26"/>
      <c r="I29" s="26"/>
      <c r="J29" s="26"/>
      <c r="K29" s="26"/>
      <c r="L29" s="26"/>
      <c r="M29" s="26"/>
      <c r="N29" s="26"/>
      <c r="O29" s="26"/>
      <c r="P29" s="26"/>
      <c r="Q29" s="26"/>
      <c r="R29" s="26"/>
      <c r="S29" s="26"/>
      <c r="T29" s="26"/>
      <c r="U29" s="26"/>
      <c r="V29" s="26"/>
      <c r="W29" s="39"/>
      <c r="X29" s="36"/>
      <c r="Y29" s="37"/>
      <c r="Z29" s="39"/>
      <c r="AA29" s="38"/>
      <c r="AB29" s="36"/>
      <c r="AC29" s="26"/>
      <c r="AD29" s="291" t="s">
        <v>556</v>
      </c>
      <c r="AE29" s="26">
        <f t="shared" si="5"/>
        <v>0</v>
      </c>
      <c r="AF29" s="26">
        <f t="shared" si="9"/>
        <v>0</v>
      </c>
      <c r="AG29" s="26"/>
      <c r="AH29" s="26"/>
      <c r="AI29" s="26"/>
      <c r="AJ29" s="26"/>
      <c r="AK29" s="26"/>
      <c r="AL29" s="26"/>
      <c r="AM29" s="26"/>
      <c r="AN29" s="26"/>
      <c r="AO29" s="26">
        <f t="shared" si="6"/>
        <v>0</v>
      </c>
      <c r="AP29" s="26"/>
      <c r="AQ29" s="26"/>
      <c r="AR29" s="26"/>
      <c r="AS29" s="26"/>
      <c r="AT29" s="26">
        <f t="shared" ref="AT29" si="10">AU29+AV29+AW29+AX29</f>
        <v>0</v>
      </c>
      <c r="AU29" s="26"/>
      <c r="AV29" s="26"/>
      <c r="AW29" s="26"/>
      <c r="AX29" s="26"/>
      <c r="AY29" s="26">
        <f t="shared" si="8"/>
        <v>0</v>
      </c>
      <c r="AZ29" s="26"/>
      <c r="BA29" s="26"/>
      <c r="BB29" s="26"/>
      <c r="BC29" s="26"/>
      <c r="BD29" s="26">
        <f t="shared" ref="BD29:BD35" si="11">BE29+BF29+BG29+BH29</f>
        <v>0</v>
      </c>
      <c r="BE29" s="26"/>
      <c r="BF29" s="26"/>
      <c r="BG29" s="26"/>
      <c r="BH29" s="26"/>
    </row>
    <row r="30" spans="1:60" ht="35.65" customHeight="1" thickBot="1">
      <c r="A30" s="27" t="s">
        <v>40</v>
      </c>
      <c r="B30" s="35"/>
      <c r="C30" s="39"/>
      <c r="D30" s="36"/>
      <c r="E30" s="36"/>
      <c r="F30" s="26"/>
      <c r="G30" s="26"/>
      <c r="H30" s="26"/>
      <c r="I30" s="26"/>
      <c r="J30" s="26"/>
      <c r="K30" s="26"/>
      <c r="L30" s="26"/>
      <c r="M30" s="26"/>
      <c r="N30" s="26"/>
      <c r="O30" s="26"/>
      <c r="P30" s="26"/>
      <c r="Q30" s="26"/>
      <c r="R30" s="26"/>
      <c r="S30" s="26"/>
      <c r="T30" s="26"/>
      <c r="U30" s="26"/>
      <c r="V30" s="26"/>
      <c r="W30" s="39"/>
      <c r="X30" s="36"/>
      <c r="Y30" s="37"/>
      <c r="Z30" s="39"/>
      <c r="AA30" s="38"/>
      <c r="AB30" s="36"/>
      <c r="AC30" s="26"/>
      <c r="AD30" s="291" t="s">
        <v>553</v>
      </c>
      <c r="AE30" s="26">
        <f t="shared" si="5"/>
        <v>0</v>
      </c>
      <c r="AF30" s="26">
        <f t="shared" si="9"/>
        <v>0</v>
      </c>
      <c r="AG30" s="26"/>
      <c r="AH30" s="26"/>
      <c r="AI30" s="26"/>
      <c r="AJ30" s="26"/>
      <c r="AK30" s="26"/>
      <c r="AL30" s="26"/>
      <c r="AM30" s="26">
        <f>50-50</f>
        <v>0</v>
      </c>
      <c r="AN30" s="26"/>
      <c r="AO30" s="26">
        <f>AP30+AQ30+AR30+AS30</f>
        <v>0</v>
      </c>
      <c r="AP30" s="26"/>
      <c r="AQ30" s="26"/>
      <c r="AR30" s="26"/>
      <c r="AS30" s="26"/>
      <c r="AT30" s="26">
        <f>AU30+AV30+AW30+AX30</f>
        <v>0</v>
      </c>
      <c r="AU30" s="26"/>
      <c r="AV30" s="26"/>
      <c r="AW30" s="26"/>
      <c r="AX30" s="26"/>
      <c r="AY30" s="26">
        <f>AZ30+BA30+BB30+BC30</f>
        <v>0</v>
      </c>
      <c r="AZ30" s="26"/>
      <c r="BA30" s="26"/>
      <c r="BB30" s="26"/>
      <c r="BC30" s="26"/>
      <c r="BD30" s="26">
        <f>BE30+BF30+BG30+BH30</f>
        <v>0</v>
      </c>
      <c r="BE30" s="26"/>
      <c r="BF30" s="26"/>
      <c r="BG30" s="26"/>
      <c r="BH30" s="26"/>
    </row>
    <row r="31" spans="1:60" ht="35.65" customHeight="1" thickBot="1">
      <c r="A31" s="27" t="s">
        <v>40</v>
      </c>
      <c r="B31" s="35"/>
      <c r="C31" s="39"/>
      <c r="D31" s="36"/>
      <c r="E31" s="36"/>
      <c r="F31" s="26"/>
      <c r="G31" s="26"/>
      <c r="H31" s="26"/>
      <c r="I31" s="26"/>
      <c r="J31" s="26"/>
      <c r="K31" s="26"/>
      <c r="L31" s="26"/>
      <c r="M31" s="26"/>
      <c r="N31" s="26"/>
      <c r="O31" s="26"/>
      <c r="P31" s="26"/>
      <c r="Q31" s="26"/>
      <c r="R31" s="26"/>
      <c r="S31" s="26"/>
      <c r="T31" s="26"/>
      <c r="U31" s="26"/>
      <c r="V31" s="26"/>
      <c r="W31" s="39"/>
      <c r="X31" s="36"/>
      <c r="Y31" s="37"/>
      <c r="Z31" s="39"/>
      <c r="AA31" s="38"/>
      <c r="AB31" s="36"/>
      <c r="AC31" s="26"/>
      <c r="AD31" s="291" t="s">
        <v>551</v>
      </c>
      <c r="AE31" s="26">
        <f t="shared" si="5"/>
        <v>513.99999999999989</v>
      </c>
      <c r="AF31" s="26">
        <f t="shared" si="9"/>
        <v>513.1</v>
      </c>
      <c r="AG31" s="26"/>
      <c r="AH31" s="26"/>
      <c r="AI31" s="26"/>
      <c r="AJ31" s="26"/>
      <c r="AK31" s="26"/>
      <c r="AL31" s="26"/>
      <c r="AM31" s="26">
        <f>1275-199.7-231.2-250-80.1</f>
        <v>513.99999999999989</v>
      </c>
      <c r="AN31" s="26">
        <v>513.1</v>
      </c>
      <c r="AO31" s="26">
        <f>AP31+AQ31+AR31+AS31</f>
        <v>200</v>
      </c>
      <c r="AP31" s="26"/>
      <c r="AQ31" s="26"/>
      <c r="AR31" s="26"/>
      <c r="AS31" s="26">
        <f>300-100</f>
        <v>200</v>
      </c>
      <c r="AT31" s="26">
        <f>AU31+AV31+AW31+AX31</f>
        <v>300</v>
      </c>
      <c r="AU31" s="26"/>
      <c r="AV31" s="26"/>
      <c r="AW31" s="26"/>
      <c r="AX31" s="26">
        <v>300</v>
      </c>
      <c r="AY31" s="26">
        <f>AZ31+BA31+BB31+BC31</f>
        <v>300</v>
      </c>
      <c r="AZ31" s="26"/>
      <c r="BA31" s="26"/>
      <c r="BB31" s="26"/>
      <c r="BC31" s="26">
        <v>300</v>
      </c>
      <c r="BD31" s="26">
        <f>BE31+BF31+BG31+BH31</f>
        <v>300</v>
      </c>
      <c r="BE31" s="26"/>
      <c r="BF31" s="26"/>
      <c r="BG31" s="26"/>
      <c r="BH31" s="26">
        <v>300</v>
      </c>
    </row>
    <row r="32" spans="1:60" ht="35.65" customHeight="1" thickBot="1">
      <c r="A32" s="27" t="s">
        <v>40</v>
      </c>
      <c r="B32" s="35"/>
      <c r="C32" s="39"/>
      <c r="D32" s="36"/>
      <c r="E32" s="36"/>
      <c r="F32" s="26"/>
      <c r="G32" s="26"/>
      <c r="H32" s="26"/>
      <c r="I32" s="26"/>
      <c r="J32" s="26"/>
      <c r="K32" s="26"/>
      <c r="L32" s="26"/>
      <c r="M32" s="26"/>
      <c r="N32" s="26"/>
      <c r="O32" s="26"/>
      <c r="P32" s="26"/>
      <c r="Q32" s="26"/>
      <c r="R32" s="26"/>
      <c r="S32" s="26"/>
      <c r="T32" s="26"/>
      <c r="U32" s="26"/>
      <c r="V32" s="26"/>
      <c r="W32" s="39"/>
      <c r="X32" s="36"/>
      <c r="Y32" s="37"/>
      <c r="Z32" s="39"/>
      <c r="AA32" s="38"/>
      <c r="AB32" s="36"/>
      <c r="AC32" s="26"/>
      <c r="AD32" s="291" t="s">
        <v>552</v>
      </c>
      <c r="AE32" s="26">
        <f t="shared" si="5"/>
        <v>25</v>
      </c>
      <c r="AF32" s="26">
        <f t="shared" si="9"/>
        <v>25</v>
      </c>
      <c r="AG32" s="26"/>
      <c r="AH32" s="26"/>
      <c r="AI32" s="26"/>
      <c r="AJ32" s="26"/>
      <c r="AK32" s="26"/>
      <c r="AL32" s="26"/>
      <c r="AM32" s="26">
        <f>500-475</f>
        <v>25</v>
      </c>
      <c r="AN32" s="26">
        <v>25</v>
      </c>
      <c r="AO32" s="26">
        <f>AP32+AQ32+AR32+AS32</f>
        <v>900</v>
      </c>
      <c r="AP32" s="26"/>
      <c r="AQ32" s="26"/>
      <c r="AR32" s="26"/>
      <c r="AS32" s="26">
        <f>300+600</f>
        <v>900</v>
      </c>
      <c r="AT32" s="26">
        <f>AU32+AV32+AW32+AX32</f>
        <v>0</v>
      </c>
      <c r="AU32" s="26"/>
      <c r="AV32" s="26"/>
      <c r="AW32" s="26"/>
      <c r="AX32" s="26"/>
      <c r="AY32" s="26">
        <f>AZ32+BA32+BB32+BC32</f>
        <v>0</v>
      </c>
      <c r="AZ32" s="26"/>
      <c r="BA32" s="26"/>
      <c r="BB32" s="26"/>
      <c r="BC32" s="26"/>
      <c r="BD32" s="26">
        <f>BE32+BF32+BG32+BH32</f>
        <v>0</v>
      </c>
      <c r="BE32" s="26"/>
      <c r="BF32" s="26"/>
      <c r="BG32" s="26"/>
      <c r="BH32" s="26"/>
    </row>
    <row r="33" spans="1:60" ht="35.65" customHeight="1" thickBot="1">
      <c r="A33" s="27" t="s">
        <v>41</v>
      </c>
      <c r="B33" s="35"/>
      <c r="C33" s="39"/>
      <c r="D33" s="36"/>
      <c r="E33" s="36"/>
      <c r="F33" s="26"/>
      <c r="G33" s="26"/>
      <c r="H33" s="26"/>
      <c r="I33" s="26"/>
      <c r="J33" s="26"/>
      <c r="K33" s="26"/>
      <c r="L33" s="26"/>
      <c r="M33" s="26"/>
      <c r="N33" s="26"/>
      <c r="O33" s="26"/>
      <c r="P33" s="26"/>
      <c r="Q33" s="26"/>
      <c r="R33" s="26"/>
      <c r="S33" s="26"/>
      <c r="T33" s="26"/>
      <c r="U33" s="26"/>
      <c r="V33" s="26"/>
      <c r="W33" s="39"/>
      <c r="X33" s="36"/>
      <c r="Y33" s="37"/>
      <c r="Z33" s="39"/>
      <c r="AA33" s="38"/>
      <c r="AB33" s="36"/>
      <c r="AC33" s="26"/>
      <c r="AD33" s="291" t="s">
        <v>557</v>
      </c>
      <c r="AE33" s="26">
        <f t="shared" si="5"/>
        <v>0</v>
      </c>
      <c r="AF33" s="26">
        <f t="shared" si="9"/>
        <v>0</v>
      </c>
      <c r="AG33" s="26"/>
      <c r="AH33" s="26"/>
      <c r="AI33" s="26"/>
      <c r="AJ33" s="26"/>
      <c r="AK33" s="26"/>
      <c r="AL33" s="26"/>
      <c r="AM33" s="26"/>
      <c r="AN33" s="26"/>
      <c r="AO33" s="26">
        <f t="shared" si="6"/>
        <v>0</v>
      </c>
      <c r="AP33" s="26"/>
      <c r="AQ33" s="26"/>
      <c r="AR33" s="26"/>
      <c r="AS33" s="26">
        <f>500-500</f>
        <v>0</v>
      </c>
      <c r="AT33" s="26">
        <f t="shared" ref="AT33:AT35" si="12">AU33+AV33+AW33+AX33</f>
        <v>0</v>
      </c>
      <c r="AU33" s="26"/>
      <c r="AV33" s="26"/>
      <c r="AW33" s="26"/>
      <c r="AX33" s="26">
        <f>500-500</f>
        <v>0</v>
      </c>
      <c r="AY33" s="26">
        <f t="shared" si="8"/>
        <v>0</v>
      </c>
      <c r="AZ33" s="26"/>
      <c r="BA33" s="26"/>
      <c r="BB33" s="26"/>
      <c r="BC33" s="26">
        <f>500-500</f>
        <v>0</v>
      </c>
      <c r="BD33" s="26">
        <f t="shared" si="11"/>
        <v>0</v>
      </c>
      <c r="BE33" s="26"/>
      <c r="BF33" s="26"/>
      <c r="BG33" s="26"/>
      <c r="BH33" s="26">
        <f>500-500</f>
        <v>0</v>
      </c>
    </row>
    <row r="34" spans="1:60" ht="35.65" customHeight="1" thickBot="1">
      <c r="A34" s="27" t="s">
        <v>41</v>
      </c>
      <c r="B34" s="35"/>
      <c r="C34" s="39"/>
      <c r="D34" s="36"/>
      <c r="E34" s="36"/>
      <c r="F34" s="26"/>
      <c r="G34" s="26"/>
      <c r="H34" s="26"/>
      <c r="I34" s="26"/>
      <c r="J34" s="26"/>
      <c r="K34" s="26"/>
      <c r="L34" s="26"/>
      <c r="M34" s="26"/>
      <c r="N34" s="26"/>
      <c r="O34" s="26"/>
      <c r="P34" s="26"/>
      <c r="Q34" s="26"/>
      <c r="R34" s="26"/>
      <c r="S34" s="26"/>
      <c r="T34" s="26"/>
      <c r="U34" s="26"/>
      <c r="V34" s="26"/>
      <c r="W34" s="39"/>
      <c r="X34" s="36"/>
      <c r="Y34" s="37"/>
      <c r="Z34" s="39"/>
      <c r="AA34" s="38"/>
      <c r="AB34" s="36"/>
      <c r="AC34" s="26"/>
      <c r="AD34" s="291" t="s">
        <v>558</v>
      </c>
      <c r="AE34" s="26"/>
      <c r="AF34" s="26"/>
      <c r="AG34" s="26"/>
      <c r="AH34" s="26"/>
      <c r="AI34" s="26"/>
      <c r="AJ34" s="26"/>
      <c r="AK34" s="26"/>
      <c r="AL34" s="26"/>
      <c r="AM34" s="26"/>
      <c r="AN34" s="26"/>
      <c r="AO34" s="26">
        <f t="shared" si="6"/>
        <v>575</v>
      </c>
      <c r="AP34" s="26"/>
      <c r="AQ34" s="26"/>
      <c r="AR34" s="26"/>
      <c r="AS34" s="26">
        <f>500+75</f>
        <v>575</v>
      </c>
      <c r="AT34" s="26">
        <f t="shared" si="12"/>
        <v>500</v>
      </c>
      <c r="AU34" s="26"/>
      <c r="AV34" s="26"/>
      <c r="AW34" s="26"/>
      <c r="AX34" s="26">
        <v>500</v>
      </c>
      <c r="AY34" s="26">
        <f t="shared" si="8"/>
        <v>500</v>
      </c>
      <c r="AZ34" s="26"/>
      <c r="BA34" s="26"/>
      <c r="BB34" s="26"/>
      <c r="BC34" s="26">
        <v>500</v>
      </c>
      <c r="BD34" s="26">
        <f t="shared" si="11"/>
        <v>500</v>
      </c>
      <c r="BE34" s="26"/>
      <c r="BF34" s="26"/>
      <c r="BG34" s="26"/>
      <c r="BH34" s="26">
        <v>500</v>
      </c>
    </row>
    <row r="35" spans="1:60" ht="35.65" customHeight="1" thickBot="1">
      <c r="A35" s="27" t="s">
        <v>42</v>
      </c>
      <c r="B35" s="35"/>
      <c r="C35" s="40" t="s">
        <v>43</v>
      </c>
      <c r="D35" s="40" t="s">
        <v>44</v>
      </c>
      <c r="E35" s="40" t="s">
        <v>45</v>
      </c>
      <c r="F35" s="26"/>
      <c r="G35" s="26"/>
      <c r="H35" s="26"/>
      <c r="I35" s="26"/>
      <c r="J35" s="26"/>
      <c r="K35" s="26"/>
      <c r="L35" s="26"/>
      <c r="M35" s="26"/>
      <c r="N35" s="26"/>
      <c r="O35" s="26"/>
      <c r="P35" s="26"/>
      <c r="Q35" s="26"/>
      <c r="R35" s="26"/>
      <c r="S35" s="26"/>
      <c r="T35" s="26"/>
      <c r="U35" s="26"/>
      <c r="V35" s="26"/>
      <c r="W35" s="41" t="s">
        <v>46</v>
      </c>
      <c r="X35" s="40" t="s">
        <v>47</v>
      </c>
      <c r="Y35" s="40" t="s">
        <v>48</v>
      </c>
      <c r="Z35" s="41" t="s">
        <v>46</v>
      </c>
      <c r="AA35" s="40" t="s">
        <v>47</v>
      </c>
      <c r="AB35" s="26"/>
      <c r="AC35" s="26"/>
      <c r="AD35" s="52" t="s">
        <v>559</v>
      </c>
      <c r="AE35" s="26">
        <f>AG35+AI35+AK35+AM35</f>
        <v>7179.1</v>
      </c>
      <c r="AF35" s="26">
        <f>AH35+AJ35+AN35+KF35</f>
        <v>7179.1</v>
      </c>
      <c r="AG35" s="26"/>
      <c r="AH35" s="26"/>
      <c r="AI35" s="26">
        <v>2465.1</v>
      </c>
      <c r="AJ35" s="26">
        <v>2465.1</v>
      </c>
      <c r="AK35" s="26"/>
      <c r="AL35" s="26"/>
      <c r="AM35" s="26">
        <f>2000+197.1-2000+6982-2465.1</f>
        <v>4714</v>
      </c>
      <c r="AN35" s="26">
        <f>7179.1-2465.1</f>
        <v>4714</v>
      </c>
      <c r="AO35" s="26">
        <f t="shared" si="6"/>
        <v>5065</v>
      </c>
      <c r="AP35" s="26"/>
      <c r="AQ35" s="26"/>
      <c r="AR35" s="26"/>
      <c r="AS35" s="26">
        <f>5000+65</f>
        <v>5065</v>
      </c>
      <c r="AT35" s="26">
        <f t="shared" si="12"/>
        <v>5000</v>
      </c>
      <c r="AU35" s="26"/>
      <c r="AV35" s="26"/>
      <c r="AW35" s="26"/>
      <c r="AX35" s="26">
        <v>5000</v>
      </c>
      <c r="AY35" s="26">
        <f t="shared" si="8"/>
        <v>5000</v>
      </c>
      <c r="AZ35" s="26"/>
      <c r="BA35" s="26"/>
      <c r="BB35" s="26"/>
      <c r="BC35" s="26">
        <v>5000</v>
      </c>
      <c r="BD35" s="26">
        <f t="shared" si="11"/>
        <v>5000</v>
      </c>
      <c r="BE35" s="26"/>
      <c r="BF35" s="26"/>
      <c r="BG35" s="26"/>
      <c r="BH35" s="26">
        <v>5000</v>
      </c>
    </row>
    <row r="36" spans="1:60" ht="35.65" customHeight="1" thickBot="1">
      <c r="A36" s="31" t="s">
        <v>49</v>
      </c>
      <c r="B36" s="32">
        <v>2505</v>
      </c>
      <c r="C36" s="33"/>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v>19</v>
      </c>
      <c r="AD36" s="34"/>
      <c r="AE36" s="34">
        <f>AE37+AE38+AE39+AE40+AE41+AE42+AE43+AE44+AE45+AE46+AE47+AE48+AE49+AE50+AE52+AE53+AE54+AE51+AE55</f>
        <v>121775.8</v>
      </c>
      <c r="AF36" s="34">
        <f>AH36+AJ36+AL36+AN36</f>
        <v>121533.6</v>
      </c>
      <c r="AG36" s="34">
        <f t="shared" ref="AG36:AN36" si="13">AG37+AG38+AG39+AG40+AG41+AG42+AG43+AG44+AG45+AG46+AG47+AG48+AG49+AG50+AG52+AG53+AG54+AG51+AG55</f>
        <v>72921.700000000012</v>
      </c>
      <c r="AH36" s="34">
        <f t="shared" si="13"/>
        <v>72898.2</v>
      </c>
      <c r="AI36" s="34">
        <f t="shared" si="13"/>
        <v>20076</v>
      </c>
      <c r="AJ36" s="34">
        <f t="shared" si="13"/>
        <v>19860.2</v>
      </c>
      <c r="AK36" s="34">
        <f t="shared" si="13"/>
        <v>0</v>
      </c>
      <c r="AL36" s="34"/>
      <c r="AM36" s="34">
        <f t="shared" si="13"/>
        <v>28778.1</v>
      </c>
      <c r="AN36" s="34">
        <f t="shared" si="13"/>
        <v>28775.200000000004</v>
      </c>
      <c r="AO36" s="34">
        <f>AO37+AO38+AO39+AO40+AO41+AO42+AO43+AO44+AO45+AO46+AO47+AO48+AO49+AO50+AO52</f>
        <v>15152.2</v>
      </c>
      <c r="AP36" s="34">
        <f t="shared" ref="AP36:BH36" si="14">AP37+AP38+AP39+AP40+AP41+AP42+AP43+AP44+AP45+AP46+AP47+AP48+AP49+AP50+AP52</f>
        <v>0</v>
      </c>
      <c r="AQ36" s="34">
        <f t="shared" si="14"/>
        <v>13106</v>
      </c>
      <c r="AR36" s="34">
        <f t="shared" si="14"/>
        <v>0</v>
      </c>
      <c r="AS36" s="34">
        <f t="shared" si="14"/>
        <v>2046.2</v>
      </c>
      <c r="AT36" s="34">
        <f t="shared" si="14"/>
        <v>1900</v>
      </c>
      <c r="AU36" s="34">
        <f t="shared" si="14"/>
        <v>0</v>
      </c>
      <c r="AV36" s="34">
        <f t="shared" si="14"/>
        <v>0</v>
      </c>
      <c r="AW36" s="34">
        <f t="shared" si="14"/>
        <v>0</v>
      </c>
      <c r="AX36" s="34">
        <f t="shared" si="14"/>
        <v>1900</v>
      </c>
      <c r="AY36" s="34">
        <f t="shared" si="14"/>
        <v>1900</v>
      </c>
      <c r="AZ36" s="34">
        <f t="shared" si="14"/>
        <v>0</v>
      </c>
      <c r="BA36" s="34">
        <f t="shared" si="14"/>
        <v>0</v>
      </c>
      <c r="BB36" s="34">
        <f t="shared" si="14"/>
        <v>0</v>
      </c>
      <c r="BC36" s="34">
        <f t="shared" si="14"/>
        <v>1900</v>
      </c>
      <c r="BD36" s="34">
        <f t="shared" si="14"/>
        <v>1900</v>
      </c>
      <c r="BE36" s="34">
        <f t="shared" si="14"/>
        <v>0</v>
      </c>
      <c r="BF36" s="34">
        <f t="shared" si="14"/>
        <v>0</v>
      </c>
      <c r="BG36" s="34">
        <f t="shared" si="14"/>
        <v>0</v>
      </c>
      <c r="BH36" s="34">
        <f t="shared" si="14"/>
        <v>1900</v>
      </c>
    </row>
    <row r="37" spans="1:60" ht="35.65" customHeight="1" thickBot="1">
      <c r="A37" s="27" t="s">
        <v>50</v>
      </c>
      <c r="B37" s="42"/>
      <c r="C37" s="25"/>
      <c r="D37" s="26"/>
      <c r="E37" s="26"/>
      <c r="F37" s="26"/>
      <c r="G37" s="26"/>
      <c r="H37" s="26"/>
      <c r="I37" s="26"/>
      <c r="J37" s="26"/>
      <c r="K37" s="26"/>
      <c r="L37" s="26"/>
      <c r="M37" s="26"/>
      <c r="N37" s="26"/>
      <c r="O37" s="26"/>
      <c r="P37" s="43" t="s">
        <v>51</v>
      </c>
      <c r="Q37" s="26"/>
      <c r="R37" s="26"/>
      <c r="S37" s="26"/>
      <c r="T37" s="43" t="s">
        <v>52</v>
      </c>
      <c r="U37" s="26"/>
      <c r="V37" s="26"/>
      <c r="W37" s="375" t="s">
        <v>53</v>
      </c>
      <c r="X37" s="26"/>
      <c r="Y37" s="26"/>
      <c r="Z37" s="26"/>
      <c r="AA37" s="26"/>
      <c r="AB37" s="26"/>
      <c r="AC37" s="26"/>
      <c r="AD37" s="52" t="s">
        <v>560</v>
      </c>
      <c r="AE37" s="26">
        <f t="shared" ref="AE37:AF55" si="15">AG37+AI37+AK37+AM37</f>
        <v>16238</v>
      </c>
      <c r="AF37" s="26">
        <f>AH37+AJ37+AL37+AN37</f>
        <v>16023.4</v>
      </c>
      <c r="AG37" s="26"/>
      <c r="AH37" s="26"/>
      <c r="AI37" s="26">
        <v>16238</v>
      </c>
      <c r="AJ37" s="26">
        <v>16023.4</v>
      </c>
      <c r="AK37" s="26"/>
      <c r="AL37" s="26"/>
      <c r="AM37" s="26"/>
      <c r="AN37" s="26"/>
      <c r="AO37" s="26">
        <f>AP37+AQ37+AR37+AS37</f>
        <v>0</v>
      </c>
      <c r="AP37" s="26"/>
      <c r="AQ37" s="26"/>
      <c r="AR37" s="26"/>
      <c r="AS37" s="26"/>
      <c r="AT37" s="26">
        <f>AU37+AV37+AW37+AX37</f>
        <v>0</v>
      </c>
      <c r="AU37" s="26"/>
      <c r="AV37" s="26"/>
      <c r="AW37" s="26"/>
      <c r="AX37" s="26"/>
      <c r="AY37" s="26">
        <f>AZ37+BA37+BC37</f>
        <v>0</v>
      </c>
      <c r="AZ37" s="26"/>
      <c r="BA37" s="26"/>
      <c r="BB37" s="26"/>
      <c r="BC37" s="26"/>
      <c r="BD37" s="26">
        <f>BE37+BF37+BH37</f>
        <v>0</v>
      </c>
      <c r="BE37" s="26"/>
      <c r="BF37" s="26"/>
      <c r="BG37" s="26"/>
      <c r="BH37" s="26"/>
    </row>
    <row r="38" spans="1:60" ht="35.65" customHeight="1" thickBot="1">
      <c r="A38" s="27" t="s">
        <v>50</v>
      </c>
      <c r="B38" s="42"/>
      <c r="C38" s="25"/>
      <c r="D38" s="26"/>
      <c r="E38" s="26"/>
      <c r="F38" s="26"/>
      <c r="G38" s="26"/>
      <c r="H38" s="26"/>
      <c r="I38" s="26"/>
      <c r="J38" s="26"/>
      <c r="K38" s="26"/>
      <c r="L38" s="26"/>
      <c r="M38" s="26"/>
      <c r="N38" s="26"/>
      <c r="O38" s="26"/>
      <c r="P38" s="43"/>
      <c r="Q38" s="26"/>
      <c r="R38" s="26"/>
      <c r="S38" s="26"/>
      <c r="T38" s="43"/>
      <c r="U38" s="26"/>
      <c r="V38" s="26"/>
      <c r="W38" s="388"/>
      <c r="X38" s="26"/>
      <c r="Y38" s="26"/>
      <c r="Z38" s="26"/>
      <c r="AA38" s="26"/>
      <c r="AB38" s="26"/>
      <c r="AC38" s="26"/>
      <c r="AD38" s="52" t="s">
        <v>561</v>
      </c>
      <c r="AE38" s="26">
        <f t="shared" si="15"/>
        <v>0</v>
      </c>
      <c r="AF38" s="26">
        <f t="shared" si="15"/>
        <v>0</v>
      </c>
      <c r="AG38" s="26"/>
      <c r="AH38" s="26"/>
      <c r="AI38" s="26"/>
      <c r="AJ38" s="26"/>
      <c r="AK38" s="26"/>
      <c r="AL38" s="26"/>
      <c r="AM38" s="26"/>
      <c r="AN38" s="26"/>
      <c r="AO38" s="26">
        <f>AP38+AQ38+AR38+AS38</f>
        <v>13106</v>
      </c>
      <c r="AP38" s="26"/>
      <c r="AQ38" s="26">
        <f>13141-35</f>
        <v>13106</v>
      </c>
      <c r="AR38" s="26"/>
      <c r="AS38" s="26"/>
      <c r="AT38" s="26"/>
      <c r="AU38" s="26"/>
      <c r="AV38" s="26"/>
      <c r="AW38" s="26"/>
      <c r="AX38" s="26"/>
      <c r="AY38" s="26"/>
      <c r="AZ38" s="26"/>
      <c r="BA38" s="26"/>
      <c r="BB38" s="26"/>
      <c r="BC38" s="26"/>
      <c r="BD38" s="26"/>
      <c r="BE38" s="26"/>
      <c r="BF38" s="26"/>
      <c r="BG38" s="26"/>
      <c r="BH38" s="26"/>
    </row>
    <row r="39" spans="1:60" ht="35.65" customHeight="1" thickBot="1">
      <c r="A39" s="27" t="s">
        <v>50</v>
      </c>
      <c r="B39" s="42"/>
      <c r="C39" s="25"/>
      <c r="D39" s="26"/>
      <c r="E39" s="26"/>
      <c r="F39" s="26"/>
      <c r="G39" s="26"/>
      <c r="H39" s="26"/>
      <c r="I39" s="26"/>
      <c r="J39" s="26"/>
      <c r="K39" s="26"/>
      <c r="L39" s="26"/>
      <c r="M39" s="26"/>
      <c r="N39" s="26"/>
      <c r="O39" s="26"/>
      <c r="P39" s="43"/>
      <c r="Q39" s="26"/>
      <c r="R39" s="26"/>
      <c r="S39" s="26"/>
      <c r="T39" s="43"/>
      <c r="U39" s="26"/>
      <c r="V39" s="26"/>
      <c r="W39" s="388"/>
      <c r="X39" s="26"/>
      <c r="Y39" s="26"/>
      <c r="Z39" s="26"/>
      <c r="AA39" s="26"/>
      <c r="AB39" s="26"/>
      <c r="AC39" s="26"/>
      <c r="AD39" s="52" t="s">
        <v>562</v>
      </c>
      <c r="AE39" s="26">
        <f t="shared" si="15"/>
        <v>0</v>
      </c>
      <c r="AF39" s="26">
        <f t="shared" si="15"/>
        <v>0</v>
      </c>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row>
    <row r="40" spans="1:60" ht="35.65" customHeight="1" thickBot="1">
      <c r="A40" s="27" t="s">
        <v>50</v>
      </c>
      <c r="B40" s="42"/>
      <c r="C40" s="25"/>
      <c r="D40" s="26"/>
      <c r="E40" s="26"/>
      <c r="F40" s="26"/>
      <c r="G40" s="26"/>
      <c r="H40" s="26"/>
      <c r="I40" s="26"/>
      <c r="J40" s="26"/>
      <c r="K40" s="26"/>
      <c r="L40" s="26"/>
      <c r="M40" s="26"/>
      <c r="N40" s="26"/>
      <c r="O40" s="26"/>
      <c r="P40" s="43"/>
      <c r="Q40" s="26"/>
      <c r="R40" s="26"/>
      <c r="S40" s="26"/>
      <c r="T40" s="43"/>
      <c r="U40" s="26"/>
      <c r="V40" s="26"/>
      <c r="W40" s="388"/>
      <c r="X40" s="26"/>
      <c r="Y40" s="26"/>
      <c r="Z40" s="26"/>
      <c r="AA40" s="26"/>
      <c r="AB40" s="26"/>
      <c r="AC40" s="26"/>
      <c r="AD40" s="52" t="s">
        <v>563</v>
      </c>
      <c r="AE40" s="26">
        <f t="shared" si="15"/>
        <v>0</v>
      </c>
      <c r="AF40" s="26">
        <f t="shared" si="15"/>
        <v>0</v>
      </c>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row>
    <row r="41" spans="1:60" ht="35.65" customHeight="1" thickBot="1">
      <c r="A41" s="27" t="s">
        <v>50</v>
      </c>
      <c r="B41" s="42"/>
      <c r="C41" s="25"/>
      <c r="D41" s="26"/>
      <c r="E41" s="26"/>
      <c r="F41" s="26"/>
      <c r="G41" s="26"/>
      <c r="H41" s="26"/>
      <c r="I41" s="26"/>
      <c r="J41" s="26"/>
      <c r="K41" s="26"/>
      <c r="L41" s="26"/>
      <c r="M41" s="26"/>
      <c r="N41" s="26"/>
      <c r="O41" s="26"/>
      <c r="P41" s="43"/>
      <c r="Q41" s="26"/>
      <c r="R41" s="26"/>
      <c r="S41" s="26"/>
      <c r="T41" s="43"/>
      <c r="U41" s="26"/>
      <c r="V41" s="26"/>
      <c r="W41" s="388"/>
      <c r="X41" s="26"/>
      <c r="Y41" s="26"/>
      <c r="Z41" s="26"/>
      <c r="AA41" s="26"/>
      <c r="AB41" s="26"/>
      <c r="AC41" s="26"/>
      <c r="AD41" s="52" t="s">
        <v>564</v>
      </c>
      <c r="AE41" s="26">
        <f t="shared" si="15"/>
        <v>77535.100000000006</v>
      </c>
      <c r="AF41" s="26">
        <f t="shared" si="15"/>
        <v>77510.100000000006</v>
      </c>
      <c r="AG41" s="26">
        <f>72929.1-7.4</f>
        <v>72921.700000000012</v>
      </c>
      <c r="AH41" s="26">
        <v>72898.2</v>
      </c>
      <c r="AI41" s="26">
        <f>3838.3-0.3</f>
        <v>3838</v>
      </c>
      <c r="AJ41" s="26">
        <v>3836.8</v>
      </c>
      <c r="AK41" s="26"/>
      <c r="AL41" s="26"/>
      <c r="AM41" s="26">
        <f>767.7+7.7</f>
        <v>775.40000000000009</v>
      </c>
      <c r="AN41" s="26">
        <v>775.1</v>
      </c>
      <c r="AO41" s="26"/>
      <c r="AP41" s="26"/>
      <c r="AQ41" s="26"/>
      <c r="AR41" s="26"/>
      <c r="AS41" s="26"/>
      <c r="AT41" s="26"/>
      <c r="AU41" s="26"/>
      <c r="AV41" s="26"/>
      <c r="AW41" s="26"/>
      <c r="AX41" s="26"/>
      <c r="AY41" s="26"/>
      <c r="AZ41" s="26"/>
      <c r="BA41" s="26"/>
      <c r="BB41" s="26"/>
      <c r="BC41" s="26"/>
      <c r="BD41" s="26"/>
      <c r="BE41" s="26"/>
      <c r="BF41" s="26"/>
      <c r="BG41" s="26"/>
      <c r="BH41" s="26"/>
    </row>
    <row r="42" spans="1:60" ht="35.65" customHeight="1" thickBot="1">
      <c r="A42" s="27" t="s">
        <v>50</v>
      </c>
      <c r="B42" s="42"/>
      <c r="C42" s="25"/>
      <c r="D42" s="26"/>
      <c r="E42" s="26"/>
      <c r="F42" s="26"/>
      <c r="G42" s="26"/>
      <c r="H42" s="26"/>
      <c r="I42" s="26"/>
      <c r="J42" s="26"/>
      <c r="K42" s="26"/>
      <c r="L42" s="26"/>
      <c r="M42" s="26"/>
      <c r="N42" s="26"/>
      <c r="O42" s="26"/>
      <c r="P42" s="26"/>
      <c r="Q42" s="26"/>
      <c r="R42" s="26"/>
      <c r="S42" s="26"/>
      <c r="T42" s="26"/>
      <c r="U42" s="26"/>
      <c r="V42" s="26"/>
      <c r="W42" s="428"/>
      <c r="X42" s="26"/>
      <c r="Y42" s="26"/>
      <c r="Z42" s="26"/>
      <c r="AA42" s="26"/>
      <c r="AB42" s="26"/>
      <c r="AC42" s="26"/>
      <c r="AD42" s="52" t="s">
        <v>565</v>
      </c>
      <c r="AE42" s="26">
        <f t="shared" si="15"/>
        <v>900</v>
      </c>
      <c r="AF42" s="26">
        <f t="shared" si="15"/>
        <v>900</v>
      </c>
      <c r="AG42" s="26"/>
      <c r="AH42" s="26"/>
      <c r="AI42" s="26"/>
      <c r="AJ42" s="26"/>
      <c r="AK42" s="26"/>
      <c r="AL42" s="26"/>
      <c r="AM42" s="26">
        <v>900</v>
      </c>
      <c r="AN42" s="26">
        <v>900</v>
      </c>
      <c r="AO42" s="26">
        <f>AP42+AQ42+AR42+AS42</f>
        <v>1900</v>
      </c>
      <c r="AP42" s="26"/>
      <c r="AQ42" s="26"/>
      <c r="AR42" s="26"/>
      <c r="AS42" s="26">
        <v>1900</v>
      </c>
      <c r="AT42" s="26">
        <f>AU42+AV42+AW42+AX42</f>
        <v>1900</v>
      </c>
      <c r="AU42" s="26"/>
      <c r="AV42" s="26"/>
      <c r="AW42" s="26"/>
      <c r="AX42" s="26">
        <v>1900</v>
      </c>
      <c r="AY42" s="26">
        <f>AZ42+BA42+BC42</f>
        <v>1900</v>
      </c>
      <c r="AZ42" s="26"/>
      <c r="BA42" s="26"/>
      <c r="BB42" s="26"/>
      <c r="BC42" s="26">
        <v>1900</v>
      </c>
      <c r="BD42" s="26">
        <f>BE42+BF42+BH42</f>
        <v>1900</v>
      </c>
      <c r="BE42" s="26"/>
      <c r="BF42" s="26"/>
      <c r="BG42" s="26"/>
      <c r="BH42" s="26">
        <v>1900</v>
      </c>
    </row>
    <row r="43" spans="1:60" ht="35.65" customHeight="1" thickBot="1">
      <c r="A43" s="27" t="s">
        <v>50</v>
      </c>
      <c r="B43" s="42"/>
      <c r="C43" s="25"/>
      <c r="D43" s="26"/>
      <c r="E43" s="26"/>
      <c r="F43" s="26"/>
      <c r="G43" s="26"/>
      <c r="H43" s="26"/>
      <c r="I43" s="26"/>
      <c r="J43" s="26"/>
      <c r="K43" s="26"/>
      <c r="L43" s="26"/>
      <c r="M43" s="26"/>
      <c r="N43" s="26"/>
      <c r="O43" s="26"/>
      <c r="P43" s="26"/>
      <c r="Q43" s="26"/>
      <c r="R43" s="26"/>
      <c r="S43" s="26"/>
      <c r="T43" s="26"/>
      <c r="U43" s="26"/>
      <c r="V43" s="26"/>
      <c r="W43" s="428"/>
      <c r="X43" s="26"/>
      <c r="Y43" s="26"/>
      <c r="Z43" s="26"/>
      <c r="AA43" s="26"/>
      <c r="AB43" s="26"/>
      <c r="AC43" s="26"/>
      <c r="AD43" s="52" t="s">
        <v>566</v>
      </c>
      <c r="AE43" s="26">
        <f t="shared" si="15"/>
        <v>0</v>
      </c>
      <c r="AF43" s="26">
        <f t="shared" si="15"/>
        <v>0</v>
      </c>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row>
    <row r="44" spans="1:60" ht="35.65" customHeight="1" thickBot="1">
      <c r="A44" s="27" t="s">
        <v>50</v>
      </c>
      <c r="B44" s="42"/>
      <c r="C44" s="25"/>
      <c r="D44" s="26"/>
      <c r="E44" s="26"/>
      <c r="F44" s="26"/>
      <c r="G44" s="26"/>
      <c r="H44" s="26"/>
      <c r="I44" s="26"/>
      <c r="J44" s="26"/>
      <c r="K44" s="26"/>
      <c r="L44" s="26"/>
      <c r="M44" s="26"/>
      <c r="N44" s="26"/>
      <c r="O44" s="26"/>
      <c r="P44" s="26"/>
      <c r="Q44" s="26"/>
      <c r="R44" s="26"/>
      <c r="S44" s="26"/>
      <c r="T44" s="26"/>
      <c r="U44" s="26"/>
      <c r="V44" s="26"/>
      <c r="W44" s="428"/>
      <c r="X44" s="26"/>
      <c r="Y44" s="26"/>
      <c r="Z44" s="26"/>
      <c r="AA44" s="26"/>
      <c r="AB44" s="26"/>
      <c r="AC44" s="26"/>
      <c r="AD44" s="52" t="s">
        <v>567</v>
      </c>
      <c r="AE44" s="26">
        <f t="shared" si="15"/>
        <v>197.3</v>
      </c>
      <c r="AF44" s="26">
        <f t="shared" si="15"/>
        <v>194.7</v>
      </c>
      <c r="AG44" s="26"/>
      <c r="AH44" s="26"/>
      <c r="AI44" s="26"/>
      <c r="AJ44" s="26"/>
      <c r="AK44" s="26"/>
      <c r="AL44" s="26"/>
      <c r="AM44" s="26">
        <f>197.4-0.1</f>
        <v>197.3</v>
      </c>
      <c r="AN44" s="26">
        <v>194.7</v>
      </c>
      <c r="AO44" s="26"/>
      <c r="AP44" s="26"/>
      <c r="AQ44" s="26"/>
      <c r="AR44" s="26"/>
      <c r="AS44" s="26"/>
      <c r="AT44" s="26"/>
      <c r="AU44" s="26"/>
      <c r="AV44" s="26"/>
      <c r="AW44" s="26"/>
      <c r="AX44" s="26"/>
      <c r="AY44" s="26"/>
      <c r="AZ44" s="26"/>
      <c r="BA44" s="26"/>
      <c r="BB44" s="26"/>
      <c r="BC44" s="26"/>
      <c r="BD44" s="26"/>
      <c r="BE44" s="26"/>
      <c r="BF44" s="26"/>
      <c r="BG44" s="26"/>
      <c r="BH44" s="26"/>
    </row>
    <row r="45" spans="1:60" ht="35.65" customHeight="1" thickBot="1">
      <c r="A45" s="27" t="s">
        <v>50</v>
      </c>
      <c r="B45" s="42"/>
      <c r="C45" s="25"/>
      <c r="D45" s="26"/>
      <c r="E45" s="26"/>
      <c r="F45" s="26"/>
      <c r="G45" s="26"/>
      <c r="H45" s="26"/>
      <c r="I45" s="26"/>
      <c r="J45" s="26"/>
      <c r="K45" s="26"/>
      <c r="L45" s="26"/>
      <c r="M45" s="26"/>
      <c r="N45" s="26"/>
      <c r="O45" s="26"/>
      <c r="P45" s="44" t="s">
        <v>54</v>
      </c>
      <c r="Q45" s="45"/>
      <c r="R45" s="45"/>
      <c r="S45" s="45"/>
      <c r="T45" s="44" t="s">
        <v>55</v>
      </c>
      <c r="U45" s="45"/>
      <c r="V45" s="45"/>
      <c r="W45" s="428"/>
      <c r="X45" s="26"/>
      <c r="Y45" s="26"/>
      <c r="Z45" s="26"/>
      <c r="AA45" s="26"/>
      <c r="AB45" s="26"/>
      <c r="AC45" s="26"/>
      <c r="AD45" s="52" t="s">
        <v>568</v>
      </c>
      <c r="AE45" s="26">
        <f t="shared" si="15"/>
        <v>0</v>
      </c>
      <c r="AF45" s="26">
        <f t="shared" si="15"/>
        <v>0</v>
      </c>
      <c r="AG45" s="26"/>
      <c r="AH45" s="26"/>
      <c r="AI45" s="26"/>
      <c r="AJ45" s="26"/>
      <c r="AK45" s="26"/>
      <c r="AL45" s="26"/>
      <c r="AM45" s="26"/>
      <c r="AN45" s="26"/>
      <c r="AO45" s="26">
        <f>AP45+AQ45+AR45+AS45</f>
        <v>0</v>
      </c>
      <c r="AP45" s="26"/>
      <c r="AQ45" s="26"/>
      <c r="AR45" s="26"/>
      <c r="AS45" s="26"/>
      <c r="AT45" s="26">
        <f>AU45+AV45+AW45+AX45</f>
        <v>0</v>
      </c>
      <c r="AU45" s="26"/>
      <c r="AV45" s="26"/>
      <c r="AW45" s="26"/>
      <c r="AX45" s="26"/>
      <c r="AY45" s="26">
        <f>AZ45+BA45+BC45</f>
        <v>0</v>
      </c>
      <c r="AZ45" s="26"/>
      <c r="BA45" s="26"/>
      <c r="BB45" s="26"/>
      <c r="BC45" s="26"/>
      <c r="BD45" s="26">
        <f>BE45+BF45+BH45</f>
        <v>0</v>
      </c>
      <c r="BE45" s="26"/>
      <c r="BF45" s="26"/>
      <c r="BG45" s="26"/>
      <c r="BH45" s="26"/>
    </row>
    <row r="46" spans="1:60" ht="35.65" customHeight="1" thickBot="1">
      <c r="A46" s="27" t="s">
        <v>50</v>
      </c>
      <c r="B46" s="42"/>
      <c r="C46" s="25"/>
      <c r="D46" s="26"/>
      <c r="E46" s="26"/>
      <c r="F46" s="26"/>
      <c r="G46" s="26"/>
      <c r="H46" s="26"/>
      <c r="I46" s="26"/>
      <c r="J46" s="26"/>
      <c r="K46" s="26"/>
      <c r="L46" s="26"/>
      <c r="M46" s="26"/>
      <c r="N46" s="26"/>
      <c r="O46" s="26"/>
      <c r="P46" s="26"/>
      <c r="Q46" s="26"/>
      <c r="R46" s="26"/>
      <c r="S46" s="26"/>
      <c r="T46" s="26"/>
      <c r="U46" s="26"/>
      <c r="V46" s="26"/>
      <c r="W46" s="428"/>
      <c r="X46" s="26"/>
      <c r="Y46" s="26"/>
      <c r="Z46" s="26"/>
      <c r="AA46" s="26"/>
      <c r="AB46" s="26"/>
      <c r="AC46" s="26"/>
      <c r="AD46" s="52" t="s">
        <v>569</v>
      </c>
      <c r="AE46" s="26">
        <f t="shared" si="15"/>
        <v>0</v>
      </c>
      <c r="AF46" s="26">
        <f t="shared" si="15"/>
        <v>0</v>
      </c>
      <c r="AG46" s="26"/>
      <c r="AH46" s="26"/>
      <c r="AI46" s="26"/>
      <c r="AJ46" s="26"/>
      <c r="AK46" s="26"/>
      <c r="AL46" s="26"/>
      <c r="AM46" s="26"/>
      <c r="AN46" s="26"/>
      <c r="AO46" s="26">
        <f t="shared" ref="AO46:AO47" si="16">AP46+AQ46+AR46+AS46</f>
        <v>0</v>
      </c>
      <c r="AP46" s="26"/>
      <c r="AQ46" s="26"/>
      <c r="AR46" s="26"/>
      <c r="AS46" s="26"/>
      <c r="AT46" s="26"/>
      <c r="AU46" s="26"/>
      <c r="AV46" s="26"/>
      <c r="AW46" s="26"/>
      <c r="AX46" s="26"/>
      <c r="AY46" s="26"/>
      <c r="AZ46" s="26"/>
      <c r="BA46" s="26"/>
      <c r="BB46" s="26"/>
      <c r="BC46" s="26"/>
      <c r="BD46" s="26"/>
      <c r="BE46" s="26"/>
      <c r="BF46" s="26"/>
      <c r="BG46" s="26"/>
      <c r="BH46" s="26"/>
    </row>
    <row r="47" spans="1:60" ht="35.65" customHeight="1" thickBot="1">
      <c r="A47" s="27" t="s">
        <v>50</v>
      </c>
      <c r="B47" s="42"/>
      <c r="C47" s="25"/>
      <c r="D47" s="26"/>
      <c r="E47" s="26"/>
      <c r="F47" s="26"/>
      <c r="G47" s="26"/>
      <c r="H47" s="26"/>
      <c r="I47" s="26"/>
      <c r="J47" s="26"/>
      <c r="K47" s="26"/>
      <c r="L47" s="26"/>
      <c r="M47" s="26"/>
      <c r="N47" s="26"/>
      <c r="O47" s="26"/>
      <c r="P47" s="26"/>
      <c r="Q47" s="26"/>
      <c r="R47" s="26"/>
      <c r="S47" s="26"/>
      <c r="T47" s="26"/>
      <c r="U47" s="26"/>
      <c r="V47" s="26"/>
      <c r="W47" s="428"/>
      <c r="X47" s="26"/>
      <c r="Y47" s="26"/>
      <c r="Z47" s="26"/>
      <c r="AA47" s="26"/>
      <c r="AB47" s="26"/>
      <c r="AC47" s="26"/>
      <c r="AD47" s="52" t="s">
        <v>570</v>
      </c>
      <c r="AE47" s="26">
        <f t="shared" si="15"/>
        <v>0</v>
      </c>
      <c r="AF47" s="26">
        <f t="shared" si="15"/>
        <v>0</v>
      </c>
      <c r="AG47" s="26"/>
      <c r="AH47" s="26"/>
      <c r="AI47" s="26"/>
      <c r="AJ47" s="26"/>
      <c r="AK47" s="26"/>
      <c r="AL47" s="26"/>
      <c r="AM47" s="26"/>
      <c r="AN47" s="26"/>
      <c r="AO47" s="26">
        <f t="shared" si="16"/>
        <v>146.19999999999999</v>
      </c>
      <c r="AP47" s="26"/>
      <c r="AQ47" s="26"/>
      <c r="AR47" s="26"/>
      <c r="AS47" s="26">
        <v>146.19999999999999</v>
      </c>
      <c r="AT47" s="26"/>
      <c r="AU47" s="26"/>
      <c r="AV47" s="26"/>
      <c r="AW47" s="26"/>
      <c r="AX47" s="26"/>
      <c r="AY47" s="26"/>
      <c r="AZ47" s="26"/>
      <c r="BA47" s="26"/>
      <c r="BB47" s="26"/>
      <c r="BC47" s="26"/>
      <c r="BD47" s="26"/>
      <c r="BE47" s="26"/>
      <c r="BF47" s="26"/>
      <c r="BG47" s="26"/>
      <c r="BH47" s="26"/>
    </row>
    <row r="48" spans="1:60" ht="35.65" customHeight="1" thickBot="1">
      <c r="A48" s="27" t="s">
        <v>50</v>
      </c>
      <c r="B48" s="42"/>
      <c r="C48" s="25"/>
      <c r="D48" s="26"/>
      <c r="E48" s="26"/>
      <c r="F48" s="26"/>
      <c r="G48" s="26"/>
      <c r="H48" s="26"/>
      <c r="I48" s="26"/>
      <c r="J48" s="26"/>
      <c r="K48" s="26"/>
      <c r="L48" s="26"/>
      <c r="M48" s="26"/>
      <c r="N48" s="26"/>
      <c r="O48" s="26"/>
      <c r="P48" s="26"/>
      <c r="Q48" s="26"/>
      <c r="R48" s="26"/>
      <c r="S48" s="26"/>
      <c r="T48" s="26"/>
      <c r="U48" s="26"/>
      <c r="V48" s="26"/>
      <c r="W48" s="428"/>
      <c r="X48" s="26"/>
      <c r="Y48" s="26"/>
      <c r="Z48" s="26"/>
      <c r="AA48" s="26"/>
      <c r="AB48" s="26"/>
      <c r="AC48" s="26"/>
      <c r="AD48" s="52" t="s">
        <v>571</v>
      </c>
      <c r="AE48" s="26">
        <f t="shared" si="15"/>
        <v>0</v>
      </c>
      <c r="AF48" s="26">
        <f t="shared" si="15"/>
        <v>0</v>
      </c>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row>
    <row r="49" spans="1:60" ht="35.65" customHeight="1" thickBot="1">
      <c r="A49" s="27" t="s">
        <v>50</v>
      </c>
      <c r="B49" s="42"/>
      <c r="C49" s="25"/>
      <c r="D49" s="26"/>
      <c r="E49" s="26"/>
      <c r="F49" s="26"/>
      <c r="G49" s="26"/>
      <c r="H49" s="26"/>
      <c r="I49" s="26"/>
      <c r="J49" s="26"/>
      <c r="K49" s="26"/>
      <c r="L49" s="26"/>
      <c r="M49" s="26"/>
      <c r="N49" s="26"/>
      <c r="O49" s="26"/>
      <c r="P49" s="26"/>
      <c r="Q49" s="26"/>
      <c r="R49" s="26"/>
      <c r="S49" s="26"/>
      <c r="T49" s="26"/>
      <c r="U49" s="26"/>
      <c r="V49" s="26"/>
      <c r="W49" s="428"/>
      <c r="X49" s="26"/>
      <c r="Y49" s="26"/>
      <c r="Z49" s="26"/>
      <c r="AA49" s="26"/>
      <c r="AB49" s="26"/>
      <c r="AC49" s="26"/>
      <c r="AD49" s="52" t="s">
        <v>572</v>
      </c>
      <c r="AE49" s="26">
        <f t="shared" si="15"/>
        <v>0</v>
      </c>
      <c r="AF49" s="26">
        <f t="shared" si="15"/>
        <v>0</v>
      </c>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row>
    <row r="50" spans="1:60" ht="35.65" customHeight="1" thickBot="1">
      <c r="A50" s="27" t="s">
        <v>50</v>
      </c>
      <c r="B50" s="42"/>
      <c r="C50" s="25"/>
      <c r="D50" s="26"/>
      <c r="E50" s="26"/>
      <c r="F50" s="26"/>
      <c r="G50" s="26"/>
      <c r="H50" s="26"/>
      <c r="I50" s="26"/>
      <c r="J50" s="26"/>
      <c r="K50" s="26"/>
      <c r="L50" s="26"/>
      <c r="M50" s="26"/>
      <c r="N50" s="26"/>
      <c r="O50" s="26"/>
      <c r="P50" s="26"/>
      <c r="Q50" s="26"/>
      <c r="R50" s="26"/>
      <c r="S50" s="26"/>
      <c r="T50" s="26"/>
      <c r="U50" s="26"/>
      <c r="V50" s="26"/>
      <c r="W50" s="428"/>
      <c r="X50" s="26"/>
      <c r="Y50" s="26"/>
      <c r="Z50" s="26"/>
      <c r="AA50" s="26"/>
      <c r="AB50" s="26"/>
      <c r="AC50" s="26"/>
      <c r="AD50" s="52" t="s">
        <v>573</v>
      </c>
      <c r="AE50" s="26">
        <f t="shared" si="15"/>
        <v>0</v>
      </c>
      <c r="AF50" s="26">
        <f t="shared" si="15"/>
        <v>0</v>
      </c>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row>
    <row r="51" spans="1:60" ht="35.65" customHeight="1" thickBot="1">
      <c r="A51" s="27" t="s">
        <v>50</v>
      </c>
      <c r="B51" s="42"/>
      <c r="C51" s="25"/>
      <c r="D51" s="26"/>
      <c r="E51" s="26"/>
      <c r="F51" s="26"/>
      <c r="G51" s="26"/>
      <c r="H51" s="26"/>
      <c r="I51" s="26"/>
      <c r="J51" s="26"/>
      <c r="K51" s="26"/>
      <c r="L51" s="26"/>
      <c r="M51" s="26"/>
      <c r="N51" s="26"/>
      <c r="O51" s="26"/>
      <c r="P51" s="46"/>
      <c r="Q51" s="46"/>
      <c r="R51" s="46"/>
      <c r="S51" s="46"/>
      <c r="T51" s="46"/>
      <c r="U51" s="46"/>
      <c r="V51" s="46"/>
      <c r="W51" s="428"/>
      <c r="X51" s="26"/>
      <c r="Y51" s="26"/>
      <c r="Z51" s="26"/>
      <c r="AA51" s="26"/>
      <c r="AB51" s="26"/>
      <c r="AC51" s="26"/>
      <c r="AD51" s="52" t="s">
        <v>574</v>
      </c>
      <c r="AE51" s="26">
        <f t="shared" si="15"/>
        <v>9412.6</v>
      </c>
      <c r="AF51" s="26">
        <f t="shared" si="15"/>
        <v>9412.6</v>
      </c>
      <c r="AG51" s="26"/>
      <c r="AH51" s="26"/>
      <c r="AI51" s="26"/>
      <c r="AJ51" s="26"/>
      <c r="AK51" s="26"/>
      <c r="AL51" s="26"/>
      <c r="AM51" s="26">
        <v>9412.6</v>
      </c>
      <c r="AN51" s="26">
        <v>9412.6</v>
      </c>
      <c r="AO51" s="26"/>
      <c r="AP51" s="26"/>
      <c r="AQ51" s="26"/>
      <c r="AR51" s="26"/>
      <c r="AS51" s="26"/>
      <c r="AT51" s="26"/>
      <c r="AU51" s="26"/>
      <c r="AV51" s="26"/>
      <c r="AW51" s="26"/>
      <c r="AX51" s="26"/>
      <c r="AY51" s="26"/>
      <c r="AZ51" s="26"/>
      <c r="BA51" s="26"/>
      <c r="BB51" s="26"/>
      <c r="BC51" s="26"/>
      <c r="BD51" s="26"/>
      <c r="BE51" s="26"/>
      <c r="BF51" s="26"/>
      <c r="BG51" s="26"/>
      <c r="BH51" s="26"/>
    </row>
    <row r="52" spans="1:60" ht="35.65" customHeight="1" thickBot="1">
      <c r="A52" s="27" t="s">
        <v>50</v>
      </c>
      <c r="B52" s="42"/>
      <c r="C52" s="25"/>
      <c r="D52" s="26"/>
      <c r="E52" s="26"/>
      <c r="F52" s="26"/>
      <c r="G52" s="26"/>
      <c r="H52" s="26"/>
      <c r="I52" s="26"/>
      <c r="J52" s="26"/>
      <c r="K52" s="26"/>
      <c r="L52" s="26"/>
      <c r="M52" s="26"/>
      <c r="N52" s="26"/>
      <c r="O52" s="26"/>
      <c r="P52" s="47" t="s">
        <v>54</v>
      </c>
      <c r="Q52" s="48"/>
      <c r="R52" s="48"/>
      <c r="S52" s="48"/>
      <c r="T52" s="47" t="s">
        <v>56</v>
      </c>
      <c r="U52" s="48"/>
      <c r="V52" s="48"/>
      <c r="W52" s="411"/>
      <c r="X52" s="26"/>
      <c r="Y52" s="26"/>
      <c r="Z52" s="26"/>
      <c r="AA52" s="26"/>
      <c r="AB52" s="26"/>
      <c r="AC52" s="26"/>
      <c r="AD52" s="52" t="s">
        <v>575</v>
      </c>
      <c r="AE52" s="26">
        <f t="shared" si="15"/>
        <v>0</v>
      </c>
      <c r="AF52" s="26">
        <f t="shared" si="15"/>
        <v>0</v>
      </c>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row>
    <row r="53" spans="1:60" ht="35.65" customHeight="1" thickBot="1">
      <c r="A53" s="27" t="s">
        <v>57</v>
      </c>
      <c r="B53" s="42"/>
      <c r="C53" s="25"/>
      <c r="D53" s="26"/>
      <c r="E53" s="26"/>
      <c r="F53" s="26"/>
      <c r="G53" s="26"/>
      <c r="H53" s="26"/>
      <c r="I53" s="26"/>
      <c r="J53" s="26"/>
      <c r="K53" s="26"/>
      <c r="L53" s="26"/>
      <c r="M53" s="26"/>
      <c r="N53" s="26"/>
      <c r="O53" s="26"/>
      <c r="P53" s="49"/>
      <c r="Q53" s="50"/>
      <c r="R53" s="50"/>
      <c r="S53" s="50"/>
      <c r="T53" s="49"/>
      <c r="U53" s="50"/>
      <c r="V53" s="50"/>
      <c r="W53" s="51"/>
      <c r="X53" s="26"/>
      <c r="Y53" s="26"/>
      <c r="Z53" s="26"/>
      <c r="AA53" s="26"/>
      <c r="AB53" s="26"/>
      <c r="AC53" s="26"/>
      <c r="AD53" s="52" t="s">
        <v>576</v>
      </c>
      <c r="AE53" s="26">
        <f t="shared" si="15"/>
        <v>15753.9</v>
      </c>
      <c r="AF53" s="26">
        <f t="shared" si="15"/>
        <v>15753.9</v>
      </c>
      <c r="AG53" s="26"/>
      <c r="AH53" s="26"/>
      <c r="AI53" s="26"/>
      <c r="AJ53" s="26"/>
      <c r="AK53" s="26"/>
      <c r="AL53" s="26"/>
      <c r="AM53" s="26">
        <v>15753.9</v>
      </c>
      <c r="AN53" s="26">
        <v>15753.9</v>
      </c>
      <c r="AO53" s="26"/>
      <c r="AP53" s="26"/>
      <c r="AQ53" s="26"/>
      <c r="AR53" s="26"/>
      <c r="AS53" s="26"/>
      <c r="AT53" s="26"/>
      <c r="AU53" s="26"/>
      <c r="AV53" s="26"/>
      <c r="AW53" s="26"/>
      <c r="AX53" s="26"/>
      <c r="AY53" s="26"/>
      <c r="AZ53" s="26"/>
      <c r="BA53" s="26"/>
      <c r="BB53" s="26"/>
      <c r="BC53" s="26"/>
      <c r="BD53" s="26"/>
      <c r="BE53" s="26"/>
      <c r="BF53" s="26"/>
      <c r="BG53" s="26"/>
      <c r="BH53" s="26"/>
    </row>
    <row r="54" spans="1:60" ht="35.65" customHeight="1" thickBot="1">
      <c r="A54" s="27" t="s">
        <v>58</v>
      </c>
      <c r="B54" s="42"/>
      <c r="C54" s="25"/>
      <c r="D54" s="26"/>
      <c r="E54" s="26"/>
      <c r="F54" s="26"/>
      <c r="G54" s="26"/>
      <c r="H54" s="26"/>
      <c r="I54" s="26"/>
      <c r="J54" s="26"/>
      <c r="K54" s="26"/>
      <c r="L54" s="26"/>
      <c r="M54" s="26"/>
      <c r="N54" s="26"/>
      <c r="O54" s="26"/>
      <c r="P54" s="49"/>
      <c r="Q54" s="50"/>
      <c r="R54" s="50"/>
      <c r="S54" s="50"/>
      <c r="T54" s="49"/>
      <c r="U54" s="50"/>
      <c r="V54" s="50"/>
      <c r="W54" s="51"/>
      <c r="X54" s="26"/>
      <c r="Y54" s="26"/>
      <c r="Z54" s="26"/>
      <c r="AA54" s="26"/>
      <c r="AB54" s="26"/>
      <c r="AC54" s="26"/>
      <c r="AD54" s="52" t="s">
        <v>577</v>
      </c>
      <c r="AE54" s="26">
        <f t="shared" si="15"/>
        <v>1650.4</v>
      </c>
      <c r="AF54" s="26">
        <f t="shared" si="15"/>
        <v>1650.4</v>
      </c>
      <c r="AG54" s="26"/>
      <c r="AH54" s="26"/>
      <c r="AI54" s="26"/>
      <c r="AJ54" s="26"/>
      <c r="AK54" s="26"/>
      <c r="AL54" s="26"/>
      <c r="AM54" s="26">
        <f>1650.5-0.1</f>
        <v>1650.4</v>
      </c>
      <c r="AN54" s="26">
        <v>1650.4</v>
      </c>
      <c r="AO54" s="26"/>
      <c r="AP54" s="26"/>
      <c r="AQ54" s="26"/>
      <c r="AR54" s="26"/>
      <c r="AS54" s="26"/>
      <c r="AT54" s="26"/>
      <c r="AU54" s="26"/>
      <c r="AV54" s="26"/>
      <c r="AW54" s="26"/>
      <c r="AX54" s="26"/>
      <c r="AY54" s="26"/>
      <c r="AZ54" s="26"/>
      <c r="BA54" s="26"/>
      <c r="BB54" s="26"/>
      <c r="BC54" s="26"/>
      <c r="BD54" s="26"/>
      <c r="BE54" s="26"/>
      <c r="BF54" s="26"/>
      <c r="BG54" s="26"/>
      <c r="BH54" s="26"/>
    </row>
    <row r="55" spans="1:60" ht="35.65" customHeight="1" thickBot="1">
      <c r="A55" s="27" t="s">
        <v>58</v>
      </c>
      <c r="B55" s="42"/>
      <c r="C55" s="25"/>
      <c r="D55" s="26"/>
      <c r="E55" s="26"/>
      <c r="F55" s="26"/>
      <c r="G55" s="26"/>
      <c r="H55" s="26"/>
      <c r="I55" s="26"/>
      <c r="J55" s="26"/>
      <c r="K55" s="26"/>
      <c r="L55" s="26"/>
      <c r="M55" s="26"/>
      <c r="N55" s="26"/>
      <c r="O55" s="26"/>
      <c r="P55" s="49"/>
      <c r="Q55" s="50"/>
      <c r="R55" s="50"/>
      <c r="S55" s="50"/>
      <c r="T55" s="49"/>
      <c r="U55" s="50"/>
      <c r="V55" s="50"/>
      <c r="W55" s="51"/>
      <c r="X55" s="26"/>
      <c r="Y55" s="26"/>
      <c r="Z55" s="26"/>
      <c r="AA55" s="26"/>
      <c r="AB55" s="26"/>
      <c r="AC55" s="26"/>
      <c r="AD55" s="52" t="s">
        <v>578</v>
      </c>
      <c r="AE55" s="26">
        <f t="shared" si="15"/>
        <v>88.5</v>
      </c>
      <c r="AF55" s="26">
        <f t="shared" si="15"/>
        <v>88.5</v>
      </c>
      <c r="AG55" s="26"/>
      <c r="AH55" s="26"/>
      <c r="AI55" s="26"/>
      <c r="AJ55" s="26"/>
      <c r="AK55" s="26"/>
      <c r="AL55" s="26"/>
      <c r="AM55" s="26">
        <v>88.5</v>
      </c>
      <c r="AN55" s="26">
        <v>88.5</v>
      </c>
      <c r="AO55" s="26"/>
      <c r="AP55" s="26"/>
      <c r="AQ55" s="26"/>
      <c r="AR55" s="26"/>
      <c r="AS55" s="26"/>
      <c r="AT55" s="26"/>
      <c r="AU55" s="26"/>
      <c r="AV55" s="26"/>
      <c r="AW55" s="26"/>
      <c r="AX55" s="26"/>
      <c r="AY55" s="26"/>
      <c r="AZ55" s="26"/>
      <c r="BA55" s="26"/>
      <c r="BB55" s="26"/>
      <c r="BC55" s="26"/>
      <c r="BD55" s="26"/>
      <c r="BE55" s="26"/>
      <c r="BF55" s="26"/>
      <c r="BG55" s="26"/>
      <c r="BH55" s="26"/>
    </row>
    <row r="56" spans="1:60" ht="35.65" customHeight="1" thickBot="1">
      <c r="A56" s="31" t="s">
        <v>59</v>
      </c>
      <c r="B56" s="32">
        <v>2507</v>
      </c>
      <c r="C56" s="33"/>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v>3</v>
      </c>
      <c r="AD56" s="34"/>
      <c r="AE56" s="118">
        <f t="shared" ref="AE56:AN56" si="17">AE59+AE60+AE61+AE64+AE65+AE67+AE72+AE73+AE74+AE77+AE78+AE81+AE83+AE84+AE85+AE86+AE87+AE88+AE89+AE63+AE66+AE79+AE75+AE57+AE58+AE62+AE70+AE71+AE80+AE82+AE90+AE91+AE76</f>
        <v>148903.59999999998</v>
      </c>
      <c r="AF56" s="118">
        <f t="shared" si="17"/>
        <v>146504.59999999998</v>
      </c>
      <c r="AG56" s="118">
        <f t="shared" si="17"/>
        <v>0</v>
      </c>
      <c r="AH56" s="118">
        <f t="shared" si="17"/>
        <v>0</v>
      </c>
      <c r="AI56" s="118">
        <f t="shared" si="17"/>
        <v>115783.5</v>
      </c>
      <c r="AJ56" s="118">
        <f t="shared" si="17"/>
        <v>113633</v>
      </c>
      <c r="AK56" s="118">
        <f t="shared" si="17"/>
        <v>0</v>
      </c>
      <c r="AL56" s="118">
        <f t="shared" si="17"/>
        <v>0</v>
      </c>
      <c r="AM56" s="118">
        <f t="shared" si="17"/>
        <v>33120.1</v>
      </c>
      <c r="AN56" s="118">
        <f t="shared" si="17"/>
        <v>32871.599999999999</v>
      </c>
      <c r="AO56" s="118">
        <f>AO59+AO60+AO61+AO64+AO65+AO67+AO72+AO73+AO74+AO77+AO78+AO81+AO83+AO84+AO85+AO86+AO87+AO88+AO89+AO63+AO66+AO79+AO75+AO57+AO58+AO62+AO70+AO71+AO80+AO82+AO90+AO91+AO76+AO69+AO68</f>
        <v>177000.1</v>
      </c>
      <c r="AP56" s="118">
        <f t="shared" ref="AP56:AS56" si="18">AP59+AP60+AP61+AP64+AP65+AP67+AP72+AP73+AP74+AP77+AP78+AP81+AP83+AP84+AP85+AP86+AP87+AP88+AP89+AP63+AP66+AP79+AP75+AP57+AP58+AP62+AP70+AP71+AP80+AP82+AP90+AP91+AP76+AP69+AP68</f>
        <v>0</v>
      </c>
      <c r="AQ56" s="118">
        <f t="shared" si="18"/>
        <v>142242.6</v>
      </c>
      <c r="AR56" s="118">
        <f t="shared" si="18"/>
        <v>0</v>
      </c>
      <c r="AS56" s="118">
        <f t="shared" si="18"/>
        <v>34757.5</v>
      </c>
      <c r="AT56" s="118">
        <f t="shared" ref="AT56:BH56" si="19">AT59+AT60+AT61+AT64+AT65+AT67+AT72+AT73+AT74+AT77+AT78+AT81+AT83+AT84+AT85+AT86+AT87+AT88+AT89+AT63+AT66+AT79+AT75+AT57+AT58+AT62+AT70+AT71+AT80+AT82+AT90+AT91+AT76</f>
        <v>33156.5</v>
      </c>
      <c r="AU56" s="118">
        <f t="shared" si="19"/>
        <v>0</v>
      </c>
      <c r="AV56" s="118">
        <f t="shared" si="19"/>
        <v>0</v>
      </c>
      <c r="AW56" s="118">
        <f t="shared" si="19"/>
        <v>0</v>
      </c>
      <c r="AX56" s="118">
        <f t="shared" si="19"/>
        <v>33156.5</v>
      </c>
      <c r="AY56" s="118">
        <f t="shared" si="19"/>
        <v>33380.1</v>
      </c>
      <c r="AZ56" s="118">
        <f t="shared" si="19"/>
        <v>0</v>
      </c>
      <c r="BA56" s="118">
        <f t="shared" si="19"/>
        <v>0</v>
      </c>
      <c r="BB56" s="118">
        <f t="shared" si="19"/>
        <v>0</v>
      </c>
      <c r="BC56" s="118">
        <f t="shared" si="19"/>
        <v>33380.1</v>
      </c>
      <c r="BD56" s="118">
        <f t="shared" si="19"/>
        <v>33380.1</v>
      </c>
      <c r="BE56" s="118">
        <f t="shared" si="19"/>
        <v>0</v>
      </c>
      <c r="BF56" s="118">
        <f t="shared" si="19"/>
        <v>0</v>
      </c>
      <c r="BG56" s="118">
        <f t="shared" si="19"/>
        <v>0</v>
      </c>
      <c r="BH56" s="118">
        <f t="shared" si="19"/>
        <v>33380.1</v>
      </c>
    </row>
    <row r="57" spans="1:60" ht="35.65" customHeight="1" thickBot="1">
      <c r="A57" s="27" t="s">
        <v>58</v>
      </c>
      <c r="B57" s="42"/>
      <c r="C57" s="25"/>
      <c r="D57" s="26"/>
      <c r="E57" s="26"/>
      <c r="F57" s="26"/>
      <c r="G57" s="26"/>
      <c r="H57" s="26"/>
      <c r="I57" s="26"/>
      <c r="J57" s="26"/>
      <c r="K57" s="26"/>
      <c r="L57" s="26"/>
      <c r="M57" s="26"/>
      <c r="N57" s="26"/>
      <c r="O57" s="26"/>
      <c r="P57" s="52" t="s">
        <v>60</v>
      </c>
      <c r="Q57" s="26"/>
      <c r="R57" s="26"/>
      <c r="S57" s="26"/>
      <c r="T57" s="52" t="s">
        <v>61</v>
      </c>
      <c r="U57" s="26"/>
      <c r="V57" s="26"/>
      <c r="W57" s="53" t="s">
        <v>62</v>
      </c>
      <c r="X57" s="26"/>
      <c r="Y57" s="26"/>
      <c r="Z57" s="26"/>
      <c r="AA57" s="26"/>
      <c r="AB57" s="26"/>
      <c r="AC57" s="26"/>
      <c r="AD57" s="52" t="s">
        <v>579</v>
      </c>
      <c r="AE57" s="96">
        <f t="shared" ref="AE57:AF91" si="20">AG57+AI57+AK57+AM57</f>
        <v>70000</v>
      </c>
      <c r="AF57" s="96">
        <f>AH57+AJ57+AL57+AN57</f>
        <v>67943.7</v>
      </c>
      <c r="AG57" s="96"/>
      <c r="AH57" s="96"/>
      <c r="AI57" s="96">
        <v>70000</v>
      </c>
      <c r="AJ57" s="96">
        <v>67943.7</v>
      </c>
      <c r="AK57" s="96"/>
      <c r="AL57" s="96"/>
      <c r="AM57" s="96"/>
      <c r="AN57" s="96"/>
      <c r="AO57" s="96">
        <f>AP57+AQ57+AR57+AS57</f>
        <v>108400</v>
      </c>
      <c r="AP57" s="96"/>
      <c r="AQ57" s="96">
        <f>48400+60000</f>
        <v>108400</v>
      </c>
      <c r="AR57" s="96"/>
      <c r="AS57" s="96"/>
      <c r="AT57" s="96">
        <f>AU57+AV57+AW57+AX57</f>
        <v>0</v>
      </c>
      <c r="AU57" s="96"/>
      <c r="AV57" s="96"/>
      <c r="AW57" s="96"/>
      <c r="AX57" s="96"/>
      <c r="AY57" s="96">
        <f>AZ57+BA57+BB57+BC57</f>
        <v>0</v>
      </c>
      <c r="AZ57" s="96"/>
      <c r="BA57" s="96"/>
      <c r="BB57" s="96"/>
      <c r="BC57" s="96"/>
      <c r="BD57" s="96">
        <f>BE57+BF57+BG57+BH57</f>
        <v>0</v>
      </c>
      <c r="BE57" s="96"/>
      <c r="BF57" s="96"/>
      <c r="BG57" s="96"/>
      <c r="BH57" s="96"/>
    </row>
    <row r="58" spans="1:60" ht="35.65" customHeight="1" thickBot="1">
      <c r="A58" s="27" t="s">
        <v>58</v>
      </c>
      <c r="B58" s="35"/>
      <c r="C58" s="39"/>
      <c r="D58" s="36"/>
      <c r="E58" s="36"/>
      <c r="F58" s="26"/>
      <c r="G58" s="26"/>
      <c r="H58" s="26"/>
      <c r="I58" s="26"/>
      <c r="J58" s="26"/>
      <c r="K58" s="26"/>
      <c r="L58" s="26"/>
      <c r="M58" s="26"/>
      <c r="N58" s="26"/>
      <c r="O58" s="26"/>
      <c r="P58" s="52" t="s">
        <v>63</v>
      </c>
      <c r="Q58" s="26"/>
      <c r="R58" s="26"/>
      <c r="S58" s="26"/>
      <c r="T58" s="52" t="s">
        <v>61</v>
      </c>
      <c r="U58" s="26"/>
      <c r="V58" s="26"/>
      <c r="W58" s="39" t="s">
        <v>62</v>
      </c>
      <c r="X58" s="36"/>
      <c r="Y58" s="37"/>
      <c r="Z58" s="39"/>
      <c r="AA58" s="38"/>
      <c r="AB58" s="36"/>
      <c r="AC58" s="26"/>
      <c r="AD58" s="291" t="s">
        <v>580</v>
      </c>
      <c r="AE58" s="96">
        <f t="shared" si="20"/>
        <v>142.9</v>
      </c>
      <c r="AF58" s="96">
        <f t="shared" si="20"/>
        <v>138.69999999999999</v>
      </c>
      <c r="AG58" s="26"/>
      <c r="AH58" s="26"/>
      <c r="AI58" s="26"/>
      <c r="AJ58" s="26"/>
      <c r="AK58" s="26"/>
      <c r="AL58" s="26"/>
      <c r="AM58" s="26">
        <v>142.9</v>
      </c>
      <c r="AN58" s="26">
        <v>138.69999999999999</v>
      </c>
      <c r="AO58" s="96">
        <f t="shared" ref="AO58:AO91" si="21">AP58+AQ58+AR58+AS58</f>
        <v>230.29999999999998</v>
      </c>
      <c r="AP58" s="26"/>
      <c r="AQ58" s="26"/>
      <c r="AR58" s="26"/>
      <c r="AS58" s="26">
        <f>100.1+130.2</f>
        <v>230.29999999999998</v>
      </c>
      <c r="AT58" s="96">
        <f t="shared" ref="AT58:AT75" si="22">AU58+AV58+AW58+AX58</f>
        <v>0</v>
      </c>
      <c r="AU58" s="26"/>
      <c r="AV58" s="26"/>
      <c r="AW58" s="26"/>
      <c r="AX58" s="26"/>
      <c r="AY58" s="96">
        <f t="shared" ref="AY58:AY91" si="23">AZ58+BA58+BB58+BC58</f>
        <v>0</v>
      </c>
      <c r="AZ58" s="26"/>
      <c r="BA58" s="26"/>
      <c r="BB58" s="26"/>
      <c r="BC58" s="26"/>
      <c r="BD58" s="96">
        <f t="shared" ref="BD58:BD91" si="24">BE58+BF58+BG58+BH58</f>
        <v>0</v>
      </c>
      <c r="BE58" s="26"/>
      <c r="BF58" s="26"/>
      <c r="BG58" s="26"/>
      <c r="BH58" s="26"/>
    </row>
    <row r="59" spans="1:60" ht="35.65" customHeight="1" thickBot="1">
      <c r="A59" s="27" t="s">
        <v>50</v>
      </c>
      <c r="B59" s="42"/>
      <c r="C59" s="25"/>
      <c r="D59" s="26"/>
      <c r="E59" s="26"/>
      <c r="F59" s="26"/>
      <c r="G59" s="26"/>
      <c r="H59" s="26"/>
      <c r="I59" s="26"/>
      <c r="J59" s="26"/>
      <c r="K59" s="26"/>
      <c r="L59" s="26"/>
      <c r="M59" s="26"/>
      <c r="N59" s="26"/>
      <c r="O59" s="26"/>
      <c r="P59" s="43" t="s">
        <v>54</v>
      </c>
      <c r="Q59" s="26"/>
      <c r="R59" s="26"/>
      <c r="S59" s="26"/>
      <c r="T59" s="43" t="s">
        <v>55</v>
      </c>
      <c r="U59" s="26"/>
      <c r="V59" s="26"/>
      <c r="W59" s="43" t="s">
        <v>64</v>
      </c>
      <c r="X59" s="26"/>
      <c r="Y59" s="26"/>
      <c r="Z59" s="26"/>
      <c r="AA59" s="26"/>
      <c r="AB59" s="26"/>
      <c r="AC59" s="26"/>
      <c r="AD59" s="52" t="s">
        <v>581</v>
      </c>
      <c r="AE59" s="96">
        <f t="shared" si="20"/>
        <v>0</v>
      </c>
      <c r="AF59" s="96">
        <f t="shared" si="20"/>
        <v>0</v>
      </c>
      <c r="AG59" s="26"/>
      <c r="AH59" s="26"/>
      <c r="AI59" s="26"/>
      <c r="AJ59" s="26"/>
      <c r="AK59" s="26"/>
      <c r="AL59" s="26"/>
      <c r="AM59" s="26"/>
      <c r="AN59" s="26"/>
      <c r="AO59" s="96">
        <f t="shared" si="21"/>
        <v>0</v>
      </c>
      <c r="AP59" s="26"/>
      <c r="AQ59" s="26"/>
      <c r="AR59" s="26"/>
      <c r="AS59" s="26"/>
      <c r="AT59" s="96">
        <f t="shared" si="22"/>
        <v>0</v>
      </c>
      <c r="AU59" s="26"/>
      <c r="AV59" s="26"/>
      <c r="AW59" s="26"/>
      <c r="AX59" s="26"/>
      <c r="AY59" s="96">
        <f t="shared" si="23"/>
        <v>0</v>
      </c>
      <c r="AZ59" s="26"/>
      <c r="BA59" s="26"/>
      <c r="BB59" s="26"/>
      <c r="BC59" s="26"/>
      <c r="BD59" s="96">
        <f t="shared" si="24"/>
        <v>0</v>
      </c>
      <c r="BE59" s="26"/>
      <c r="BF59" s="26"/>
      <c r="BG59" s="26"/>
      <c r="BH59" s="26"/>
    </row>
    <row r="60" spans="1:60" ht="35.65" customHeight="1" thickBot="1">
      <c r="A60" s="27" t="s">
        <v>50</v>
      </c>
      <c r="B60" s="42"/>
      <c r="C60" s="25"/>
      <c r="D60" s="26"/>
      <c r="E60" s="26"/>
      <c r="F60" s="26"/>
      <c r="G60" s="26"/>
      <c r="H60" s="26"/>
      <c r="I60" s="26"/>
      <c r="J60" s="26"/>
      <c r="K60" s="26"/>
      <c r="L60" s="26"/>
      <c r="M60" s="26"/>
      <c r="N60" s="26"/>
      <c r="O60" s="26"/>
      <c r="P60" s="43" t="s">
        <v>54</v>
      </c>
      <c r="Q60" s="26"/>
      <c r="R60" s="26"/>
      <c r="S60" s="26"/>
      <c r="T60" s="43" t="s">
        <v>56</v>
      </c>
      <c r="U60" s="26"/>
      <c r="V60" s="26"/>
      <c r="W60" s="43" t="s">
        <v>64</v>
      </c>
      <c r="X60" s="26"/>
      <c r="Y60" s="26"/>
      <c r="Z60" s="26"/>
      <c r="AA60" s="26"/>
      <c r="AB60" s="26"/>
      <c r="AC60" s="26"/>
      <c r="AD60" s="292" t="s">
        <v>582</v>
      </c>
      <c r="AE60" s="96">
        <f t="shared" si="20"/>
        <v>3653.9</v>
      </c>
      <c r="AF60" s="96">
        <f t="shared" si="20"/>
        <v>3559.7</v>
      </c>
      <c r="AG60" s="26"/>
      <c r="AH60" s="26"/>
      <c r="AI60" s="26">
        <v>3653.9</v>
      </c>
      <c r="AJ60" s="26">
        <v>3559.7</v>
      </c>
      <c r="AK60" s="26"/>
      <c r="AL60" s="26"/>
      <c r="AM60" s="26"/>
      <c r="AN60" s="26"/>
      <c r="AO60" s="96">
        <f t="shared" si="21"/>
        <v>0</v>
      </c>
      <c r="AP60" s="26"/>
      <c r="AQ60" s="26"/>
      <c r="AR60" s="26"/>
      <c r="AS60" s="26"/>
      <c r="AT60" s="96">
        <f t="shared" si="22"/>
        <v>0</v>
      </c>
      <c r="AU60" s="26"/>
      <c r="AV60" s="26"/>
      <c r="AW60" s="26"/>
      <c r="AX60" s="26"/>
      <c r="AY60" s="96">
        <f t="shared" si="23"/>
        <v>0</v>
      </c>
      <c r="AZ60" s="26"/>
      <c r="BA60" s="26"/>
      <c r="BB60" s="26"/>
      <c r="BC60" s="26"/>
      <c r="BD60" s="96">
        <f t="shared" si="24"/>
        <v>0</v>
      </c>
      <c r="BE60" s="26"/>
      <c r="BF60" s="26"/>
      <c r="BG60" s="26"/>
      <c r="BH60" s="26"/>
    </row>
    <row r="61" spans="1:60" ht="35.65" customHeight="1" thickBot="1">
      <c r="A61" s="27" t="s">
        <v>50</v>
      </c>
      <c r="B61" s="42"/>
      <c r="C61" s="25"/>
      <c r="D61" s="26"/>
      <c r="E61" s="26"/>
      <c r="F61" s="26"/>
      <c r="G61" s="26"/>
      <c r="H61" s="26"/>
      <c r="I61" s="26"/>
      <c r="J61" s="26"/>
      <c r="K61" s="26"/>
      <c r="L61" s="26"/>
      <c r="M61" s="26"/>
      <c r="N61" s="26"/>
      <c r="O61" s="26"/>
      <c r="P61" s="43" t="s">
        <v>54</v>
      </c>
      <c r="Q61" s="26"/>
      <c r="R61" s="26"/>
      <c r="S61" s="26"/>
      <c r="T61" s="43" t="s">
        <v>65</v>
      </c>
      <c r="U61" s="26"/>
      <c r="V61" s="26"/>
      <c r="W61" s="43" t="s">
        <v>64</v>
      </c>
      <c r="X61" s="26"/>
      <c r="Y61" s="26"/>
      <c r="Z61" s="26"/>
      <c r="AA61" s="26"/>
      <c r="AB61" s="26"/>
      <c r="AC61" s="26"/>
      <c r="AD61" s="52" t="s">
        <v>583</v>
      </c>
      <c r="AE61" s="96">
        <f t="shared" si="20"/>
        <v>42129.599999999999</v>
      </c>
      <c r="AF61" s="96">
        <f t="shared" si="20"/>
        <v>42129.599999999999</v>
      </c>
      <c r="AG61" s="26"/>
      <c r="AH61" s="26"/>
      <c r="AI61" s="26">
        <f>33842.6+8287</f>
        <v>42129.599999999999</v>
      </c>
      <c r="AJ61" s="26">
        <v>42129.599999999999</v>
      </c>
      <c r="AK61" s="26"/>
      <c r="AL61" s="26"/>
      <c r="AM61" s="26"/>
      <c r="AN61" s="26"/>
      <c r="AO61" s="96">
        <f t="shared" si="21"/>
        <v>33842.6</v>
      </c>
      <c r="AP61" s="26"/>
      <c r="AQ61" s="26">
        <v>33842.6</v>
      </c>
      <c r="AR61" s="26"/>
      <c r="AS61" s="26"/>
      <c r="AT61" s="96">
        <f t="shared" si="22"/>
        <v>0</v>
      </c>
      <c r="AU61" s="26"/>
      <c r="AV61" s="26"/>
      <c r="AW61" s="26"/>
      <c r="AX61" s="26"/>
      <c r="AY61" s="96">
        <f t="shared" si="23"/>
        <v>0</v>
      </c>
      <c r="AZ61" s="26"/>
      <c r="BA61" s="26"/>
      <c r="BB61" s="26"/>
      <c r="BC61" s="26"/>
      <c r="BD61" s="96">
        <f t="shared" si="24"/>
        <v>0</v>
      </c>
      <c r="BE61" s="26"/>
      <c r="BF61" s="26"/>
      <c r="BG61" s="26"/>
      <c r="BH61" s="26"/>
    </row>
    <row r="62" spans="1:60" ht="35.65" customHeight="1" thickBot="1">
      <c r="A62" s="27" t="s">
        <v>50</v>
      </c>
      <c r="B62" s="42"/>
      <c r="C62" s="25"/>
      <c r="D62" s="26"/>
      <c r="E62" s="26"/>
      <c r="F62" s="26"/>
      <c r="G62" s="26"/>
      <c r="H62" s="26"/>
      <c r="I62" s="26"/>
      <c r="J62" s="26"/>
      <c r="K62" s="26"/>
      <c r="L62" s="26"/>
      <c r="M62" s="26"/>
      <c r="N62" s="26"/>
      <c r="O62" s="26"/>
      <c r="P62" s="43"/>
      <c r="Q62" s="26"/>
      <c r="R62" s="26"/>
      <c r="S62" s="26"/>
      <c r="T62" s="43"/>
      <c r="U62" s="26"/>
      <c r="V62" s="26"/>
      <c r="W62" s="43"/>
      <c r="X62" s="26"/>
      <c r="Y62" s="26"/>
      <c r="Z62" s="26"/>
      <c r="AA62" s="26"/>
      <c r="AB62" s="26"/>
      <c r="AC62" s="26"/>
      <c r="AD62" s="52" t="s">
        <v>584</v>
      </c>
      <c r="AE62" s="96">
        <f t="shared" si="20"/>
        <v>24599.199999999997</v>
      </c>
      <c r="AF62" s="96">
        <f t="shared" si="20"/>
        <v>24599.200000000001</v>
      </c>
      <c r="AG62" s="26"/>
      <c r="AH62" s="26"/>
      <c r="AI62" s="26"/>
      <c r="AJ62" s="26"/>
      <c r="AK62" s="26"/>
      <c r="AL62" s="26"/>
      <c r="AM62" s="26">
        <f>25236.6-637.4</f>
        <v>24599.199999999997</v>
      </c>
      <c r="AN62" s="26">
        <v>24599.200000000001</v>
      </c>
      <c r="AO62" s="96">
        <f t="shared" si="21"/>
        <v>28594.100000000002</v>
      </c>
      <c r="AP62" s="26"/>
      <c r="AQ62" s="26"/>
      <c r="AR62" s="26"/>
      <c r="AS62" s="26">
        <f>29066.4-679+607+300-600-1080.3+980</f>
        <v>28594.100000000002</v>
      </c>
      <c r="AT62" s="96">
        <f t="shared" si="22"/>
        <v>29066.400000000001</v>
      </c>
      <c r="AU62" s="26"/>
      <c r="AV62" s="26"/>
      <c r="AW62" s="26"/>
      <c r="AX62" s="26">
        <v>29066.400000000001</v>
      </c>
      <c r="AY62" s="96">
        <f t="shared" si="23"/>
        <v>29066.400000000001</v>
      </c>
      <c r="AZ62" s="26"/>
      <c r="BA62" s="26"/>
      <c r="BB62" s="26"/>
      <c r="BC62" s="26">
        <v>29066.400000000001</v>
      </c>
      <c r="BD62" s="96">
        <f t="shared" si="24"/>
        <v>29066.400000000001</v>
      </c>
      <c r="BE62" s="26"/>
      <c r="BF62" s="26"/>
      <c r="BG62" s="26"/>
      <c r="BH62" s="26">
        <v>29066.400000000001</v>
      </c>
    </row>
    <row r="63" spans="1:60" ht="35.65" customHeight="1" thickBot="1">
      <c r="A63" s="27" t="s">
        <v>50</v>
      </c>
      <c r="B63" s="42"/>
      <c r="C63" s="25"/>
      <c r="D63" s="26"/>
      <c r="E63" s="26"/>
      <c r="F63" s="26"/>
      <c r="G63" s="26"/>
      <c r="H63" s="26"/>
      <c r="I63" s="26"/>
      <c r="J63" s="26"/>
      <c r="K63" s="26"/>
      <c r="L63" s="26"/>
      <c r="M63" s="26"/>
      <c r="N63" s="26"/>
      <c r="O63" s="26"/>
      <c r="P63" s="43"/>
      <c r="Q63" s="26"/>
      <c r="R63" s="26"/>
      <c r="S63" s="26"/>
      <c r="T63" s="43"/>
      <c r="U63" s="26"/>
      <c r="V63" s="26"/>
      <c r="W63" s="43"/>
      <c r="X63" s="26"/>
      <c r="Y63" s="26"/>
      <c r="Z63" s="26"/>
      <c r="AA63" s="26"/>
      <c r="AB63" s="26"/>
      <c r="AC63" s="26"/>
      <c r="AD63" s="52" t="s">
        <v>585</v>
      </c>
      <c r="AE63" s="96">
        <f t="shared" si="20"/>
        <v>0</v>
      </c>
      <c r="AF63" s="96">
        <f t="shared" si="20"/>
        <v>0</v>
      </c>
      <c r="AG63" s="26"/>
      <c r="AH63" s="26"/>
      <c r="AI63" s="26"/>
      <c r="AJ63" s="26"/>
      <c r="AK63" s="26"/>
      <c r="AL63" s="26"/>
      <c r="AM63" s="26"/>
      <c r="AN63" s="26"/>
      <c r="AO63" s="96">
        <f t="shared" si="21"/>
        <v>0</v>
      </c>
      <c r="AP63" s="26"/>
      <c r="AQ63" s="26"/>
      <c r="AR63" s="26"/>
      <c r="AS63" s="26"/>
      <c r="AT63" s="96">
        <f t="shared" si="22"/>
        <v>0</v>
      </c>
      <c r="AU63" s="26"/>
      <c r="AV63" s="26"/>
      <c r="AW63" s="26"/>
      <c r="AX63" s="26"/>
      <c r="AY63" s="96">
        <f t="shared" si="23"/>
        <v>0</v>
      </c>
      <c r="AZ63" s="26"/>
      <c r="BA63" s="26"/>
      <c r="BB63" s="26"/>
      <c r="BC63" s="26"/>
      <c r="BD63" s="96">
        <f t="shared" si="24"/>
        <v>0</v>
      </c>
      <c r="BE63" s="26"/>
      <c r="BF63" s="26"/>
      <c r="BG63" s="26"/>
      <c r="BH63" s="26"/>
    </row>
    <row r="64" spans="1:60" ht="35.65" customHeight="1" thickBot="1">
      <c r="A64" s="27" t="s">
        <v>50</v>
      </c>
      <c r="B64" s="42"/>
      <c r="C64" s="25"/>
      <c r="D64" s="26"/>
      <c r="E64" s="26"/>
      <c r="F64" s="26"/>
      <c r="G64" s="26"/>
      <c r="H64" s="26"/>
      <c r="I64" s="26"/>
      <c r="J64" s="26"/>
      <c r="K64" s="26"/>
      <c r="L64" s="26"/>
      <c r="M64" s="26"/>
      <c r="N64" s="26"/>
      <c r="O64" s="26"/>
      <c r="P64" s="26"/>
      <c r="Q64" s="26"/>
      <c r="R64" s="26"/>
      <c r="S64" s="26"/>
      <c r="T64" s="26"/>
      <c r="U64" s="26"/>
      <c r="V64" s="26"/>
      <c r="W64" s="43" t="s">
        <v>64</v>
      </c>
      <c r="X64" s="26"/>
      <c r="Y64" s="26"/>
      <c r="Z64" s="26"/>
      <c r="AA64" s="26"/>
      <c r="AB64" s="26"/>
      <c r="AC64" s="26"/>
      <c r="AD64" s="52" t="s">
        <v>586</v>
      </c>
      <c r="AE64" s="96">
        <f t="shared" si="20"/>
        <v>3176.5</v>
      </c>
      <c r="AF64" s="96">
        <f t="shared" si="20"/>
        <v>2952.5</v>
      </c>
      <c r="AG64" s="293"/>
      <c r="AH64" s="293"/>
      <c r="AI64" s="293"/>
      <c r="AJ64" s="293"/>
      <c r="AK64" s="26"/>
      <c r="AL64" s="26"/>
      <c r="AM64" s="26">
        <f>3147.1+29.4</f>
        <v>3176.5</v>
      </c>
      <c r="AN64" s="26">
        <v>2952.5</v>
      </c>
      <c r="AO64" s="96">
        <f t="shared" si="21"/>
        <v>4287.1000000000004</v>
      </c>
      <c r="AP64" s="26"/>
      <c r="AQ64" s="26"/>
      <c r="AR64" s="26"/>
      <c r="AS64" s="26">
        <f>3608.1+679</f>
        <v>4287.1000000000004</v>
      </c>
      <c r="AT64" s="96">
        <f t="shared" si="22"/>
        <v>3816.2</v>
      </c>
      <c r="AU64" s="26"/>
      <c r="AV64" s="26"/>
      <c r="AW64" s="26"/>
      <c r="AX64" s="26">
        <v>3816.2</v>
      </c>
      <c r="AY64" s="96">
        <f t="shared" si="23"/>
        <v>4039.8</v>
      </c>
      <c r="AZ64" s="26"/>
      <c r="BA64" s="26"/>
      <c r="BB64" s="26"/>
      <c r="BC64" s="26">
        <v>4039.8</v>
      </c>
      <c r="BD64" s="96">
        <f t="shared" si="24"/>
        <v>4039.8</v>
      </c>
      <c r="BE64" s="26"/>
      <c r="BF64" s="26"/>
      <c r="BG64" s="26"/>
      <c r="BH64" s="26">
        <v>4039.8</v>
      </c>
    </row>
    <row r="65" spans="1:60" ht="35.65" customHeight="1" thickBot="1">
      <c r="A65" s="27" t="s">
        <v>50</v>
      </c>
      <c r="B65" s="42"/>
      <c r="C65" s="25"/>
      <c r="D65" s="26"/>
      <c r="E65" s="26"/>
      <c r="F65" s="26"/>
      <c r="G65" s="26"/>
      <c r="H65" s="26"/>
      <c r="I65" s="26"/>
      <c r="J65" s="26"/>
      <c r="K65" s="26"/>
      <c r="L65" s="26"/>
      <c r="M65" s="26"/>
      <c r="N65" s="26"/>
      <c r="O65" s="26"/>
      <c r="P65" s="26"/>
      <c r="Q65" s="26"/>
      <c r="R65" s="26"/>
      <c r="S65" s="26"/>
      <c r="T65" s="26"/>
      <c r="U65" s="26"/>
      <c r="V65" s="26"/>
      <c r="W65" s="43" t="s">
        <v>64</v>
      </c>
      <c r="X65" s="26"/>
      <c r="Y65" s="26"/>
      <c r="Z65" s="26"/>
      <c r="AA65" s="26"/>
      <c r="AB65" s="26"/>
      <c r="AC65" s="26"/>
      <c r="AD65" s="52" t="s">
        <v>587</v>
      </c>
      <c r="AE65" s="96">
        <f t="shared" si="20"/>
        <v>0</v>
      </c>
      <c r="AF65" s="96">
        <f t="shared" si="20"/>
        <v>0</v>
      </c>
      <c r="AG65" s="26"/>
      <c r="AH65" s="26"/>
      <c r="AI65" s="26"/>
      <c r="AJ65" s="26"/>
      <c r="AK65" s="26"/>
      <c r="AL65" s="26"/>
      <c r="AM65" s="26"/>
      <c r="AN65" s="26"/>
      <c r="AO65" s="96">
        <f t="shared" si="21"/>
        <v>0</v>
      </c>
      <c r="AP65" s="26"/>
      <c r="AQ65" s="26"/>
      <c r="AR65" s="26"/>
      <c r="AS65" s="26"/>
      <c r="AT65" s="96">
        <f t="shared" si="22"/>
        <v>0</v>
      </c>
      <c r="AU65" s="26"/>
      <c r="AV65" s="26"/>
      <c r="AW65" s="26"/>
      <c r="AX65" s="26"/>
      <c r="AY65" s="96">
        <f t="shared" si="23"/>
        <v>0</v>
      </c>
      <c r="AZ65" s="26"/>
      <c r="BA65" s="26"/>
      <c r="BB65" s="26"/>
      <c r="BC65" s="26"/>
      <c r="BD65" s="96">
        <f t="shared" si="24"/>
        <v>0</v>
      </c>
      <c r="BE65" s="26"/>
      <c r="BF65" s="26"/>
      <c r="BG65" s="26"/>
      <c r="BH65" s="26"/>
    </row>
    <row r="66" spans="1:60" ht="35.65" customHeight="1" thickBot="1">
      <c r="A66" s="27" t="s">
        <v>50</v>
      </c>
      <c r="B66" s="42"/>
      <c r="C66" s="25"/>
      <c r="D66" s="26"/>
      <c r="E66" s="26"/>
      <c r="F66" s="26"/>
      <c r="G66" s="26"/>
      <c r="H66" s="26"/>
      <c r="I66" s="26"/>
      <c r="J66" s="26"/>
      <c r="K66" s="26"/>
      <c r="L66" s="26"/>
      <c r="M66" s="26"/>
      <c r="N66" s="26"/>
      <c r="O66" s="26"/>
      <c r="P66" s="26"/>
      <c r="Q66" s="26"/>
      <c r="R66" s="26"/>
      <c r="S66" s="26"/>
      <c r="T66" s="26"/>
      <c r="U66" s="26"/>
      <c r="V66" s="26"/>
      <c r="W66" s="43" t="s">
        <v>64</v>
      </c>
      <c r="X66" s="26"/>
      <c r="Y66" s="26"/>
      <c r="Z66" s="26"/>
      <c r="AA66" s="26"/>
      <c r="AB66" s="26"/>
      <c r="AC66" s="26"/>
      <c r="AD66" s="52" t="s">
        <v>588</v>
      </c>
      <c r="AE66" s="96">
        <f t="shared" si="20"/>
        <v>311.3</v>
      </c>
      <c r="AF66" s="96">
        <f t="shared" si="20"/>
        <v>293</v>
      </c>
      <c r="AG66" s="26"/>
      <c r="AH66" s="26"/>
      <c r="AI66" s="26"/>
      <c r="AJ66" s="26"/>
      <c r="AK66" s="26"/>
      <c r="AL66" s="26"/>
      <c r="AM66" s="26">
        <f>153.3+158</f>
        <v>311.3</v>
      </c>
      <c r="AN66" s="26">
        <v>293</v>
      </c>
      <c r="AO66" s="96">
        <f t="shared" si="21"/>
        <v>472.1</v>
      </c>
      <c r="AP66" s="26"/>
      <c r="AQ66" s="26"/>
      <c r="AR66" s="26"/>
      <c r="AS66" s="26">
        <f>72.1+456.6-56.6</f>
        <v>472.1</v>
      </c>
      <c r="AT66" s="96">
        <f t="shared" si="22"/>
        <v>0</v>
      </c>
      <c r="AU66" s="26"/>
      <c r="AV66" s="26"/>
      <c r="AW66" s="26"/>
      <c r="AX66" s="26"/>
      <c r="AY66" s="96">
        <f t="shared" si="23"/>
        <v>0</v>
      </c>
      <c r="AZ66" s="26"/>
      <c r="BA66" s="26"/>
      <c r="BB66" s="26"/>
      <c r="BC66" s="26"/>
      <c r="BD66" s="96">
        <f t="shared" si="24"/>
        <v>0</v>
      </c>
      <c r="BE66" s="26"/>
      <c r="BF66" s="26"/>
      <c r="BG66" s="26"/>
      <c r="BH66" s="26"/>
    </row>
    <row r="67" spans="1:60" ht="35.65" customHeight="1" thickBot="1">
      <c r="A67" s="27" t="s">
        <v>50</v>
      </c>
      <c r="B67" s="42"/>
      <c r="C67" s="25"/>
      <c r="D67" s="26"/>
      <c r="E67" s="26"/>
      <c r="F67" s="26"/>
      <c r="G67" s="26"/>
      <c r="H67" s="26"/>
      <c r="I67" s="26"/>
      <c r="J67" s="26"/>
      <c r="K67" s="26"/>
      <c r="L67" s="26"/>
      <c r="M67" s="26"/>
      <c r="N67" s="26"/>
      <c r="O67" s="26"/>
      <c r="P67" s="26"/>
      <c r="Q67" s="26"/>
      <c r="R67" s="26"/>
      <c r="S67" s="26"/>
      <c r="T67" s="26"/>
      <c r="U67" s="26"/>
      <c r="V67" s="26"/>
      <c r="W67" s="43" t="s">
        <v>64</v>
      </c>
      <c r="X67" s="26"/>
      <c r="Y67" s="26"/>
      <c r="Z67" s="26"/>
      <c r="AA67" s="26"/>
      <c r="AB67" s="26"/>
      <c r="AC67" s="26"/>
      <c r="AD67" s="52" t="s">
        <v>589</v>
      </c>
      <c r="AE67" s="96">
        <f t="shared" si="20"/>
        <v>1200</v>
      </c>
      <c r="AF67" s="96">
        <f>AH67+AJ67+AL67+AN67</f>
        <v>1198</v>
      </c>
      <c r="AG67" s="26"/>
      <c r="AH67" s="26"/>
      <c r="AI67" s="26"/>
      <c r="AJ67" s="26"/>
      <c r="AK67" s="26"/>
      <c r="AL67" s="26"/>
      <c r="AM67" s="26">
        <f>10000-10000+1200</f>
        <v>1200</v>
      </c>
      <c r="AN67" s="26">
        <v>1198</v>
      </c>
      <c r="AO67" s="96">
        <f t="shared" si="21"/>
        <v>0</v>
      </c>
      <c r="AP67" s="26"/>
      <c r="AQ67" s="26"/>
      <c r="AR67" s="26"/>
      <c r="AS67" s="26"/>
      <c r="AT67" s="96">
        <f t="shared" si="22"/>
        <v>0</v>
      </c>
      <c r="AU67" s="26"/>
      <c r="AV67" s="26"/>
      <c r="AW67" s="26"/>
      <c r="AX67" s="26"/>
      <c r="AY67" s="96">
        <f t="shared" si="23"/>
        <v>0</v>
      </c>
      <c r="AZ67" s="26"/>
      <c r="BA67" s="26"/>
      <c r="BB67" s="26"/>
      <c r="BC67" s="26"/>
      <c r="BD67" s="96">
        <f t="shared" si="24"/>
        <v>0</v>
      </c>
      <c r="BE67" s="26"/>
      <c r="BF67" s="26"/>
      <c r="BG67" s="26"/>
      <c r="BH67" s="26"/>
    </row>
    <row r="68" spans="1:60" ht="35.65" customHeight="1" thickBot="1">
      <c r="A68" s="27"/>
      <c r="B68" s="42"/>
      <c r="C68" s="25"/>
      <c r="D68" s="26"/>
      <c r="E68" s="26"/>
      <c r="F68" s="26"/>
      <c r="G68" s="26"/>
      <c r="H68" s="26"/>
      <c r="I68" s="26"/>
      <c r="J68" s="26"/>
      <c r="K68" s="26"/>
      <c r="L68" s="26"/>
      <c r="M68" s="26"/>
      <c r="N68" s="26"/>
      <c r="O68" s="26"/>
      <c r="P68" s="26"/>
      <c r="Q68" s="26"/>
      <c r="R68" s="26"/>
      <c r="S68" s="26"/>
      <c r="T68" s="26"/>
      <c r="U68" s="26"/>
      <c r="V68" s="26"/>
      <c r="W68" s="43"/>
      <c r="X68" s="26"/>
      <c r="Y68" s="26"/>
      <c r="Z68" s="26"/>
      <c r="AA68" s="26"/>
      <c r="AB68" s="26"/>
      <c r="AC68" s="26"/>
      <c r="AD68" s="52" t="s">
        <v>590</v>
      </c>
      <c r="AE68" s="96"/>
      <c r="AF68" s="96"/>
      <c r="AG68" s="26"/>
      <c r="AH68" s="26"/>
      <c r="AI68" s="26"/>
      <c r="AJ68" s="26"/>
      <c r="AK68" s="26"/>
      <c r="AL68" s="26"/>
      <c r="AM68" s="26"/>
      <c r="AN68" s="26"/>
      <c r="AO68" s="96">
        <f t="shared" si="21"/>
        <v>300</v>
      </c>
      <c r="AP68" s="26"/>
      <c r="AQ68" s="26"/>
      <c r="AR68" s="26"/>
      <c r="AS68" s="26">
        <v>300</v>
      </c>
      <c r="AT68" s="96"/>
      <c r="AU68" s="26"/>
      <c r="AV68" s="26"/>
      <c r="AW68" s="26"/>
      <c r="AX68" s="26"/>
      <c r="AY68" s="96"/>
      <c r="AZ68" s="26"/>
      <c r="BA68" s="26"/>
      <c r="BB68" s="26"/>
      <c r="BC68" s="26"/>
      <c r="BD68" s="96"/>
      <c r="BE68" s="26"/>
      <c r="BF68" s="26"/>
      <c r="BG68" s="26"/>
      <c r="BH68" s="26"/>
    </row>
    <row r="69" spans="1:60" ht="35.65" customHeight="1" thickBot="1">
      <c r="A69" s="27" t="s">
        <v>50</v>
      </c>
      <c r="B69" s="42"/>
      <c r="C69" s="25"/>
      <c r="D69" s="26"/>
      <c r="E69" s="26"/>
      <c r="F69" s="26"/>
      <c r="G69" s="26"/>
      <c r="H69" s="26"/>
      <c r="I69" s="26"/>
      <c r="J69" s="26"/>
      <c r="K69" s="26"/>
      <c r="L69" s="26"/>
      <c r="M69" s="26"/>
      <c r="N69" s="26"/>
      <c r="O69" s="26"/>
      <c r="P69" s="26"/>
      <c r="Q69" s="26"/>
      <c r="R69" s="26"/>
      <c r="S69" s="26"/>
      <c r="T69" s="26"/>
      <c r="U69" s="26"/>
      <c r="V69" s="26"/>
      <c r="W69" s="43"/>
      <c r="X69" s="26"/>
      <c r="Y69" s="26"/>
      <c r="Z69" s="26"/>
      <c r="AA69" s="26"/>
      <c r="AB69" s="26"/>
      <c r="AC69" s="26"/>
      <c r="AD69" s="52" t="s">
        <v>591</v>
      </c>
      <c r="AE69" s="96"/>
      <c r="AF69" s="96"/>
      <c r="AG69" s="26"/>
      <c r="AH69" s="26"/>
      <c r="AI69" s="26"/>
      <c r="AJ69" s="26"/>
      <c r="AK69" s="26"/>
      <c r="AL69" s="26"/>
      <c r="AM69" s="26"/>
      <c r="AN69" s="26"/>
      <c r="AO69" s="96">
        <f t="shared" si="21"/>
        <v>600</v>
      </c>
      <c r="AP69" s="26"/>
      <c r="AQ69" s="26"/>
      <c r="AR69" s="26"/>
      <c r="AS69" s="26">
        <v>600</v>
      </c>
      <c r="AT69" s="96"/>
      <c r="AU69" s="26"/>
      <c r="AV69" s="26"/>
      <c r="AW69" s="26"/>
      <c r="AX69" s="26"/>
      <c r="AY69" s="96"/>
      <c r="AZ69" s="26"/>
      <c r="BA69" s="26"/>
      <c r="BB69" s="26"/>
      <c r="BC69" s="26"/>
      <c r="BD69" s="96"/>
      <c r="BE69" s="26"/>
      <c r="BF69" s="26"/>
      <c r="BG69" s="26"/>
      <c r="BH69" s="26"/>
    </row>
    <row r="70" spans="1:60" ht="35.65" customHeight="1" thickBot="1">
      <c r="A70" s="27" t="s">
        <v>50</v>
      </c>
      <c r="B70" s="42"/>
      <c r="C70" s="25"/>
      <c r="D70" s="26"/>
      <c r="E70" s="26"/>
      <c r="F70" s="26"/>
      <c r="G70" s="26"/>
      <c r="H70" s="26"/>
      <c r="I70" s="26"/>
      <c r="J70" s="26"/>
      <c r="K70" s="26"/>
      <c r="L70" s="26"/>
      <c r="M70" s="26"/>
      <c r="N70" s="26"/>
      <c r="O70" s="26"/>
      <c r="P70" s="26"/>
      <c r="Q70" s="26"/>
      <c r="R70" s="26"/>
      <c r="S70" s="26"/>
      <c r="T70" s="26"/>
      <c r="U70" s="26"/>
      <c r="V70" s="26"/>
      <c r="W70" s="43" t="s">
        <v>64</v>
      </c>
      <c r="X70" s="26"/>
      <c r="Y70" s="26"/>
      <c r="Z70" s="26"/>
      <c r="AA70" s="26"/>
      <c r="AB70" s="26"/>
      <c r="AC70" s="26"/>
      <c r="AD70" s="52" t="s">
        <v>592</v>
      </c>
      <c r="AE70" s="96">
        <f t="shared" si="20"/>
        <v>0</v>
      </c>
      <c r="AF70" s="96">
        <f t="shared" si="20"/>
        <v>0</v>
      </c>
      <c r="AG70" s="26"/>
      <c r="AH70" s="26"/>
      <c r="AI70" s="26"/>
      <c r="AJ70" s="26"/>
      <c r="AK70" s="26"/>
      <c r="AL70" s="26"/>
      <c r="AM70" s="26"/>
      <c r="AN70" s="26"/>
      <c r="AO70" s="96">
        <f t="shared" si="21"/>
        <v>0</v>
      </c>
      <c r="AP70" s="26"/>
      <c r="AQ70" s="26"/>
      <c r="AR70" s="26"/>
      <c r="AS70" s="26"/>
      <c r="AT70" s="96">
        <f t="shared" si="22"/>
        <v>0</v>
      </c>
      <c r="AU70" s="26"/>
      <c r="AV70" s="26"/>
      <c r="AW70" s="26"/>
      <c r="AX70" s="26"/>
      <c r="AY70" s="96">
        <f t="shared" si="23"/>
        <v>0</v>
      </c>
      <c r="AZ70" s="26"/>
      <c r="BA70" s="26"/>
      <c r="BB70" s="26"/>
      <c r="BC70" s="26"/>
      <c r="BD70" s="96">
        <f t="shared" si="24"/>
        <v>0</v>
      </c>
      <c r="BE70" s="26"/>
      <c r="BF70" s="26"/>
      <c r="BG70" s="26"/>
      <c r="BH70" s="26"/>
    </row>
    <row r="71" spans="1:60" ht="35.65" customHeight="1" thickBot="1">
      <c r="A71" s="27" t="s">
        <v>50</v>
      </c>
      <c r="B71" s="42"/>
      <c r="C71" s="25"/>
      <c r="D71" s="26"/>
      <c r="E71" s="26"/>
      <c r="F71" s="26"/>
      <c r="G71" s="26"/>
      <c r="H71" s="26"/>
      <c r="I71" s="26"/>
      <c r="J71" s="26"/>
      <c r="K71" s="26"/>
      <c r="L71" s="26"/>
      <c r="M71" s="26"/>
      <c r="N71" s="26"/>
      <c r="O71" s="26"/>
      <c r="P71" s="26"/>
      <c r="Q71" s="26"/>
      <c r="R71" s="26"/>
      <c r="S71" s="26"/>
      <c r="T71" s="26"/>
      <c r="U71" s="26"/>
      <c r="V71" s="26"/>
      <c r="W71" s="43" t="s">
        <v>64</v>
      </c>
      <c r="X71" s="26"/>
      <c r="Y71" s="26"/>
      <c r="Z71" s="26"/>
      <c r="AA71" s="26"/>
      <c r="AB71" s="26"/>
      <c r="AC71" s="26"/>
      <c r="AD71" s="52" t="s">
        <v>593</v>
      </c>
      <c r="AE71" s="96">
        <f t="shared" si="20"/>
        <v>0</v>
      </c>
      <c r="AF71" s="96">
        <f t="shared" si="20"/>
        <v>0</v>
      </c>
      <c r="AG71" s="26"/>
      <c r="AH71" s="26"/>
      <c r="AI71" s="26"/>
      <c r="AJ71" s="26"/>
      <c r="AK71" s="26"/>
      <c r="AL71" s="26"/>
      <c r="AM71" s="26"/>
      <c r="AN71" s="26"/>
      <c r="AO71" s="96">
        <f t="shared" si="21"/>
        <v>0</v>
      </c>
      <c r="AP71" s="26"/>
      <c r="AQ71" s="26"/>
      <c r="AR71" s="26"/>
      <c r="AS71" s="26"/>
      <c r="AT71" s="96">
        <f t="shared" si="22"/>
        <v>0</v>
      </c>
      <c r="AU71" s="26"/>
      <c r="AV71" s="26"/>
      <c r="AW71" s="26"/>
      <c r="AX71" s="26"/>
      <c r="AY71" s="96">
        <f t="shared" si="23"/>
        <v>0</v>
      </c>
      <c r="AZ71" s="26"/>
      <c r="BA71" s="26"/>
      <c r="BB71" s="26"/>
      <c r="BC71" s="26"/>
      <c r="BD71" s="96">
        <f t="shared" si="24"/>
        <v>0</v>
      </c>
      <c r="BE71" s="26"/>
      <c r="BF71" s="26"/>
      <c r="BG71" s="26"/>
      <c r="BH71" s="26"/>
    </row>
    <row r="72" spans="1:60" ht="35.65" customHeight="1" thickBot="1">
      <c r="A72" s="27" t="s">
        <v>50</v>
      </c>
      <c r="B72" s="42"/>
      <c r="C72" s="25"/>
      <c r="D72" s="26"/>
      <c r="E72" s="26"/>
      <c r="F72" s="26"/>
      <c r="G72" s="26"/>
      <c r="H72" s="26"/>
      <c r="I72" s="26"/>
      <c r="J72" s="26"/>
      <c r="K72" s="26"/>
      <c r="L72" s="26"/>
      <c r="M72" s="26"/>
      <c r="N72" s="26"/>
      <c r="O72" s="26"/>
      <c r="P72" s="26"/>
      <c r="Q72" s="26"/>
      <c r="R72" s="26"/>
      <c r="S72" s="26"/>
      <c r="T72" s="26"/>
      <c r="U72" s="26"/>
      <c r="V72" s="26"/>
      <c r="W72" s="43" t="s">
        <v>64</v>
      </c>
      <c r="X72" s="26"/>
      <c r="Y72" s="26"/>
      <c r="Z72" s="26"/>
      <c r="AA72" s="26"/>
      <c r="AB72" s="26"/>
      <c r="AC72" s="26"/>
      <c r="AD72" s="52" t="s">
        <v>594</v>
      </c>
      <c r="AE72" s="96">
        <f t="shared" si="20"/>
        <v>0</v>
      </c>
      <c r="AF72" s="96">
        <f t="shared" si="20"/>
        <v>0</v>
      </c>
      <c r="AG72" s="26"/>
      <c r="AH72" s="26"/>
      <c r="AI72" s="26"/>
      <c r="AJ72" s="26"/>
      <c r="AK72" s="26"/>
      <c r="AL72" s="26"/>
      <c r="AM72" s="26"/>
      <c r="AN72" s="26"/>
      <c r="AO72" s="96">
        <f t="shared" si="21"/>
        <v>0</v>
      </c>
      <c r="AP72" s="26"/>
      <c r="AQ72" s="26"/>
      <c r="AR72" s="26"/>
      <c r="AS72" s="26"/>
      <c r="AT72" s="96">
        <f t="shared" si="22"/>
        <v>0</v>
      </c>
      <c r="AU72" s="26"/>
      <c r="AV72" s="26"/>
      <c r="AW72" s="26"/>
      <c r="AX72" s="26"/>
      <c r="AY72" s="96">
        <f t="shared" si="23"/>
        <v>0</v>
      </c>
      <c r="AZ72" s="26"/>
      <c r="BA72" s="26"/>
      <c r="BB72" s="26"/>
      <c r="BC72" s="26"/>
      <c r="BD72" s="96">
        <f t="shared" si="24"/>
        <v>0</v>
      </c>
      <c r="BE72" s="26"/>
      <c r="BF72" s="26"/>
      <c r="BG72" s="26"/>
      <c r="BH72" s="26"/>
    </row>
    <row r="73" spans="1:60" ht="35.65" customHeight="1" thickBot="1">
      <c r="A73" s="27" t="s">
        <v>50</v>
      </c>
      <c r="B73" s="42"/>
      <c r="C73" s="25"/>
      <c r="D73" s="26"/>
      <c r="E73" s="26"/>
      <c r="F73" s="26"/>
      <c r="G73" s="26"/>
      <c r="H73" s="26"/>
      <c r="I73" s="26"/>
      <c r="J73" s="26"/>
      <c r="K73" s="26"/>
      <c r="L73" s="26"/>
      <c r="M73" s="26"/>
      <c r="N73" s="26"/>
      <c r="O73" s="26"/>
      <c r="P73" s="26"/>
      <c r="Q73" s="26"/>
      <c r="R73" s="26"/>
      <c r="S73" s="26"/>
      <c r="T73" s="26"/>
      <c r="U73" s="26"/>
      <c r="V73" s="26"/>
      <c r="W73" s="43" t="s">
        <v>64</v>
      </c>
      <c r="X73" s="26"/>
      <c r="Y73" s="26"/>
      <c r="Z73" s="26"/>
      <c r="AA73" s="26"/>
      <c r="AB73" s="26"/>
      <c r="AC73" s="26"/>
      <c r="AD73" s="52" t="s">
        <v>595</v>
      </c>
      <c r="AE73" s="96">
        <f t="shared" si="20"/>
        <v>0</v>
      </c>
      <c r="AF73" s="96">
        <f t="shared" si="20"/>
        <v>0</v>
      </c>
      <c r="AG73" s="26"/>
      <c r="AH73" s="26"/>
      <c r="AI73" s="26"/>
      <c r="AJ73" s="26"/>
      <c r="AK73" s="26"/>
      <c r="AL73" s="26"/>
      <c r="AM73" s="26"/>
      <c r="AN73" s="26"/>
      <c r="AO73" s="96">
        <f t="shared" si="21"/>
        <v>0</v>
      </c>
      <c r="AP73" s="26"/>
      <c r="AQ73" s="26"/>
      <c r="AR73" s="26"/>
      <c r="AS73" s="26"/>
      <c r="AT73" s="96">
        <f t="shared" si="22"/>
        <v>0</v>
      </c>
      <c r="AU73" s="26"/>
      <c r="AV73" s="26"/>
      <c r="AW73" s="26"/>
      <c r="AX73" s="26"/>
      <c r="AY73" s="96">
        <f t="shared" si="23"/>
        <v>0</v>
      </c>
      <c r="AZ73" s="26"/>
      <c r="BA73" s="26"/>
      <c r="BB73" s="26"/>
      <c r="BC73" s="26"/>
      <c r="BD73" s="96">
        <f t="shared" si="24"/>
        <v>0</v>
      </c>
      <c r="BE73" s="26"/>
      <c r="BF73" s="26"/>
      <c r="BG73" s="26"/>
      <c r="BH73" s="26"/>
    </row>
    <row r="74" spans="1:60" ht="35.65" customHeight="1" thickBot="1">
      <c r="A74" s="27" t="s">
        <v>50</v>
      </c>
      <c r="B74" s="42"/>
      <c r="C74" s="25"/>
      <c r="D74" s="26"/>
      <c r="E74" s="26"/>
      <c r="F74" s="26"/>
      <c r="G74" s="26"/>
      <c r="H74" s="26"/>
      <c r="I74" s="26"/>
      <c r="J74" s="26"/>
      <c r="K74" s="26"/>
      <c r="L74" s="26"/>
      <c r="M74" s="26"/>
      <c r="N74" s="26"/>
      <c r="O74" s="26"/>
      <c r="P74" s="26"/>
      <c r="Q74" s="26"/>
      <c r="R74" s="26"/>
      <c r="S74" s="26"/>
      <c r="T74" s="26"/>
      <c r="U74" s="26"/>
      <c r="V74" s="26"/>
      <c r="W74" s="43" t="s">
        <v>64</v>
      </c>
      <c r="X74" s="26"/>
      <c r="Y74" s="26"/>
      <c r="Z74" s="26"/>
      <c r="AA74" s="26"/>
      <c r="AB74" s="26"/>
      <c r="AC74" s="26"/>
      <c r="AD74" s="52" t="s">
        <v>596</v>
      </c>
      <c r="AE74" s="96">
        <f t="shared" si="20"/>
        <v>84.999999999999972</v>
      </c>
      <c r="AF74" s="96">
        <f t="shared" si="20"/>
        <v>85</v>
      </c>
      <c r="AG74" s="26"/>
      <c r="AH74" s="26"/>
      <c r="AI74" s="26"/>
      <c r="AJ74" s="26"/>
      <c r="AK74" s="26"/>
      <c r="AL74" s="26"/>
      <c r="AM74" s="26">
        <f>273.9-206+17.1</f>
        <v>84.999999999999972</v>
      </c>
      <c r="AN74" s="26">
        <v>85</v>
      </c>
      <c r="AO74" s="96">
        <f t="shared" si="21"/>
        <v>273.89999999999998</v>
      </c>
      <c r="AP74" s="26"/>
      <c r="AQ74" s="26"/>
      <c r="AR74" s="26"/>
      <c r="AS74" s="26">
        <v>273.89999999999998</v>
      </c>
      <c r="AT74" s="96">
        <f t="shared" si="22"/>
        <v>273.89999999999998</v>
      </c>
      <c r="AU74" s="26"/>
      <c r="AV74" s="26"/>
      <c r="AW74" s="26"/>
      <c r="AX74" s="26">
        <v>273.89999999999998</v>
      </c>
      <c r="AY74" s="96">
        <f t="shared" si="23"/>
        <v>273.89999999999998</v>
      </c>
      <c r="AZ74" s="26"/>
      <c r="BA74" s="26"/>
      <c r="BB74" s="26"/>
      <c r="BC74" s="26">
        <v>273.89999999999998</v>
      </c>
      <c r="BD74" s="96">
        <f t="shared" si="24"/>
        <v>273.89999999999998</v>
      </c>
      <c r="BE74" s="26"/>
      <c r="BF74" s="26"/>
      <c r="BG74" s="26"/>
      <c r="BH74" s="26">
        <v>273.89999999999998</v>
      </c>
    </row>
    <row r="75" spans="1:60" ht="35.65" customHeight="1" thickBot="1">
      <c r="A75" s="27" t="s">
        <v>50</v>
      </c>
      <c r="B75" s="42"/>
      <c r="C75" s="25"/>
      <c r="D75" s="26"/>
      <c r="E75" s="26"/>
      <c r="F75" s="26"/>
      <c r="G75" s="26"/>
      <c r="H75" s="26"/>
      <c r="I75" s="26"/>
      <c r="J75" s="26"/>
      <c r="K75" s="26"/>
      <c r="L75" s="26"/>
      <c r="M75" s="26"/>
      <c r="N75" s="26"/>
      <c r="O75" s="26"/>
      <c r="P75" s="26"/>
      <c r="Q75" s="26"/>
      <c r="R75" s="26"/>
      <c r="S75" s="26"/>
      <c r="T75" s="26"/>
      <c r="U75" s="26"/>
      <c r="V75" s="26"/>
      <c r="W75" s="43"/>
      <c r="X75" s="26"/>
      <c r="Y75" s="26"/>
      <c r="Z75" s="26"/>
      <c r="AA75" s="26"/>
      <c r="AB75" s="26"/>
      <c r="AC75" s="26"/>
      <c r="AD75" s="52" t="s">
        <v>597</v>
      </c>
      <c r="AE75" s="96">
        <f t="shared" si="20"/>
        <v>0</v>
      </c>
      <c r="AF75" s="96">
        <f t="shared" si="20"/>
        <v>0</v>
      </c>
      <c r="AG75" s="26"/>
      <c r="AH75" s="26"/>
      <c r="AI75" s="26"/>
      <c r="AJ75" s="26"/>
      <c r="AK75" s="26"/>
      <c r="AL75" s="26"/>
      <c r="AM75" s="26"/>
      <c r="AN75" s="26"/>
      <c r="AO75" s="96">
        <f t="shared" si="21"/>
        <v>0</v>
      </c>
      <c r="AP75" s="26"/>
      <c r="AQ75" s="26"/>
      <c r="AR75" s="26"/>
      <c r="AS75" s="26"/>
      <c r="AT75" s="96">
        <f t="shared" si="22"/>
        <v>0</v>
      </c>
      <c r="AU75" s="26"/>
      <c r="AV75" s="26"/>
      <c r="AW75" s="26"/>
      <c r="AX75" s="26"/>
      <c r="AY75" s="96">
        <f t="shared" si="23"/>
        <v>0</v>
      </c>
      <c r="AZ75" s="26"/>
      <c r="BA75" s="26"/>
      <c r="BB75" s="26"/>
      <c r="BC75" s="26"/>
      <c r="BD75" s="96">
        <f t="shared" si="24"/>
        <v>0</v>
      </c>
      <c r="BE75" s="26"/>
      <c r="BF75" s="26"/>
      <c r="BG75" s="26"/>
      <c r="BH75" s="26"/>
    </row>
    <row r="76" spans="1:60" ht="35.65" customHeight="1" thickBot="1">
      <c r="A76" s="27" t="s">
        <v>50</v>
      </c>
      <c r="B76" s="42"/>
      <c r="C76" s="25"/>
      <c r="D76" s="26"/>
      <c r="E76" s="26"/>
      <c r="F76" s="26"/>
      <c r="G76" s="26"/>
      <c r="H76" s="26"/>
      <c r="I76" s="26"/>
      <c r="J76" s="26"/>
      <c r="K76" s="26"/>
      <c r="L76" s="26"/>
      <c r="M76" s="26"/>
      <c r="N76" s="26"/>
      <c r="O76" s="26"/>
      <c r="P76" s="26"/>
      <c r="Q76" s="26"/>
      <c r="R76" s="26"/>
      <c r="S76" s="26"/>
      <c r="T76" s="26"/>
      <c r="U76" s="26"/>
      <c r="V76" s="26"/>
      <c r="W76" s="43"/>
      <c r="X76" s="26"/>
      <c r="Y76" s="26"/>
      <c r="Z76" s="26"/>
      <c r="AA76" s="26"/>
      <c r="AB76" s="26"/>
      <c r="AC76" s="26"/>
      <c r="AD76" s="52" t="s">
        <v>598</v>
      </c>
      <c r="AE76" s="96">
        <f t="shared" si="20"/>
        <v>80</v>
      </c>
      <c r="AF76" s="96">
        <f t="shared" si="20"/>
        <v>80</v>
      </c>
      <c r="AG76" s="26"/>
      <c r="AH76" s="26"/>
      <c r="AI76" s="26"/>
      <c r="AJ76" s="26"/>
      <c r="AK76" s="26"/>
      <c r="AL76" s="26"/>
      <c r="AM76" s="26">
        <f>100-20</f>
        <v>80</v>
      </c>
      <c r="AN76" s="26">
        <v>80</v>
      </c>
      <c r="AO76" s="96"/>
      <c r="AP76" s="26"/>
      <c r="AQ76" s="26"/>
      <c r="AR76" s="26"/>
      <c r="AS76" s="26"/>
      <c r="AT76" s="96"/>
      <c r="AU76" s="26"/>
      <c r="AV76" s="26"/>
      <c r="AW76" s="26"/>
      <c r="AX76" s="26"/>
      <c r="AY76" s="96"/>
      <c r="AZ76" s="26"/>
      <c r="BA76" s="26"/>
      <c r="BB76" s="26"/>
      <c r="BC76" s="26"/>
      <c r="BD76" s="96"/>
      <c r="BE76" s="26"/>
      <c r="BF76" s="26"/>
      <c r="BG76" s="26"/>
      <c r="BH76" s="26"/>
    </row>
    <row r="77" spans="1:60" ht="35.65" customHeight="1" thickBot="1">
      <c r="A77" s="27" t="s">
        <v>50</v>
      </c>
      <c r="B77" s="42"/>
      <c r="C77" s="25"/>
      <c r="D77" s="26"/>
      <c r="E77" s="26"/>
      <c r="F77" s="26"/>
      <c r="G77" s="26"/>
      <c r="H77" s="26"/>
      <c r="I77" s="26"/>
      <c r="J77" s="26"/>
      <c r="K77" s="26"/>
      <c r="L77" s="26"/>
      <c r="M77" s="26"/>
      <c r="N77" s="26"/>
      <c r="O77" s="26"/>
      <c r="P77" s="43" t="s">
        <v>60</v>
      </c>
      <c r="Q77" s="26"/>
      <c r="R77" s="26"/>
      <c r="S77" s="26"/>
      <c r="T77" s="43" t="s">
        <v>66</v>
      </c>
      <c r="U77" s="26"/>
      <c r="V77" s="26"/>
      <c r="W77" s="43" t="s">
        <v>64</v>
      </c>
      <c r="X77" s="26"/>
      <c r="Y77" s="26"/>
      <c r="Z77" s="26"/>
      <c r="AA77" s="26"/>
      <c r="AB77" s="26"/>
      <c r="AC77" s="26"/>
      <c r="AD77" s="52" t="s">
        <v>599</v>
      </c>
      <c r="AE77" s="96">
        <f t="shared" si="20"/>
        <v>0</v>
      </c>
      <c r="AF77" s="96">
        <f>AH77+AJ77+AL77+AN77</f>
        <v>0</v>
      </c>
      <c r="AG77" s="26"/>
      <c r="AH77" s="26"/>
      <c r="AI77" s="26"/>
      <c r="AJ77" s="26"/>
      <c r="AK77" s="26"/>
      <c r="AL77" s="26"/>
      <c r="AM77" s="26"/>
      <c r="AN77" s="26"/>
      <c r="AO77" s="96">
        <f t="shared" si="21"/>
        <v>0</v>
      </c>
      <c r="AP77" s="26"/>
      <c r="AQ77" s="26"/>
      <c r="AR77" s="26"/>
      <c r="AS77" s="26"/>
      <c r="AT77" s="96">
        <f t="shared" ref="AT77:AT91" si="25">AU77+AV77+AW77+AX77</f>
        <v>0</v>
      </c>
      <c r="AU77" s="26"/>
      <c r="AV77" s="26"/>
      <c r="AW77" s="26"/>
      <c r="AX77" s="26"/>
      <c r="AY77" s="96">
        <f t="shared" si="23"/>
        <v>0</v>
      </c>
      <c r="AZ77" s="26"/>
      <c r="BA77" s="26"/>
      <c r="BB77" s="26"/>
      <c r="BC77" s="26"/>
      <c r="BD77" s="96">
        <f t="shared" si="24"/>
        <v>0</v>
      </c>
      <c r="BE77" s="26"/>
      <c r="BF77" s="26"/>
      <c r="BG77" s="26"/>
      <c r="BH77" s="26"/>
    </row>
    <row r="78" spans="1:60" ht="35.65" customHeight="1" thickBot="1">
      <c r="A78" s="27" t="s">
        <v>50</v>
      </c>
      <c r="B78" s="42"/>
      <c r="C78" s="25"/>
      <c r="D78" s="26"/>
      <c r="E78" s="26"/>
      <c r="F78" s="26"/>
      <c r="G78" s="26"/>
      <c r="H78" s="26"/>
      <c r="I78" s="26"/>
      <c r="J78" s="26"/>
      <c r="K78" s="26"/>
      <c r="L78" s="26"/>
      <c r="M78" s="26"/>
      <c r="N78" s="26"/>
      <c r="O78" s="26"/>
      <c r="P78" s="43"/>
      <c r="Q78" s="26"/>
      <c r="R78" s="26"/>
      <c r="S78" s="26"/>
      <c r="T78" s="43"/>
      <c r="U78" s="26"/>
      <c r="V78" s="26"/>
      <c r="W78" s="43" t="s">
        <v>64</v>
      </c>
      <c r="X78" s="26"/>
      <c r="Y78" s="26"/>
      <c r="Z78" s="26"/>
      <c r="AA78" s="26"/>
      <c r="AB78" s="26"/>
      <c r="AC78" s="26"/>
      <c r="AD78" s="52" t="s">
        <v>600</v>
      </c>
      <c r="AE78" s="96">
        <f t="shared" si="20"/>
        <v>0</v>
      </c>
      <c r="AF78" s="96">
        <f t="shared" si="20"/>
        <v>0</v>
      </c>
      <c r="AG78" s="26"/>
      <c r="AH78" s="26"/>
      <c r="AI78" s="26"/>
      <c r="AJ78" s="26"/>
      <c r="AK78" s="26"/>
      <c r="AL78" s="26"/>
      <c r="AM78" s="26">
        <f>79.3-79.3</f>
        <v>0</v>
      </c>
      <c r="AN78" s="26"/>
      <c r="AO78" s="96">
        <f t="shared" si="21"/>
        <v>0</v>
      </c>
      <c r="AP78" s="26"/>
      <c r="AQ78" s="26"/>
      <c r="AR78" s="26"/>
      <c r="AS78" s="26"/>
      <c r="AT78" s="96">
        <f t="shared" si="25"/>
        <v>0</v>
      </c>
      <c r="AU78" s="26"/>
      <c r="AV78" s="26"/>
      <c r="AW78" s="26"/>
      <c r="AX78" s="26"/>
      <c r="AY78" s="96">
        <f t="shared" si="23"/>
        <v>0</v>
      </c>
      <c r="AZ78" s="26"/>
      <c r="BA78" s="26"/>
      <c r="BB78" s="26"/>
      <c r="BC78" s="26"/>
      <c r="BD78" s="96">
        <f t="shared" si="24"/>
        <v>0</v>
      </c>
      <c r="BE78" s="26"/>
      <c r="BF78" s="26"/>
      <c r="BG78" s="26"/>
      <c r="BH78" s="26"/>
    </row>
    <row r="79" spans="1:60" ht="35.65" customHeight="1" thickBot="1">
      <c r="A79" s="27" t="s">
        <v>50</v>
      </c>
      <c r="B79" s="42"/>
      <c r="C79" s="25"/>
      <c r="D79" s="26"/>
      <c r="E79" s="26"/>
      <c r="F79" s="26"/>
      <c r="G79" s="26"/>
      <c r="H79" s="26"/>
      <c r="I79" s="26"/>
      <c r="J79" s="26"/>
      <c r="K79" s="26"/>
      <c r="L79" s="26"/>
      <c r="M79" s="26"/>
      <c r="N79" s="26"/>
      <c r="O79" s="26"/>
      <c r="P79" s="43"/>
      <c r="Q79" s="26"/>
      <c r="R79" s="26"/>
      <c r="S79" s="26"/>
      <c r="T79" s="43"/>
      <c r="U79" s="26"/>
      <c r="V79" s="26"/>
      <c r="W79" s="43"/>
      <c r="X79" s="26"/>
      <c r="Y79" s="26"/>
      <c r="Z79" s="26"/>
      <c r="AA79" s="26"/>
      <c r="AB79" s="26"/>
      <c r="AC79" s="26"/>
      <c r="AD79" s="52" t="s">
        <v>601</v>
      </c>
      <c r="AE79" s="96">
        <f t="shared" si="20"/>
        <v>0</v>
      </c>
      <c r="AF79" s="96">
        <f t="shared" si="20"/>
        <v>0</v>
      </c>
      <c r="AG79" s="26"/>
      <c r="AH79" s="26"/>
      <c r="AI79" s="26"/>
      <c r="AJ79" s="26"/>
      <c r="AK79" s="26"/>
      <c r="AL79" s="26"/>
      <c r="AM79" s="26"/>
      <c r="AN79" s="26"/>
      <c r="AO79" s="96">
        <f t="shared" si="21"/>
        <v>0</v>
      </c>
      <c r="AP79" s="26"/>
      <c r="AQ79" s="26"/>
      <c r="AR79" s="26"/>
      <c r="AS79" s="26"/>
      <c r="AT79" s="96">
        <f t="shared" si="25"/>
        <v>0</v>
      </c>
      <c r="AU79" s="26"/>
      <c r="AV79" s="26"/>
      <c r="AW79" s="26"/>
      <c r="AX79" s="26"/>
      <c r="AY79" s="96">
        <f t="shared" si="23"/>
        <v>0</v>
      </c>
      <c r="AZ79" s="26"/>
      <c r="BA79" s="26"/>
      <c r="BB79" s="26"/>
      <c r="BC79" s="26"/>
      <c r="BD79" s="96">
        <f t="shared" si="24"/>
        <v>0</v>
      </c>
      <c r="BE79" s="26"/>
      <c r="BF79" s="26"/>
      <c r="BG79" s="26"/>
      <c r="BH79" s="26"/>
    </row>
    <row r="80" spans="1:60" ht="35.65" customHeight="1" thickBot="1">
      <c r="A80" s="27" t="s">
        <v>50</v>
      </c>
      <c r="B80" s="42"/>
      <c r="C80" s="25"/>
      <c r="D80" s="26"/>
      <c r="E80" s="26"/>
      <c r="F80" s="26"/>
      <c r="G80" s="26"/>
      <c r="H80" s="26"/>
      <c r="I80" s="26"/>
      <c r="J80" s="26"/>
      <c r="K80" s="26"/>
      <c r="L80" s="26"/>
      <c r="M80" s="26"/>
      <c r="N80" s="26"/>
      <c r="O80" s="26"/>
      <c r="P80" s="43"/>
      <c r="Q80" s="26"/>
      <c r="R80" s="26"/>
      <c r="S80" s="26"/>
      <c r="T80" s="43"/>
      <c r="U80" s="26"/>
      <c r="V80" s="26"/>
      <c r="W80" s="43" t="s">
        <v>64</v>
      </c>
      <c r="X80" s="26"/>
      <c r="Y80" s="26"/>
      <c r="Z80" s="26"/>
      <c r="AA80" s="26"/>
      <c r="AB80" s="26"/>
      <c r="AC80" s="26"/>
      <c r="AD80" s="52" t="s">
        <v>602</v>
      </c>
      <c r="AE80" s="96">
        <f t="shared" si="20"/>
        <v>0</v>
      </c>
      <c r="AF80" s="96">
        <f t="shared" si="20"/>
        <v>0</v>
      </c>
      <c r="AG80" s="26"/>
      <c r="AH80" s="26"/>
      <c r="AI80" s="26"/>
      <c r="AJ80" s="26"/>
      <c r="AK80" s="26"/>
      <c r="AL80" s="26"/>
      <c r="AM80" s="26"/>
      <c r="AN80" s="26"/>
      <c r="AO80" s="96">
        <f t="shared" si="21"/>
        <v>0</v>
      </c>
      <c r="AP80" s="26"/>
      <c r="AQ80" s="26"/>
      <c r="AR80" s="26"/>
      <c r="AS80" s="26"/>
      <c r="AT80" s="96">
        <f t="shared" si="25"/>
        <v>0</v>
      </c>
      <c r="AU80" s="26"/>
      <c r="AV80" s="26"/>
      <c r="AW80" s="26"/>
      <c r="AX80" s="26"/>
      <c r="AY80" s="96">
        <f t="shared" si="23"/>
        <v>0</v>
      </c>
      <c r="AZ80" s="26"/>
      <c r="BA80" s="26"/>
      <c r="BB80" s="26"/>
      <c r="BC80" s="26"/>
      <c r="BD80" s="96">
        <f t="shared" si="24"/>
        <v>0</v>
      </c>
      <c r="BE80" s="26"/>
      <c r="BF80" s="26"/>
      <c r="BG80" s="26"/>
      <c r="BH80" s="26"/>
    </row>
    <row r="81" spans="1:60" ht="35.65" customHeight="1" thickBot="1">
      <c r="A81" s="27" t="s">
        <v>50</v>
      </c>
      <c r="B81" s="42"/>
      <c r="C81" s="25"/>
      <c r="D81" s="26"/>
      <c r="E81" s="26"/>
      <c r="F81" s="26"/>
      <c r="G81" s="26"/>
      <c r="H81" s="26"/>
      <c r="I81" s="26"/>
      <c r="J81" s="26"/>
      <c r="K81" s="26"/>
      <c r="L81" s="26"/>
      <c r="M81" s="26"/>
      <c r="N81" s="26"/>
      <c r="O81" s="26"/>
      <c r="P81" s="43"/>
      <c r="Q81" s="26"/>
      <c r="R81" s="26"/>
      <c r="S81" s="26"/>
      <c r="T81" s="43"/>
      <c r="U81" s="26"/>
      <c r="V81" s="26"/>
      <c r="W81" s="43"/>
      <c r="X81" s="26"/>
      <c r="Y81" s="26"/>
      <c r="Z81" s="26"/>
      <c r="AA81" s="26"/>
      <c r="AB81" s="26"/>
      <c r="AC81" s="26"/>
      <c r="AD81" s="52" t="s">
        <v>603</v>
      </c>
      <c r="AE81" s="96">
        <f t="shared" si="20"/>
        <v>0</v>
      </c>
      <c r="AF81" s="96">
        <f t="shared" si="20"/>
        <v>0</v>
      </c>
      <c r="AG81" s="26"/>
      <c r="AH81" s="26"/>
      <c r="AI81" s="26"/>
      <c r="AJ81" s="26"/>
      <c r="AK81" s="26"/>
      <c r="AL81" s="26"/>
      <c r="AM81" s="26"/>
      <c r="AN81" s="26"/>
      <c r="AO81" s="96">
        <f t="shared" si="21"/>
        <v>0</v>
      </c>
      <c r="AP81" s="26"/>
      <c r="AQ81" s="26"/>
      <c r="AR81" s="26"/>
      <c r="AS81" s="26"/>
      <c r="AT81" s="96">
        <f t="shared" si="25"/>
        <v>0</v>
      </c>
      <c r="AU81" s="26"/>
      <c r="AV81" s="26"/>
      <c r="AW81" s="26"/>
      <c r="AX81" s="26"/>
      <c r="AY81" s="96">
        <f t="shared" si="23"/>
        <v>0</v>
      </c>
      <c r="AZ81" s="26"/>
      <c r="BA81" s="26"/>
      <c r="BB81" s="26"/>
      <c r="BC81" s="26"/>
      <c r="BD81" s="96">
        <f t="shared" si="24"/>
        <v>0</v>
      </c>
      <c r="BE81" s="26"/>
      <c r="BF81" s="26"/>
      <c r="BG81" s="26"/>
      <c r="BH81" s="26"/>
    </row>
    <row r="82" spans="1:60" ht="35.65" customHeight="1" thickBot="1">
      <c r="A82" s="27" t="s">
        <v>50</v>
      </c>
      <c r="B82" s="42"/>
      <c r="C82" s="25"/>
      <c r="D82" s="26"/>
      <c r="E82" s="26"/>
      <c r="F82" s="26"/>
      <c r="G82" s="26"/>
      <c r="H82" s="26"/>
      <c r="I82" s="26"/>
      <c r="J82" s="26"/>
      <c r="K82" s="26"/>
      <c r="L82" s="26"/>
      <c r="M82" s="26"/>
      <c r="N82" s="26"/>
      <c r="O82" s="26"/>
      <c r="P82" s="43"/>
      <c r="Q82" s="26"/>
      <c r="R82" s="26"/>
      <c r="S82" s="26"/>
      <c r="T82" s="43"/>
      <c r="U82" s="26"/>
      <c r="V82" s="26"/>
      <c r="W82" s="43" t="s">
        <v>64</v>
      </c>
      <c r="X82" s="26"/>
      <c r="Y82" s="26"/>
      <c r="Z82" s="26"/>
      <c r="AA82" s="26"/>
      <c r="AB82" s="26"/>
      <c r="AC82" s="26"/>
      <c r="AD82" s="52" t="s">
        <v>604</v>
      </c>
      <c r="AE82" s="96">
        <f t="shared" si="20"/>
        <v>0</v>
      </c>
      <c r="AF82" s="96">
        <f>AH82+AJ82+AL82+AN82</f>
        <v>0</v>
      </c>
      <c r="AG82" s="26"/>
      <c r="AH82" s="26"/>
      <c r="AI82" s="26"/>
      <c r="AJ82" s="26"/>
      <c r="AK82" s="26"/>
      <c r="AL82" s="26"/>
      <c r="AM82" s="26"/>
      <c r="AN82" s="26"/>
      <c r="AO82" s="96">
        <f t="shared" si="21"/>
        <v>0</v>
      </c>
      <c r="AP82" s="26"/>
      <c r="AQ82" s="26"/>
      <c r="AR82" s="26"/>
      <c r="AS82" s="26"/>
      <c r="AT82" s="96">
        <f t="shared" si="25"/>
        <v>0</v>
      </c>
      <c r="AU82" s="26"/>
      <c r="AV82" s="26"/>
      <c r="AW82" s="26"/>
      <c r="AX82" s="26"/>
      <c r="AY82" s="96">
        <f t="shared" si="23"/>
        <v>0</v>
      </c>
      <c r="AZ82" s="26"/>
      <c r="BA82" s="26"/>
      <c r="BB82" s="26"/>
      <c r="BC82" s="26"/>
      <c r="BD82" s="96">
        <f t="shared" si="24"/>
        <v>0</v>
      </c>
      <c r="BE82" s="26"/>
      <c r="BF82" s="26"/>
      <c r="BG82" s="26"/>
      <c r="BH82" s="26"/>
    </row>
    <row r="83" spans="1:60" ht="35.65" customHeight="1" thickBot="1">
      <c r="A83" s="27" t="s">
        <v>50</v>
      </c>
      <c r="B83" s="42"/>
      <c r="C83" s="25"/>
      <c r="D83" s="26"/>
      <c r="E83" s="26"/>
      <c r="F83" s="26"/>
      <c r="G83" s="26"/>
      <c r="H83" s="26"/>
      <c r="I83" s="26"/>
      <c r="J83" s="26"/>
      <c r="K83" s="26"/>
      <c r="L83" s="26"/>
      <c r="M83" s="26"/>
      <c r="N83" s="26"/>
      <c r="O83" s="26"/>
      <c r="P83" s="43"/>
      <c r="Q83" s="26"/>
      <c r="R83" s="26"/>
      <c r="S83" s="26"/>
      <c r="T83" s="43"/>
      <c r="U83" s="26"/>
      <c r="V83" s="26"/>
      <c r="W83" s="43"/>
      <c r="X83" s="26"/>
      <c r="Y83" s="26"/>
      <c r="Z83" s="26"/>
      <c r="AA83" s="26"/>
      <c r="AB83" s="26"/>
      <c r="AC83" s="26"/>
      <c r="AD83" s="52" t="s">
        <v>605</v>
      </c>
      <c r="AE83" s="96">
        <f t="shared" si="20"/>
        <v>0</v>
      </c>
      <c r="AF83" s="96">
        <f t="shared" si="20"/>
        <v>0</v>
      </c>
      <c r="AG83" s="26"/>
      <c r="AH83" s="26"/>
      <c r="AI83" s="26"/>
      <c r="AJ83" s="26"/>
      <c r="AK83" s="26"/>
      <c r="AL83" s="26"/>
      <c r="AM83" s="26"/>
      <c r="AN83" s="26"/>
      <c r="AO83" s="96">
        <f t="shared" si="21"/>
        <v>0</v>
      </c>
      <c r="AP83" s="26"/>
      <c r="AQ83" s="26"/>
      <c r="AR83" s="26"/>
      <c r="AS83" s="26"/>
      <c r="AT83" s="96">
        <f t="shared" si="25"/>
        <v>0</v>
      </c>
      <c r="AU83" s="26"/>
      <c r="AV83" s="26"/>
      <c r="AW83" s="26"/>
      <c r="AX83" s="26"/>
      <c r="AY83" s="96">
        <f t="shared" si="23"/>
        <v>0</v>
      </c>
      <c r="AZ83" s="26"/>
      <c r="BA83" s="26"/>
      <c r="BB83" s="26"/>
      <c r="BC83" s="26"/>
      <c r="BD83" s="96">
        <f t="shared" si="24"/>
        <v>0</v>
      </c>
      <c r="BE83" s="26"/>
      <c r="BF83" s="26"/>
      <c r="BG83" s="26"/>
      <c r="BH83" s="26"/>
    </row>
    <row r="84" spans="1:60" ht="35.65" customHeight="1" thickBot="1">
      <c r="A84" s="27" t="s">
        <v>50</v>
      </c>
      <c r="B84" s="42"/>
      <c r="C84" s="25"/>
      <c r="D84" s="26"/>
      <c r="E84" s="26"/>
      <c r="F84" s="26"/>
      <c r="G84" s="26"/>
      <c r="H84" s="26"/>
      <c r="I84" s="26"/>
      <c r="J84" s="26"/>
      <c r="K84" s="26"/>
      <c r="L84" s="26"/>
      <c r="M84" s="26"/>
      <c r="N84" s="26"/>
      <c r="O84" s="26"/>
      <c r="P84" s="26"/>
      <c r="Q84" s="26"/>
      <c r="R84" s="26"/>
      <c r="S84" s="26"/>
      <c r="T84" s="26"/>
      <c r="U84" s="26"/>
      <c r="V84" s="26"/>
      <c r="W84" s="43" t="s">
        <v>64</v>
      </c>
      <c r="X84" s="26"/>
      <c r="Y84" s="26"/>
      <c r="Z84" s="26"/>
      <c r="AA84" s="26"/>
      <c r="AB84" s="26"/>
      <c r="AC84" s="26"/>
      <c r="AD84" s="52" t="s">
        <v>606</v>
      </c>
      <c r="AE84" s="96">
        <f t="shared" si="20"/>
        <v>0</v>
      </c>
      <c r="AF84" s="96">
        <f t="shared" si="20"/>
        <v>0</v>
      </c>
      <c r="AG84" s="26"/>
      <c r="AH84" s="26"/>
      <c r="AI84" s="26"/>
      <c r="AJ84" s="26"/>
      <c r="AK84" s="26"/>
      <c r="AL84" s="26"/>
      <c r="AM84" s="26"/>
      <c r="AN84" s="26"/>
      <c r="AO84" s="96">
        <f t="shared" si="21"/>
        <v>0</v>
      </c>
      <c r="AP84" s="26"/>
      <c r="AQ84" s="26"/>
      <c r="AR84" s="26"/>
      <c r="AS84" s="26"/>
      <c r="AT84" s="96">
        <f t="shared" si="25"/>
        <v>0</v>
      </c>
      <c r="AU84" s="26"/>
      <c r="AV84" s="26"/>
      <c r="AW84" s="26"/>
      <c r="AX84" s="26"/>
      <c r="AY84" s="96">
        <f t="shared" si="23"/>
        <v>0</v>
      </c>
      <c r="AZ84" s="26"/>
      <c r="BA84" s="26"/>
      <c r="BB84" s="26"/>
      <c r="BC84" s="26"/>
      <c r="BD84" s="96">
        <f t="shared" si="24"/>
        <v>0</v>
      </c>
      <c r="BE84" s="26"/>
      <c r="BF84" s="26"/>
      <c r="BG84" s="26"/>
      <c r="BH84" s="26"/>
    </row>
    <row r="85" spans="1:60" ht="35.65" customHeight="1" thickBot="1">
      <c r="A85" s="27" t="s">
        <v>50</v>
      </c>
      <c r="B85" s="42"/>
      <c r="C85" s="25"/>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52" t="s">
        <v>607</v>
      </c>
      <c r="AE85" s="96">
        <f t="shared" si="20"/>
        <v>0</v>
      </c>
      <c r="AF85" s="96">
        <f t="shared" si="20"/>
        <v>0</v>
      </c>
      <c r="AG85" s="26"/>
      <c r="AH85" s="26"/>
      <c r="AI85" s="26"/>
      <c r="AJ85" s="26"/>
      <c r="AK85" s="26"/>
      <c r="AL85" s="26"/>
      <c r="AM85" s="26"/>
      <c r="AN85" s="26"/>
      <c r="AO85" s="96">
        <f t="shared" si="21"/>
        <v>0</v>
      </c>
      <c r="AP85" s="26"/>
      <c r="AQ85" s="26"/>
      <c r="AR85" s="26"/>
      <c r="AS85" s="26"/>
      <c r="AT85" s="96">
        <f t="shared" si="25"/>
        <v>0</v>
      </c>
      <c r="AU85" s="26"/>
      <c r="AV85" s="26"/>
      <c r="AW85" s="26"/>
      <c r="AX85" s="26"/>
      <c r="AY85" s="96">
        <f t="shared" si="23"/>
        <v>0</v>
      </c>
      <c r="AZ85" s="26"/>
      <c r="BA85" s="26"/>
      <c r="BB85" s="26"/>
      <c r="BC85" s="26"/>
      <c r="BD85" s="96">
        <f t="shared" si="24"/>
        <v>0</v>
      </c>
      <c r="BE85" s="26"/>
      <c r="BF85" s="26"/>
      <c r="BG85" s="26"/>
      <c r="BH85" s="26"/>
    </row>
    <row r="86" spans="1:60" ht="35.65" customHeight="1" thickBot="1">
      <c r="A86" s="27" t="s">
        <v>50</v>
      </c>
      <c r="B86" s="42"/>
      <c r="C86" s="25"/>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52" t="s">
        <v>608</v>
      </c>
      <c r="AE86" s="96">
        <f t="shared" si="20"/>
        <v>0</v>
      </c>
      <c r="AF86" s="96">
        <f t="shared" si="20"/>
        <v>0</v>
      </c>
      <c r="AG86" s="26"/>
      <c r="AH86" s="26"/>
      <c r="AI86" s="26"/>
      <c r="AJ86" s="26"/>
      <c r="AK86" s="26"/>
      <c r="AL86" s="26"/>
      <c r="AM86" s="26"/>
      <c r="AN86" s="26"/>
      <c r="AO86" s="96">
        <f t="shared" si="21"/>
        <v>0</v>
      </c>
      <c r="AP86" s="26"/>
      <c r="AQ86" s="26"/>
      <c r="AR86" s="26"/>
      <c r="AS86" s="26"/>
      <c r="AT86" s="96">
        <f t="shared" si="25"/>
        <v>0</v>
      </c>
      <c r="AU86" s="26"/>
      <c r="AV86" s="26"/>
      <c r="AW86" s="26"/>
      <c r="AX86" s="26"/>
      <c r="AY86" s="96">
        <f t="shared" si="23"/>
        <v>0</v>
      </c>
      <c r="AZ86" s="26"/>
      <c r="BA86" s="26"/>
      <c r="BB86" s="26"/>
      <c r="BC86" s="26"/>
      <c r="BD86" s="96">
        <f t="shared" si="24"/>
        <v>0</v>
      </c>
      <c r="BE86" s="26"/>
      <c r="BF86" s="26"/>
      <c r="BG86" s="26"/>
      <c r="BH86" s="26"/>
    </row>
    <row r="87" spans="1:60" ht="35.65" customHeight="1" thickBot="1">
      <c r="A87" s="27" t="s">
        <v>50</v>
      </c>
      <c r="B87" s="42"/>
      <c r="C87" s="25"/>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52" t="s">
        <v>609</v>
      </c>
      <c r="AE87" s="96">
        <f t="shared" si="20"/>
        <v>0</v>
      </c>
      <c r="AF87" s="96">
        <f t="shared" si="20"/>
        <v>0</v>
      </c>
      <c r="AG87" s="26"/>
      <c r="AH87" s="26"/>
      <c r="AI87" s="26"/>
      <c r="AJ87" s="26"/>
      <c r="AK87" s="26"/>
      <c r="AL87" s="26"/>
      <c r="AM87" s="26"/>
      <c r="AN87" s="26"/>
      <c r="AO87" s="96">
        <f t="shared" si="21"/>
        <v>0</v>
      </c>
      <c r="AP87" s="26"/>
      <c r="AQ87" s="26"/>
      <c r="AR87" s="26"/>
      <c r="AS87" s="26"/>
      <c r="AT87" s="96">
        <f t="shared" si="25"/>
        <v>0</v>
      </c>
      <c r="AU87" s="26"/>
      <c r="AV87" s="26"/>
      <c r="AW87" s="26"/>
      <c r="AX87" s="26"/>
      <c r="AY87" s="96">
        <f t="shared" si="23"/>
        <v>0</v>
      </c>
      <c r="AZ87" s="26"/>
      <c r="BA87" s="26"/>
      <c r="BB87" s="26"/>
      <c r="BC87" s="26"/>
      <c r="BD87" s="96">
        <f t="shared" si="24"/>
        <v>0</v>
      </c>
      <c r="BE87" s="26"/>
      <c r="BF87" s="26"/>
      <c r="BG87" s="26"/>
      <c r="BH87" s="26"/>
    </row>
    <row r="88" spans="1:60" ht="35.65" customHeight="1" thickBot="1">
      <c r="A88" s="27" t="s">
        <v>50</v>
      </c>
      <c r="B88" s="42"/>
      <c r="C88" s="25"/>
      <c r="D88" s="26"/>
      <c r="E88" s="26"/>
      <c r="F88" s="26"/>
      <c r="G88" s="26"/>
      <c r="H88" s="26"/>
      <c r="I88" s="26"/>
      <c r="J88" s="26"/>
      <c r="K88" s="26"/>
      <c r="L88" s="26"/>
      <c r="M88" s="26"/>
      <c r="N88" s="26"/>
      <c r="O88" s="26"/>
      <c r="P88" s="26"/>
      <c r="Q88" s="26"/>
      <c r="R88" s="26"/>
      <c r="S88" s="26"/>
      <c r="T88" s="26"/>
      <c r="U88" s="26"/>
      <c r="V88" s="26"/>
      <c r="W88" s="43" t="s">
        <v>64</v>
      </c>
      <c r="X88" s="26"/>
      <c r="Y88" s="26"/>
      <c r="Z88" s="26"/>
      <c r="AA88" s="26"/>
      <c r="AB88" s="26"/>
      <c r="AC88" s="26"/>
      <c r="AD88" s="52" t="s">
        <v>610</v>
      </c>
      <c r="AE88" s="96">
        <f t="shared" si="20"/>
        <v>3525.2</v>
      </c>
      <c r="AF88" s="96">
        <f t="shared" si="20"/>
        <v>3525.2</v>
      </c>
      <c r="AG88" s="26"/>
      <c r="AH88" s="26"/>
      <c r="AI88" s="26"/>
      <c r="AJ88" s="26"/>
      <c r="AK88" s="26"/>
      <c r="AL88" s="26"/>
      <c r="AM88" s="26">
        <v>3525.2</v>
      </c>
      <c r="AN88" s="26">
        <v>3525.2</v>
      </c>
      <c r="AO88" s="96">
        <f t="shared" si="21"/>
        <v>0</v>
      </c>
      <c r="AP88" s="26"/>
      <c r="AQ88" s="26"/>
      <c r="AR88" s="26"/>
      <c r="AS88" s="26"/>
      <c r="AT88" s="96">
        <f t="shared" si="25"/>
        <v>0</v>
      </c>
      <c r="AU88" s="26"/>
      <c r="AV88" s="26"/>
      <c r="AW88" s="26"/>
      <c r="AX88" s="26"/>
      <c r="AY88" s="96">
        <f t="shared" si="23"/>
        <v>0</v>
      </c>
      <c r="AZ88" s="26"/>
      <c r="BA88" s="26"/>
      <c r="BB88" s="26"/>
      <c r="BC88" s="26"/>
      <c r="BD88" s="96">
        <f t="shared" si="24"/>
        <v>0</v>
      </c>
      <c r="BE88" s="26"/>
      <c r="BF88" s="26"/>
      <c r="BG88" s="26"/>
      <c r="BH88" s="26"/>
    </row>
    <row r="89" spans="1:60" ht="35.65" customHeight="1" thickBot="1">
      <c r="A89" s="27" t="s">
        <v>50</v>
      </c>
      <c r="B89" s="42"/>
      <c r="C89" s="25"/>
      <c r="D89" s="26"/>
      <c r="E89" s="26"/>
      <c r="F89" s="26"/>
      <c r="G89" s="26"/>
      <c r="H89" s="26"/>
      <c r="I89" s="26"/>
      <c r="J89" s="26"/>
      <c r="K89" s="26"/>
      <c r="L89" s="26"/>
      <c r="M89" s="26"/>
      <c r="N89" s="26"/>
      <c r="O89" s="26"/>
      <c r="P89" s="26"/>
      <c r="Q89" s="26"/>
      <c r="R89" s="26"/>
      <c r="S89" s="26"/>
      <c r="T89" s="26"/>
      <c r="U89" s="26"/>
      <c r="V89" s="26"/>
      <c r="W89" s="43" t="s">
        <v>64</v>
      </c>
      <c r="X89" s="26"/>
      <c r="Y89" s="26"/>
      <c r="Z89" s="26"/>
      <c r="AA89" s="26"/>
      <c r="AB89" s="26"/>
      <c r="AC89" s="26"/>
      <c r="AD89" s="52" t="s">
        <v>611</v>
      </c>
      <c r="AE89" s="96">
        <f t="shared" si="20"/>
        <v>0</v>
      </c>
      <c r="AF89" s="96">
        <f>AH89+AJ89+AL89+AN89</f>
        <v>0</v>
      </c>
      <c r="AG89" s="26"/>
      <c r="AH89" s="26"/>
      <c r="AI89" s="26"/>
      <c r="AJ89" s="26"/>
      <c r="AK89" s="26"/>
      <c r="AL89" s="26"/>
      <c r="AM89" s="26"/>
      <c r="AN89" s="26"/>
      <c r="AO89" s="96">
        <f t="shared" si="21"/>
        <v>0</v>
      </c>
      <c r="AP89" s="26"/>
      <c r="AQ89" s="26"/>
      <c r="AR89" s="26"/>
      <c r="AS89" s="26"/>
      <c r="AT89" s="96">
        <f t="shared" si="25"/>
        <v>0</v>
      </c>
      <c r="AU89" s="26"/>
      <c r="AV89" s="26"/>
      <c r="AW89" s="26"/>
      <c r="AX89" s="26"/>
      <c r="AY89" s="96">
        <f t="shared" si="23"/>
        <v>0</v>
      </c>
      <c r="AZ89" s="26"/>
      <c r="BA89" s="26"/>
      <c r="BB89" s="26"/>
      <c r="BC89" s="26"/>
      <c r="BD89" s="96">
        <f t="shared" si="24"/>
        <v>0</v>
      </c>
      <c r="BE89" s="26"/>
      <c r="BF89" s="26"/>
      <c r="BG89" s="26"/>
      <c r="BH89" s="26"/>
    </row>
    <row r="90" spans="1:60" ht="35.65" customHeight="1">
      <c r="A90" s="29" t="s">
        <v>57</v>
      </c>
      <c r="B90" s="54"/>
      <c r="C90" s="55"/>
      <c r="D90" s="56"/>
      <c r="E90" s="56"/>
      <c r="F90" s="56"/>
      <c r="G90" s="56"/>
      <c r="H90" s="56"/>
      <c r="I90" s="56"/>
      <c r="J90" s="56"/>
      <c r="K90" s="56"/>
      <c r="L90" s="56"/>
      <c r="M90" s="56"/>
      <c r="N90" s="56"/>
      <c r="O90" s="56"/>
      <c r="P90" s="56"/>
      <c r="Q90" s="56"/>
      <c r="R90" s="56"/>
      <c r="S90" s="56"/>
      <c r="T90" s="56"/>
      <c r="U90" s="56"/>
      <c r="V90" s="56"/>
      <c r="W90" s="43" t="s">
        <v>64</v>
      </c>
      <c r="X90" s="56"/>
      <c r="Y90" s="56"/>
      <c r="Z90" s="56"/>
      <c r="AA90" s="56"/>
      <c r="AB90" s="56"/>
      <c r="AC90" s="56"/>
      <c r="AD90" s="52" t="s">
        <v>612</v>
      </c>
      <c r="AE90" s="96">
        <f t="shared" si="20"/>
        <v>0</v>
      </c>
      <c r="AF90" s="96">
        <f t="shared" si="20"/>
        <v>0</v>
      </c>
      <c r="AG90" s="26"/>
      <c r="AH90" s="26"/>
      <c r="AI90" s="26"/>
      <c r="AJ90" s="26"/>
      <c r="AK90" s="26"/>
      <c r="AL90" s="26"/>
      <c r="AM90" s="26"/>
      <c r="AN90" s="26"/>
      <c r="AO90" s="96">
        <f t="shared" si="21"/>
        <v>0</v>
      </c>
      <c r="AP90" s="26"/>
      <c r="AQ90" s="26"/>
      <c r="AR90" s="26"/>
      <c r="AS90" s="26"/>
      <c r="AT90" s="96">
        <f t="shared" si="25"/>
        <v>0</v>
      </c>
      <c r="AU90" s="26"/>
      <c r="AV90" s="26"/>
      <c r="AW90" s="26"/>
      <c r="AX90" s="26"/>
      <c r="AY90" s="96">
        <f t="shared" si="23"/>
        <v>0</v>
      </c>
      <c r="AZ90" s="26"/>
      <c r="BA90" s="26"/>
      <c r="BB90" s="26"/>
      <c r="BC90" s="26"/>
      <c r="BD90" s="96">
        <f t="shared" si="24"/>
        <v>0</v>
      </c>
      <c r="BE90" s="26"/>
      <c r="BF90" s="26"/>
      <c r="BG90" s="26"/>
      <c r="BH90" s="26"/>
    </row>
    <row r="91" spans="1:60" ht="35.65" customHeight="1">
      <c r="A91" s="29" t="s">
        <v>57</v>
      </c>
      <c r="B91" s="54"/>
      <c r="C91" s="55"/>
      <c r="D91" s="56"/>
      <c r="E91" s="56"/>
      <c r="F91" s="56"/>
      <c r="G91" s="56"/>
      <c r="H91" s="56"/>
      <c r="I91" s="56"/>
      <c r="J91" s="56"/>
      <c r="K91" s="56"/>
      <c r="L91" s="56"/>
      <c r="M91" s="56"/>
      <c r="N91" s="56"/>
      <c r="O91" s="56"/>
      <c r="P91" s="56"/>
      <c r="Q91" s="56"/>
      <c r="R91" s="56"/>
      <c r="S91" s="56"/>
      <c r="T91" s="56"/>
      <c r="U91" s="56"/>
      <c r="V91" s="56"/>
      <c r="W91" s="43" t="s">
        <v>64</v>
      </c>
      <c r="X91" s="56"/>
      <c r="Y91" s="56"/>
      <c r="Z91" s="56"/>
      <c r="AA91" s="56"/>
      <c r="AB91" s="56"/>
      <c r="AC91" s="56"/>
      <c r="AD91" s="52" t="s">
        <v>613</v>
      </c>
      <c r="AE91" s="96">
        <f t="shared" si="20"/>
        <v>0</v>
      </c>
      <c r="AF91" s="96">
        <f t="shared" si="20"/>
        <v>0</v>
      </c>
      <c r="AG91" s="26"/>
      <c r="AH91" s="26"/>
      <c r="AI91" s="26"/>
      <c r="AJ91" s="26"/>
      <c r="AK91" s="26"/>
      <c r="AL91" s="26"/>
      <c r="AM91" s="26"/>
      <c r="AN91" s="26"/>
      <c r="AO91" s="96">
        <f t="shared" si="21"/>
        <v>0</v>
      </c>
      <c r="AP91" s="26"/>
      <c r="AQ91" s="26"/>
      <c r="AR91" s="26"/>
      <c r="AS91" s="26"/>
      <c r="AT91" s="96">
        <f t="shared" si="25"/>
        <v>0</v>
      </c>
      <c r="AU91" s="26"/>
      <c r="AV91" s="26"/>
      <c r="AW91" s="26"/>
      <c r="AX91" s="26"/>
      <c r="AY91" s="96">
        <f t="shared" si="23"/>
        <v>0</v>
      </c>
      <c r="AZ91" s="26"/>
      <c r="BA91" s="26"/>
      <c r="BB91" s="26"/>
      <c r="BC91" s="26"/>
      <c r="BD91" s="96">
        <f t="shared" si="24"/>
        <v>0</v>
      </c>
      <c r="BE91" s="26"/>
      <c r="BF91" s="26"/>
      <c r="BG91" s="26"/>
      <c r="BH91" s="26"/>
    </row>
    <row r="92" spans="1:60" ht="35.65" customHeight="1">
      <c r="A92" s="57" t="s">
        <v>67</v>
      </c>
      <c r="B92" s="58">
        <v>2508</v>
      </c>
      <c r="C92" s="59"/>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v>18</v>
      </c>
      <c r="AD92" s="34"/>
      <c r="AE92" s="289">
        <f>AE98+AE99+AE101+AE102+AE104+AE105+AE106+AE107+AE108+AE109+AE113+AE115+AE117+AE119+AE120+AE121+AE122+AE123+AE124+AE125+AE128+AE129+AE131+AE110+AE114+AE116+AE601+AE126+AE93+AE95+AE100+AE112+AE118+AE96+AE97</f>
        <v>408061.2</v>
      </c>
      <c r="AF92" s="289">
        <f>AH92+AJ92+AL92+AN92</f>
        <v>103506</v>
      </c>
      <c r="AG92" s="289">
        <f>AG98+AG99+AG101+AG102+AG104+AG105+AG106+AG107+AG108+AG109+AG113+AG115+AG117+AG119+AG120+AG121+AG122+AG123+AG124+AG125+AG128+AG129+AG131+AG110+AG114+AG116+AG601+AG126+AG93+AG95+AG100+AG112+AG118+AG96+AG97</f>
        <v>785.7</v>
      </c>
      <c r="AH92" s="289">
        <f>AH98+AH99+AH101+AH102+AH104+AH105+AH106+AH107+AH108+AH109+AH113+AH115+AH117+AH119+AH120+AH121+AH122+AH123+AH124+AH125+AH128+AH129+AH131+AH110+AH114+AH116+AH601+AH126+AH93+AH95+AH100+AH112+AH118+AH96+AH97</f>
        <v>785.7</v>
      </c>
      <c r="AI92" s="289">
        <f>AI98+AI99+AI101+AI102+AI104+AI105+AI106+AI107+AI108+AI109+AI113+AI115+AI117+AI119+AI120+AI121+AI122+AI123+AI124+AI125+AI128+AI129+AI131+AI110+AI114+AI116+AI601+AI126+AI93+AI95+AI100+AI112+AI118+AI96+AI97</f>
        <v>395624.5</v>
      </c>
      <c r="AJ92" s="289">
        <f>AJ98+AJ99+AJ101+AJ102+AJ104+AJ105+AJ106+AJ107+AJ108+AJ109+AJ113+AJ115+AJ117+AJ119+AJ120+AJ121+AJ122+AJ123+AJ124+AJ125+AJ128+AJ129+AJ131+AJ110+AJ114+AJ116+AJ601+AJ126+AJ93+AJ95+AJ100+AJ112+AJ118+AJ96+AJ97</f>
        <v>93950.8</v>
      </c>
      <c r="AK92" s="289">
        <f>AK98+AK99+AK101+AK102+AK104+AK105+AK106+AK107+AK108+AK109+AK113+AK115+AK117+AK119+AK120+AK121+AK122+AK123+AK124+AK125+AK128+AK129+AK131+AK110+AK114+AK116+AK601+AK126+AK93+AK95+AK100+AK112+AK118+AK96+AK97</f>
        <v>0</v>
      </c>
      <c r="AL92" s="289"/>
      <c r="AM92" s="289">
        <f>AM98+AM99+AM101+AM102+AM104+AM105+AM106+AM107+AM108+AM109+AM113+AM115+AM117+AM119+AM120+AM121+AM122+AM123+AM124+AM125+AM128+AM129+AM131+AM110+AM114+AM116+AM601+AM126+AM93+AM95+AM100+AM112+AM118+AM96+AM97</f>
        <v>11651</v>
      </c>
      <c r="AN92" s="289">
        <f>AN98+AN99+AN101+AN102+AN104+AN105+AN106+AN107+AN108+AN109+AN113+AN115+AN117+AN119+AN120+AN121+AN122+AN123+AN124+AN125+AN128+AN129+AN131+AN110+AN114+AN116+AN601+AN126+AN93+AN95+AN100+AN112+AN118+AN96+AN97</f>
        <v>8769.5</v>
      </c>
      <c r="AO92" s="289">
        <f>AO98+AO99+AO101+AO102+AO104+AO105+AO106+AO107+AO108+AO109+AO113+AO115+AO117+AO119+AO120+AO121+AO122+AO123+AO124+AO125+AO128+AO129+AO131+AO110+AO114+AO116+AO601+AO126+AO93+AO95+AO100+AO130+AO94+AO127</f>
        <v>441269.10000000003</v>
      </c>
      <c r="AP92" s="289">
        <f t="shared" ref="AP92:AT92" si="26">AP98+AP99+AP101+AP102+AP104+AP105+AP106+AP107+AP108+AP109+AP113+AP115+AP117+AP119+AP120+AP121+AP122+AP123+AP124+AP125+AP128+AP129+AP131+AP110+AP114+AP116+AP601+AP126+AP93+AP95+AP100+AP130+AP94+AP127</f>
        <v>3789</v>
      </c>
      <c r="AQ92" s="289">
        <f t="shared" si="26"/>
        <v>417281.69999999995</v>
      </c>
      <c r="AR92" s="289">
        <f t="shared" si="26"/>
        <v>0</v>
      </c>
      <c r="AS92" s="289">
        <f t="shared" si="26"/>
        <v>20198.400000000001</v>
      </c>
      <c r="AT92" s="289">
        <f t="shared" si="26"/>
        <v>92981.7</v>
      </c>
      <c r="AU92" s="289">
        <f t="shared" ref="AU92:BH92" si="27">AU98+AU99+AU101+AU102+AU104+AU105+AU106+AU107+AU108+AU109+AU113+AU115+AU117+AU119+AU120+AU121+AU122+AU123+AU124+AU125+AU128+AU129+AU131+AU110+AU114+AU116+AU601+AU126+AU93+AU95+AU100+AU130</f>
        <v>1399.1999999999998</v>
      </c>
      <c r="AV92" s="289">
        <f t="shared" si="27"/>
        <v>87833.1</v>
      </c>
      <c r="AW92" s="289">
        <f t="shared" si="27"/>
        <v>0</v>
      </c>
      <c r="AX92" s="289">
        <f t="shared" si="27"/>
        <v>3749.4</v>
      </c>
      <c r="AY92" s="289">
        <f t="shared" si="27"/>
        <v>10209.9</v>
      </c>
      <c r="AZ92" s="289">
        <f t="shared" si="27"/>
        <v>1682.1</v>
      </c>
      <c r="BA92" s="289">
        <f t="shared" si="27"/>
        <v>4243.5</v>
      </c>
      <c r="BB92" s="289">
        <f t="shared" si="27"/>
        <v>0</v>
      </c>
      <c r="BC92" s="289">
        <f t="shared" si="27"/>
        <v>4284.3</v>
      </c>
      <c r="BD92" s="289">
        <f t="shared" si="27"/>
        <v>10209.9</v>
      </c>
      <c r="BE92" s="289">
        <f t="shared" si="27"/>
        <v>1682.1</v>
      </c>
      <c r="BF92" s="289">
        <f t="shared" si="27"/>
        <v>4243.5</v>
      </c>
      <c r="BG92" s="289">
        <f t="shared" si="27"/>
        <v>0</v>
      </c>
      <c r="BH92" s="289">
        <f t="shared" si="27"/>
        <v>4284.3</v>
      </c>
    </row>
    <row r="93" spans="1:60" ht="35.65" customHeight="1">
      <c r="A93" s="61" t="s">
        <v>58</v>
      </c>
      <c r="B93" s="53"/>
      <c r="C93" s="429" t="s">
        <v>68</v>
      </c>
      <c r="D93" s="424" t="s">
        <v>36</v>
      </c>
      <c r="E93" s="432">
        <v>39448</v>
      </c>
      <c r="F93" s="26"/>
      <c r="G93" s="26"/>
      <c r="H93" s="26"/>
      <c r="I93" s="26"/>
      <c r="J93" s="26"/>
      <c r="K93" s="26"/>
      <c r="L93" s="26"/>
      <c r="M93" s="407" t="s">
        <v>69</v>
      </c>
      <c r="N93" s="424" t="s">
        <v>36</v>
      </c>
      <c r="O93" s="434" t="s">
        <v>70</v>
      </c>
      <c r="P93" s="407" t="s">
        <v>69</v>
      </c>
      <c r="Q93" s="424" t="s">
        <v>36</v>
      </c>
      <c r="R93" s="352" t="s">
        <v>70</v>
      </c>
      <c r="S93" s="26"/>
      <c r="T93" s="375" t="s">
        <v>71</v>
      </c>
      <c r="U93" s="52"/>
      <c r="V93" s="26"/>
      <c r="W93" s="407" t="s">
        <v>72</v>
      </c>
      <c r="X93" s="375" t="s">
        <v>36</v>
      </c>
      <c r="Y93" s="352" t="s">
        <v>73</v>
      </c>
      <c r="Z93" s="407" t="s">
        <v>72</v>
      </c>
      <c r="AA93" s="26"/>
      <c r="AB93" s="26"/>
      <c r="AC93" s="26"/>
      <c r="AD93" s="52" t="s">
        <v>614</v>
      </c>
      <c r="AE93" s="294">
        <f t="shared" ref="AE93:AF108" si="28">AG93+AI93+AK93+AM93</f>
        <v>0</v>
      </c>
      <c r="AF93" s="294">
        <f>AH93+AJ93+AL93+AN93</f>
        <v>0</v>
      </c>
      <c r="AG93" s="294"/>
      <c r="AH93" s="294"/>
      <c r="AI93" s="294"/>
      <c r="AJ93" s="294"/>
      <c r="AK93" s="294"/>
      <c r="AL93" s="294"/>
      <c r="AM93" s="294">
        <f>293.6-293.6</f>
        <v>0</v>
      </c>
      <c r="AN93" s="294"/>
      <c r="AO93" s="294">
        <f>AS93</f>
        <v>408.2</v>
      </c>
      <c r="AP93" s="294"/>
      <c r="AQ93" s="294"/>
      <c r="AR93" s="294"/>
      <c r="AS93" s="294">
        <v>408.2</v>
      </c>
      <c r="AT93" s="294"/>
      <c r="AU93" s="294"/>
      <c r="AV93" s="294"/>
      <c r="AW93" s="294"/>
      <c r="AX93" s="294"/>
      <c r="AY93" s="294"/>
      <c r="AZ93" s="294"/>
      <c r="BA93" s="294"/>
      <c r="BB93" s="294"/>
      <c r="BC93" s="294"/>
      <c r="BD93" s="294"/>
      <c r="BE93" s="294"/>
      <c r="BF93" s="294"/>
      <c r="BG93" s="294"/>
      <c r="BH93" s="294"/>
    </row>
    <row r="94" spans="1:60" ht="35.65" customHeight="1">
      <c r="A94" s="61" t="s">
        <v>58</v>
      </c>
      <c r="B94" s="53"/>
      <c r="C94" s="430"/>
      <c r="D94" s="425"/>
      <c r="E94" s="433"/>
      <c r="F94" s="26"/>
      <c r="G94" s="26"/>
      <c r="H94" s="26"/>
      <c r="I94" s="26"/>
      <c r="J94" s="26"/>
      <c r="K94" s="26"/>
      <c r="L94" s="26"/>
      <c r="M94" s="408"/>
      <c r="N94" s="425"/>
      <c r="O94" s="435"/>
      <c r="P94" s="408"/>
      <c r="Q94" s="425"/>
      <c r="R94" s="395"/>
      <c r="S94" s="26"/>
      <c r="T94" s="388"/>
      <c r="U94" s="52"/>
      <c r="V94" s="26"/>
      <c r="W94" s="408"/>
      <c r="X94" s="388"/>
      <c r="Y94" s="395"/>
      <c r="Z94" s="408"/>
      <c r="AA94" s="26"/>
      <c r="AB94" s="26"/>
      <c r="AC94" s="26"/>
      <c r="AD94" s="52" t="s">
        <v>615</v>
      </c>
      <c r="AE94" s="294">
        <f t="shared" si="28"/>
        <v>0</v>
      </c>
      <c r="AF94" s="294">
        <f t="shared" si="28"/>
        <v>0</v>
      </c>
      <c r="AG94" s="294"/>
      <c r="AH94" s="294"/>
      <c r="AI94" s="294"/>
      <c r="AJ94" s="294"/>
      <c r="AK94" s="294"/>
      <c r="AL94" s="294"/>
      <c r="AM94" s="294"/>
      <c r="AN94" s="294"/>
      <c r="AO94" s="294">
        <f t="shared" ref="AO94:AO109" si="29">AS94</f>
        <v>267.39999999999998</v>
      </c>
      <c r="AP94" s="294"/>
      <c r="AQ94" s="294"/>
      <c r="AR94" s="294"/>
      <c r="AS94" s="294">
        <v>267.39999999999998</v>
      </c>
      <c r="AT94" s="294"/>
      <c r="AU94" s="294"/>
      <c r="AV94" s="294"/>
      <c r="AW94" s="294"/>
      <c r="AX94" s="294"/>
      <c r="AY94" s="294"/>
      <c r="AZ94" s="294"/>
      <c r="BA94" s="294"/>
      <c r="BB94" s="294"/>
      <c r="BC94" s="294"/>
      <c r="BD94" s="294"/>
      <c r="BE94" s="294"/>
      <c r="BF94" s="294"/>
      <c r="BG94" s="294"/>
      <c r="BH94" s="294"/>
    </row>
    <row r="95" spans="1:60" ht="35.65" customHeight="1">
      <c r="A95" s="61" t="s">
        <v>58</v>
      </c>
      <c r="B95" s="53"/>
      <c r="C95" s="431"/>
      <c r="D95" s="422"/>
      <c r="E95" s="422"/>
      <c r="F95" s="26"/>
      <c r="G95" s="26"/>
      <c r="H95" s="26"/>
      <c r="I95" s="26"/>
      <c r="J95" s="26"/>
      <c r="K95" s="26"/>
      <c r="L95" s="26"/>
      <c r="M95" s="422"/>
      <c r="N95" s="422"/>
      <c r="O95" s="422"/>
      <c r="P95" s="422"/>
      <c r="Q95" s="422"/>
      <c r="R95" s="422"/>
      <c r="S95" s="26"/>
      <c r="T95" s="422"/>
      <c r="U95" s="52"/>
      <c r="V95" s="26"/>
      <c r="W95" s="422"/>
      <c r="X95" s="422"/>
      <c r="Y95" s="422"/>
      <c r="Z95" s="422"/>
      <c r="AA95" s="26"/>
      <c r="AB95" s="26"/>
      <c r="AC95" s="26"/>
      <c r="AD95" s="52" t="s">
        <v>616</v>
      </c>
      <c r="AE95" s="294">
        <f t="shared" si="28"/>
        <v>0</v>
      </c>
      <c r="AF95" s="294">
        <f t="shared" si="28"/>
        <v>0</v>
      </c>
      <c r="AG95" s="294"/>
      <c r="AH95" s="294"/>
      <c r="AI95" s="294">
        <f>14678.2-4678.2-10000</f>
        <v>0</v>
      </c>
      <c r="AJ95" s="294"/>
      <c r="AK95" s="294"/>
      <c r="AL95" s="294"/>
      <c r="AM95" s="294"/>
      <c r="AN95" s="294"/>
      <c r="AO95" s="294">
        <f t="shared" si="29"/>
        <v>0</v>
      </c>
      <c r="AP95" s="294"/>
      <c r="AQ95" s="294"/>
      <c r="AR95" s="294"/>
      <c r="AS95" s="294"/>
      <c r="AT95" s="294"/>
      <c r="AU95" s="294"/>
      <c r="AV95" s="294"/>
      <c r="AW95" s="294"/>
      <c r="AX95" s="294"/>
      <c r="AY95" s="294"/>
      <c r="AZ95" s="294"/>
      <c r="BA95" s="294"/>
      <c r="BB95" s="294"/>
      <c r="BC95" s="294"/>
      <c r="BD95" s="294"/>
      <c r="BE95" s="294"/>
      <c r="BF95" s="294"/>
      <c r="BG95" s="294"/>
      <c r="BH95" s="294"/>
    </row>
    <row r="96" spans="1:60" ht="35.65" customHeight="1">
      <c r="A96" s="61" t="s">
        <v>58</v>
      </c>
      <c r="B96" s="62"/>
      <c r="C96" s="431"/>
      <c r="D96" s="422"/>
      <c r="E96" s="422"/>
      <c r="F96" s="46"/>
      <c r="G96" s="46"/>
      <c r="H96" s="46"/>
      <c r="I96" s="46"/>
      <c r="J96" s="46"/>
      <c r="K96" s="46"/>
      <c r="L96" s="46"/>
      <c r="M96" s="422"/>
      <c r="N96" s="422"/>
      <c r="O96" s="422"/>
      <c r="P96" s="422"/>
      <c r="Q96" s="422"/>
      <c r="R96" s="422"/>
      <c r="S96" s="46"/>
      <c r="T96" s="422"/>
      <c r="U96" s="63"/>
      <c r="V96" s="46"/>
      <c r="W96" s="422"/>
      <c r="X96" s="422"/>
      <c r="Y96" s="422"/>
      <c r="Z96" s="422"/>
      <c r="AA96" s="46"/>
      <c r="AB96" s="46"/>
      <c r="AC96" s="64"/>
      <c r="AD96" s="52" t="s">
        <v>617</v>
      </c>
      <c r="AE96" s="294">
        <f t="shared" si="28"/>
        <v>45345.4</v>
      </c>
      <c r="AF96" s="294">
        <f t="shared" si="28"/>
        <v>9501</v>
      </c>
      <c r="AG96" s="294"/>
      <c r="AH96" s="294"/>
      <c r="AI96" s="294">
        <v>45345.4</v>
      </c>
      <c r="AJ96" s="294">
        <v>9501</v>
      </c>
      <c r="AK96" s="294"/>
      <c r="AL96" s="294"/>
      <c r="AM96" s="294"/>
      <c r="AN96" s="294"/>
      <c r="AO96" s="294">
        <f t="shared" si="29"/>
        <v>0</v>
      </c>
      <c r="AP96" s="294"/>
      <c r="AQ96" s="294"/>
      <c r="AR96" s="294"/>
      <c r="AS96" s="294"/>
      <c r="AT96" s="294"/>
      <c r="AU96" s="294"/>
      <c r="AV96" s="294"/>
      <c r="AW96" s="294"/>
      <c r="AX96" s="294"/>
      <c r="AY96" s="294"/>
      <c r="AZ96" s="294"/>
      <c r="BA96" s="294"/>
      <c r="BB96" s="294"/>
      <c r="BC96" s="294"/>
      <c r="BD96" s="294"/>
      <c r="BE96" s="294"/>
      <c r="BF96" s="294"/>
      <c r="BG96" s="294"/>
      <c r="BH96" s="294"/>
    </row>
    <row r="97" spans="1:60" ht="35.65" customHeight="1">
      <c r="A97" s="61" t="s">
        <v>58</v>
      </c>
      <c r="B97" s="62"/>
      <c r="C97" s="431"/>
      <c r="D97" s="422"/>
      <c r="E97" s="422"/>
      <c r="F97" s="46"/>
      <c r="G97" s="46"/>
      <c r="H97" s="46"/>
      <c r="I97" s="46"/>
      <c r="J97" s="46"/>
      <c r="K97" s="46"/>
      <c r="L97" s="46"/>
      <c r="M97" s="422"/>
      <c r="N97" s="422"/>
      <c r="O97" s="422"/>
      <c r="P97" s="422"/>
      <c r="Q97" s="422"/>
      <c r="R97" s="422"/>
      <c r="S97" s="46"/>
      <c r="T97" s="422"/>
      <c r="U97" s="63"/>
      <c r="V97" s="46"/>
      <c r="W97" s="422"/>
      <c r="X97" s="422"/>
      <c r="Y97" s="422"/>
      <c r="Z97" s="422"/>
      <c r="AA97" s="46"/>
      <c r="AB97" s="46"/>
      <c r="AC97" s="64"/>
      <c r="AD97" s="52" t="s">
        <v>618</v>
      </c>
      <c r="AE97" s="294">
        <f t="shared" si="28"/>
        <v>4.5</v>
      </c>
      <c r="AF97" s="294">
        <f t="shared" si="28"/>
        <v>4.5</v>
      </c>
      <c r="AG97" s="294"/>
      <c r="AH97" s="294"/>
      <c r="AI97" s="294"/>
      <c r="AJ97" s="294"/>
      <c r="AK97" s="294"/>
      <c r="AL97" s="294"/>
      <c r="AM97" s="294">
        <v>4.5</v>
      </c>
      <c r="AN97" s="294">
        <v>4.5</v>
      </c>
      <c r="AO97" s="294">
        <f t="shared" si="29"/>
        <v>0</v>
      </c>
      <c r="AP97" s="294"/>
      <c r="AQ97" s="294"/>
      <c r="AR97" s="294"/>
      <c r="AS97" s="294"/>
      <c r="AT97" s="294"/>
      <c r="AU97" s="294"/>
      <c r="AV97" s="294"/>
      <c r="AW97" s="294"/>
      <c r="AX97" s="294"/>
      <c r="AY97" s="294"/>
      <c r="AZ97" s="294"/>
      <c r="BA97" s="294"/>
      <c r="BB97" s="294"/>
      <c r="BC97" s="294"/>
      <c r="BD97" s="294"/>
      <c r="BE97" s="294"/>
      <c r="BF97" s="294"/>
      <c r="BG97" s="294"/>
      <c r="BH97" s="294"/>
    </row>
    <row r="98" spans="1:60" ht="35.65" customHeight="1">
      <c r="A98" s="29" t="s">
        <v>31</v>
      </c>
      <c r="B98" s="54"/>
      <c r="C98" s="431"/>
      <c r="D98" s="422"/>
      <c r="E98" s="422"/>
      <c r="F98" s="46"/>
      <c r="G98" s="46"/>
      <c r="H98" s="46"/>
      <c r="I98" s="46"/>
      <c r="J98" s="46"/>
      <c r="K98" s="46"/>
      <c r="L98" s="46"/>
      <c r="M98" s="422"/>
      <c r="N98" s="422"/>
      <c r="O98" s="422"/>
      <c r="P98" s="422"/>
      <c r="Q98" s="422"/>
      <c r="R98" s="422"/>
      <c r="S98" s="46"/>
      <c r="T98" s="422"/>
      <c r="U98" s="388" t="s">
        <v>36</v>
      </c>
      <c r="V98" s="395" t="s">
        <v>74</v>
      </c>
      <c r="W98" s="422"/>
      <c r="X98" s="422"/>
      <c r="Y98" s="422"/>
      <c r="Z98" s="422"/>
      <c r="AA98" s="65" t="s">
        <v>36</v>
      </c>
      <c r="AB98" s="395" t="s">
        <v>73</v>
      </c>
      <c r="AC98" s="64"/>
      <c r="AD98" s="52" t="s">
        <v>619</v>
      </c>
      <c r="AE98" s="294">
        <f t="shared" si="28"/>
        <v>0</v>
      </c>
      <c r="AF98" s="294">
        <f t="shared" si="28"/>
        <v>0</v>
      </c>
      <c r="AG98" s="26"/>
      <c r="AH98" s="26"/>
      <c r="AI98" s="26"/>
      <c r="AJ98" s="26"/>
      <c r="AK98" s="26"/>
      <c r="AL98" s="26"/>
      <c r="AM98" s="26"/>
      <c r="AN98" s="26"/>
      <c r="AO98" s="294">
        <f t="shared" si="29"/>
        <v>0</v>
      </c>
      <c r="AP98" s="26"/>
      <c r="AQ98" s="26"/>
      <c r="AR98" s="26"/>
      <c r="AS98" s="26"/>
      <c r="AT98" s="26"/>
      <c r="AU98" s="26"/>
      <c r="AV98" s="26"/>
      <c r="AW98" s="26"/>
      <c r="AX98" s="26"/>
      <c r="AY98" s="26"/>
      <c r="AZ98" s="26"/>
      <c r="BA98" s="26"/>
      <c r="BB98" s="26"/>
      <c r="BC98" s="26"/>
      <c r="BD98" s="26"/>
      <c r="BE98" s="26"/>
      <c r="BF98" s="26"/>
      <c r="BG98" s="26"/>
      <c r="BH98" s="26"/>
    </row>
    <row r="99" spans="1:60" ht="35.65" customHeight="1">
      <c r="A99" s="61" t="s">
        <v>31</v>
      </c>
      <c r="B99" s="53"/>
      <c r="C99" s="431"/>
      <c r="D99" s="422"/>
      <c r="E99" s="422"/>
      <c r="F99" s="26"/>
      <c r="G99" s="26"/>
      <c r="H99" s="26"/>
      <c r="I99" s="26"/>
      <c r="J99" s="26"/>
      <c r="K99" s="26"/>
      <c r="L99" s="26"/>
      <c r="M99" s="422"/>
      <c r="N99" s="422"/>
      <c r="O99" s="422"/>
      <c r="P99" s="422"/>
      <c r="Q99" s="422"/>
      <c r="R99" s="422"/>
      <c r="S99" s="26"/>
      <c r="T99" s="422"/>
      <c r="U99" s="388"/>
      <c r="V99" s="395"/>
      <c r="W99" s="422"/>
      <c r="X99" s="422"/>
      <c r="Y99" s="422"/>
      <c r="Z99" s="422"/>
      <c r="AA99" s="375"/>
      <c r="AB99" s="395"/>
      <c r="AC99" s="26"/>
      <c r="AD99" s="52" t="s">
        <v>620</v>
      </c>
      <c r="AE99" s="294">
        <f t="shared" si="28"/>
        <v>0</v>
      </c>
      <c r="AF99" s="294">
        <f t="shared" si="28"/>
        <v>0</v>
      </c>
      <c r="AG99" s="26"/>
      <c r="AH99" s="26"/>
      <c r="AI99" s="26"/>
      <c r="AJ99" s="26"/>
      <c r="AK99" s="26"/>
      <c r="AL99" s="26"/>
      <c r="AM99" s="26"/>
      <c r="AN99" s="26"/>
      <c r="AO99" s="294">
        <f t="shared" si="29"/>
        <v>0</v>
      </c>
      <c r="AP99" s="26"/>
      <c r="AQ99" s="26"/>
      <c r="AR99" s="26"/>
      <c r="AS99" s="26"/>
      <c r="AT99" s="26"/>
      <c r="AU99" s="26"/>
      <c r="AV99" s="26"/>
      <c r="AW99" s="26"/>
      <c r="AX99" s="26"/>
      <c r="AY99" s="26"/>
      <c r="AZ99" s="26"/>
      <c r="BA99" s="26"/>
      <c r="BB99" s="26"/>
      <c r="BC99" s="26"/>
      <c r="BD99" s="26"/>
      <c r="BE99" s="26"/>
      <c r="BF99" s="26"/>
      <c r="BG99" s="26"/>
      <c r="BH99" s="26"/>
    </row>
    <row r="100" spans="1:60" ht="35.65" customHeight="1">
      <c r="A100" s="61" t="s">
        <v>31</v>
      </c>
      <c r="B100" s="53"/>
      <c r="C100" s="66"/>
      <c r="D100" s="422"/>
      <c r="E100" s="422"/>
      <c r="F100" s="26"/>
      <c r="G100" s="26"/>
      <c r="H100" s="26"/>
      <c r="I100" s="26"/>
      <c r="J100" s="26"/>
      <c r="K100" s="26"/>
      <c r="L100" s="26"/>
      <c r="M100" s="422"/>
      <c r="N100" s="422"/>
      <c r="O100" s="422"/>
      <c r="P100" s="422"/>
      <c r="Q100" s="422"/>
      <c r="R100" s="422"/>
      <c r="S100" s="26"/>
      <c r="T100" s="422"/>
      <c r="U100" s="388"/>
      <c r="V100" s="395"/>
      <c r="W100" s="422"/>
      <c r="X100" s="422"/>
      <c r="Y100" s="422"/>
      <c r="Z100" s="422"/>
      <c r="AA100" s="388"/>
      <c r="AB100" s="395"/>
      <c r="AC100" s="26"/>
      <c r="AD100" s="52" t="s">
        <v>621</v>
      </c>
      <c r="AE100" s="294">
        <f t="shared" si="28"/>
        <v>0</v>
      </c>
      <c r="AF100" s="294">
        <f t="shared" si="28"/>
        <v>0</v>
      </c>
      <c r="AG100" s="26"/>
      <c r="AH100" s="26"/>
      <c r="AI100" s="26"/>
      <c r="AJ100" s="26"/>
      <c r="AK100" s="26"/>
      <c r="AL100" s="26"/>
      <c r="AM100" s="26"/>
      <c r="AN100" s="26"/>
      <c r="AO100" s="294">
        <f t="shared" si="29"/>
        <v>0</v>
      </c>
      <c r="AP100" s="26"/>
      <c r="AQ100" s="26"/>
      <c r="AR100" s="26"/>
      <c r="AS100" s="26"/>
      <c r="AT100" s="26"/>
      <c r="AU100" s="26"/>
      <c r="AV100" s="26"/>
      <c r="AW100" s="26"/>
      <c r="AX100" s="26"/>
      <c r="AY100" s="26"/>
      <c r="AZ100" s="26"/>
      <c r="BA100" s="26"/>
      <c r="BB100" s="26"/>
      <c r="BC100" s="26"/>
      <c r="BD100" s="26"/>
      <c r="BE100" s="26"/>
      <c r="BF100" s="26"/>
      <c r="BG100" s="26"/>
      <c r="BH100" s="26"/>
    </row>
    <row r="101" spans="1:60" ht="35.65" customHeight="1">
      <c r="A101" s="61" t="s">
        <v>31</v>
      </c>
      <c r="B101" s="53"/>
      <c r="C101" s="66"/>
      <c r="D101" s="422"/>
      <c r="E101" s="422"/>
      <c r="F101" s="26"/>
      <c r="G101" s="26"/>
      <c r="H101" s="26"/>
      <c r="I101" s="26"/>
      <c r="J101" s="26"/>
      <c r="K101" s="26"/>
      <c r="L101" s="26"/>
      <c r="M101" s="422"/>
      <c r="N101" s="422"/>
      <c r="O101" s="422"/>
      <c r="P101" s="422"/>
      <c r="Q101" s="422"/>
      <c r="R101" s="422"/>
      <c r="S101" s="26"/>
      <c r="T101" s="422"/>
      <c r="U101" s="388"/>
      <c r="V101" s="395"/>
      <c r="W101" s="422"/>
      <c r="X101" s="422"/>
      <c r="Y101" s="422"/>
      <c r="Z101" s="422"/>
      <c r="AA101" s="388"/>
      <c r="AB101" s="395"/>
      <c r="AC101" s="26"/>
      <c r="AD101" s="52" t="s">
        <v>622</v>
      </c>
      <c r="AE101" s="294">
        <f t="shared" si="28"/>
        <v>854.6</v>
      </c>
      <c r="AF101" s="294">
        <f t="shared" si="28"/>
        <v>854.6</v>
      </c>
      <c r="AG101" s="26"/>
      <c r="AH101" s="26"/>
      <c r="AI101" s="26"/>
      <c r="AJ101" s="26"/>
      <c r="AK101" s="26"/>
      <c r="AL101" s="26"/>
      <c r="AM101" s="26">
        <v>854.6</v>
      </c>
      <c r="AN101" s="26">
        <v>854.6</v>
      </c>
      <c r="AO101" s="294">
        <f t="shared" si="29"/>
        <v>0</v>
      </c>
      <c r="AP101" s="26"/>
      <c r="AQ101" s="26"/>
      <c r="AR101" s="26"/>
      <c r="AS101" s="26"/>
      <c r="AT101" s="26"/>
      <c r="AU101" s="26"/>
      <c r="AV101" s="26"/>
      <c r="AW101" s="26"/>
      <c r="AX101" s="26"/>
      <c r="AY101" s="26"/>
      <c r="AZ101" s="26"/>
      <c r="BA101" s="26"/>
      <c r="BB101" s="26"/>
      <c r="BC101" s="26"/>
      <c r="BD101" s="26"/>
      <c r="BE101" s="26"/>
      <c r="BF101" s="26"/>
      <c r="BG101" s="26"/>
      <c r="BH101" s="26"/>
    </row>
    <row r="102" spans="1:60" ht="35.65" customHeight="1">
      <c r="A102" s="61" t="s">
        <v>31</v>
      </c>
      <c r="B102" s="53"/>
      <c r="C102" s="66"/>
      <c r="D102" s="422"/>
      <c r="E102" s="422"/>
      <c r="F102" s="26"/>
      <c r="G102" s="26"/>
      <c r="H102" s="26"/>
      <c r="I102" s="26"/>
      <c r="J102" s="26"/>
      <c r="K102" s="26"/>
      <c r="L102" s="26"/>
      <c r="M102" s="422"/>
      <c r="N102" s="422"/>
      <c r="O102" s="422"/>
      <c r="P102" s="422"/>
      <c r="Q102" s="422"/>
      <c r="R102" s="422"/>
      <c r="S102" s="26"/>
      <c r="T102" s="422"/>
      <c r="U102" s="388"/>
      <c r="V102" s="395"/>
      <c r="W102" s="422"/>
      <c r="X102" s="422"/>
      <c r="Y102" s="422"/>
      <c r="Z102" s="422"/>
      <c r="AA102" s="388"/>
      <c r="AB102" s="395"/>
      <c r="AC102" s="26"/>
      <c r="AD102" s="52" t="s">
        <v>623</v>
      </c>
      <c r="AE102" s="294">
        <f t="shared" si="28"/>
        <v>1984</v>
      </c>
      <c r="AF102" s="294">
        <f t="shared" si="28"/>
        <v>1984</v>
      </c>
      <c r="AG102" s="26"/>
      <c r="AH102" s="26"/>
      <c r="AI102" s="26"/>
      <c r="AJ102" s="26"/>
      <c r="AK102" s="26"/>
      <c r="AL102" s="26"/>
      <c r="AM102" s="26">
        <f>1984+854.6-854.6</f>
        <v>1984</v>
      </c>
      <c r="AN102" s="26">
        <v>1984</v>
      </c>
      <c r="AO102" s="294">
        <f t="shared" si="29"/>
        <v>0</v>
      </c>
      <c r="AP102" s="26"/>
      <c r="AQ102" s="26"/>
      <c r="AR102" s="26"/>
      <c r="AS102" s="26"/>
      <c r="AT102" s="26"/>
      <c r="AU102" s="26"/>
      <c r="AV102" s="26"/>
      <c r="AW102" s="26"/>
      <c r="AX102" s="26"/>
      <c r="AY102" s="26"/>
      <c r="AZ102" s="26"/>
      <c r="BA102" s="26"/>
      <c r="BB102" s="26"/>
      <c r="BC102" s="26"/>
      <c r="BD102" s="26"/>
      <c r="BE102" s="26"/>
      <c r="BF102" s="26"/>
      <c r="BG102" s="26"/>
      <c r="BH102" s="26"/>
    </row>
    <row r="103" spans="1:60" ht="35.65" customHeight="1">
      <c r="A103" s="61" t="s">
        <v>31</v>
      </c>
      <c r="B103" s="53"/>
      <c r="C103" s="66"/>
      <c r="D103" s="422"/>
      <c r="E103" s="422"/>
      <c r="F103" s="26"/>
      <c r="G103" s="26"/>
      <c r="H103" s="26"/>
      <c r="I103" s="26"/>
      <c r="J103" s="26"/>
      <c r="K103" s="26"/>
      <c r="L103" s="26"/>
      <c r="M103" s="422"/>
      <c r="N103" s="422"/>
      <c r="O103" s="422"/>
      <c r="P103" s="422"/>
      <c r="Q103" s="422"/>
      <c r="R103" s="422"/>
      <c r="S103" s="26"/>
      <c r="T103" s="422"/>
      <c r="U103" s="388"/>
      <c r="V103" s="395"/>
      <c r="W103" s="422"/>
      <c r="X103" s="422"/>
      <c r="Y103" s="422"/>
      <c r="Z103" s="422"/>
      <c r="AA103" s="388"/>
      <c r="AB103" s="395"/>
      <c r="AC103" s="26"/>
      <c r="AD103" s="52" t="s">
        <v>624</v>
      </c>
      <c r="AE103" s="26"/>
      <c r="AF103" s="294">
        <f>AH103+AJ103+AL103+AN103</f>
        <v>0</v>
      </c>
      <c r="AG103" s="26"/>
      <c r="AH103" s="26"/>
      <c r="AI103" s="26"/>
      <c r="AJ103" s="26"/>
      <c r="AK103" s="26"/>
      <c r="AL103" s="26"/>
      <c r="AM103" s="26"/>
      <c r="AN103" s="26"/>
      <c r="AO103" s="294">
        <f t="shared" si="29"/>
        <v>0</v>
      </c>
      <c r="AP103" s="26"/>
      <c r="AQ103" s="26"/>
      <c r="AR103" s="26"/>
      <c r="AS103" s="26"/>
      <c r="AT103" s="26"/>
      <c r="AU103" s="26"/>
      <c r="AV103" s="26"/>
      <c r="AW103" s="26"/>
      <c r="AX103" s="26"/>
      <c r="AY103" s="26"/>
      <c r="AZ103" s="26"/>
      <c r="BA103" s="26"/>
      <c r="BB103" s="26"/>
      <c r="BC103" s="26"/>
      <c r="BD103" s="26"/>
      <c r="BE103" s="26"/>
      <c r="BF103" s="26"/>
      <c r="BG103" s="26"/>
      <c r="BH103" s="26"/>
    </row>
    <row r="104" spans="1:60" ht="35.65" customHeight="1">
      <c r="A104" s="61" t="s">
        <v>31</v>
      </c>
      <c r="B104" s="53"/>
      <c r="C104" s="66"/>
      <c r="D104" s="422"/>
      <c r="E104" s="422"/>
      <c r="F104" s="26"/>
      <c r="G104" s="26"/>
      <c r="H104" s="26"/>
      <c r="I104" s="26"/>
      <c r="J104" s="26"/>
      <c r="K104" s="26"/>
      <c r="L104" s="26"/>
      <c r="M104" s="422"/>
      <c r="N104" s="422"/>
      <c r="O104" s="422"/>
      <c r="P104" s="422"/>
      <c r="Q104" s="422"/>
      <c r="R104" s="422"/>
      <c r="S104" s="26"/>
      <c r="T104" s="422"/>
      <c r="U104" s="388"/>
      <c r="V104" s="395"/>
      <c r="W104" s="422"/>
      <c r="X104" s="422"/>
      <c r="Y104" s="422"/>
      <c r="Z104" s="422"/>
      <c r="AA104" s="388"/>
      <c r="AB104" s="395"/>
      <c r="AC104" s="26"/>
      <c r="AD104" s="52" t="s">
        <v>625</v>
      </c>
      <c r="AE104" s="26"/>
      <c r="AF104" s="294">
        <f t="shared" si="28"/>
        <v>0</v>
      </c>
      <c r="AG104" s="26"/>
      <c r="AH104" s="26"/>
      <c r="AI104" s="26"/>
      <c r="AJ104" s="26"/>
      <c r="AK104" s="26"/>
      <c r="AL104" s="26"/>
      <c r="AM104" s="26"/>
      <c r="AN104" s="26"/>
      <c r="AO104" s="294">
        <f t="shared" si="29"/>
        <v>0</v>
      </c>
      <c r="AP104" s="26"/>
      <c r="AQ104" s="26"/>
      <c r="AR104" s="26"/>
      <c r="AS104" s="26"/>
      <c r="AT104" s="26"/>
      <c r="AU104" s="26"/>
      <c r="AV104" s="26"/>
      <c r="AW104" s="26"/>
      <c r="AX104" s="26"/>
      <c r="AY104" s="26"/>
      <c r="AZ104" s="26"/>
      <c r="BA104" s="26"/>
      <c r="BB104" s="26"/>
      <c r="BC104" s="26"/>
      <c r="BD104" s="26"/>
      <c r="BE104" s="26"/>
      <c r="BF104" s="26"/>
      <c r="BG104" s="26"/>
      <c r="BH104" s="26"/>
    </row>
    <row r="105" spans="1:60" ht="35.65" customHeight="1">
      <c r="A105" s="61" t="s">
        <v>31</v>
      </c>
      <c r="B105" s="53"/>
      <c r="C105" s="66"/>
      <c r="D105" s="422"/>
      <c r="E105" s="422"/>
      <c r="F105" s="26"/>
      <c r="G105" s="26"/>
      <c r="H105" s="26"/>
      <c r="I105" s="26"/>
      <c r="J105" s="26"/>
      <c r="K105" s="26"/>
      <c r="L105" s="26"/>
      <c r="M105" s="422"/>
      <c r="N105" s="422"/>
      <c r="O105" s="422"/>
      <c r="P105" s="422"/>
      <c r="Q105" s="422"/>
      <c r="R105" s="422"/>
      <c r="S105" s="26"/>
      <c r="T105" s="422"/>
      <c r="U105" s="388"/>
      <c r="V105" s="395"/>
      <c r="W105" s="422"/>
      <c r="X105" s="422"/>
      <c r="Y105" s="422"/>
      <c r="Z105" s="422"/>
      <c r="AA105" s="388"/>
      <c r="AB105" s="395"/>
      <c r="AC105" s="26"/>
      <c r="AD105" s="52" t="s">
        <v>626</v>
      </c>
      <c r="AE105" s="26"/>
      <c r="AF105" s="294">
        <f t="shared" si="28"/>
        <v>0</v>
      </c>
      <c r="AG105" s="26"/>
      <c r="AH105" s="26"/>
      <c r="AI105" s="26"/>
      <c r="AJ105" s="26"/>
      <c r="AK105" s="26"/>
      <c r="AL105" s="26"/>
      <c r="AM105" s="26"/>
      <c r="AN105" s="26"/>
      <c r="AO105" s="294">
        <f t="shared" si="29"/>
        <v>0</v>
      </c>
      <c r="AP105" s="26"/>
      <c r="AQ105" s="26"/>
      <c r="AR105" s="26"/>
      <c r="AS105" s="26"/>
      <c r="AT105" s="26"/>
      <c r="AU105" s="26"/>
      <c r="AV105" s="26"/>
      <c r="AW105" s="26"/>
      <c r="AX105" s="26"/>
      <c r="AY105" s="26"/>
      <c r="AZ105" s="26"/>
      <c r="BA105" s="26"/>
      <c r="BB105" s="26"/>
      <c r="BC105" s="26"/>
      <c r="BD105" s="26"/>
      <c r="BE105" s="26"/>
      <c r="BF105" s="26"/>
      <c r="BG105" s="26"/>
      <c r="BH105" s="26"/>
    </row>
    <row r="106" spans="1:60" ht="35.65" customHeight="1">
      <c r="A106" s="61" t="s">
        <v>31</v>
      </c>
      <c r="B106" s="53"/>
      <c r="C106" s="66"/>
      <c r="D106" s="422"/>
      <c r="E106" s="422"/>
      <c r="F106" s="26"/>
      <c r="G106" s="26"/>
      <c r="H106" s="26"/>
      <c r="I106" s="26"/>
      <c r="J106" s="26"/>
      <c r="K106" s="26"/>
      <c r="L106" s="26"/>
      <c r="M106" s="427"/>
      <c r="N106" s="427"/>
      <c r="O106" s="427"/>
      <c r="P106" s="427"/>
      <c r="Q106" s="427"/>
      <c r="R106" s="427"/>
      <c r="S106" s="26"/>
      <c r="T106" s="427"/>
      <c r="U106" s="376"/>
      <c r="V106" s="353"/>
      <c r="W106" s="427"/>
      <c r="X106" s="427"/>
      <c r="Y106" s="427"/>
      <c r="Z106" s="427"/>
      <c r="AA106" s="376"/>
      <c r="AB106" s="353"/>
      <c r="AC106" s="26"/>
      <c r="AD106" s="52" t="s">
        <v>627</v>
      </c>
      <c r="AE106" s="26"/>
      <c r="AF106" s="294">
        <f t="shared" si="28"/>
        <v>0</v>
      </c>
      <c r="AG106" s="26"/>
      <c r="AH106" s="26"/>
      <c r="AI106" s="26"/>
      <c r="AJ106" s="26"/>
      <c r="AK106" s="26"/>
      <c r="AL106" s="26"/>
      <c r="AM106" s="26"/>
      <c r="AN106" s="26"/>
      <c r="AO106" s="294">
        <f t="shared" si="29"/>
        <v>0</v>
      </c>
      <c r="AP106" s="26"/>
      <c r="AQ106" s="26"/>
      <c r="AR106" s="26"/>
      <c r="AS106" s="26"/>
      <c r="AT106" s="26"/>
      <c r="AU106" s="26"/>
      <c r="AV106" s="26"/>
      <c r="AW106" s="26"/>
      <c r="AX106" s="26"/>
      <c r="AY106" s="26"/>
      <c r="AZ106" s="26"/>
      <c r="BA106" s="26"/>
      <c r="BB106" s="26"/>
      <c r="BC106" s="26"/>
      <c r="BD106" s="26"/>
      <c r="BE106" s="26"/>
      <c r="BF106" s="26"/>
      <c r="BG106" s="26"/>
      <c r="BH106" s="26"/>
    </row>
    <row r="107" spans="1:60" ht="35.65" customHeight="1">
      <c r="A107" s="61" t="s">
        <v>31</v>
      </c>
      <c r="B107" s="53"/>
      <c r="C107" s="66"/>
      <c r="D107" s="422"/>
      <c r="E107" s="422"/>
      <c r="F107" s="64"/>
      <c r="G107" s="64"/>
      <c r="H107" s="64"/>
      <c r="I107" s="64"/>
      <c r="J107" s="64"/>
      <c r="K107" s="64"/>
      <c r="L107" s="64"/>
      <c r="M107" s="407" t="s">
        <v>75</v>
      </c>
      <c r="N107" s="375" t="s">
        <v>36</v>
      </c>
      <c r="O107" s="352" t="s">
        <v>76</v>
      </c>
      <c r="P107" s="407" t="s">
        <v>75</v>
      </c>
      <c r="Q107" s="375" t="s">
        <v>36</v>
      </c>
      <c r="R107" s="352" t="s">
        <v>77</v>
      </c>
      <c r="S107" s="64"/>
      <c r="T107" s="375" t="s">
        <v>78</v>
      </c>
      <c r="U107" s="375" t="s">
        <v>36</v>
      </c>
      <c r="V107" s="352" t="s">
        <v>79</v>
      </c>
      <c r="W107" s="407" t="s">
        <v>72</v>
      </c>
      <c r="X107" s="375" t="s">
        <v>36</v>
      </c>
      <c r="Y107" s="352" t="s">
        <v>79</v>
      </c>
      <c r="Z107" s="407" t="s">
        <v>72</v>
      </c>
      <c r="AA107" s="375" t="s">
        <v>36</v>
      </c>
      <c r="AB107" s="352" t="s">
        <v>79</v>
      </c>
      <c r="AC107" s="26"/>
      <c r="AD107" s="52" t="s">
        <v>628</v>
      </c>
      <c r="AE107" s="26"/>
      <c r="AF107" s="294">
        <f t="shared" si="28"/>
        <v>0</v>
      </c>
      <c r="AG107" s="26"/>
      <c r="AH107" s="26"/>
      <c r="AI107" s="26"/>
      <c r="AJ107" s="26"/>
      <c r="AK107" s="26"/>
      <c r="AL107" s="26"/>
      <c r="AM107" s="26"/>
      <c r="AN107" s="26"/>
      <c r="AO107" s="294">
        <f t="shared" si="29"/>
        <v>0</v>
      </c>
      <c r="AP107" s="26"/>
      <c r="AQ107" s="26"/>
      <c r="AR107" s="26"/>
      <c r="AS107" s="26"/>
      <c r="AT107" s="26"/>
      <c r="AU107" s="26"/>
      <c r="AV107" s="26"/>
      <c r="AW107" s="26"/>
      <c r="AX107" s="26"/>
      <c r="AY107" s="26"/>
      <c r="AZ107" s="26"/>
      <c r="BA107" s="26"/>
      <c r="BB107" s="26"/>
      <c r="BC107" s="26"/>
      <c r="BD107" s="26"/>
      <c r="BE107" s="26"/>
      <c r="BF107" s="26"/>
      <c r="BG107" s="26"/>
      <c r="BH107" s="26"/>
    </row>
    <row r="108" spans="1:60" ht="35.65" customHeight="1">
      <c r="A108" s="61" t="s">
        <v>31</v>
      </c>
      <c r="B108" s="53"/>
      <c r="C108" s="66"/>
      <c r="D108" s="422"/>
      <c r="E108" s="422"/>
      <c r="F108" s="64"/>
      <c r="G108" s="64"/>
      <c r="H108" s="64"/>
      <c r="I108" s="64"/>
      <c r="J108" s="64"/>
      <c r="K108" s="64"/>
      <c r="L108" s="64"/>
      <c r="M108" s="408"/>
      <c r="N108" s="388"/>
      <c r="O108" s="395"/>
      <c r="P108" s="408"/>
      <c r="Q108" s="388"/>
      <c r="R108" s="395"/>
      <c r="S108" s="64"/>
      <c r="T108" s="388"/>
      <c r="U108" s="388"/>
      <c r="V108" s="395"/>
      <c r="W108" s="408"/>
      <c r="X108" s="388"/>
      <c r="Y108" s="395"/>
      <c r="Z108" s="408"/>
      <c r="AA108" s="388"/>
      <c r="AB108" s="395"/>
      <c r="AC108" s="26"/>
      <c r="AD108" s="52" t="s">
        <v>629</v>
      </c>
      <c r="AE108" s="26">
        <f>AG108+AI108+RM108+RN108</f>
        <v>0</v>
      </c>
      <c r="AF108" s="294">
        <f t="shared" si="28"/>
        <v>0</v>
      </c>
      <c r="AG108" s="26"/>
      <c r="AH108" s="26"/>
      <c r="AI108" s="26">
        <f>21615.8-21615.8</f>
        <v>0</v>
      </c>
      <c r="AJ108" s="26"/>
      <c r="AK108" s="26"/>
      <c r="AL108" s="26"/>
      <c r="AM108" s="26"/>
      <c r="AN108" s="26"/>
      <c r="AO108" s="294">
        <f>AP108+AQ108+AR108+AS108</f>
        <v>7434.1</v>
      </c>
      <c r="AP108" s="26"/>
      <c r="AQ108" s="26">
        <v>7434.1</v>
      </c>
      <c r="AR108" s="26"/>
      <c r="AS108" s="26"/>
      <c r="AT108" s="26"/>
      <c r="AU108" s="26"/>
      <c r="AV108" s="26"/>
      <c r="AW108" s="26"/>
      <c r="AX108" s="26"/>
      <c r="AY108" s="26"/>
      <c r="AZ108" s="26"/>
      <c r="BA108" s="26"/>
      <c r="BB108" s="26"/>
      <c r="BC108" s="26"/>
      <c r="BD108" s="26"/>
      <c r="BE108" s="26"/>
      <c r="BF108" s="26"/>
      <c r="BG108" s="26"/>
      <c r="BH108" s="26"/>
    </row>
    <row r="109" spans="1:60" ht="35.65" customHeight="1">
      <c r="A109" s="61" t="s">
        <v>31</v>
      </c>
      <c r="B109" s="53"/>
      <c r="C109" s="66"/>
      <c r="D109" s="422"/>
      <c r="E109" s="422"/>
      <c r="F109" s="26"/>
      <c r="G109" s="26"/>
      <c r="H109" s="26"/>
      <c r="I109" s="26"/>
      <c r="J109" s="26"/>
      <c r="K109" s="26"/>
      <c r="L109" s="26"/>
      <c r="M109" s="423"/>
      <c r="N109" s="376"/>
      <c r="O109" s="353"/>
      <c r="P109" s="408"/>
      <c r="Q109" s="388"/>
      <c r="R109" s="395"/>
      <c r="S109" s="26"/>
      <c r="T109" s="376"/>
      <c r="U109" s="376"/>
      <c r="V109" s="353"/>
      <c r="W109" s="408"/>
      <c r="X109" s="388"/>
      <c r="Y109" s="395"/>
      <c r="Z109" s="408"/>
      <c r="AA109" s="388"/>
      <c r="AB109" s="395"/>
      <c r="AC109" s="26"/>
      <c r="AD109" s="52" t="s">
        <v>630</v>
      </c>
      <c r="AE109" s="26">
        <f>AG109+AI109+RM109+RN109</f>
        <v>0</v>
      </c>
      <c r="AF109" s="294">
        <f t="shared" ref="AF109:AF131" si="30">AH109+AJ109+AL109+AN109</f>
        <v>0</v>
      </c>
      <c r="AG109" s="26"/>
      <c r="AH109" s="26"/>
      <c r="AI109" s="26"/>
      <c r="AJ109" s="26"/>
      <c r="AK109" s="26"/>
      <c r="AL109" s="26"/>
      <c r="AM109" s="26">
        <f>1108.8-1108.8</f>
        <v>0</v>
      </c>
      <c r="AN109" s="26"/>
      <c r="AO109" s="294">
        <f t="shared" si="29"/>
        <v>6381.7</v>
      </c>
      <c r="AP109" s="26"/>
      <c r="AQ109" s="26"/>
      <c r="AR109" s="26"/>
      <c r="AS109" s="26">
        <f>690.8+5690.9</f>
        <v>6381.7</v>
      </c>
      <c r="AT109" s="26"/>
      <c r="AU109" s="26"/>
      <c r="AV109" s="26"/>
      <c r="AW109" s="26"/>
      <c r="AX109" s="26"/>
      <c r="AY109" s="26"/>
      <c r="AZ109" s="26"/>
      <c r="BA109" s="26"/>
      <c r="BB109" s="26"/>
      <c r="BC109" s="26"/>
      <c r="BD109" s="26"/>
      <c r="BE109" s="26"/>
      <c r="BF109" s="26"/>
      <c r="BG109" s="26"/>
      <c r="BH109" s="26"/>
    </row>
    <row r="110" spans="1:60" ht="35.65" customHeight="1">
      <c r="A110" s="61" t="s">
        <v>31</v>
      </c>
      <c r="B110" s="53"/>
      <c r="C110" s="66"/>
      <c r="D110" s="422"/>
      <c r="E110" s="422"/>
      <c r="F110" s="26"/>
      <c r="G110" s="26"/>
      <c r="H110" s="26"/>
      <c r="I110" s="26"/>
      <c r="J110" s="26"/>
      <c r="K110" s="26"/>
      <c r="L110" s="26"/>
      <c r="M110" s="67"/>
      <c r="N110" s="65"/>
      <c r="O110" s="17"/>
      <c r="P110" s="408"/>
      <c r="Q110" s="388"/>
      <c r="R110" s="395"/>
      <c r="S110" s="26"/>
      <c r="T110" s="65"/>
      <c r="U110" s="65"/>
      <c r="V110" s="17"/>
      <c r="W110" s="408"/>
      <c r="X110" s="388"/>
      <c r="Y110" s="395"/>
      <c r="Z110" s="408"/>
      <c r="AA110" s="388"/>
      <c r="AB110" s="395"/>
      <c r="AC110" s="26"/>
      <c r="AD110" s="52" t="s">
        <v>631</v>
      </c>
      <c r="AE110" s="26"/>
      <c r="AF110" s="294">
        <f t="shared" si="30"/>
        <v>0</v>
      </c>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row>
    <row r="111" spans="1:60" ht="35.65" customHeight="1">
      <c r="A111" s="61" t="s">
        <v>31</v>
      </c>
      <c r="B111" s="53"/>
      <c r="C111" s="66"/>
      <c r="D111" s="422"/>
      <c r="E111" s="422"/>
      <c r="F111" s="26"/>
      <c r="G111" s="26"/>
      <c r="H111" s="26"/>
      <c r="I111" s="26"/>
      <c r="J111" s="26"/>
      <c r="K111" s="26"/>
      <c r="L111" s="26"/>
      <c r="M111" s="67"/>
      <c r="N111" s="65"/>
      <c r="O111" s="17"/>
      <c r="P111" s="408"/>
      <c r="Q111" s="388"/>
      <c r="R111" s="395"/>
      <c r="S111" s="26"/>
      <c r="T111" s="65"/>
      <c r="U111" s="65"/>
      <c r="V111" s="17"/>
      <c r="W111" s="408"/>
      <c r="X111" s="388"/>
      <c r="Y111" s="395"/>
      <c r="Z111" s="408"/>
      <c r="AA111" s="388"/>
      <c r="AB111" s="395"/>
      <c r="AC111" s="26"/>
      <c r="AD111" s="52" t="s">
        <v>632</v>
      </c>
      <c r="AE111" s="26"/>
      <c r="AF111" s="294">
        <f>AH111+AJ111+AL111+AN111</f>
        <v>0</v>
      </c>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row>
    <row r="112" spans="1:60" ht="35.65" customHeight="1">
      <c r="A112" s="61" t="s">
        <v>31</v>
      </c>
      <c r="B112" s="53"/>
      <c r="C112" s="66"/>
      <c r="D112" s="422"/>
      <c r="E112" s="422"/>
      <c r="F112" s="26"/>
      <c r="G112" s="26"/>
      <c r="H112" s="26"/>
      <c r="I112" s="26"/>
      <c r="J112" s="26"/>
      <c r="K112" s="26"/>
      <c r="L112" s="26"/>
      <c r="M112" s="67"/>
      <c r="N112" s="65"/>
      <c r="O112" s="17"/>
      <c r="P112" s="408"/>
      <c r="Q112" s="388"/>
      <c r="R112" s="395"/>
      <c r="S112" s="26"/>
      <c r="T112" s="65"/>
      <c r="U112" s="65"/>
      <c r="V112" s="17"/>
      <c r="W112" s="408"/>
      <c r="X112" s="388"/>
      <c r="Y112" s="395"/>
      <c r="Z112" s="408"/>
      <c r="AA112" s="388"/>
      <c r="AB112" s="395"/>
      <c r="AC112" s="26"/>
      <c r="AD112" s="52" t="s">
        <v>633</v>
      </c>
      <c r="AE112" s="26">
        <f t="shared" ref="AE112:AE129" si="31">AG112+AI112+AK112+AM112</f>
        <v>0</v>
      </c>
      <c r="AF112" s="294">
        <f t="shared" si="30"/>
        <v>0</v>
      </c>
      <c r="AG112" s="26"/>
      <c r="AH112" s="26"/>
      <c r="AI112" s="26"/>
      <c r="AJ112" s="26"/>
      <c r="AK112" s="26"/>
      <c r="AL112" s="26"/>
      <c r="AM112" s="26">
        <f>17200-17200</f>
        <v>0</v>
      </c>
      <c r="AN112" s="26"/>
      <c r="AO112" s="26"/>
      <c r="AP112" s="26"/>
      <c r="AQ112" s="26"/>
      <c r="AR112" s="26"/>
      <c r="AS112" s="26"/>
      <c r="AT112" s="26"/>
      <c r="AU112" s="26"/>
      <c r="AV112" s="26"/>
      <c r="AW112" s="26"/>
      <c r="AX112" s="26"/>
      <c r="AY112" s="26"/>
      <c r="AZ112" s="26"/>
      <c r="BA112" s="26"/>
      <c r="BB112" s="26"/>
      <c r="BC112" s="26"/>
      <c r="BD112" s="26"/>
      <c r="BE112" s="26"/>
      <c r="BF112" s="26"/>
      <c r="BG112" s="26"/>
      <c r="BH112" s="26"/>
    </row>
    <row r="113" spans="1:60" ht="35.65" customHeight="1">
      <c r="A113" s="61" t="s">
        <v>31</v>
      </c>
      <c r="B113" s="68"/>
      <c r="C113" s="66"/>
      <c r="D113" s="422"/>
      <c r="E113" s="422"/>
      <c r="F113" s="34"/>
      <c r="G113" s="34"/>
      <c r="H113" s="34"/>
      <c r="I113" s="34"/>
      <c r="J113" s="34"/>
      <c r="K113" s="34"/>
      <c r="L113" s="34"/>
      <c r="M113" s="407" t="s">
        <v>80</v>
      </c>
      <c r="N113" s="424" t="s">
        <v>36</v>
      </c>
      <c r="O113" s="352" t="s">
        <v>81</v>
      </c>
      <c r="P113" s="408"/>
      <c r="Q113" s="388"/>
      <c r="R113" s="395"/>
      <c r="S113" s="34"/>
      <c r="T113" s="375" t="s">
        <v>82</v>
      </c>
      <c r="U113" s="375" t="s">
        <v>36</v>
      </c>
      <c r="V113" s="352" t="s">
        <v>81</v>
      </c>
      <c r="W113" s="408"/>
      <c r="X113" s="388"/>
      <c r="Y113" s="395"/>
      <c r="Z113" s="408"/>
      <c r="AA113" s="388"/>
      <c r="AB113" s="395"/>
      <c r="AC113" s="26"/>
      <c r="AD113" s="52" t="s">
        <v>634</v>
      </c>
      <c r="AE113" s="26">
        <f t="shared" si="31"/>
        <v>295226.89999999997</v>
      </c>
      <c r="AF113" s="294">
        <f t="shared" si="30"/>
        <v>63226.3</v>
      </c>
      <c r="AG113" s="26"/>
      <c r="AH113" s="26"/>
      <c r="AI113" s="26">
        <f>292298.2+22721.6-8492.8-9273.9+0.1-2500+473.7</f>
        <v>295226.89999999997</v>
      </c>
      <c r="AJ113" s="26">
        <v>63226.3</v>
      </c>
      <c r="AK113" s="26"/>
      <c r="AL113" s="26"/>
      <c r="AM113" s="26"/>
      <c r="AN113" s="26"/>
      <c r="AO113" s="26">
        <f>AP113+AQ113+AR113+AS113</f>
        <v>262813.2</v>
      </c>
      <c r="AP113" s="26"/>
      <c r="AQ113" s="26">
        <f>66120.4-9447.1+280266.4-54126.5-20000</f>
        <v>262813.2</v>
      </c>
      <c r="AR113" s="26"/>
      <c r="AS113" s="26"/>
      <c r="AT113" s="26">
        <f>AU113+AV113+AW113+AX113</f>
        <v>20000</v>
      </c>
      <c r="AU113" s="26"/>
      <c r="AV113" s="26">
        <v>20000</v>
      </c>
      <c r="AW113" s="26"/>
      <c r="AX113" s="26"/>
      <c r="AY113" s="26">
        <f>BA113</f>
        <v>0</v>
      </c>
      <c r="AZ113" s="26"/>
      <c r="BA113" s="26"/>
      <c r="BB113" s="26"/>
      <c r="BC113" s="26"/>
      <c r="BD113" s="26">
        <f>BF113</f>
        <v>0</v>
      </c>
      <c r="BE113" s="26"/>
      <c r="BF113" s="26"/>
      <c r="BG113" s="26"/>
      <c r="BH113" s="26"/>
    </row>
    <row r="114" spans="1:60" ht="35.65" customHeight="1">
      <c r="A114" s="61" t="s">
        <v>31</v>
      </c>
      <c r="B114" s="68"/>
      <c r="C114" s="66"/>
      <c r="D114" s="422"/>
      <c r="E114" s="422"/>
      <c r="F114" s="34"/>
      <c r="G114" s="34"/>
      <c r="H114" s="34"/>
      <c r="I114" s="34"/>
      <c r="J114" s="34"/>
      <c r="K114" s="34"/>
      <c r="L114" s="34"/>
      <c r="M114" s="408"/>
      <c r="N114" s="425"/>
      <c r="O114" s="395"/>
      <c r="P114" s="408"/>
      <c r="Q114" s="388"/>
      <c r="R114" s="395"/>
      <c r="S114" s="34"/>
      <c r="T114" s="388"/>
      <c r="U114" s="388"/>
      <c r="V114" s="395"/>
      <c r="W114" s="408"/>
      <c r="X114" s="388"/>
      <c r="Y114" s="395"/>
      <c r="Z114" s="408"/>
      <c r="AA114" s="388"/>
      <c r="AB114" s="395"/>
      <c r="AC114" s="26"/>
      <c r="AD114" s="52" t="s">
        <v>635</v>
      </c>
      <c r="AE114" s="26">
        <f t="shared" si="31"/>
        <v>10992.8</v>
      </c>
      <c r="AF114" s="294">
        <f t="shared" si="30"/>
        <v>10481.799999999999</v>
      </c>
      <c r="AG114" s="26"/>
      <c r="AH114" s="26"/>
      <c r="AI114" s="26">
        <f>8492.8+2500</f>
        <v>10992.8</v>
      </c>
      <c r="AJ114" s="26">
        <v>10481.799999999999</v>
      </c>
      <c r="AK114" s="26"/>
      <c r="AL114" s="26"/>
      <c r="AM114" s="26"/>
      <c r="AN114" s="26"/>
      <c r="AO114" s="26"/>
      <c r="AP114" s="26"/>
      <c r="AQ114" s="26"/>
      <c r="AR114" s="26"/>
      <c r="AS114" s="26"/>
      <c r="AT114" s="26"/>
      <c r="AU114" s="26"/>
      <c r="AV114" s="26"/>
      <c r="AW114" s="26"/>
      <c r="AX114" s="26"/>
      <c r="AY114" s="26">
        <f>BA114</f>
        <v>0</v>
      </c>
      <c r="AZ114" s="26"/>
      <c r="BA114" s="26"/>
      <c r="BB114" s="26"/>
      <c r="BC114" s="26"/>
      <c r="BD114" s="26">
        <f>BF114</f>
        <v>0</v>
      </c>
      <c r="BE114" s="26"/>
      <c r="BF114" s="26"/>
      <c r="BG114" s="26"/>
      <c r="BH114" s="26"/>
    </row>
    <row r="115" spans="1:60" ht="35.65" customHeight="1">
      <c r="A115" s="61" t="s">
        <v>31</v>
      </c>
      <c r="B115" s="68"/>
      <c r="C115" s="66"/>
      <c r="D115" s="422"/>
      <c r="E115" s="422"/>
      <c r="F115" s="34"/>
      <c r="G115" s="34"/>
      <c r="H115" s="34"/>
      <c r="I115" s="34"/>
      <c r="J115" s="34"/>
      <c r="K115" s="34"/>
      <c r="L115" s="34"/>
      <c r="M115" s="408"/>
      <c r="N115" s="425"/>
      <c r="O115" s="395"/>
      <c r="P115" s="408"/>
      <c r="Q115" s="388"/>
      <c r="R115" s="395"/>
      <c r="S115" s="34"/>
      <c r="T115" s="388"/>
      <c r="U115" s="388"/>
      <c r="V115" s="395"/>
      <c r="W115" s="408"/>
      <c r="X115" s="388"/>
      <c r="Y115" s="395"/>
      <c r="Z115" s="408"/>
      <c r="AA115" s="388"/>
      <c r="AB115" s="395"/>
      <c r="AC115" s="26"/>
      <c r="AD115" s="52" t="s">
        <v>636</v>
      </c>
      <c r="AE115" s="26">
        <f t="shared" si="31"/>
        <v>38940</v>
      </c>
      <c r="AF115" s="294">
        <f t="shared" si="30"/>
        <v>5878</v>
      </c>
      <c r="AG115" s="26"/>
      <c r="AH115" s="26"/>
      <c r="AI115" s="26">
        <f>52359.8+168.9-2938.9-10649.8+473.8-473.8</f>
        <v>38940</v>
      </c>
      <c r="AJ115" s="26">
        <v>5878</v>
      </c>
      <c r="AK115" s="26"/>
      <c r="AL115" s="26"/>
      <c r="AM115" s="26"/>
      <c r="AN115" s="26"/>
      <c r="AO115" s="26">
        <f>AP115+AQ115+AR115+AS115</f>
        <v>138353.4</v>
      </c>
      <c r="AP115" s="26"/>
      <c r="AQ115" s="26">
        <f>54201+4488.1-473.7+32334-5276.5-10029.1+81899+45674.6-64464</f>
        <v>138353.4</v>
      </c>
      <c r="AR115" s="26"/>
      <c r="AS115" s="26"/>
      <c r="AT115" s="26">
        <f>AU115+AV115+AW115+AX115</f>
        <v>64464</v>
      </c>
      <c r="AU115" s="26"/>
      <c r="AV115" s="26">
        <v>64464</v>
      </c>
      <c r="AW115" s="26"/>
      <c r="AX115" s="26"/>
      <c r="AY115" s="26">
        <f>BA115</f>
        <v>0</v>
      </c>
      <c r="AZ115" s="26"/>
      <c r="BA115" s="26"/>
      <c r="BB115" s="26"/>
      <c r="BC115" s="26"/>
      <c r="BD115" s="26">
        <f>BF115</f>
        <v>0</v>
      </c>
      <c r="BE115" s="26"/>
      <c r="BF115" s="26"/>
      <c r="BG115" s="26"/>
      <c r="BH115" s="26"/>
    </row>
    <row r="116" spans="1:60" ht="35.65" customHeight="1">
      <c r="A116" s="61" t="s">
        <v>31</v>
      </c>
      <c r="B116" s="68"/>
      <c r="C116" s="66"/>
      <c r="D116" s="422"/>
      <c r="E116" s="422"/>
      <c r="F116" s="34"/>
      <c r="G116" s="34"/>
      <c r="H116" s="34"/>
      <c r="I116" s="34"/>
      <c r="J116" s="34"/>
      <c r="K116" s="34"/>
      <c r="L116" s="34"/>
      <c r="M116" s="408"/>
      <c r="N116" s="425"/>
      <c r="O116" s="395"/>
      <c r="P116" s="408"/>
      <c r="Q116" s="388"/>
      <c r="R116" s="395"/>
      <c r="S116" s="34"/>
      <c r="T116" s="388"/>
      <c r="U116" s="388"/>
      <c r="V116" s="395"/>
      <c r="W116" s="408"/>
      <c r="X116" s="388"/>
      <c r="Y116" s="395"/>
      <c r="Z116" s="408"/>
      <c r="AA116" s="388"/>
      <c r="AB116" s="395"/>
      <c r="AC116" s="26"/>
      <c r="AD116" s="52" t="s">
        <v>637</v>
      </c>
      <c r="AE116" s="26">
        <f t="shared" si="31"/>
        <v>2938.9</v>
      </c>
      <c r="AF116" s="294">
        <f t="shared" si="30"/>
        <v>2683.2</v>
      </c>
      <c r="AG116" s="26"/>
      <c r="AH116" s="26"/>
      <c r="AI116" s="26">
        <v>2938.9</v>
      </c>
      <c r="AJ116" s="26">
        <v>2683.2</v>
      </c>
      <c r="AK116" s="26"/>
      <c r="AL116" s="26"/>
      <c r="AM116" s="26"/>
      <c r="AN116" s="26"/>
      <c r="AO116" s="26">
        <f>AP116+AQ116+AR116+AS116</f>
        <v>5276.5</v>
      </c>
      <c r="AP116" s="26"/>
      <c r="AQ116" s="26">
        <v>5276.5</v>
      </c>
      <c r="AR116" s="26"/>
      <c r="AS116" s="26"/>
      <c r="AT116" s="26">
        <f>AU116+AV116+AW116+AX116</f>
        <v>0</v>
      </c>
      <c r="AU116" s="26"/>
      <c r="AV116" s="26"/>
      <c r="AW116" s="26"/>
      <c r="AX116" s="26"/>
      <c r="AY116" s="26">
        <f>BA116</f>
        <v>0</v>
      </c>
      <c r="AZ116" s="26"/>
      <c r="BA116" s="26"/>
      <c r="BB116" s="26"/>
      <c r="BC116" s="26"/>
      <c r="BD116" s="26">
        <f>BF116</f>
        <v>0</v>
      </c>
      <c r="BE116" s="26"/>
      <c r="BF116" s="26"/>
      <c r="BG116" s="26"/>
      <c r="BH116" s="26"/>
    </row>
    <row r="117" spans="1:60" ht="35.65" customHeight="1">
      <c r="A117" s="61" t="s">
        <v>31</v>
      </c>
      <c r="B117" s="68"/>
      <c r="C117" s="66"/>
      <c r="D117" s="422"/>
      <c r="E117" s="422"/>
      <c r="F117" s="34"/>
      <c r="G117" s="34"/>
      <c r="H117" s="34"/>
      <c r="I117" s="34"/>
      <c r="J117" s="34"/>
      <c r="K117" s="34"/>
      <c r="L117" s="34"/>
      <c r="M117" s="408"/>
      <c r="N117" s="425"/>
      <c r="O117" s="395"/>
      <c r="P117" s="408"/>
      <c r="Q117" s="388"/>
      <c r="R117" s="395"/>
      <c r="S117" s="34"/>
      <c r="T117" s="388"/>
      <c r="U117" s="388"/>
      <c r="V117" s="395"/>
      <c r="W117" s="408"/>
      <c r="X117" s="388"/>
      <c r="Y117" s="395"/>
      <c r="Z117" s="408"/>
      <c r="AA117" s="388"/>
      <c r="AB117" s="395"/>
      <c r="AC117" s="26"/>
      <c r="AD117" s="52" t="s">
        <v>638</v>
      </c>
      <c r="AE117" s="26">
        <f t="shared" si="31"/>
        <v>2844.7</v>
      </c>
      <c r="AF117" s="294">
        <f>AH117+AJ117+AL117+AN117</f>
        <v>0</v>
      </c>
      <c r="AG117" s="26"/>
      <c r="AH117" s="26"/>
      <c r="AI117" s="26"/>
      <c r="AJ117" s="26"/>
      <c r="AK117" s="26"/>
      <c r="AL117" s="26"/>
      <c r="AM117" s="26">
        <f>4028.9-1184.2</f>
        <v>2844.7</v>
      </c>
      <c r="AN117" s="26">
        <v>0</v>
      </c>
      <c r="AO117" s="26">
        <f>AP117+AQ117+AR117+AS117</f>
        <v>4555.1000000000004</v>
      </c>
      <c r="AP117" s="26"/>
      <c r="AQ117" s="26"/>
      <c r="AR117" s="26"/>
      <c r="AS117" s="26">
        <f>2688.8+1866.3</f>
        <v>4555.1000000000004</v>
      </c>
      <c r="AT117" s="26">
        <f>AU117+AV117+AW117+AX117</f>
        <v>0</v>
      </c>
      <c r="AU117" s="26"/>
      <c r="AV117" s="26"/>
      <c r="AW117" s="26"/>
      <c r="AX117" s="26"/>
      <c r="AY117" s="26">
        <f>AZ117+BA117+BB117+BC117</f>
        <v>0</v>
      </c>
      <c r="AZ117" s="26"/>
      <c r="BA117" s="26"/>
      <c r="BB117" s="26"/>
      <c r="BC117" s="26"/>
      <c r="BD117" s="26">
        <f>BE117+BF117+BG117+BH117</f>
        <v>0</v>
      </c>
      <c r="BE117" s="26"/>
      <c r="BF117" s="26"/>
      <c r="BG117" s="26"/>
      <c r="BH117" s="26"/>
    </row>
    <row r="118" spans="1:60" ht="35.65" customHeight="1">
      <c r="A118" s="61" t="s">
        <v>31</v>
      </c>
      <c r="B118" s="68"/>
      <c r="C118" s="66"/>
      <c r="D118" s="422"/>
      <c r="E118" s="422"/>
      <c r="F118" s="34"/>
      <c r="G118" s="34"/>
      <c r="H118" s="34"/>
      <c r="I118" s="34"/>
      <c r="J118" s="34"/>
      <c r="K118" s="34"/>
      <c r="L118" s="34"/>
      <c r="M118" s="408"/>
      <c r="N118" s="425"/>
      <c r="O118" s="395"/>
      <c r="P118" s="408"/>
      <c r="Q118" s="388"/>
      <c r="R118" s="395"/>
      <c r="S118" s="34"/>
      <c r="T118" s="388"/>
      <c r="U118" s="388"/>
      <c r="V118" s="395"/>
      <c r="W118" s="408"/>
      <c r="X118" s="388"/>
      <c r="Y118" s="395"/>
      <c r="Z118" s="408"/>
      <c r="AA118" s="388"/>
      <c r="AB118" s="395"/>
      <c r="AC118" s="26"/>
      <c r="AD118" s="52" t="s">
        <v>639</v>
      </c>
      <c r="AE118" s="26">
        <f t="shared" si="31"/>
        <v>1184.2</v>
      </c>
      <c r="AF118" s="294">
        <f t="shared" si="30"/>
        <v>1184.2</v>
      </c>
      <c r="AG118" s="26"/>
      <c r="AH118" s="26"/>
      <c r="AI118" s="26"/>
      <c r="AJ118" s="26"/>
      <c r="AK118" s="26"/>
      <c r="AL118" s="26"/>
      <c r="AM118" s="26">
        <v>1184.2</v>
      </c>
      <c r="AN118" s="26">
        <v>1184.2</v>
      </c>
      <c r="AO118" s="26">
        <f>AP118+AQ118+AR118+AS118</f>
        <v>0</v>
      </c>
      <c r="AP118" s="26"/>
      <c r="AQ118" s="26"/>
      <c r="AR118" s="26"/>
      <c r="AS118" s="26"/>
      <c r="AT118" s="26">
        <f>AU118+AV118+AW118+AX118</f>
        <v>0</v>
      </c>
      <c r="AU118" s="26"/>
      <c r="AV118" s="26"/>
      <c r="AW118" s="26"/>
      <c r="AX118" s="26"/>
      <c r="AY118" s="26">
        <f>AZ118+BA118+BB118+BC118</f>
        <v>0</v>
      </c>
      <c r="AZ118" s="26"/>
      <c r="BA118" s="26"/>
      <c r="BB118" s="26"/>
      <c r="BC118" s="26"/>
      <c r="BD118" s="26">
        <f>BE118+BF118+BG118+BH118</f>
        <v>0</v>
      </c>
      <c r="BE118" s="26"/>
      <c r="BF118" s="26"/>
      <c r="BG118" s="26"/>
      <c r="BH118" s="26"/>
    </row>
    <row r="119" spans="1:60" ht="35.65" customHeight="1">
      <c r="A119" s="61" t="s">
        <v>31</v>
      </c>
      <c r="B119" s="68"/>
      <c r="C119" s="69"/>
      <c r="D119" s="427"/>
      <c r="E119" s="427"/>
      <c r="F119" s="34"/>
      <c r="G119" s="34"/>
      <c r="H119" s="34"/>
      <c r="I119" s="34"/>
      <c r="J119" s="34"/>
      <c r="K119" s="34"/>
      <c r="L119" s="34"/>
      <c r="M119" s="423"/>
      <c r="N119" s="426"/>
      <c r="O119" s="353"/>
      <c r="P119" s="423"/>
      <c r="Q119" s="376"/>
      <c r="R119" s="353"/>
      <c r="S119" s="34"/>
      <c r="T119" s="376"/>
      <c r="U119" s="376"/>
      <c r="V119" s="353"/>
      <c r="W119" s="423"/>
      <c r="X119" s="376"/>
      <c r="Y119" s="353"/>
      <c r="Z119" s="423"/>
      <c r="AA119" s="376"/>
      <c r="AB119" s="353"/>
      <c r="AC119" s="26"/>
      <c r="AD119" s="71" t="s">
        <v>640</v>
      </c>
      <c r="AE119" s="26">
        <f t="shared" si="31"/>
        <v>100</v>
      </c>
      <c r="AF119" s="294">
        <f t="shared" si="30"/>
        <v>100</v>
      </c>
      <c r="AG119" s="26"/>
      <c r="AH119" s="26"/>
      <c r="AI119" s="26"/>
      <c r="AJ119" s="26"/>
      <c r="AK119" s="26"/>
      <c r="AL119" s="26"/>
      <c r="AM119" s="26">
        <f>350-250</f>
        <v>100</v>
      </c>
      <c r="AN119" s="26">
        <v>100</v>
      </c>
      <c r="AO119" s="26">
        <f>AP119+AQ119+AR119+AS119</f>
        <v>30</v>
      </c>
      <c r="AP119" s="26"/>
      <c r="AQ119" s="26"/>
      <c r="AR119" s="26"/>
      <c r="AS119" s="26">
        <f>100-70</f>
        <v>30</v>
      </c>
      <c r="AT119" s="26">
        <f>AU119+AV119+AW119+AX119</f>
        <v>0</v>
      </c>
      <c r="AU119" s="26"/>
      <c r="AV119" s="26"/>
      <c r="AW119" s="26"/>
      <c r="AX119" s="26"/>
      <c r="AY119" s="26">
        <f>AZ119+BA119+BB119+BC119</f>
        <v>0</v>
      </c>
      <c r="AZ119" s="26"/>
      <c r="BA119" s="26"/>
      <c r="BB119" s="26"/>
      <c r="BC119" s="26"/>
      <c r="BD119" s="26">
        <f>BE119+BF119+BG119+BH119</f>
        <v>0</v>
      </c>
      <c r="BE119" s="26"/>
      <c r="BF119" s="26"/>
      <c r="BG119" s="26"/>
      <c r="BH119" s="26"/>
    </row>
    <row r="120" spans="1:60" ht="35.65" customHeight="1">
      <c r="A120" s="61" t="s">
        <v>50</v>
      </c>
      <c r="B120" s="53"/>
      <c r="C120" s="25"/>
      <c r="D120" s="26"/>
      <c r="E120" s="26"/>
      <c r="F120" s="26"/>
      <c r="G120" s="26"/>
      <c r="H120" s="26"/>
      <c r="I120" s="26"/>
      <c r="J120" s="26"/>
      <c r="K120" s="26"/>
      <c r="L120" s="26"/>
      <c r="M120" s="26"/>
      <c r="N120" s="26"/>
      <c r="O120" s="26"/>
      <c r="P120" s="26"/>
      <c r="Q120" s="26"/>
      <c r="R120" s="26"/>
      <c r="S120" s="26"/>
      <c r="T120" s="26"/>
      <c r="U120" s="26"/>
      <c r="V120" s="26"/>
      <c r="W120" s="43" t="s">
        <v>53</v>
      </c>
      <c r="X120" s="26"/>
      <c r="Y120" s="26"/>
      <c r="Z120" s="26"/>
      <c r="AA120" s="26"/>
      <c r="AB120" s="26"/>
      <c r="AC120" s="26"/>
      <c r="AD120" s="52" t="s">
        <v>641</v>
      </c>
      <c r="AE120" s="26">
        <f t="shared" si="31"/>
        <v>616.5</v>
      </c>
      <c r="AF120" s="294">
        <f t="shared" si="30"/>
        <v>616</v>
      </c>
      <c r="AG120" s="26"/>
      <c r="AH120" s="26"/>
      <c r="AI120" s="26"/>
      <c r="AJ120" s="26"/>
      <c r="AK120" s="26"/>
      <c r="AL120" s="26"/>
      <c r="AM120" s="26">
        <f>600+16.5</f>
        <v>616.5</v>
      </c>
      <c r="AN120" s="26">
        <v>616</v>
      </c>
      <c r="AO120" s="26">
        <f>AS120</f>
        <v>627.20000000000005</v>
      </c>
      <c r="AP120" s="26"/>
      <c r="AQ120" s="26"/>
      <c r="AR120" s="26"/>
      <c r="AS120" s="26">
        <f>1227.2-600</f>
        <v>627.20000000000005</v>
      </c>
      <c r="AT120" s="26">
        <f>AX120</f>
        <v>1249.4000000000001</v>
      </c>
      <c r="AU120" s="26"/>
      <c r="AV120" s="26"/>
      <c r="AW120" s="26"/>
      <c r="AX120" s="26">
        <v>1249.4000000000001</v>
      </c>
      <c r="AY120" s="26">
        <f>BC120</f>
        <v>1284.3</v>
      </c>
      <c r="AZ120" s="26"/>
      <c r="BA120" s="26"/>
      <c r="BB120" s="26"/>
      <c r="BC120" s="26">
        <v>1284.3</v>
      </c>
      <c r="BD120" s="26">
        <f>BH120</f>
        <v>1284.3</v>
      </c>
      <c r="BE120" s="26"/>
      <c r="BF120" s="26"/>
      <c r="BG120" s="26"/>
      <c r="BH120" s="26">
        <v>1284.3</v>
      </c>
    </row>
    <row r="121" spans="1:60" ht="35.65" customHeight="1">
      <c r="A121" s="61" t="s">
        <v>50</v>
      </c>
      <c r="B121" s="53"/>
      <c r="C121" s="25"/>
      <c r="D121" s="26"/>
      <c r="E121" s="26"/>
      <c r="F121" s="26"/>
      <c r="G121" s="26"/>
      <c r="H121" s="26"/>
      <c r="I121" s="26"/>
      <c r="J121" s="26"/>
      <c r="K121" s="26"/>
      <c r="L121" s="26"/>
      <c r="M121" s="26"/>
      <c r="N121" s="26"/>
      <c r="O121" s="26"/>
      <c r="P121" s="26"/>
      <c r="Q121" s="26"/>
      <c r="R121" s="26"/>
      <c r="S121" s="26"/>
      <c r="T121" s="26"/>
      <c r="U121" s="26"/>
      <c r="V121" s="26"/>
      <c r="W121" s="43" t="s">
        <v>53</v>
      </c>
      <c r="X121" s="26"/>
      <c r="Y121" s="26"/>
      <c r="Z121" s="26"/>
      <c r="AA121" s="26"/>
      <c r="AB121" s="26"/>
      <c r="AC121" s="26"/>
      <c r="AD121" s="52" t="s">
        <v>642</v>
      </c>
      <c r="AE121" s="26">
        <f t="shared" si="31"/>
        <v>0</v>
      </c>
      <c r="AF121" s="294">
        <f t="shared" si="30"/>
        <v>0</v>
      </c>
      <c r="AG121" s="26"/>
      <c r="AH121" s="26"/>
      <c r="AI121" s="26"/>
      <c r="AJ121" s="26"/>
      <c r="AK121" s="26"/>
      <c r="AL121" s="26"/>
      <c r="AM121" s="26"/>
      <c r="AN121" s="26"/>
      <c r="AO121" s="26">
        <f>AS121</f>
        <v>0</v>
      </c>
      <c r="AP121" s="26"/>
      <c r="AQ121" s="26"/>
      <c r="AR121" s="26"/>
      <c r="AS121" s="26"/>
      <c r="AT121" s="26">
        <f>AX121</f>
        <v>0</v>
      </c>
      <c r="AU121" s="26"/>
      <c r="AV121" s="26"/>
      <c r="AW121" s="26"/>
      <c r="AX121" s="26"/>
      <c r="AY121" s="26">
        <f>BC121</f>
        <v>0</v>
      </c>
      <c r="AZ121" s="26"/>
      <c r="BA121" s="26"/>
      <c r="BB121" s="26"/>
      <c r="BC121" s="26"/>
      <c r="BD121" s="26">
        <f>BH121</f>
        <v>0</v>
      </c>
      <c r="BE121" s="26"/>
      <c r="BF121" s="26"/>
      <c r="BG121" s="26"/>
      <c r="BH121" s="26"/>
    </row>
    <row r="122" spans="1:60" ht="35.65" customHeight="1">
      <c r="A122" s="61" t="s">
        <v>50</v>
      </c>
      <c r="B122" s="53"/>
      <c r="C122" s="25"/>
      <c r="D122" s="26"/>
      <c r="E122" s="26"/>
      <c r="F122" s="26"/>
      <c r="G122" s="26"/>
      <c r="H122" s="26"/>
      <c r="I122" s="26"/>
      <c r="J122" s="26"/>
      <c r="K122" s="26"/>
      <c r="L122" s="26"/>
      <c r="M122" s="26"/>
      <c r="N122" s="26"/>
      <c r="O122" s="26"/>
      <c r="P122" s="26"/>
      <c r="Q122" s="26"/>
      <c r="R122" s="26"/>
      <c r="S122" s="26"/>
      <c r="T122" s="26"/>
      <c r="U122" s="26"/>
      <c r="V122" s="26"/>
      <c r="W122" s="43" t="s">
        <v>53</v>
      </c>
      <c r="X122" s="26"/>
      <c r="Y122" s="26"/>
      <c r="Z122" s="26"/>
      <c r="AA122" s="26"/>
      <c r="AB122" s="26"/>
      <c r="AC122" s="26"/>
      <c r="AD122" s="52" t="s">
        <v>643</v>
      </c>
      <c r="AE122" s="26">
        <f t="shared" si="31"/>
        <v>9.6999999999999993</v>
      </c>
      <c r="AF122" s="294">
        <f>AH122+AJ122+AL122+AN122</f>
        <v>9.6999999999999993</v>
      </c>
      <c r="AG122" s="26"/>
      <c r="AH122" s="26"/>
      <c r="AI122" s="26"/>
      <c r="AJ122" s="26"/>
      <c r="AK122" s="26"/>
      <c r="AL122" s="26"/>
      <c r="AM122" s="26">
        <v>9.6999999999999993</v>
      </c>
      <c r="AN122" s="26">
        <v>9.6999999999999993</v>
      </c>
      <c r="AO122" s="26">
        <f>AS122</f>
        <v>561</v>
      </c>
      <c r="AP122" s="26"/>
      <c r="AQ122" s="26"/>
      <c r="AR122" s="26"/>
      <c r="AS122" s="26">
        <f>100+446+60-45</f>
        <v>561</v>
      </c>
      <c r="AT122" s="26">
        <f>AX122</f>
        <v>0</v>
      </c>
      <c r="AU122" s="26"/>
      <c r="AV122" s="26"/>
      <c r="AW122" s="26"/>
      <c r="AX122" s="26"/>
      <c r="AY122" s="26">
        <f>BC122</f>
        <v>0</v>
      </c>
      <c r="AZ122" s="26"/>
      <c r="BA122" s="26"/>
      <c r="BB122" s="26"/>
      <c r="BC122" s="26"/>
      <c r="BD122" s="26">
        <f>BH122</f>
        <v>0</v>
      </c>
      <c r="BE122" s="26"/>
      <c r="BF122" s="26"/>
      <c r="BG122" s="26"/>
      <c r="BH122" s="26"/>
    </row>
    <row r="123" spans="1:60" ht="35.65" customHeight="1">
      <c r="A123" s="61" t="s">
        <v>50</v>
      </c>
      <c r="B123" s="53"/>
      <c r="C123" s="25"/>
      <c r="D123" s="26"/>
      <c r="E123" s="26"/>
      <c r="F123" s="26"/>
      <c r="G123" s="26"/>
      <c r="H123" s="26"/>
      <c r="I123" s="26"/>
      <c r="J123" s="26"/>
      <c r="K123" s="26"/>
      <c r="L123" s="26"/>
      <c r="M123" s="26"/>
      <c r="N123" s="26"/>
      <c r="O123" s="26"/>
      <c r="P123" s="26"/>
      <c r="Q123" s="26"/>
      <c r="R123" s="26"/>
      <c r="S123" s="26"/>
      <c r="T123" s="26"/>
      <c r="U123" s="26"/>
      <c r="V123" s="26"/>
      <c r="W123" s="43" t="s">
        <v>53</v>
      </c>
      <c r="X123" s="26"/>
      <c r="Y123" s="26"/>
      <c r="Z123" s="26"/>
      <c r="AA123" s="26"/>
      <c r="AB123" s="26"/>
      <c r="AC123" s="26"/>
      <c r="AD123" s="52" t="s">
        <v>644</v>
      </c>
      <c r="AE123" s="26">
        <f t="shared" si="31"/>
        <v>0</v>
      </c>
      <c r="AF123" s="294">
        <f t="shared" si="30"/>
        <v>0</v>
      </c>
      <c r="AG123" s="26"/>
      <c r="AH123" s="26"/>
      <c r="AI123" s="26"/>
      <c r="AJ123" s="26"/>
      <c r="AK123" s="26"/>
      <c r="AL123" s="26"/>
      <c r="AM123" s="26"/>
      <c r="AN123" s="26"/>
      <c r="AO123" s="26">
        <f t="shared" ref="AO123:AO127" si="32">AS123</f>
        <v>0</v>
      </c>
      <c r="AP123" s="26"/>
      <c r="AQ123" s="26"/>
      <c r="AR123" s="26"/>
      <c r="AS123" s="26"/>
      <c r="AT123" s="26"/>
      <c r="AU123" s="26"/>
      <c r="AV123" s="26"/>
      <c r="AW123" s="26"/>
      <c r="AX123" s="26"/>
      <c r="AY123" s="26"/>
      <c r="AZ123" s="26"/>
      <c r="BA123" s="26"/>
      <c r="BB123" s="26"/>
      <c r="BC123" s="26"/>
      <c r="BD123" s="26"/>
      <c r="BE123" s="26"/>
      <c r="BF123" s="26"/>
      <c r="BG123" s="26"/>
      <c r="BH123" s="26"/>
    </row>
    <row r="124" spans="1:60" ht="35.65" customHeight="1">
      <c r="A124" s="61" t="s">
        <v>50</v>
      </c>
      <c r="B124" s="53"/>
      <c r="C124" s="55"/>
      <c r="D124" s="26"/>
      <c r="E124" s="26"/>
      <c r="F124" s="26"/>
      <c r="G124" s="26"/>
      <c r="H124" s="26"/>
      <c r="I124" s="26"/>
      <c r="J124" s="26"/>
      <c r="K124" s="26"/>
      <c r="L124" s="26"/>
      <c r="M124" s="56"/>
      <c r="N124" s="26"/>
      <c r="O124" s="26"/>
      <c r="P124" s="56"/>
      <c r="Q124" s="26"/>
      <c r="R124" s="26"/>
      <c r="S124" s="26"/>
      <c r="T124" s="26"/>
      <c r="U124" s="26"/>
      <c r="V124" s="26"/>
      <c r="W124" s="70"/>
      <c r="X124" s="26"/>
      <c r="Y124" s="26"/>
      <c r="Z124" s="26"/>
      <c r="AA124" s="26"/>
      <c r="AB124" s="26"/>
      <c r="AC124" s="26"/>
      <c r="AD124" s="52" t="s">
        <v>645</v>
      </c>
      <c r="AE124" s="26">
        <f t="shared" si="31"/>
        <v>0</v>
      </c>
      <c r="AF124" s="294">
        <f t="shared" si="30"/>
        <v>0</v>
      </c>
      <c r="AG124" s="26"/>
      <c r="AH124" s="26"/>
      <c r="AI124" s="26"/>
      <c r="AJ124" s="26"/>
      <c r="AK124" s="26"/>
      <c r="AL124" s="26"/>
      <c r="AM124" s="26"/>
      <c r="AN124" s="26"/>
      <c r="AO124" s="26">
        <f t="shared" si="32"/>
        <v>0</v>
      </c>
      <c r="AP124" s="26"/>
      <c r="AQ124" s="26"/>
      <c r="AR124" s="26"/>
      <c r="AS124" s="26"/>
      <c r="AT124" s="26"/>
      <c r="AU124" s="26"/>
      <c r="AV124" s="26"/>
      <c r="AW124" s="26"/>
      <c r="AX124" s="26"/>
      <c r="AY124" s="26"/>
      <c r="AZ124" s="26"/>
      <c r="BA124" s="26"/>
      <c r="BB124" s="26"/>
      <c r="BC124" s="26"/>
      <c r="BD124" s="26"/>
      <c r="BE124" s="26"/>
      <c r="BF124" s="26"/>
      <c r="BG124" s="26"/>
      <c r="BH124" s="26"/>
    </row>
    <row r="125" spans="1:60" ht="35.65" customHeight="1">
      <c r="A125" s="61" t="s">
        <v>50</v>
      </c>
      <c r="B125" s="53"/>
      <c r="C125" s="55"/>
      <c r="D125" s="26"/>
      <c r="E125" s="26"/>
      <c r="F125" s="26"/>
      <c r="G125" s="26"/>
      <c r="H125" s="26"/>
      <c r="I125" s="26"/>
      <c r="J125" s="26"/>
      <c r="K125" s="26"/>
      <c r="L125" s="26"/>
      <c r="M125" s="56"/>
      <c r="N125" s="26"/>
      <c r="O125" s="26"/>
      <c r="P125" s="56"/>
      <c r="Q125" s="26"/>
      <c r="R125" s="26"/>
      <c r="S125" s="26"/>
      <c r="T125" s="26"/>
      <c r="U125" s="26"/>
      <c r="V125" s="26"/>
      <c r="W125" s="70"/>
      <c r="X125" s="26"/>
      <c r="Y125" s="26"/>
      <c r="Z125" s="26"/>
      <c r="AA125" s="26"/>
      <c r="AB125" s="26"/>
      <c r="AC125" s="26"/>
      <c r="AD125" s="52" t="s">
        <v>646</v>
      </c>
      <c r="AE125" s="26">
        <f t="shared" si="31"/>
        <v>0</v>
      </c>
      <c r="AF125" s="294">
        <f t="shared" si="30"/>
        <v>0</v>
      </c>
      <c r="AG125" s="26"/>
      <c r="AH125" s="26"/>
      <c r="AI125" s="26"/>
      <c r="AJ125" s="26"/>
      <c r="AK125" s="26"/>
      <c r="AL125" s="26"/>
      <c r="AM125" s="26"/>
      <c r="AN125" s="26"/>
      <c r="AO125" s="26">
        <f t="shared" si="32"/>
        <v>0</v>
      </c>
      <c r="AP125" s="26"/>
      <c r="AQ125" s="26"/>
      <c r="AR125" s="26"/>
      <c r="AS125" s="26"/>
      <c r="AT125" s="26"/>
      <c r="AU125" s="26"/>
      <c r="AV125" s="26"/>
      <c r="AW125" s="26"/>
      <c r="AX125" s="26"/>
      <c r="AY125" s="26"/>
      <c r="AZ125" s="26"/>
      <c r="BA125" s="26"/>
      <c r="BB125" s="26"/>
      <c r="BC125" s="26"/>
      <c r="BD125" s="26"/>
      <c r="BE125" s="26"/>
      <c r="BF125" s="26"/>
      <c r="BG125" s="26"/>
      <c r="BH125" s="26"/>
    </row>
    <row r="126" spans="1:60" ht="35.65" customHeight="1">
      <c r="A126" s="61" t="s">
        <v>83</v>
      </c>
      <c r="B126" s="53"/>
      <c r="C126" s="55"/>
      <c r="D126" s="26"/>
      <c r="E126" s="26"/>
      <c r="F126" s="26"/>
      <c r="G126" s="26"/>
      <c r="H126" s="26"/>
      <c r="I126" s="26"/>
      <c r="J126" s="26"/>
      <c r="K126" s="26"/>
      <c r="L126" s="26"/>
      <c r="M126" s="56"/>
      <c r="N126" s="26"/>
      <c r="O126" s="26"/>
      <c r="P126" s="56"/>
      <c r="Q126" s="26"/>
      <c r="R126" s="26"/>
      <c r="S126" s="26"/>
      <c r="T126" s="26"/>
      <c r="U126" s="26"/>
      <c r="V126" s="26"/>
      <c r="W126" s="43" t="s">
        <v>53</v>
      </c>
      <c r="X126" s="26"/>
      <c r="Y126" s="26"/>
      <c r="Z126" s="26"/>
      <c r="AA126" s="26"/>
      <c r="AB126" s="26"/>
      <c r="AC126" s="26"/>
      <c r="AD126" s="52" t="s">
        <v>647</v>
      </c>
      <c r="AE126" s="26">
        <f t="shared" si="31"/>
        <v>1752.7999999999997</v>
      </c>
      <c r="AF126" s="294">
        <f t="shared" si="30"/>
        <v>1752.8</v>
      </c>
      <c r="AG126" s="26"/>
      <c r="AH126" s="26"/>
      <c r="AI126" s="26"/>
      <c r="AJ126" s="26"/>
      <c r="AK126" s="26"/>
      <c r="AL126" s="26"/>
      <c r="AM126" s="26">
        <f>0.8+266.3+139.8+95+370.4+754.4+126.1</f>
        <v>1752.7999999999997</v>
      </c>
      <c r="AN126" s="26">
        <v>1752.8</v>
      </c>
      <c r="AO126" s="26">
        <f t="shared" si="32"/>
        <v>5053</v>
      </c>
      <c r="AP126" s="26"/>
      <c r="AQ126" s="26"/>
      <c r="AR126" s="26"/>
      <c r="AS126" s="26">
        <f>1641.8+0.7+1079+10.7+190+1911.9+218.9</f>
        <v>5053</v>
      </c>
      <c r="AT126" s="26"/>
      <c r="AU126" s="26"/>
      <c r="AV126" s="26"/>
      <c r="AW126" s="26"/>
      <c r="AX126" s="26"/>
      <c r="AY126" s="26"/>
      <c r="AZ126" s="26"/>
      <c r="BA126" s="26"/>
      <c r="BB126" s="26"/>
      <c r="BC126" s="26"/>
      <c r="BD126" s="26"/>
      <c r="BE126" s="26"/>
      <c r="BF126" s="26"/>
      <c r="BG126" s="26"/>
      <c r="BH126" s="26"/>
    </row>
    <row r="127" spans="1:60" ht="35.65" customHeight="1">
      <c r="A127" s="61" t="s">
        <v>83</v>
      </c>
      <c r="B127" s="53"/>
      <c r="C127" s="55"/>
      <c r="D127" s="26"/>
      <c r="E127" s="26"/>
      <c r="F127" s="26"/>
      <c r="G127" s="26"/>
      <c r="H127" s="26"/>
      <c r="I127" s="26"/>
      <c r="J127" s="26"/>
      <c r="K127" s="26"/>
      <c r="L127" s="26"/>
      <c r="M127" s="56"/>
      <c r="N127" s="26"/>
      <c r="O127" s="26"/>
      <c r="P127" s="56"/>
      <c r="Q127" s="26"/>
      <c r="R127" s="26"/>
      <c r="S127" s="26"/>
      <c r="T127" s="26"/>
      <c r="U127" s="26"/>
      <c r="V127" s="26"/>
      <c r="W127" s="70"/>
      <c r="X127" s="26"/>
      <c r="Y127" s="26"/>
      <c r="Z127" s="26"/>
      <c r="AA127" s="26"/>
      <c r="AB127" s="26"/>
      <c r="AC127" s="26"/>
      <c r="AD127" s="52" t="s">
        <v>1210</v>
      </c>
      <c r="AE127" s="26"/>
      <c r="AF127" s="294"/>
      <c r="AG127" s="26"/>
      <c r="AH127" s="26"/>
      <c r="AI127" s="26"/>
      <c r="AJ127" s="26"/>
      <c r="AK127" s="26"/>
      <c r="AL127" s="26"/>
      <c r="AM127" s="26"/>
      <c r="AN127" s="26"/>
      <c r="AO127" s="26">
        <f t="shared" si="32"/>
        <v>10.7</v>
      </c>
      <c r="AP127" s="26"/>
      <c r="AQ127" s="26"/>
      <c r="AR127" s="26"/>
      <c r="AS127" s="26">
        <v>10.7</v>
      </c>
      <c r="AT127" s="26"/>
      <c r="AU127" s="26"/>
      <c r="AV127" s="26"/>
      <c r="AW127" s="26"/>
      <c r="AX127" s="26"/>
      <c r="AY127" s="26"/>
      <c r="AZ127" s="26"/>
      <c r="BA127" s="26"/>
      <c r="BB127" s="26"/>
      <c r="BC127" s="26"/>
      <c r="BD127" s="26"/>
      <c r="BE127" s="26"/>
      <c r="BF127" s="26"/>
      <c r="BG127" s="26"/>
      <c r="BH127" s="26"/>
    </row>
    <row r="128" spans="1:60" ht="35.65" customHeight="1">
      <c r="A128" s="26" t="s">
        <v>57</v>
      </c>
      <c r="B128" s="53"/>
      <c r="C128" s="417" t="s">
        <v>68</v>
      </c>
      <c r="D128" s="26"/>
      <c r="E128" s="26"/>
      <c r="F128" s="26"/>
      <c r="G128" s="26"/>
      <c r="H128" s="26"/>
      <c r="I128" s="26"/>
      <c r="J128" s="26"/>
      <c r="K128" s="26"/>
      <c r="L128" s="26"/>
      <c r="M128" s="419" t="s">
        <v>84</v>
      </c>
      <c r="N128" s="26"/>
      <c r="O128" s="26"/>
      <c r="P128" s="399" t="s">
        <v>85</v>
      </c>
      <c r="Q128" s="26"/>
      <c r="R128" s="26"/>
      <c r="S128" s="26"/>
      <c r="T128" s="26"/>
      <c r="U128" s="26"/>
      <c r="V128" s="26"/>
      <c r="W128" s="399"/>
      <c r="X128" s="26"/>
      <c r="Y128" s="26"/>
      <c r="Z128" s="52" t="s">
        <v>86</v>
      </c>
      <c r="AA128" s="26"/>
      <c r="AB128" s="26"/>
      <c r="AC128" s="26"/>
      <c r="AD128" s="52" t="s">
        <v>648</v>
      </c>
      <c r="AE128" s="26">
        <f t="shared" si="31"/>
        <v>0</v>
      </c>
      <c r="AF128" s="294">
        <f t="shared" si="30"/>
        <v>0</v>
      </c>
      <c r="AG128" s="26"/>
      <c r="AH128" s="26"/>
      <c r="AI128" s="26"/>
      <c r="AJ128" s="26"/>
      <c r="AK128" s="26"/>
      <c r="AL128" s="26"/>
      <c r="AM128" s="26"/>
      <c r="AN128" s="26"/>
      <c r="AO128" s="26">
        <f>AS128</f>
        <v>0</v>
      </c>
      <c r="AP128" s="26"/>
      <c r="AQ128" s="26"/>
      <c r="AR128" s="26"/>
      <c r="AS128" s="26"/>
      <c r="AT128" s="26">
        <f>AX128</f>
        <v>0</v>
      </c>
      <c r="AU128" s="26"/>
      <c r="AV128" s="26"/>
      <c r="AW128" s="26"/>
      <c r="AX128" s="26"/>
      <c r="AY128" s="26">
        <f>BC128</f>
        <v>0</v>
      </c>
      <c r="AZ128" s="26"/>
      <c r="BA128" s="26"/>
      <c r="BB128" s="26"/>
      <c r="BC128" s="26"/>
      <c r="BD128" s="26">
        <f>BH128</f>
        <v>0</v>
      </c>
      <c r="BE128" s="26"/>
      <c r="BF128" s="26"/>
      <c r="BG128" s="26"/>
      <c r="BH128" s="26"/>
    </row>
    <row r="129" spans="1:60" ht="35.65" customHeight="1">
      <c r="A129" s="26" t="s">
        <v>57</v>
      </c>
      <c r="B129" s="53"/>
      <c r="C129" s="418"/>
      <c r="D129" s="26"/>
      <c r="E129" s="26"/>
      <c r="F129" s="26"/>
      <c r="G129" s="26"/>
      <c r="H129" s="26"/>
      <c r="I129" s="26"/>
      <c r="J129" s="26" t="s">
        <v>87</v>
      </c>
      <c r="K129" s="26"/>
      <c r="L129" s="26"/>
      <c r="M129" s="420"/>
      <c r="N129" s="26"/>
      <c r="O129" s="26"/>
      <c r="P129" s="382"/>
      <c r="Q129" s="26"/>
      <c r="R129" s="26"/>
      <c r="S129" s="26"/>
      <c r="T129" s="71" t="s">
        <v>88</v>
      </c>
      <c r="U129" s="72">
        <v>44949</v>
      </c>
      <c r="V129" s="71" t="s">
        <v>89</v>
      </c>
      <c r="W129" s="382"/>
      <c r="X129" s="26" t="s">
        <v>36</v>
      </c>
      <c r="Y129" s="26"/>
      <c r="Z129" s="52" t="s">
        <v>90</v>
      </c>
      <c r="AA129" s="26"/>
      <c r="AB129" s="26"/>
      <c r="AC129" s="26"/>
      <c r="AD129" s="52" t="s">
        <v>649</v>
      </c>
      <c r="AE129" s="26">
        <f t="shared" si="31"/>
        <v>5266.2</v>
      </c>
      <c r="AF129" s="294">
        <f>AH129+AJ129+AL129+AN129</f>
        <v>5229.8999999999996</v>
      </c>
      <c r="AG129" s="26">
        <f>798.2-12.5</f>
        <v>785.7</v>
      </c>
      <c r="AH129" s="26">
        <v>785.7</v>
      </c>
      <c r="AI129" s="26">
        <f>2215.4-34.9</f>
        <v>2180.5</v>
      </c>
      <c r="AJ129" s="26">
        <v>2180.5</v>
      </c>
      <c r="AK129" s="26"/>
      <c r="AL129" s="26"/>
      <c r="AM129" s="26">
        <v>2300</v>
      </c>
      <c r="AN129" s="26">
        <v>2263.6999999999998</v>
      </c>
      <c r="AO129" s="26">
        <f>AP129+AQ129+AR129+AS129</f>
        <v>5412</v>
      </c>
      <c r="AP129" s="26">
        <v>891.1</v>
      </c>
      <c r="AQ129" s="26">
        <v>2220.9</v>
      </c>
      <c r="AR129" s="26"/>
      <c r="AS129" s="26">
        <v>2300</v>
      </c>
      <c r="AT129" s="26">
        <f>AU129+AV129+AW129+AX129</f>
        <v>7268.2999999999993</v>
      </c>
      <c r="AU129" s="26">
        <f>1399.1+0.1</f>
        <v>1399.1999999999998</v>
      </c>
      <c r="AV129" s="26">
        <v>3369.1</v>
      </c>
      <c r="AW129" s="26"/>
      <c r="AX129" s="26">
        <v>2500</v>
      </c>
      <c r="AY129" s="26">
        <f>AZ129+BA129+BB129+BC129</f>
        <v>8925.6</v>
      </c>
      <c r="AZ129" s="26">
        <v>1682.1</v>
      </c>
      <c r="BA129" s="26">
        <f>4243.4+0.1</f>
        <v>4243.5</v>
      </c>
      <c r="BB129" s="26"/>
      <c r="BC129" s="26">
        <f>3000</f>
        <v>3000</v>
      </c>
      <c r="BD129" s="26">
        <f>BE129+BF129+BG129+BH129</f>
        <v>8925.6</v>
      </c>
      <c r="BE129" s="26">
        <v>1682.1</v>
      </c>
      <c r="BF129" s="26">
        <f>4243.4+0.1</f>
        <v>4243.5</v>
      </c>
      <c r="BG129" s="26"/>
      <c r="BH129" s="26">
        <f>3000</f>
        <v>3000</v>
      </c>
    </row>
    <row r="130" spans="1:60" ht="35.65" customHeight="1">
      <c r="A130" s="26" t="s">
        <v>57</v>
      </c>
      <c r="B130" s="62"/>
      <c r="C130" s="73"/>
      <c r="D130" s="64"/>
      <c r="E130" s="64"/>
      <c r="F130" s="64"/>
      <c r="G130" s="64"/>
      <c r="H130" s="64"/>
      <c r="I130" s="64"/>
      <c r="J130" s="64"/>
      <c r="K130" s="64"/>
      <c r="L130" s="64"/>
      <c r="M130" s="74"/>
      <c r="N130" s="64"/>
      <c r="O130" s="64"/>
      <c r="P130" s="63"/>
      <c r="Q130" s="64"/>
      <c r="R130" s="64"/>
      <c r="S130" s="64"/>
      <c r="T130" s="75"/>
      <c r="U130" s="76"/>
      <c r="V130" s="75"/>
      <c r="W130" s="63"/>
      <c r="X130" s="64"/>
      <c r="Y130" s="64"/>
      <c r="Z130" s="77"/>
      <c r="AA130" s="64"/>
      <c r="AB130" s="64"/>
      <c r="AC130" s="64"/>
      <c r="AD130" s="52" t="s">
        <v>650</v>
      </c>
      <c r="AE130" s="26"/>
      <c r="AF130" s="294"/>
      <c r="AG130" s="26"/>
      <c r="AH130" s="26"/>
      <c r="AI130" s="26"/>
      <c r="AJ130" s="26"/>
      <c r="AK130" s="26"/>
      <c r="AL130" s="26"/>
      <c r="AM130" s="26"/>
      <c r="AN130" s="26"/>
      <c r="AO130" s="26">
        <f>AP130+AQ130+AR130+AS130</f>
        <v>4085.6</v>
      </c>
      <c r="AP130" s="26">
        <f>876.2+2021.7</f>
        <v>2897.9</v>
      </c>
      <c r="AQ130" s="26">
        <f>357.9+825.7</f>
        <v>1183.5999999999999</v>
      </c>
      <c r="AR130" s="26"/>
      <c r="AS130" s="26">
        <f>1.2+2.9</f>
        <v>4.0999999999999996</v>
      </c>
      <c r="AT130" s="26"/>
      <c r="AU130" s="26"/>
      <c r="AV130" s="26"/>
      <c r="AW130" s="26"/>
      <c r="AX130" s="26"/>
      <c r="AY130" s="26"/>
      <c r="AZ130" s="26"/>
      <c r="BA130" s="26"/>
      <c r="BB130" s="26"/>
      <c r="BC130" s="26"/>
      <c r="BD130" s="26"/>
      <c r="BE130" s="26"/>
      <c r="BF130" s="26"/>
      <c r="BG130" s="26"/>
      <c r="BH130" s="26"/>
    </row>
    <row r="131" spans="1:60" ht="35.65" customHeight="1">
      <c r="A131" s="61" t="s">
        <v>57</v>
      </c>
      <c r="B131" s="62"/>
      <c r="C131" s="78"/>
      <c r="D131" s="64"/>
      <c r="E131" s="64"/>
      <c r="F131" s="64"/>
      <c r="G131" s="64"/>
      <c r="H131" s="64"/>
      <c r="I131" s="64"/>
      <c r="J131" s="64"/>
      <c r="K131" s="64"/>
      <c r="L131" s="64"/>
      <c r="M131" s="79"/>
      <c r="N131" s="64"/>
      <c r="O131" s="64"/>
      <c r="P131" s="77"/>
      <c r="Q131" s="64"/>
      <c r="R131" s="64"/>
      <c r="S131" s="64"/>
      <c r="T131" s="64"/>
      <c r="U131" s="64"/>
      <c r="V131" s="64"/>
      <c r="W131" s="77"/>
      <c r="X131" s="64"/>
      <c r="Y131" s="64"/>
      <c r="Z131" s="77"/>
      <c r="AA131" s="64"/>
      <c r="AB131" s="64"/>
      <c r="AC131" s="64"/>
      <c r="AD131" s="52" t="s">
        <v>651</v>
      </c>
      <c r="AE131" s="26"/>
      <c r="AF131" s="294">
        <f t="shared" si="30"/>
        <v>0</v>
      </c>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row>
    <row r="132" spans="1:60" ht="35.65" customHeight="1" thickBot="1">
      <c r="A132" s="31" t="s">
        <v>91</v>
      </c>
      <c r="B132" s="32">
        <v>2511</v>
      </c>
      <c r="C132" s="80"/>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v>4</v>
      </c>
      <c r="AD132" s="34"/>
      <c r="AE132" s="34">
        <f t="shared" ref="AE132:BH132" si="33">AE134+AE135</f>
        <v>20169.5</v>
      </c>
      <c r="AF132" s="34">
        <f>AH132+AJ132+AL132+AN132</f>
        <v>20104.2</v>
      </c>
      <c r="AG132" s="34">
        <f t="shared" si="33"/>
        <v>0</v>
      </c>
      <c r="AH132" s="34">
        <f t="shared" si="33"/>
        <v>0</v>
      </c>
      <c r="AI132" s="34">
        <f t="shared" si="33"/>
        <v>0</v>
      </c>
      <c r="AJ132" s="34">
        <f t="shared" si="33"/>
        <v>0</v>
      </c>
      <c r="AK132" s="34">
        <f t="shared" si="33"/>
        <v>0</v>
      </c>
      <c r="AL132" s="34"/>
      <c r="AM132" s="34">
        <f t="shared" si="33"/>
        <v>20169.5</v>
      </c>
      <c r="AN132" s="34">
        <f t="shared" si="33"/>
        <v>20104.2</v>
      </c>
      <c r="AO132" s="34">
        <f t="shared" si="33"/>
        <v>22722.399999999998</v>
      </c>
      <c r="AP132" s="34">
        <f t="shared" si="33"/>
        <v>0</v>
      </c>
      <c r="AQ132" s="34">
        <f t="shared" si="33"/>
        <v>0</v>
      </c>
      <c r="AR132" s="34">
        <f t="shared" si="33"/>
        <v>0</v>
      </c>
      <c r="AS132" s="34">
        <f t="shared" si="33"/>
        <v>22722.399999999998</v>
      </c>
      <c r="AT132" s="34">
        <f t="shared" si="33"/>
        <v>21258.699999999997</v>
      </c>
      <c r="AU132" s="34">
        <f t="shared" si="33"/>
        <v>0</v>
      </c>
      <c r="AV132" s="34">
        <f t="shared" si="33"/>
        <v>0</v>
      </c>
      <c r="AW132" s="34">
        <f t="shared" si="33"/>
        <v>0</v>
      </c>
      <c r="AX132" s="34">
        <f t="shared" si="33"/>
        <v>21258.699999999997</v>
      </c>
      <c r="AY132" s="34">
        <f t="shared" si="33"/>
        <v>21258.699999999997</v>
      </c>
      <c r="AZ132" s="34">
        <f t="shared" si="33"/>
        <v>0</v>
      </c>
      <c r="BA132" s="34">
        <f t="shared" si="33"/>
        <v>0</v>
      </c>
      <c r="BB132" s="34">
        <f t="shared" si="33"/>
        <v>0</v>
      </c>
      <c r="BC132" s="34">
        <f t="shared" si="33"/>
        <v>21258.699999999997</v>
      </c>
      <c r="BD132" s="34">
        <f t="shared" si="33"/>
        <v>21258.699999999997</v>
      </c>
      <c r="BE132" s="34">
        <f t="shared" si="33"/>
        <v>0</v>
      </c>
      <c r="BF132" s="34">
        <f t="shared" si="33"/>
        <v>0</v>
      </c>
      <c r="BG132" s="34">
        <f t="shared" si="33"/>
        <v>0</v>
      </c>
      <c r="BH132" s="34">
        <f t="shared" si="33"/>
        <v>21258.699999999997</v>
      </c>
    </row>
    <row r="133" spans="1:60" ht="35.65" customHeight="1" thickBot="1">
      <c r="A133" s="31" t="s">
        <v>50</v>
      </c>
      <c r="B133" s="42"/>
      <c r="C133" s="82"/>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52" t="s">
        <v>652</v>
      </c>
      <c r="AE133" s="34">
        <f>AG133+AI133+AK133+AM133</f>
        <v>0</v>
      </c>
      <c r="AF133" s="34">
        <f>AH133+AJ133+AL133+AN133</f>
        <v>0</v>
      </c>
      <c r="AG133" s="34"/>
      <c r="AH133" s="34"/>
      <c r="AI133" s="34"/>
      <c r="AJ133" s="34"/>
      <c r="AK133" s="34"/>
      <c r="AL133" s="34"/>
      <c r="AM133" s="34"/>
      <c r="AN133" s="34"/>
      <c r="AO133" s="34">
        <f>AP133+AQ133+AR133+AS133</f>
        <v>0</v>
      </c>
      <c r="AP133" s="34"/>
      <c r="AQ133" s="34"/>
      <c r="AR133" s="34"/>
      <c r="AS133" s="34">
        <f>FT914+FU914+FV914+FW914+FX914</f>
        <v>0</v>
      </c>
      <c r="AT133" s="34">
        <f>AU133+AV133+AW133+AX133</f>
        <v>0</v>
      </c>
      <c r="AU133" s="34"/>
      <c r="AV133" s="34"/>
      <c r="AW133" s="34"/>
      <c r="AX133" s="34">
        <f>FJ914+FK914+FL914+FM914+FN914</f>
        <v>0</v>
      </c>
      <c r="AY133" s="34">
        <f>AZ133+BA133+BB133+BC133</f>
        <v>0</v>
      </c>
      <c r="AZ133" s="34"/>
      <c r="BA133" s="34"/>
      <c r="BB133" s="34"/>
      <c r="BC133" s="34"/>
      <c r="BD133" s="34">
        <f>BE133+BF133+BG133+BH133</f>
        <v>0</v>
      </c>
      <c r="BE133" s="34"/>
      <c r="BF133" s="34"/>
      <c r="BG133" s="34"/>
      <c r="BH133" s="34"/>
    </row>
    <row r="134" spans="1:60" ht="35.65" customHeight="1" thickBot="1">
      <c r="A134" s="31" t="s">
        <v>50</v>
      </c>
      <c r="B134" s="32"/>
      <c r="C134" s="80"/>
      <c r="D134" s="81"/>
      <c r="E134" s="81"/>
      <c r="F134" s="81"/>
      <c r="G134" s="81"/>
      <c r="H134" s="81"/>
      <c r="I134" s="81"/>
      <c r="J134" s="81"/>
      <c r="K134" s="81"/>
      <c r="L134" s="81"/>
      <c r="M134" s="81"/>
      <c r="N134" s="81"/>
      <c r="O134" s="81"/>
      <c r="P134" s="81"/>
      <c r="Q134" s="81"/>
      <c r="R134" s="81"/>
      <c r="S134" s="81"/>
      <c r="T134" s="81"/>
      <c r="U134" s="81"/>
      <c r="V134" s="81"/>
      <c r="W134" s="43" t="s">
        <v>64</v>
      </c>
      <c r="X134" s="83"/>
      <c r="Y134" s="83"/>
      <c r="Z134" s="36" t="s">
        <v>92</v>
      </c>
      <c r="AA134" s="36" t="s">
        <v>36</v>
      </c>
      <c r="AB134" s="84"/>
      <c r="AC134" s="84"/>
      <c r="AD134" s="52" t="s">
        <v>653</v>
      </c>
      <c r="AE134" s="34">
        <f>AG134+AI134+AK134+AM134</f>
        <v>0.1</v>
      </c>
      <c r="AF134" s="34">
        <f t="shared" ref="AF134:AF135" si="34">AH134+AJ134+AL134+AN134</f>
        <v>0</v>
      </c>
      <c r="AG134" s="34"/>
      <c r="AH134" s="34"/>
      <c r="AI134" s="34"/>
      <c r="AJ134" s="34"/>
      <c r="AK134" s="34"/>
      <c r="AL134" s="34"/>
      <c r="AM134" s="34">
        <v>0.1</v>
      </c>
      <c r="AN134" s="34">
        <v>0</v>
      </c>
      <c r="AO134" s="34">
        <f>AP134+AQ134+AR134+AS134</f>
        <v>0.1</v>
      </c>
      <c r="AP134" s="34"/>
      <c r="AQ134" s="34"/>
      <c r="AR134" s="34"/>
      <c r="AS134" s="34">
        <v>0.1</v>
      </c>
      <c r="AT134" s="34">
        <f>AU134+AV134+AW134+AX134</f>
        <v>0.1</v>
      </c>
      <c r="AU134" s="34"/>
      <c r="AV134" s="34"/>
      <c r="AW134" s="34"/>
      <c r="AX134" s="34">
        <v>0.1</v>
      </c>
      <c r="AY134" s="34">
        <f>AZ134+BA134+BB134+BC134</f>
        <v>0.1</v>
      </c>
      <c r="AZ134" s="34"/>
      <c r="BA134" s="34"/>
      <c r="BB134" s="34"/>
      <c r="BC134" s="34">
        <v>0.1</v>
      </c>
      <c r="BD134" s="34">
        <f>BE134+BF134+BG134+BH134</f>
        <v>0.1</v>
      </c>
      <c r="BE134" s="34"/>
      <c r="BF134" s="34"/>
      <c r="BG134" s="34"/>
      <c r="BH134" s="34">
        <v>0.1</v>
      </c>
    </row>
    <row r="135" spans="1:60" ht="35.65" customHeight="1" thickBot="1">
      <c r="A135" s="27" t="s">
        <v>50</v>
      </c>
      <c r="B135" s="42"/>
      <c r="C135" s="25"/>
      <c r="D135" s="26"/>
      <c r="E135" s="26"/>
      <c r="F135" s="26"/>
      <c r="G135" s="26"/>
      <c r="H135" s="26"/>
      <c r="I135" s="26"/>
      <c r="J135" s="26"/>
      <c r="K135" s="26"/>
      <c r="L135" s="26"/>
      <c r="M135" s="26"/>
      <c r="N135" s="26"/>
      <c r="O135" s="26"/>
      <c r="P135" s="26"/>
      <c r="Q135" s="26"/>
      <c r="R135" s="26"/>
      <c r="S135" s="26"/>
      <c r="T135" s="26"/>
      <c r="U135" s="26"/>
      <c r="V135" s="26"/>
      <c r="W135" s="43" t="s">
        <v>64</v>
      </c>
      <c r="X135" s="26"/>
      <c r="Y135" s="26"/>
      <c r="Z135" s="36" t="s">
        <v>92</v>
      </c>
      <c r="AA135" s="36" t="s">
        <v>36</v>
      </c>
      <c r="AB135" s="26"/>
      <c r="AC135" s="26"/>
      <c r="AD135" s="52" t="s">
        <v>654</v>
      </c>
      <c r="AE135" s="34">
        <f>AG135+AI135+AK135+AM135</f>
        <v>20169.400000000001</v>
      </c>
      <c r="AF135" s="34">
        <f t="shared" si="34"/>
        <v>20104.2</v>
      </c>
      <c r="AG135" s="26"/>
      <c r="AH135" s="26"/>
      <c r="AI135" s="26"/>
      <c r="AJ135" s="26"/>
      <c r="AK135" s="26"/>
      <c r="AL135" s="26"/>
      <c r="AM135" s="26">
        <v>20169.400000000001</v>
      </c>
      <c r="AN135" s="26">
        <v>20104.2</v>
      </c>
      <c r="AO135" s="34">
        <f>AP135+AQ135+AR135+AS135</f>
        <v>22722.3</v>
      </c>
      <c r="AP135" s="26"/>
      <c r="AQ135" s="26"/>
      <c r="AR135" s="26"/>
      <c r="AS135" s="26">
        <f>21258.6+1463.7</f>
        <v>22722.3</v>
      </c>
      <c r="AT135" s="34">
        <f>AU135+AV135+AW135+AX135</f>
        <v>21258.6</v>
      </c>
      <c r="AU135" s="26"/>
      <c r="AV135" s="26"/>
      <c r="AW135" s="26"/>
      <c r="AX135" s="26">
        <v>21258.6</v>
      </c>
      <c r="AY135" s="34">
        <f>AZ135+BA135+BB135+BC135</f>
        <v>21258.6</v>
      </c>
      <c r="AZ135" s="26"/>
      <c r="BA135" s="26"/>
      <c r="BB135" s="26"/>
      <c r="BC135" s="26">
        <v>21258.6</v>
      </c>
      <c r="BD135" s="34">
        <f>BE135+BF135+BG135+BH135</f>
        <v>21258.6</v>
      </c>
      <c r="BE135" s="26"/>
      <c r="BF135" s="26"/>
      <c r="BG135" s="26"/>
      <c r="BH135" s="26">
        <v>21258.6</v>
      </c>
    </row>
    <row r="136" spans="1:60" ht="35.65" customHeight="1" thickBot="1">
      <c r="A136" s="57" t="s">
        <v>93</v>
      </c>
      <c r="B136" s="32">
        <v>2517</v>
      </c>
      <c r="C136" s="33"/>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v>12</v>
      </c>
      <c r="AD136" s="34"/>
      <c r="AE136" s="34">
        <f>AE137+AE141+AE143+AE147+AE144+AE139+AE138+AE145+AE146</f>
        <v>252.8</v>
      </c>
      <c r="AF136" s="34">
        <f>AH136+AJ136+AL136+AN136</f>
        <v>11.8</v>
      </c>
      <c r="AG136" s="34">
        <f>AG137+AG141+AG143+AG147+AG144+AG139+AG138+AG145+AG146</f>
        <v>0</v>
      </c>
      <c r="AH136" s="34">
        <f>AH137+AH141+AH143+AH147+AH144+AH139+AH138+AH145+AH146</f>
        <v>0</v>
      </c>
      <c r="AI136" s="34">
        <f>AI137+AI141+AI143+AI147+AI144+AI139+AI138+AI145+AI146</f>
        <v>0</v>
      </c>
      <c r="AJ136" s="34">
        <f>AJ137+AJ141+AJ143+AJ147+AJ144+AJ139+AJ138+AJ145+AJ146</f>
        <v>0</v>
      </c>
      <c r="AK136" s="34">
        <f>AK137+AK141+AK143+AK147+AK144+AK139+AK138+AK145+AK146</f>
        <v>0</v>
      </c>
      <c r="AL136" s="34"/>
      <c r="AM136" s="34">
        <f>AM137+AM141+AM143+AM147+AM144+AM139+AM138+AM145+AM146</f>
        <v>252.8</v>
      </c>
      <c r="AN136" s="34">
        <f>AN137+AN141+AN143+AN147+AN144+AN139+AN138+AN145+AN146</f>
        <v>11.8</v>
      </c>
      <c r="AO136" s="34">
        <f>AO137+AO141+AO143+AO147+AO144+AO139+AO138+AO142</f>
        <v>1251.9000000000028</v>
      </c>
      <c r="AP136" s="34">
        <f t="shared" ref="AP136:BH136" si="35">AP137+AP141+AP143+AP147+AP144+AP139+AP138+AP142</f>
        <v>0</v>
      </c>
      <c r="AQ136" s="34">
        <f t="shared" si="35"/>
        <v>168.5</v>
      </c>
      <c r="AR136" s="34">
        <f t="shared" si="35"/>
        <v>0</v>
      </c>
      <c r="AS136" s="34">
        <f t="shared" si="35"/>
        <v>1083.4000000000028</v>
      </c>
      <c r="AT136" s="34">
        <f t="shared" si="35"/>
        <v>100</v>
      </c>
      <c r="AU136" s="34">
        <f t="shared" si="35"/>
        <v>0</v>
      </c>
      <c r="AV136" s="34">
        <f t="shared" si="35"/>
        <v>0</v>
      </c>
      <c r="AW136" s="34">
        <f t="shared" si="35"/>
        <v>0</v>
      </c>
      <c r="AX136" s="34">
        <f t="shared" si="35"/>
        <v>100</v>
      </c>
      <c r="AY136" s="34">
        <f t="shared" si="35"/>
        <v>100</v>
      </c>
      <c r="AZ136" s="34">
        <f t="shared" si="35"/>
        <v>0</v>
      </c>
      <c r="BA136" s="34">
        <f t="shared" si="35"/>
        <v>0</v>
      </c>
      <c r="BB136" s="34">
        <f t="shared" si="35"/>
        <v>0</v>
      </c>
      <c r="BC136" s="34">
        <f t="shared" si="35"/>
        <v>100</v>
      </c>
      <c r="BD136" s="34">
        <f t="shared" si="35"/>
        <v>100</v>
      </c>
      <c r="BE136" s="34">
        <f t="shared" si="35"/>
        <v>0</v>
      </c>
      <c r="BF136" s="34">
        <f t="shared" si="35"/>
        <v>0</v>
      </c>
      <c r="BG136" s="34">
        <f t="shared" si="35"/>
        <v>0</v>
      </c>
      <c r="BH136" s="34">
        <f t="shared" si="35"/>
        <v>100</v>
      </c>
    </row>
    <row r="137" spans="1:60" ht="35.65" customHeight="1">
      <c r="A137" s="61" t="s">
        <v>57</v>
      </c>
      <c r="B137" s="54"/>
      <c r="C137" s="25"/>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92" t="s">
        <v>655</v>
      </c>
      <c r="AE137" s="26">
        <f t="shared" ref="AE137:AF147" si="36">AG137+AI137+AK137+AM137</f>
        <v>141</v>
      </c>
      <c r="AF137" s="26">
        <f>AH137+AJ137+AL137+AN137</f>
        <v>0</v>
      </c>
      <c r="AG137" s="26"/>
      <c r="AH137" s="26"/>
      <c r="AI137" s="26"/>
      <c r="AJ137" s="26"/>
      <c r="AK137" s="26"/>
      <c r="AL137" s="26"/>
      <c r="AM137" s="26">
        <v>141</v>
      </c>
      <c r="AN137" s="26">
        <v>0</v>
      </c>
      <c r="AO137" s="26">
        <f>AS137</f>
        <v>300</v>
      </c>
      <c r="AP137" s="26"/>
      <c r="AQ137" s="26"/>
      <c r="AR137" s="26"/>
      <c r="AS137" s="26">
        <f>3999.5-3999.5+300</f>
        <v>300</v>
      </c>
      <c r="AT137" s="26">
        <f>AX137</f>
        <v>0</v>
      </c>
      <c r="AU137" s="26"/>
      <c r="AV137" s="26"/>
      <c r="AW137" s="26"/>
      <c r="AX137" s="26">
        <v>0</v>
      </c>
      <c r="AY137" s="26">
        <f>AZ137+BA137+BB137+BC137</f>
        <v>0</v>
      </c>
      <c r="AZ137" s="26"/>
      <c r="BA137" s="26"/>
      <c r="BB137" s="26"/>
      <c r="BC137" s="26">
        <v>0</v>
      </c>
      <c r="BD137" s="26">
        <f>BE137+BF137+BG137+BH137</f>
        <v>0</v>
      </c>
      <c r="BE137" s="26"/>
      <c r="BF137" s="26"/>
      <c r="BG137" s="26"/>
      <c r="BH137" s="26">
        <v>0</v>
      </c>
    </row>
    <row r="138" spans="1:60" ht="35.65" customHeight="1">
      <c r="A138" s="61" t="s">
        <v>94</v>
      </c>
      <c r="B138" s="54"/>
      <c r="C138" s="25"/>
      <c r="D138" s="26"/>
      <c r="E138" s="26"/>
      <c r="F138" s="26"/>
      <c r="G138" s="26"/>
      <c r="H138" s="26"/>
      <c r="I138" s="26"/>
      <c r="J138" s="26"/>
      <c r="K138" s="26"/>
      <c r="L138" s="26"/>
      <c r="M138" s="46"/>
      <c r="N138" s="26"/>
      <c r="O138" s="26"/>
      <c r="P138" s="26"/>
      <c r="Q138" s="26"/>
      <c r="R138" s="26"/>
      <c r="S138" s="26"/>
      <c r="T138" s="64"/>
      <c r="U138" s="64"/>
      <c r="V138" s="64"/>
      <c r="W138" s="64"/>
      <c r="X138" s="26"/>
      <c r="Y138" s="26"/>
      <c r="Z138" s="26"/>
      <c r="AA138" s="26"/>
      <c r="AB138" s="26"/>
      <c r="AC138" s="26"/>
      <c r="AD138" s="292" t="s">
        <v>656</v>
      </c>
      <c r="AE138" s="26">
        <f t="shared" si="36"/>
        <v>0</v>
      </c>
      <c r="AF138" s="26">
        <f t="shared" si="36"/>
        <v>0</v>
      </c>
      <c r="AG138" s="26"/>
      <c r="AH138" s="26"/>
      <c r="AI138" s="26"/>
      <c r="AJ138" s="26"/>
      <c r="AK138" s="26"/>
      <c r="AL138" s="26"/>
      <c r="AM138" s="26">
        <f>40033.4-26278.6+20000-1751.7+10807.1+2189.1-30.2-9811.3-1007.5-29500-4650.3</f>
        <v>0</v>
      </c>
      <c r="AN138" s="26"/>
      <c r="AO138" s="26">
        <f>AQ138+AS138</f>
        <v>809.30000000000291</v>
      </c>
      <c r="AP138" s="26"/>
      <c r="AQ138" s="26">
        <v>168.5</v>
      </c>
      <c r="AR138" s="26"/>
      <c r="AS138" s="26">
        <f>11663+9578.9-168.5-568.3-7733.2+108.1-55.5+110.1-80-9672.3-2541.5</f>
        <v>640.80000000000291</v>
      </c>
      <c r="AT138" s="26">
        <f>AX138</f>
        <v>0</v>
      </c>
      <c r="AU138" s="26"/>
      <c r="AV138" s="26"/>
      <c r="AW138" s="26"/>
      <c r="AX138" s="26"/>
      <c r="AY138" s="26">
        <f>AZ138+BA138+BB138+BC138</f>
        <v>0</v>
      </c>
      <c r="AZ138" s="26"/>
      <c r="BA138" s="26"/>
      <c r="BB138" s="26"/>
      <c r="BC138" s="26"/>
      <c r="BD138" s="26">
        <f>BE138+BF138+BG138+BH138</f>
        <v>0</v>
      </c>
      <c r="BE138" s="26"/>
      <c r="BF138" s="26"/>
      <c r="BG138" s="26"/>
      <c r="BH138" s="26"/>
    </row>
    <row r="139" spans="1:60" ht="35.65" customHeight="1">
      <c r="A139" s="61" t="s">
        <v>57</v>
      </c>
      <c r="B139" s="54"/>
      <c r="C139" s="25"/>
      <c r="D139" s="26"/>
      <c r="E139" s="26"/>
      <c r="F139" s="26"/>
      <c r="G139" s="26"/>
      <c r="H139" s="26"/>
      <c r="I139" s="26"/>
      <c r="J139" s="26"/>
      <c r="K139" s="26"/>
      <c r="L139" s="26"/>
      <c r="M139" s="46"/>
      <c r="N139" s="26"/>
      <c r="O139" s="26"/>
      <c r="P139" s="26"/>
      <c r="Q139" s="26"/>
      <c r="R139" s="26"/>
      <c r="S139" s="26"/>
      <c r="T139" s="64"/>
      <c r="U139" s="64"/>
      <c r="V139" s="64"/>
      <c r="W139" s="64"/>
      <c r="X139" s="26"/>
      <c r="Y139" s="26"/>
      <c r="Z139" s="26"/>
      <c r="AA139" s="26"/>
      <c r="AB139" s="26"/>
      <c r="AC139" s="26"/>
      <c r="AD139" s="292" t="s">
        <v>657</v>
      </c>
      <c r="AE139" s="26">
        <f t="shared" si="36"/>
        <v>0</v>
      </c>
      <c r="AF139" s="26">
        <f t="shared" si="36"/>
        <v>0</v>
      </c>
      <c r="AG139" s="26"/>
      <c r="AH139" s="26"/>
      <c r="AI139" s="26"/>
      <c r="AJ139" s="26"/>
      <c r="AK139" s="26"/>
      <c r="AL139" s="26"/>
      <c r="AM139" s="26"/>
      <c r="AN139" s="26"/>
      <c r="AO139" s="26">
        <f>AS139</f>
        <v>0</v>
      </c>
      <c r="AP139" s="26"/>
      <c r="AQ139" s="26"/>
      <c r="AR139" s="26"/>
      <c r="AS139" s="26"/>
      <c r="AT139" s="26">
        <f>AX139</f>
        <v>0</v>
      </c>
      <c r="AU139" s="26"/>
      <c r="AV139" s="26"/>
      <c r="AW139" s="26"/>
      <c r="AX139" s="26"/>
      <c r="AY139" s="26">
        <f>AZ139+BA139+BB139+BC139</f>
        <v>0</v>
      </c>
      <c r="AZ139" s="26"/>
      <c r="BA139" s="26"/>
      <c r="BB139" s="26"/>
      <c r="BC139" s="26"/>
      <c r="BD139" s="26">
        <f>BE139+BF139+BG139+BH139</f>
        <v>0</v>
      </c>
      <c r="BE139" s="26"/>
      <c r="BF139" s="26"/>
      <c r="BG139" s="26"/>
      <c r="BH139" s="26"/>
    </row>
    <row r="140" spans="1:60" ht="35.65" customHeight="1" thickBot="1">
      <c r="A140" s="85" t="s">
        <v>57</v>
      </c>
      <c r="B140" s="86"/>
      <c r="C140" s="77"/>
      <c r="D140" s="18"/>
      <c r="E140" s="36"/>
      <c r="F140" s="26"/>
      <c r="G140" s="26"/>
      <c r="H140" s="26"/>
      <c r="I140" s="26"/>
      <c r="J140" s="87"/>
      <c r="K140" s="26"/>
      <c r="L140" s="26"/>
      <c r="M140" s="26"/>
      <c r="N140" s="26"/>
      <c r="O140" s="26"/>
      <c r="P140" s="26"/>
      <c r="Q140" s="26"/>
      <c r="R140" s="26"/>
      <c r="S140" s="26"/>
      <c r="T140" s="26"/>
      <c r="U140" s="26"/>
      <c r="V140" s="26"/>
      <c r="W140" s="52"/>
      <c r="X140" s="26"/>
      <c r="Y140" s="26"/>
      <c r="Z140" s="26"/>
      <c r="AA140" s="26"/>
      <c r="AB140" s="26"/>
      <c r="AC140" s="26"/>
      <c r="AD140" s="195" t="s">
        <v>658</v>
      </c>
      <c r="AE140" s="26">
        <f t="shared" si="36"/>
        <v>0</v>
      </c>
      <c r="AF140" s="26">
        <f t="shared" si="36"/>
        <v>0</v>
      </c>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row>
    <row r="141" spans="1:60" ht="35.65" customHeight="1">
      <c r="A141" s="88" t="s">
        <v>95</v>
      </c>
      <c r="B141" s="54"/>
      <c r="C141" s="25"/>
      <c r="D141" s="26"/>
      <c r="E141" s="26"/>
      <c r="F141" s="26"/>
      <c r="G141" s="26"/>
      <c r="H141" s="26"/>
      <c r="I141" s="26"/>
      <c r="J141" s="26"/>
      <c r="K141" s="26"/>
      <c r="L141" s="26"/>
      <c r="M141" s="421" t="s">
        <v>96</v>
      </c>
      <c r="N141" s="26"/>
      <c r="O141" s="26"/>
      <c r="P141" s="26"/>
      <c r="Q141" s="26"/>
      <c r="R141" s="26"/>
      <c r="S141" s="26"/>
      <c r="T141" s="89" t="s">
        <v>97</v>
      </c>
      <c r="U141" s="90"/>
      <c r="V141" s="90"/>
      <c r="W141" s="89" t="s">
        <v>98</v>
      </c>
      <c r="X141" s="26"/>
      <c r="Y141" s="26"/>
      <c r="Z141" s="26"/>
      <c r="AA141" s="26"/>
      <c r="AB141" s="26"/>
      <c r="AC141" s="26"/>
      <c r="AD141" s="292" t="s">
        <v>659</v>
      </c>
      <c r="AE141" s="26">
        <f t="shared" si="36"/>
        <v>0</v>
      </c>
      <c r="AF141" s="26">
        <f t="shared" si="36"/>
        <v>0</v>
      </c>
      <c r="AG141" s="26"/>
      <c r="AH141" s="26"/>
      <c r="AI141" s="26"/>
      <c r="AJ141" s="26"/>
      <c r="AK141" s="26"/>
      <c r="AL141" s="26"/>
      <c r="AM141" s="26"/>
      <c r="AN141" s="26"/>
      <c r="AO141" s="26">
        <f t="shared" ref="AO141:AO147" si="37">AS141</f>
        <v>0</v>
      </c>
      <c r="AP141" s="26"/>
      <c r="AQ141" s="26"/>
      <c r="AR141" s="26"/>
      <c r="AS141" s="26"/>
      <c r="AT141" s="26">
        <f t="shared" ref="AT141:AT143" si="38">AX141</f>
        <v>0</v>
      </c>
      <c r="AU141" s="26"/>
      <c r="AV141" s="26"/>
      <c r="AW141" s="26"/>
      <c r="AX141" s="26"/>
      <c r="AY141" s="26">
        <f t="shared" ref="AY141:AY147" si="39">AZ141+BA141+BB141+BC141</f>
        <v>0</v>
      </c>
      <c r="AZ141" s="26"/>
      <c r="BA141" s="26"/>
      <c r="BB141" s="26"/>
      <c r="BC141" s="26"/>
      <c r="BD141" s="26">
        <f>BE141+BF141+BG141+BH141</f>
        <v>0</v>
      </c>
      <c r="BE141" s="26"/>
      <c r="BF141" s="26"/>
      <c r="BG141" s="26"/>
      <c r="BH141" s="26"/>
    </row>
    <row r="142" spans="1:60" ht="35.65" customHeight="1">
      <c r="A142" s="61" t="s">
        <v>57</v>
      </c>
      <c r="B142" s="62"/>
      <c r="C142" s="91"/>
      <c r="D142" s="26"/>
      <c r="E142" s="26"/>
      <c r="F142" s="26"/>
      <c r="G142" s="26"/>
      <c r="H142" s="26"/>
      <c r="I142" s="26"/>
      <c r="J142" s="26"/>
      <c r="K142" s="26"/>
      <c r="L142" s="26"/>
      <c r="M142" s="390"/>
      <c r="N142" s="26"/>
      <c r="O142" s="26"/>
      <c r="P142" s="26"/>
      <c r="Q142" s="26"/>
      <c r="R142" s="26"/>
      <c r="S142" s="26"/>
      <c r="T142" s="89"/>
      <c r="U142" s="90"/>
      <c r="V142" s="90"/>
      <c r="W142" s="89"/>
      <c r="X142" s="26"/>
      <c r="Y142" s="26"/>
      <c r="Z142" s="26"/>
      <c r="AA142" s="26"/>
      <c r="AB142" s="26"/>
      <c r="AC142" s="26"/>
      <c r="AD142" s="292" t="s">
        <v>660</v>
      </c>
      <c r="AE142" s="26"/>
      <c r="AF142" s="26"/>
      <c r="AG142" s="26"/>
      <c r="AH142" s="26"/>
      <c r="AI142" s="26"/>
      <c r="AJ142" s="26"/>
      <c r="AK142" s="26"/>
      <c r="AL142" s="26"/>
      <c r="AM142" s="26"/>
      <c r="AN142" s="26"/>
      <c r="AO142" s="26">
        <f t="shared" si="37"/>
        <v>42.6</v>
      </c>
      <c r="AP142" s="26"/>
      <c r="AQ142" s="26"/>
      <c r="AR142" s="26"/>
      <c r="AS142" s="26">
        <v>42.6</v>
      </c>
      <c r="AT142" s="26"/>
      <c r="AU142" s="26"/>
      <c r="AV142" s="26"/>
      <c r="AW142" s="26"/>
      <c r="AX142" s="26"/>
      <c r="AY142" s="26"/>
      <c r="AZ142" s="26"/>
      <c r="BA142" s="26"/>
      <c r="BB142" s="26"/>
      <c r="BC142" s="26"/>
      <c r="BD142" s="26"/>
      <c r="BE142" s="26"/>
      <c r="BF142" s="26"/>
      <c r="BG142" s="26"/>
      <c r="BH142" s="26"/>
    </row>
    <row r="143" spans="1:60" ht="35.65" customHeight="1">
      <c r="A143" s="61" t="s">
        <v>57</v>
      </c>
      <c r="B143" s="53"/>
      <c r="C143" s="91"/>
      <c r="D143" s="26"/>
      <c r="E143" s="26"/>
      <c r="F143" s="26"/>
      <c r="G143" s="26"/>
      <c r="H143" s="26"/>
      <c r="I143" s="26"/>
      <c r="J143" s="26"/>
      <c r="K143" s="26"/>
      <c r="L143" s="26"/>
      <c r="M143" s="422"/>
      <c r="N143" s="26"/>
      <c r="O143" s="26"/>
      <c r="P143" s="26"/>
      <c r="Q143" s="26"/>
      <c r="R143" s="26"/>
      <c r="S143" s="26"/>
      <c r="T143" s="26"/>
      <c r="U143" s="26"/>
      <c r="V143" s="26"/>
      <c r="W143" s="43" t="s">
        <v>98</v>
      </c>
      <c r="X143" s="26"/>
      <c r="Y143" s="26"/>
      <c r="Z143" s="26"/>
      <c r="AA143" s="26"/>
      <c r="AB143" s="26"/>
      <c r="AC143" s="26"/>
      <c r="AD143" s="292" t="s">
        <v>661</v>
      </c>
      <c r="AE143" s="26">
        <f t="shared" si="36"/>
        <v>100</v>
      </c>
      <c r="AF143" s="26">
        <f t="shared" si="36"/>
        <v>0</v>
      </c>
      <c r="AG143" s="26"/>
      <c r="AH143" s="26"/>
      <c r="AI143" s="26"/>
      <c r="AJ143" s="26"/>
      <c r="AK143" s="26"/>
      <c r="AL143" s="26"/>
      <c r="AM143" s="26">
        <v>100</v>
      </c>
      <c r="AN143" s="26">
        <v>0</v>
      </c>
      <c r="AO143" s="26">
        <f t="shared" si="37"/>
        <v>100</v>
      </c>
      <c r="AP143" s="26"/>
      <c r="AQ143" s="26"/>
      <c r="AR143" s="26"/>
      <c r="AS143" s="26">
        <v>100</v>
      </c>
      <c r="AT143" s="26">
        <f t="shared" si="38"/>
        <v>100</v>
      </c>
      <c r="AU143" s="26"/>
      <c r="AV143" s="26"/>
      <c r="AW143" s="26"/>
      <c r="AX143" s="26">
        <v>100</v>
      </c>
      <c r="AY143" s="26">
        <f t="shared" si="39"/>
        <v>100</v>
      </c>
      <c r="AZ143" s="26"/>
      <c r="BA143" s="26"/>
      <c r="BB143" s="26"/>
      <c r="BC143" s="26">
        <v>100</v>
      </c>
      <c r="BD143" s="26">
        <f>BE143+BF143+BG143+BH143</f>
        <v>100</v>
      </c>
      <c r="BE143" s="26"/>
      <c r="BF143" s="26"/>
      <c r="BG143" s="26"/>
      <c r="BH143" s="26">
        <v>100</v>
      </c>
    </row>
    <row r="144" spans="1:60" ht="35.65" customHeight="1">
      <c r="A144" s="61" t="s">
        <v>95</v>
      </c>
      <c r="B144" s="53"/>
      <c r="C144" s="91"/>
      <c r="D144" s="26"/>
      <c r="E144" s="26"/>
      <c r="F144" s="26"/>
      <c r="G144" s="26"/>
      <c r="H144" s="26"/>
      <c r="I144" s="26"/>
      <c r="J144" s="26"/>
      <c r="K144" s="26"/>
      <c r="L144" s="26"/>
      <c r="M144" s="422"/>
      <c r="N144" s="26"/>
      <c r="O144" s="26"/>
      <c r="P144" s="26"/>
      <c r="Q144" s="26"/>
      <c r="R144" s="26"/>
      <c r="S144" s="26"/>
      <c r="T144" s="26"/>
      <c r="U144" s="26"/>
      <c r="V144" s="26"/>
      <c r="W144" s="43"/>
      <c r="X144" s="26"/>
      <c r="Y144" s="26"/>
      <c r="Z144" s="26"/>
      <c r="AA144" s="26"/>
      <c r="AB144" s="26"/>
      <c r="AC144" s="26"/>
      <c r="AD144" s="292" t="s">
        <v>662</v>
      </c>
      <c r="AE144" s="26">
        <f t="shared" si="36"/>
        <v>0</v>
      </c>
      <c r="AF144" s="26">
        <f>AH144+AJ144+AL144+AN144</f>
        <v>0</v>
      </c>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row>
    <row r="145" spans="1:60" ht="35.65" customHeight="1">
      <c r="A145" s="61" t="s">
        <v>95</v>
      </c>
      <c r="B145" s="53"/>
      <c r="C145" s="91"/>
      <c r="D145" s="26"/>
      <c r="E145" s="26"/>
      <c r="F145" s="26"/>
      <c r="G145" s="26"/>
      <c r="H145" s="26"/>
      <c r="I145" s="26"/>
      <c r="J145" s="26"/>
      <c r="K145" s="26"/>
      <c r="L145" s="26"/>
      <c r="M145" s="92"/>
      <c r="N145" s="26"/>
      <c r="O145" s="26"/>
      <c r="P145" s="26"/>
      <c r="Q145" s="26"/>
      <c r="R145" s="26"/>
      <c r="S145" s="26"/>
      <c r="T145" s="26"/>
      <c r="U145" s="26"/>
      <c r="V145" s="26"/>
      <c r="W145" s="43"/>
      <c r="X145" s="26"/>
      <c r="Y145" s="26"/>
      <c r="Z145" s="26"/>
      <c r="AA145" s="26"/>
      <c r="AB145" s="26"/>
      <c r="AC145" s="26"/>
      <c r="AD145" s="292" t="s">
        <v>663</v>
      </c>
      <c r="AE145" s="26">
        <f t="shared" si="36"/>
        <v>0</v>
      </c>
      <c r="AF145" s="26">
        <f t="shared" si="36"/>
        <v>0</v>
      </c>
      <c r="AG145" s="26"/>
      <c r="AH145" s="26"/>
      <c r="AI145" s="26"/>
      <c r="AJ145" s="26"/>
      <c r="AK145" s="26"/>
      <c r="AL145" s="26"/>
      <c r="AM145" s="26">
        <f>2500-2500</f>
        <v>0</v>
      </c>
      <c r="AN145" s="26"/>
      <c r="AO145" s="26"/>
      <c r="AP145" s="26"/>
      <c r="AQ145" s="26"/>
      <c r="AR145" s="26"/>
      <c r="AS145" s="26"/>
      <c r="AT145" s="26"/>
      <c r="AU145" s="26"/>
      <c r="AV145" s="26"/>
      <c r="AW145" s="26"/>
      <c r="AX145" s="26"/>
      <c r="AY145" s="26"/>
      <c r="AZ145" s="26"/>
      <c r="BA145" s="26"/>
      <c r="BB145" s="26"/>
      <c r="BC145" s="26"/>
      <c r="BD145" s="26"/>
      <c r="BE145" s="26"/>
      <c r="BF145" s="26"/>
      <c r="BG145" s="26"/>
      <c r="BH145" s="26"/>
    </row>
    <row r="146" spans="1:60" ht="35.65" customHeight="1">
      <c r="A146" s="61" t="s">
        <v>95</v>
      </c>
      <c r="B146" s="53"/>
      <c r="C146" s="91"/>
      <c r="D146" s="26"/>
      <c r="E146" s="26"/>
      <c r="F146" s="26"/>
      <c r="G146" s="26"/>
      <c r="H146" s="26"/>
      <c r="I146" s="26"/>
      <c r="J146" s="26"/>
      <c r="K146" s="26"/>
      <c r="L146" s="26"/>
      <c r="M146" s="92"/>
      <c r="N146" s="26"/>
      <c r="O146" s="26"/>
      <c r="P146" s="26"/>
      <c r="Q146" s="26"/>
      <c r="R146" s="26"/>
      <c r="S146" s="26"/>
      <c r="T146" s="26"/>
      <c r="U146" s="26"/>
      <c r="V146" s="26"/>
      <c r="W146" s="43"/>
      <c r="X146" s="26"/>
      <c r="Y146" s="26"/>
      <c r="Z146" s="26"/>
      <c r="AA146" s="26"/>
      <c r="AB146" s="26"/>
      <c r="AC146" s="26"/>
      <c r="AD146" s="292" t="s">
        <v>664</v>
      </c>
      <c r="AE146" s="26">
        <f t="shared" si="36"/>
        <v>11.8</v>
      </c>
      <c r="AF146" s="26">
        <f t="shared" si="36"/>
        <v>11.8</v>
      </c>
      <c r="AG146" s="26"/>
      <c r="AH146" s="26"/>
      <c r="AI146" s="26"/>
      <c r="AJ146" s="26"/>
      <c r="AK146" s="26"/>
      <c r="AL146" s="26"/>
      <c r="AM146" s="26">
        <v>11.8</v>
      </c>
      <c r="AN146" s="26">
        <v>11.8</v>
      </c>
      <c r="AO146" s="26"/>
      <c r="AP146" s="26"/>
      <c r="AQ146" s="26"/>
      <c r="AR146" s="26"/>
      <c r="AS146" s="26"/>
      <c r="AT146" s="26"/>
      <c r="AU146" s="26"/>
      <c r="AV146" s="26"/>
      <c r="AW146" s="26"/>
      <c r="AX146" s="26"/>
      <c r="AY146" s="26"/>
      <c r="AZ146" s="26"/>
      <c r="BA146" s="26"/>
      <c r="BB146" s="26"/>
      <c r="BC146" s="26"/>
      <c r="BD146" s="26"/>
      <c r="BE146" s="26"/>
      <c r="BF146" s="26"/>
      <c r="BG146" s="26"/>
      <c r="BH146" s="26"/>
    </row>
    <row r="147" spans="1:60" ht="35.65" customHeight="1">
      <c r="A147" s="61" t="s">
        <v>94</v>
      </c>
      <c r="B147" s="53"/>
      <c r="C147" s="91"/>
      <c r="D147" s="26"/>
      <c r="E147" s="26"/>
      <c r="F147" s="26"/>
      <c r="G147" s="26"/>
      <c r="H147" s="26"/>
      <c r="I147" s="26"/>
      <c r="J147" s="26"/>
      <c r="K147" s="26"/>
      <c r="L147" s="26"/>
      <c r="M147" s="26"/>
      <c r="N147" s="26"/>
      <c r="O147" s="26"/>
      <c r="P147" s="26"/>
      <c r="Q147" s="26"/>
      <c r="R147" s="26"/>
      <c r="S147" s="26"/>
      <c r="T147" s="26"/>
      <c r="U147" s="26"/>
      <c r="V147" s="26"/>
      <c r="W147" s="43"/>
      <c r="X147" s="26"/>
      <c r="Y147" s="26"/>
      <c r="Z147" s="26"/>
      <c r="AA147" s="26"/>
      <c r="AB147" s="26"/>
      <c r="AC147" s="26"/>
      <c r="AD147" s="292" t="s">
        <v>665</v>
      </c>
      <c r="AE147" s="26">
        <f t="shared" si="36"/>
        <v>0</v>
      </c>
      <c r="AF147" s="26">
        <f t="shared" si="36"/>
        <v>0</v>
      </c>
      <c r="AG147" s="26"/>
      <c r="AH147" s="26"/>
      <c r="AI147" s="26"/>
      <c r="AJ147" s="26"/>
      <c r="AK147" s="26"/>
      <c r="AL147" s="26"/>
      <c r="AM147" s="26">
        <f>9000-9000</f>
        <v>0</v>
      </c>
      <c r="AN147" s="26"/>
      <c r="AO147" s="26">
        <f t="shared" si="37"/>
        <v>0</v>
      </c>
      <c r="AP147" s="26"/>
      <c r="AQ147" s="26"/>
      <c r="AR147" s="26"/>
      <c r="AS147" s="26">
        <f>9000-9000</f>
        <v>0</v>
      </c>
      <c r="AT147" s="26">
        <f t="shared" ref="AT147" si="40">AX147</f>
        <v>0</v>
      </c>
      <c r="AU147" s="26"/>
      <c r="AV147" s="26"/>
      <c r="AW147" s="26"/>
      <c r="AX147" s="26">
        <f>9000-9000</f>
        <v>0</v>
      </c>
      <c r="AY147" s="26">
        <f t="shared" si="39"/>
        <v>0</v>
      </c>
      <c r="AZ147" s="26"/>
      <c r="BA147" s="26"/>
      <c r="BB147" s="26"/>
      <c r="BC147" s="26">
        <f>9000-9000</f>
        <v>0</v>
      </c>
      <c r="BD147" s="26">
        <f>BE147+BF147+BG147+BH147</f>
        <v>0</v>
      </c>
      <c r="BE147" s="26"/>
      <c r="BF147" s="26"/>
      <c r="BG147" s="26"/>
      <c r="BH147" s="26">
        <f>9000-9000</f>
        <v>0</v>
      </c>
    </row>
    <row r="148" spans="1:60" ht="35.65" customHeight="1">
      <c r="A148" s="93" t="s">
        <v>99</v>
      </c>
      <c r="B148" s="68">
        <v>2520</v>
      </c>
      <c r="C148" s="9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v>12</v>
      </c>
      <c r="AD148" s="34"/>
      <c r="AE148" s="34">
        <f t="shared" ref="AE148:BH148" si="41">AE149+AE151+AE152+AE153+AE154</f>
        <v>432.09999999999997</v>
      </c>
      <c r="AF148" s="34">
        <f>AH148+AJ148+AL148+AN148</f>
        <v>432.1</v>
      </c>
      <c r="AG148" s="34">
        <f t="shared" si="41"/>
        <v>0</v>
      </c>
      <c r="AH148" s="34">
        <f t="shared" si="41"/>
        <v>0</v>
      </c>
      <c r="AI148" s="34">
        <f t="shared" si="41"/>
        <v>315.2</v>
      </c>
      <c r="AJ148" s="34">
        <f t="shared" si="41"/>
        <v>315.2</v>
      </c>
      <c r="AK148" s="34">
        <f t="shared" si="41"/>
        <v>0</v>
      </c>
      <c r="AL148" s="34"/>
      <c r="AM148" s="34">
        <f t="shared" si="41"/>
        <v>116.9</v>
      </c>
      <c r="AN148" s="34">
        <f t="shared" si="41"/>
        <v>116.9</v>
      </c>
      <c r="AO148" s="34">
        <f t="shared" si="41"/>
        <v>937.8</v>
      </c>
      <c r="AP148" s="34">
        <f t="shared" si="41"/>
        <v>0</v>
      </c>
      <c r="AQ148" s="34">
        <f t="shared" si="41"/>
        <v>795.9</v>
      </c>
      <c r="AR148" s="34">
        <f t="shared" si="41"/>
        <v>0</v>
      </c>
      <c r="AS148" s="34">
        <f t="shared" si="41"/>
        <v>141.9</v>
      </c>
      <c r="AT148" s="34">
        <f t="shared" si="41"/>
        <v>594.4</v>
      </c>
      <c r="AU148" s="34">
        <f t="shared" si="41"/>
        <v>0</v>
      </c>
      <c r="AV148" s="34">
        <f t="shared" si="41"/>
        <v>477.5</v>
      </c>
      <c r="AW148" s="34">
        <f t="shared" si="41"/>
        <v>0</v>
      </c>
      <c r="AX148" s="34">
        <f t="shared" si="41"/>
        <v>116.9</v>
      </c>
      <c r="AY148" s="34">
        <f t="shared" si="41"/>
        <v>647.5</v>
      </c>
      <c r="AZ148" s="34">
        <f t="shared" si="41"/>
        <v>0</v>
      </c>
      <c r="BA148" s="34">
        <f t="shared" si="41"/>
        <v>530.6</v>
      </c>
      <c r="BB148" s="34">
        <f t="shared" si="41"/>
        <v>0</v>
      </c>
      <c r="BC148" s="34">
        <f t="shared" si="41"/>
        <v>116.9</v>
      </c>
      <c r="BD148" s="34">
        <f t="shared" si="41"/>
        <v>647.5</v>
      </c>
      <c r="BE148" s="34">
        <f t="shared" si="41"/>
        <v>0</v>
      </c>
      <c r="BF148" s="34">
        <f t="shared" si="41"/>
        <v>530.6</v>
      </c>
      <c r="BG148" s="34">
        <f t="shared" si="41"/>
        <v>0</v>
      </c>
      <c r="BH148" s="34">
        <f t="shared" si="41"/>
        <v>116.9</v>
      </c>
    </row>
    <row r="149" spans="1:60" ht="35.65" customHeight="1">
      <c r="A149" s="61" t="s">
        <v>100</v>
      </c>
      <c r="B149" s="53"/>
      <c r="C149" s="91"/>
      <c r="D149" s="26"/>
      <c r="E149" s="26"/>
      <c r="F149" s="26"/>
      <c r="G149" s="26"/>
      <c r="H149" s="26"/>
      <c r="I149" s="26"/>
      <c r="J149" s="26"/>
      <c r="K149" s="26"/>
      <c r="L149" s="26"/>
      <c r="M149" s="375" t="s">
        <v>96</v>
      </c>
      <c r="N149" s="26"/>
      <c r="O149" s="26"/>
      <c r="P149" s="90"/>
      <c r="Q149" s="90"/>
      <c r="R149" s="90"/>
      <c r="S149" s="90"/>
      <c r="T149" s="90"/>
      <c r="U149" s="90"/>
      <c r="V149" s="90"/>
      <c r="W149" s="95" t="s">
        <v>98</v>
      </c>
      <c r="X149" s="26"/>
      <c r="Y149" s="26"/>
      <c r="Z149" s="26"/>
      <c r="AA149" s="26"/>
      <c r="AB149" s="26"/>
      <c r="AC149" s="26"/>
      <c r="AD149" s="52" t="s">
        <v>666</v>
      </c>
      <c r="AE149" s="26">
        <f>AG149+AI149+AK149+AM149</f>
        <v>315.2</v>
      </c>
      <c r="AF149" s="26">
        <f>AH149+AJ149+AL149+AN149</f>
        <v>315.2</v>
      </c>
      <c r="AG149" s="26"/>
      <c r="AH149" s="26"/>
      <c r="AI149" s="26">
        <v>315.2</v>
      </c>
      <c r="AJ149" s="26">
        <v>315.2</v>
      </c>
      <c r="AK149" s="26"/>
      <c r="AL149" s="26"/>
      <c r="AM149" s="26"/>
      <c r="AN149" s="26"/>
      <c r="AO149" s="26">
        <f>AP149+AQ149+AR149+AS149</f>
        <v>795.9</v>
      </c>
      <c r="AP149" s="26"/>
      <c r="AQ149" s="26">
        <v>795.9</v>
      </c>
      <c r="AR149" s="26"/>
      <c r="AS149" s="26"/>
      <c r="AT149" s="26">
        <f>AU149+AV149+AW149+AX149</f>
        <v>477.5</v>
      </c>
      <c r="AU149" s="26"/>
      <c r="AV149" s="26">
        <v>477.5</v>
      </c>
      <c r="AW149" s="26"/>
      <c r="AX149" s="26"/>
      <c r="AY149" s="26">
        <f>AZ149+BA149+BB149+BC149</f>
        <v>530.6</v>
      </c>
      <c r="AZ149" s="26"/>
      <c r="BA149" s="26">
        <v>530.6</v>
      </c>
      <c r="BB149" s="26"/>
      <c r="BC149" s="26"/>
      <c r="BD149" s="26">
        <f>BE149+BF149+BG149+BH149</f>
        <v>530.6</v>
      </c>
      <c r="BE149" s="26"/>
      <c r="BF149" s="26">
        <v>530.6</v>
      </c>
      <c r="BG149" s="26"/>
      <c r="BH149" s="26"/>
    </row>
    <row r="150" spans="1:60" ht="35.65" customHeight="1">
      <c r="A150" s="61" t="s">
        <v>50</v>
      </c>
      <c r="B150" s="53"/>
      <c r="C150" s="91"/>
      <c r="D150" s="26"/>
      <c r="E150" s="26"/>
      <c r="F150" s="26"/>
      <c r="G150" s="26"/>
      <c r="H150" s="26"/>
      <c r="I150" s="26"/>
      <c r="J150" s="26"/>
      <c r="K150" s="26"/>
      <c r="L150" s="26"/>
      <c r="M150" s="388"/>
      <c r="N150" s="26"/>
      <c r="O150" s="26"/>
      <c r="P150" s="90"/>
      <c r="Q150" s="90"/>
      <c r="R150" s="90"/>
      <c r="S150" s="90"/>
      <c r="T150" s="90"/>
      <c r="U150" s="90"/>
      <c r="V150" s="90"/>
      <c r="W150" s="95" t="s">
        <v>98</v>
      </c>
      <c r="X150" s="26"/>
      <c r="Y150" s="26"/>
      <c r="Z150" s="26"/>
      <c r="AA150" s="26"/>
      <c r="AB150" s="26"/>
      <c r="AC150" s="26"/>
      <c r="AD150" s="52" t="s">
        <v>664</v>
      </c>
      <c r="AE150" s="26"/>
      <c r="AF150" s="26">
        <f t="shared" ref="AF150:AF154" si="42">AH150+AJ150+AL150+AN150</f>
        <v>0</v>
      </c>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row>
    <row r="151" spans="1:60" ht="35.65" customHeight="1">
      <c r="A151" s="61" t="s">
        <v>50</v>
      </c>
      <c r="B151" s="53"/>
      <c r="C151" s="91"/>
      <c r="D151" s="26"/>
      <c r="E151" s="26"/>
      <c r="F151" s="26"/>
      <c r="G151" s="26"/>
      <c r="H151" s="26"/>
      <c r="I151" s="26"/>
      <c r="J151" s="26"/>
      <c r="K151" s="26"/>
      <c r="L151" s="26"/>
      <c r="M151" s="388"/>
      <c r="N151" s="26"/>
      <c r="O151" s="26"/>
      <c r="P151" s="96"/>
      <c r="Q151" s="96"/>
      <c r="R151" s="96"/>
      <c r="S151" s="96"/>
      <c r="T151" s="96"/>
      <c r="U151" s="96"/>
      <c r="V151" s="96"/>
      <c r="W151" s="95"/>
      <c r="X151" s="26"/>
      <c r="Y151" s="26"/>
      <c r="Z151" s="26"/>
      <c r="AA151" s="26"/>
      <c r="AB151" s="26"/>
      <c r="AC151" s="26"/>
      <c r="AD151" s="52" t="s">
        <v>667</v>
      </c>
      <c r="AE151" s="26">
        <f>AG151+AI151+AK151+AM151</f>
        <v>0</v>
      </c>
      <c r="AF151" s="26">
        <f t="shared" si="42"/>
        <v>0</v>
      </c>
      <c r="AG151" s="26"/>
      <c r="AH151" s="26"/>
      <c r="AI151" s="26"/>
      <c r="AJ151" s="26"/>
      <c r="AK151" s="26"/>
      <c r="AL151" s="26"/>
      <c r="AM151" s="26"/>
      <c r="AN151" s="26"/>
      <c r="AO151" s="26">
        <f>AP151+AQ151+AR151+AS151</f>
        <v>0</v>
      </c>
      <c r="AP151" s="26"/>
      <c r="AQ151" s="26"/>
      <c r="AR151" s="26"/>
      <c r="AS151" s="26"/>
      <c r="AT151" s="26">
        <f>AU151+AV151+AW151+AX151</f>
        <v>0</v>
      </c>
      <c r="AU151" s="26"/>
      <c r="AV151" s="26"/>
      <c r="AW151" s="26"/>
      <c r="AX151" s="26"/>
      <c r="AY151" s="26">
        <f>AZ151+BA151+BB151+BC151</f>
        <v>0</v>
      </c>
      <c r="AZ151" s="26"/>
      <c r="BA151" s="26"/>
      <c r="BB151" s="26"/>
      <c r="BC151" s="26"/>
      <c r="BD151" s="26">
        <f>BE151+BF151+BG151+BH151</f>
        <v>0</v>
      </c>
      <c r="BE151" s="26"/>
      <c r="BF151" s="26"/>
      <c r="BG151" s="26"/>
      <c r="BH151" s="26"/>
    </row>
    <row r="152" spans="1:60" ht="35.65" customHeight="1">
      <c r="A152" s="61" t="s">
        <v>57</v>
      </c>
      <c r="B152" s="53"/>
      <c r="C152" s="91"/>
      <c r="D152" s="26"/>
      <c r="E152" s="26"/>
      <c r="F152" s="26"/>
      <c r="G152" s="26"/>
      <c r="H152" s="26"/>
      <c r="I152" s="26"/>
      <c r="J152" s="26"/>
      <c r="K152" s="26"/>
      <c r="L152" s="26"/>
      <c r="M152" s="388"/>
      <c r="N152" s="26"/>
      <c r="O152" s="26"/>
      <c r="P152" s="44" t="s">
        <v>101</v>
      </c>
      <c r="Q152" s="96"/>
      <c r="R152" s="96"/>
      <c r="S152" s="96"/>
      <c r="T152" s="95" t="s">
        <v>102</v>
      </c>
      <c r="U152" s="96"/>
      <c r="V152" s="96"/>
      <c r="W152" s="44" t="s">
        <v>98</v>
      </c>
      <c r="X152" s="26"/>
      <c r="Y152" s="26"/>
      <c r="Z152" s="26"/>
      <c r="AA152" s="26"/>
      <c r="AB152" s="26"/>
      <c r="AC152" s="26"/>
      <c r="AD152" s="52" t="s">
        <v>668</v>
      </c>
      <c r="AE152" s="26">
        <f>AG152+AI152+AK152+AM152</f>
        <v>100</v>
      </c>
      <c r="AF152" s="26">
        <f t="shared" si="42"/>
        <v>100</v>
      </c>
      <c r="AG152" s="26"/>
      <c r="AH152" s="26"/>
      <c r="AI152" s="26"/>
      <c r="AJ152" s="26"/>
      <c r="AK152" s="26"/>
      <c r="AL152" s="26"/>
      <c r="AM152" s="26">
        <v>100</v>
      </c>
      <c r="AN152" s="26">
        <v>100</v>
      </c>
      <c r="AO152" s="26">
        <f>AP152+AQ152+AR152+AS152</f>
        <v>100</v>
      </c>
      <c r="AP152" s="26"/>
      <c r="AQ152" s="26"/>
      <c r="AR152" s="26"/>
      <c r="AS152" s="26">
        <v>100</v>
      </c>
      <c r="AT152" s="26">
        <f>AU152+AV152+AW152+AX152</f>
        <v>100</v>
      </c>
      <c r="AU152" s="26"/>
      <c r="AV152" s="26"/>
      <c r="AW152" s="26"/>
      <c r="AX152" s="26">
        <v>100</v>
      </c>
      <c r="AY152" s="26">
        <f>AZ152+BA152+BB152+BC152</f>
        <v>100</v>
      </c>
      <c r="AZ152" s="26"/>
      <c r="BA152" s="26"/>
      <c r="BB152" s="26"/>
      <c r="BC152" s="26">
        <v>100</v>
      </c>
      <c r="BD152" s="26">
        <f>BE152+BF152+BG152+BH152</f>
        <v>100</v>
      </c>
      <c r="BE152" s="26"/>
      <c r="BF152" s="26"/>
      <c r="BG152" s="26"/>
      <c r="BH152" s="26">
        <v>100</v>
      </c>
    </row>
    <row r="153" spans="1:60" ht="35.65" customHeight="1">
      <c r="A153" s="61" t="s">
        <v>50</v>
      </c>
      <c r="B153" s="53"/>
      <c r="C153" s="91"/>
      <c r="D153" s="26"/>
      <c r="E153" s="26"/>
      <c r="F153" s="26"/>
      <c r="G153" s="26"/>
      <c r="H153" s="26"/>
      <c r="I153" s="26"/>
      <c r="J153" s="26"/>
      <c r="K153" s="26"/>
      <c r="L153" s="26"/>
      <c r="M153" s="388"/>
      <c r="N153" s="26"/>
      <c r="O153" s="26"/>
      <c r="P153" s="44" t="s">
        <v>101</v>
      </c>
      <c r="Q153" s="96"/>
      <c r="R153" s="96"/>
      <c r="S153" s="96"/>
      <c r="T153" s="96"/>
      <c r="U153" s="96"/>
      <c r="V153" s="96"/>
      <c r="W153" s="44" t="s">
        <v>98</v>
      </c>
      <c r="X153" s="26"/>
      <c r="Y153" s="26"/>
      <c r="Z153" s="26"/>
      <c r="AA153" s="26"/>
      <c r="AB153" s="26"/>
      <c r="AC153" s="26"/>
      <c r="AD153" s="52" t="s">
        <v>669</v>
      </c>
      <c r="AE153" s="26">
        <f>AG153+AI153+AK153+AM153</f>
        <v>0</v>
      </c>
      <c r="AF153" s="26">
        <f t="shared" si="42"/>
        <v>0</v>
      </c>
      <c r="AG153" s="26"/>
      <c r="AH153" s="26"/>
      <c r="AI153" s="26"/>
      <c r="AJ153" s="26"/>
      <c r="AK153" s="26"/>
      <c r="AL153" s="26"/>
      <c r="AM153" s="26"/>
      <c r="AN153" s="26"/>
      <c r="AO153" s="26">
        <f>AP153+AQ153+AR153+AS153</f>
        <v>0</v>
      </c>
      <c r="AP153" s="26"/>
      <c r="AQ153" s="26"/>
      <c r="AR153" s="26"/>
      <c r="AS153" s="26"/>
      <c r="AT153" s="26">
        <f>AU153+AV153+AW153+AX153</f>
        <v>0</v>
      </c>
      <c r="AU153" s="26"/>
      <c r="AV153" s="26"/>
      <c r="AW153" s="26"/>
      <c r="AX153" s="26"/>
      <c r="AY153" s="26">
        <f>AZ153+BA153+BB153+BC153</f>
        <v>0</v>
      </c>
      <c r="AZ153" s="26"/>
      <c r="BA153" s="26"/>
      <c r="BB153" s="26"/>
      <c r="BC153" s="26"/>
      <c r="BD153" s="26">
        <f>BE153+BF153+BG153+BH153</f>
        <v>0</v>
      </c>
      <c r="BE153" s="26"/>
      <c r="BF153" s="26"/>
      <c r="BG153" s="26"/>
      <c r="BH153" s="26"/>
    </row>
    <row r="154" spans="1:60" ht="35.65" customHeight="1">
      <c r="A154" s="61" t="s">
        <v>57</v>
      </c>
      <c r="B154" s="53"/>
      <c r="C154" s="91"/>
      <c r="D154" s="26"/>
      <c r="E154" s="26"/>
      <c r="F154" s="26"/>
      <c r="G154" s="26"/>
      <c r="H154" s="26"/>
      <c r="I154" s="26"/>
      <c r="J154" s="26"/>
      <c r="K154" s="26"/>
      <c r="L154" s="26"/>
      <c r="M154" s="376"/>
      <c r="N154" s="26"/>
      <c r="O154" s="26"/>
      <c r="P154" s="44"/>
      <c r="Q154" s="96"/>
      <c r="R154" s="96"/>
      <c r="S154" s="96"/>
      <c r="T154" s="96"/>
      <c r="U154" s="96"/>
      <c r="V154" s="96"/>
      <c r="W154" s="44" t="s">
        <v>98</v>
      </c>
      <c r="X154" s="26"/>
      <c r="Y154" s="26"/>
      <c r="Z154" s="26"/>
      <c r="AA154" s="26"/>
      <c r="AB154" s="26"/>
      <c r="AC154" s="26"/>
      <c r="AD154" s="52" t="s">
        <v>670</v>
      </c>
      <c r="AE154" s="26">
        <f>AG154+AI154+AK154+AM154</f>
        <v>16.900000000000002</v>
      </c>
      <c r="AF154" s="26">
        <f t="shared" si="42"/>
        <v>16.899999999999999</v>
      </c>
      <c r="AG154" s="26"/>
      <c r="AH154" s="26"/>
      <c r="AI154" s="26"/>
      <c r="AJ154" s="26"/>
      <c r="AK154" s="26"/>
      <c r="AL154" s="26"/>
      <c r="AM154" s="26">
        <f>22.1-5.2</f>
        <v>16.900000000000002</v>
      </c>
      <c r="AN154" s="26">
        <v>16.899999999999999</v>
      </c>
      <c r="AO154" s="26">
        <f>AP154+AQ154+AR154+AS154</f>
        <v>41.900000000000006</v>
      </c>
      <c r="AP154" s="26"/>
      <c r="AQ154" s="26"/>
      <c r="AR154" s="26"/>
      <c r="AS154" s="26">
        <f>22.1-5.2+25</f>
        <v>41.900000000000006</v>
      </c>
      <c r="AT154" s="26">
        <f>AU154+AV154+AW154+AX154</f>
        <v>16.900000000000002</v>
      </c>
      <c r="AU154" s="26"/>
      <c r="AV154" s="26"/>
      <c r="AW154" s="26"/>
      <c r="AX154" s="26">
        <f>22.1-5.2</f>
        <v>16.900000000000002</v>
      </c>
      <c r="AY154" s="26">
        <f>AZ154+BA154+BB154+BC154</f>
        <v>16.900000000000002</v>
      </c>
      <c r="AZ154" s="26"/>
      <c r="BA154" s="26"/>
      <c r="BB154" s="26"/>
      <c r="BC154" s="26">
        <f>22.1-5.2</f>
        <v>16.900000000000002</v>
      </c>
      <c r="BD154" s="26">
        <f>BE154+BF154+BG154+BH154</f>
        <v>16.900000000000002</v>
      </c>
      <c r="BE154" s="26"/>
      <c r="BF154" s="26"/>
      <c r="BG154" s="26"/>
      <c r="BH154" s="26">
        <f>22.1-5.2</f>
        <v>16.900000000000002</v>
      </c>
    </row>
    <row r="155" spans="1:60" ht="35.65" customHeight="1">
      <c r="A155" s="93" t="s">
        <v>103</v>
      </c>
      <c r="B155" s="68">
        <v>2522</v>
      </c>
      <c r="C155" s="9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v>6</v>
      </c>
      <c r="AD155" s="34"/>
      <c r="AE155" s="118">
        <f>AE156+AE157+AE158+AE159+AE163+AE164+AE165+AE166+AE167+AE169+AE170+AE171+AE173+AE174+AE175+AE176+AE177+AE178+AE160+AE161+AE162+AE179+AE180</f>
        <v>133939.50000000003</v>
      </c>
      <c r="AF155" s="118">
        <f>AH155+AJ155+AL155+AN155</f>
        <v>131778.29999999999</v>
      </c>
      <c r="AG155" s="118">
        <f>AG156+AG157+AG158+AG159+AG163+AG164+AG165+AG166+AG167+AG169+AG170+AG171+AG173+AG174+AG175+AG176+AG177+AG178+AG160+AG161+AG162+AG179+AG180</f>
        <v>0</v>
      </c>
      <c r="AH155" s="118">
        <f>AH156+AH157+AH158+AH159+AH163+AH164+AH165+AH166+AH167+AH169+AH170+AH171+AH173+AH174+AH175+AH176+AH177+AH178+AH160+AH161+AH162+AH179+AH180</f>
        <v>0</v>
      </c>
      <c r="AI155" s="118">
        <f>AI156+AI157+AI158+AI159+AI163+AI164+AI165+AI166+AI167+AI169+AI170+AI171+AI173+AI174+AI175+AI176+AI177+AI178+AI160+AI161+AI162+AI179+AI180</f>
        <v>13846.1</v>
      </c>
      <c r="AJ155" s="118">
        <f>AJ156+AJ157+AJ158+AJ159+AJ163+AJ164+AJ165+AJ166+AJ167+AJ169+AJ170+AJ171+AJ173+AJ174+AJ175+AJ176+AJ177+AJ178+AJ160+AJ161+AJ162+AJ179+AJ180</f>
        <v>13598.500000000002</v>
      </c>
      <c r="AK155" s="118">
        <f>AK156+AK157+AK158+AK159+AK163+AK164+AK165+AK166+AK167+AK169+AK170+AK171+AK173+AK174+AK175+AK176+AK177+AK178+AK160+AK161+AK162+AK179+AK180</f>
        <v>0</v>
      </c>
      <c r="AL155" s="118"/>
      <c r="AM155" s="118">
        <f>AM156+AM157+AM158+AM159+AM163+AM164+AM165+AM166+AM167+AM169+AM170+AM171+AM173+AM174+AM175+AM176+AM177+AM178+AM160+AM161+AM162+AM179+AM180</f>
        <v>120093.40000000001</v>
      </c>
      <c r="AN155" s="118">
        <f>AN156+AN157+AN158+AN159+AN163+AN164+AN165+AN166+AN167+AN169+AN170+AN171+AN173+AN174+AN175+AN176+AN177+AN178+AN160+AN161+AN162+AN179+AN180</f>
        <v>118179.79999999999</v>
      </c>
      <c r="AO155" s="118">
        <f>AO156+AO157+AO158+AO159+AO163+AO164+AO165+AO166+AO167+AO169+AO170+AO171+AO173+AO174+AO175+AO176+AO177+AO168+AO172</f>
        <v>125029.09999999998</v>
      </c>
      <c r="AP155" s="118">
        <f t="shared" ref="AP155:BH155" si="43">AP156+AP157+AP158+AP159+AP163+AP164+AP165+AP166+AP167+AP169+AP170+AP171+AP173+AP174+AP175+AP176+AP177+AP168+AP172</f>
        <v>0</v>
      </c>
      <c r="AQ155" s="118">
        <f t="shared" si="43"/>
        <v>2804.2999999999997</v>
      </c>
      <c r="AR155" s="118">
        <f t="shared" si="43"/>
        <v>0</v>
      </c>
      <c r="AS155" s="118">
        <f t="shared" si="43"/>
        <v>122224.79999999999</v>
      </c>
      <c r="AT155" s="118">
        <f t="shared" si="43"/>
        <v>114635.69999999998</v>
      </c>
      <c r="AU155" s="118">
        <f t="shared" si="43"/>
        <v>0</v>
      </c>
      <c r="AV155" s="118">
        <f t="shared" si="43"/>
        <v>0</v>
      </c>
      <c r="AW155" s="118">
        <f t="shared" si="43"/>
        <v>0</v>
      </c>
      <c r="AX155" s="118">
        <f t="shared" si="43"/>
        <v>114635.69999999998</v>
      </c>
      <c r="AY155" s="118">
        <f t="shared" si="43"/>
        <v>114635.69999999998</v>
      </c>
      <c r="AZ155" s="118">
        <f t="shared" si="43"/>
        <v>0</v>
      </c>
      <c r="BA155" s="118">
        <f t="shared" si="43"/>
        <v>0</v>
      </c>
      <c r="BB155" s="118">
        <f t="shared" si="43"/>
        <v>0</v>
      </c>
      <c r="BC155" s="118">
        <f t="shared" si="43"/>
        <v>114635.69999999998</v>
      </c>
      <c r="BD155" s="118">
        <f t="shared" si="43"/>
        <v>114635.69999999998</v>
      </c>
      <c r="BE155" s="118">
        <f t="shared" si="43"/>
        <v>0</v>
      </c>
      <c r="BF155" s="118">
        <f t="shared" si="43"/>
        <v>0</v>
      </c>
      <c r="BG155" s="118">
        <f t="shared" si="43"/>
        <v>0</v>
      </c>
      <c r="BH155" s="118">
        <f t="shared" si="43"/>
        <v>114635.69999999998</v>
      </c>
    </row>
    <row r="156" spans="1:60" ht="35.65" customHeight="1">
      <c r="A156" s="61" t="s">
        <v>104</v>
      </c>
      <c r="B156" s="97"/>
      <c r="C156" s="20" t="s">
        <v>105</v>
      </c>
      <c r="D156" s="20" t="s">
        <v>106</v>
      </c>
      <c r="E156" s="20" t="s">
        <v>107</v>
      </c>
      <c r="F156" s="98"/>
      <c r="G156" s="98"/>
      <c r="H156" s="98"/>
      <c r="I156" s="98"/>
      <c r="J156" s="20" t="s">
        <v>108</v>
      </c>
      <c r="K156" s="20" t="s">
        <v>109</v>
      </c>
      <c r="L156" s="43" t="s">
        <v>110</v>
      </c>
      <c r="M156" s="98" t="s">
        <v>111</v>
      </c>
      <c r="N156" s="20" t="s">
        <v>112</v>
      </c>
      <c r="O156" s="98"/>
      <c r="P156" s="98" t="s">
        <v>113</v>
      </c>
      <c r="Q156" s="20" t="s">
        <v>112</v>
      </c>
      <c r="R156" s="98"/>
      <c r="S156" s="98"/>
      <c r="T156" s="99" t="s">
        <v>114</v>
      </c>
      <c r="U156" s="20" t="s">
        <v>112</v>
      </c>
      <c r="V156" s="98"/>
      <c r="W156" s="99" t="s">
        <v>114</v>
      </c>
      <c r="X156" s="20" t="s">
        <v>112</v>
      </c>
      <c r="Y156" s="98"/>
      <c r="Z156" s="98" t="s">
        <v>115</v>
      </c>
      <c r="AA156" s="20" t="s">
        <v>112</v>
      </c>
      <c r="AB156" s="98"/>
      <c r="AC156" s="26"/>
      <c r="AD156" s="52" t="s">
        <v>671</v>
      </c>
      <c r="AE156" s="26">
        <f t="shared" ref="AE156:AF180" si="44">AG156+AI156+AK156+AM156</f>
        <v>0</v>
      </c>
      <c r="AF156" s="26">
        <f>AH156+AJ156+AL156+AN156</f>
        <v>0</v>
      </c>
      <c r="AG156" s="26">
        <f>AI156+AK156+AM156+QD156</f>
        <v>0</v>
      </c>
      <c r="AH156" s="26"/>
      <c r="AI156" s="26">
        <f>AK156+AM156+QD156+QE156</f>
        <v>0</v>
      </c>
      <c r="AJ156" s="26"/>
      <c r="AK156" s="26">
        <f>AM156+QD156+QE156+QF156</f>
        <v>0</v>
      </c>
      <c r="AL156" s="26"/>
      <c r="AM156" s="26">
        <f>QD156+QE156+QF156+QG156</f>
        <v>0</v>
      </c>
      <c r="AN156" s="26"/>
      <c r="AO156" s="26">
        <f t="shared" ref="AO156:AO178" si="45">AP156+AQ156+AR156+AS156</f>
        <v>0</v>
      </c>
      <c r="AP156" s="26">
        <f>AQ156+AR156+AS156+FT936</f>
        <v>0</v>
      </c>
      <c r="AQ156" s="26">
        <f>AR156+AS156+FT936+FU936</f>
        <v>0</v>
      </c>
      <c r="AR156" s="26">
        <f>AS156+FT936+FU936+FV936</f>
        <v>0</v>
      </c>
      <c r="AS156" s="26">
        <f>FT936+FU936+FV936+FW936</f>
        <v>0</v>
      </c>
      <c r="AT156" s="26">
        <f t="shared" ref="AT156:AT159" si="46">AU156+AV156+AW156+AX156</f>
        <v>0</v>
      </c>
      <c r="AU156" s="26">
        <f>AV156+AW156+AX156+FJ936</f>
        <v>0</v>
      </c>
      <c r="AV156" s="26">
        <f>AW156+AX156+FJ936+FK936</f>
        <v>0</v>
      </c>
      <c r="AW156" s="26">
        <f>AX156+FJ936+FK936+FL936</f>
        <v>0</v>
      </c>
      <c r="AX156" s="26">
        <f>FJ936+FK936+FL936+FM936</f>
        <v>0</v>
      </c>
      <c r="AY156" s="26">
        <f>AZ156+BA156+BB156+BC156</f>
        <v>0</v>
      </c>
      <c r="AZ156" s="26">
        <f>BA156+BB156+BC156+EA156</f>
        <v>0</v>
      </c>
      <c r="BA156" s="26">
        <f>BB156+BC156+EA156+EB156</f>
        <v>0</v>
      </c>
      <c r="BB156" s="26">
        <f>BC156+EA156+EB156+EC156</f>
        <v>0</v>
      </c>
      <c r="BC156" s="26">
        <f>EA156+EB156+EC156+ED156</f>
        <v>0</v>
      </c>
      <c r="BD156" s="26">
        <f>BE156+BF156+BG156+BH156</f>
        <v>0</v>
      </c>
      <c r="BE156" s="26">
        <f>BF156+BG156+BH156+EF156</f>
        <v>0</v>
      </c>
      <c r="BF156" s="26">
        <f>BG156+BH156+EF156+EG156</f>
        <v>0</v>
      </c>
      <c r="BG156" s="26">
        <f>BH156+EF156+EG156+EH156</f>
        <v>0</v>
      </c>
      <c r="BH156" s="26">
        <f>EF156+EG156+EH156+EI156</f>
        <v>0</v>
      </c>
    </row>
    <row r="157" spans="1:60" ht="35.65" customHeight="1">
      <c r="A157" s="61" t="s">
        <v>104</v>
      </c>
      <c r="B157" s="97"/>
      <c r="C157" s="20" t="s">
        <v>105</v>
      </c>
      <c r="D157" s="20" t="s">
        <v>106</v>
      </c>
      <c r="E157" s="20" t="s">
        <v>107</v>
      </c>
      <c r="F157" s="98"/>
      <c r="G157" s="98"/>
      <c r="H157" s="98"/>
      <c r="I157" s="98"/>
      <c r="J157" s="20" t="s">
        <v>108</v>
      </c>
      <c r="K157" s="20" t="s">
        <v>109</v>
      </c>
      <c r="L157" s="43" t="s">
        <v>110</v>
      </c>
      <c r="M157" s="98" t="s">
        <v>116</v>
      </c>
      <c r="N157" s="20" t="s">
        <v>112</v>
      </c>
      <c r="O157" s="98"/>
      <c r="P157" s="98" t="s">
        <v>113</v>
      </c>
      <c r="Q157" s="20" t="s">
        <v>112</v>
      </c>
      <c r="R157" s="98"/>
      <c r="S157" s="98"/>
      <c r="T157" s="99" t="s">
        <v>114</v>
      </c>
      <c r="U157" s="20" t="s">
        <v>112</v>
      </c>
      <c r="V157" s="98"/>
      <c r="W157" s="99" t="s">
        <v>114</v>
      </c>
      <c r="X157" s="20" t="s">
        <v>112</v>
      </c>
      <c r="Y157" s="98"/>
      <c r="Z157" s="98" t="s">
        <v>115</v>
      </c>
      <c r="AA157" s="20" t="s">
        <v>112</v>
      </c>
      <c r="AB157" s="98"/>
      <c r="AC157" s="26"/>
      <c r="AD157" s="52" t="s">
        <v>672</v>
      </c>
      <c r="AE157" s="26">
        <f t="shared" si="44"/>
        <v>0</v>
      </c>
      <c r="AF157" s="26">
        <f t="shared" si="44"/>
        <v>0</v>
      </c>
      <c r="AG157" s="26"/>
      <c r="AH157" s="26"/>
      <c r="AI157" s="26"/>
      <c r="AJ157" s="26"/>
      <c r="AK157" s="26"/>
      <c r="AL157" s="26"/>
      <c r="AM157" s="26"/>
      <c r="AN157" s="26"/>
      <c r="AO157" s="26">
        <f t="shared" si="45"/>
        <v>0</v>
      </c>
      <c r="AP157" s="26"/>
      <c r="AQ157" s="26"/>
      <c r="AR157" s="26"/>
      <c r="AS157" s="26"/>
      <c r="AT157" s="26">
        <f t="shared" si="46"/>
        <v>0</v>
      </c>
      <c r="AU157" s="26"/>
      <c r="AV157" s="26"/>
      <c r="AW157" s="26"/>
      <c r="AX157" s="26"/>
      <c r="AY157" s="34">
        <f>AZ157+BA157+BB157+BC157</f>
        <v>0</v>
      </c>
      <c r="AZ157" s="26"/>
      <c r="BA157" s="26"/>
      <c r="BB157" s="26"/>
      <c r="BC157" s="26"/>
      <c r="BD157" s="34">
        <f>BE157+BF157+BG157+BH157</f>
        <v>0</v>
      </c>
      <c r="BE157" s="26"/>
      <c r="BF157" s="26"/>
      <c r="BG157" s="26"/>
      <c r="BH157" s="26"/>
    </row>
    <row r="158" spans="1:60" ht="35.65" customHeight="1">
      <c r="A158" s="61" t="s">
        <v>104</v>
      </c>
      <c r="B158" s="97"/>
      <c r="C158" s="20"/>
      <c r="D158" s="20"/>
      <c r="E158" s="20"/>
      <c r="F158" s="98"/>
      <c r="G158" s="98"/>
      <c r="H158" s="98"/>
      <c r="I158" s="98"/>
      <c r="J158" s="20"/>
      <c r="K158" s="20"/>
      <c r="L158" s="43"/>
      <c r="M158" s="98"/>
      <c r="N158" s="20"/>
      <c r="O158" s="98"/>
      <c r="P158" s="98"/>
      <c r="Q158" s="20"/>
      <c r="R158" s="98"/>
      <c r="S158" s="98"/>
      <c r="T158" s="99"/>
      <c r="U158" s="20"/>
      <c r="V158" s="98"/>
      <c r="W158" s="99"/>
      <c r="X158" s="20"/>
      <c r="Y158" s="98"/>
      <c r="Z158" s="98"/>
      <c r="AA158" s="20"/>
      <c r="AB158" s="98"/>
      <c r="AC158" s="26"/>
      <c r="AD158" s="52" t="s">
        <v>673</v>
      </c>
      <c r="AE158" s="26">
        <f t="shared" si="44"/>
        <v>0</v>
      </c>
      <c r="AF158" s="26">
        <f t="shared" si="44"/>
        <v>0</v>
      </c>
      <c r="AG158" s="26"/>
      <c r="AH158" s="26"/>
      <c r="AI158" s="26"/>
      <c r="AJ158" s="26"/>
      <c r="AK158" s="26"/>
      <c r="AL158" s="26"/>
      <c r="AM158" s="26"/>
      <c r="AN158" s="26"/>
      <c r="AO158" s="26">
        <f t="shared" si="45"/>
        <v>0</v>
      </c>
      <c r="AP158" s="26"/>
      <c r="AQ158" s="26"/>
      <c r="AR158" s="26"/>
      <c r="AS158" s="26"/>
      <c r="AT158" s="26">
        <f t="shared" si="46"/>
        <v>0</v>
      </c>
      <c r="AU158" s="26"/>
      <c r="AV158" s="26"/>
      <c r="AW158" s="26"/>
      <c r="AX158" s="26"/>
      <c r="AY158" s="34"/>
      <c r="AZ158" s="26"/>
      <c r="BA158" s="26"/>
      <c r="BB158" s="26"/>
      <c r="BC158" s="26"/>
      <c r="BD158" s="34"/>
      <c r="BE158" s="26"/>
      <c r="BF158" s="26"/>
      <c r="BG158" s="26"/>
      <c r="BH158" s="26"/>
    </row>
    <row r="159" spans="1:60" ht="35.65" customHeight="1">
      <c r="A159" s="61" t="s">
        <v>104</v>
      </c>
      <c r="B159" s="97"/>
      <c r="C159" s="20"/>
      <c r="D159" s="20"/>
      <c r="E159" s="20"/>
      <c r="F159" s="98"/>
      <c r="G159" s="98"/>
      <c r="H159" s="98"/>
      <c r="I159" s="98"/>
      <c r="J159" s="20"/>
      <c r="K159" s="20"/>
      <c r="L159" s="43"/>
      <c r="M159" s="98"/>
      <c r="N159" s="20"/>
      <c r="O159" s="98"/>
      <c r="P159" s="98"/>
      <c r="Q159" s="20"/>
      <c r="R159" s="98"/>
      <c r="S159" s="98"/>
      <c r="T159" s="99"/>
      <c r="U159" s="20"/>
      <c r="V159" s="98"/>
      <c r="W159" s="99"/>
      <c r="X159" s="20"/>
      <c r="Y159" s="98"/>
      <c r="Z159" s="98"/>
      <c r="AA159" s="20"/>
      <c r="AB159" s="98"/>
      <c r="AC159" s="26"/>
      <c r="AD159" s="52" t="s">
        <v>674</v>
      </c>
      <c r="AE159" s="26">
        <f t="shared" si="44"/>
        <v>0</v>
      </c>
      <c r="AF159" s="26">
        <f t="shared" si="44"/>
        <v>0</v>
      </c>
      <c r="AG159" s="26"/>
      <c r="AH159" s="26"/>
      <c r="AI159" s="26"/>
      <c r="AJ159" s="26"/>
      <c r="AK159" s="26"/>
      <c r="AL159" s="26"/>
      <c r="AM159" s="26"/>
      <c r="AN159" s="26"/>
      <c r="AO159" s="26">
        <f t="shared" si="45"/>
        <v>0</v>
      </c>
      <c r="AP159" s="26"/>
      <c r="AQ159" s="26"/>
      <c r="AR159" s="26"/>
      <c r="AS159" s="26"/>
      <c r="AT159" s="26">
        <f t="shared" si="46"/>
        <v>0</v>
      </c>
      <c r="AU159" s="26"/>
      <c r="AV159" s="26"/>
      <c r="AW159" s="26"/>
      <c r="AX159" s="26"/>
      <c r="AY159" s="34"/>
      <c r="AZ159" s="26"/>
      <c r="BA159" s="26"/>
      <c r="BB159" s="26"/>
      <c r="BC159" s="26"/>
      <c r="BD159" s="34"/>
      <c r="BE159" s="26"/>
      <c r="BF159" s="26"/>
      <c r="BG159" s="26"/>
      <c r="BH159" s="26"/>
    </row>
    <row r="160" spans="1:60" ht="35.65" customHeight="1">
      <c r="A160" s="61" t="s">
        <v>104</v>
      </c>
      <c r="B160" s="62"/>
      <c r="C160" s="20"/>
      <c r="D160" s="20"/>
      <c r="E160" s="20"/>
      <c r="F160" s="98"/>
      <c r="G160" s="98"/>
      <c r="H160" s="98"/>
      <c r="I160" s="98"/>
      <c r="J160" s="18"/>
      <c r="K160" s="20"/>
      <c r="L160" s="43"/>
      <c r="M160" s="100"/>
      <c r="N160" s="18"/>
      <c r="O160" s="100"/>
      <c r="P160" s="98"/>
      <c r="Q160" s="18"/>
      <c r="R160" s="98"/>
      <c r="S160" s="98"/>
      <c r="T160" s="99"/>
      <c r="U160" s="20"/>
      <c r="V160" s="98"/>
      <c r="W160" s="99"/>
      <c r="X160" s="20"/>
      <c r="Y160" s="98"/>
      <c r="Z160" s="98"/>
      <c r="AA160" s="20"/>
      <c r="AB160" s="98"/>
      <c r="AC160" s="26"/>
      <c r="AD160" s="52" t="s">
        <v>675</v>
      </c>
      <c r="AE160" s="26">
        <f t="shared" si="44"/>
        <v>6375.3</v>
      </c>
      <c r="AF160" s="26">
        <f t="shared" si="44"/>
        <v>6375.3</v>
      </c>
      <c r="AG160" s="26"/>
      <c r="AH160" s="26"/>
      <c r="AI160" s="26">
        <f>7500-1124.7</f>
        <v>6375.3</v>
      </c>
      <c r="AJ160" s="26">
        <v>6375.3</v>
      </c>
      <c r="AK160" s="26"/>
      <c r="AL160" s="26"/>
      <c r="AM160" s="26"/>
      <c r="AN160" s="26"/>
      <c r="AO160" s="26"/>
      <c r="AP160" s="26"/>
      <c r="AQ160" s="26"/>
      <c r="AR160" s="26"/>
      <c r="AS160" s="26"/>
      <c r="AT160" s="26"/>
      <c r="AU160" s="26"/>
      <c r="AV160" s="26"/>
      <c r="AW160" s="26"/>
      <c r="AX160" s="26"/>
      <c r="AY160" s="34"/>
      <c r="AZ160" s="26"/>
      <c r="BA160" s="26"/>
      <c r="BB160" s="26"/>
      <c r="BC160" s="26"/>
      <c r="BD160" s="34"/>
      <c r="BE160" s="26"/>
      <c r="BF160" s="26"/>
      <c r="BG160" s="26"/>
      <c r="BH160" s="26"/>
    </row>
    <row r="161" spans="1:60" ht="35.65" customHeight="1">
      <c r="A161" s="61" t="s">
        <v>104</v>
      </c>
      <c r="B161" s="62"/>
      <c r="C161" s="20"/>
      <c r="D161" s="20"/>
      <c r="E161" s="20"/>
      <c r="F161" s="98"/>
      <c r="G161" s="98"/>
      <c r="H161" s="98"/>
      <c r="I161" s="98"/>
      <c r="J161" s="18"/>
      <c r="K161" s="20"/>
      <c r="L161" s="43"/>
      <c r="M161" s="100"/>
      <c r="N161" s="18"/>
      <c r="O161" s="100"/>
      <c r="P161" s="98"/>
      <c r="Q161" s="18"/>
      <c r="R161" s="98"/>
      <c r="S161" s="98"/>
      <c r="T161" s="99"/>
      <c r="U161" s="20"/>
      <c r="V161" s="98"/>
      <c r="W161" s="99"/>
      <c r="X161" s="20"/>
      <c r="Y161" s="98"/>
      <c r="Z161" s="98"/>
      <c r="AA161" s="20"/>
      <c r="AB161" s="98"/>
      <c r="AC161" s="26"/>
      <c r="AD161" s="52" t="s">
        <v>676</v>
      </c>
      <c r="AE161" s="26">
        <f t="shared" si="44"/>
        <v>3089.4</v>
      </c>
      <c r="AF161" s="26">
        <f t="shared" si="44"/>
        <v>2922.8</v>
      </c>
      <c r="AG161" s="26"/>
      <c r="AH161" s="26"/>
      <c r="AI161" s="26">
        <f>3039+50.4</f>
        <v>3089.4</v>
      </c>
      <c r="AJ161" s="26">
        <v>2922.8</v>
      </c>
      <c r="AK161" s="26"/>
      <c r="AL161" s="26"/>
      <c r="AM161" s="26"/>
      <c r="AN161" s="26"/>
      <c r="AO161" s="26"/>
      <c r="AP161" s="26"/>
      <c r="AQ161" s="26"/>
      <c r="AR161" s="26"/>
      <c r="AS161" s="26"/>
      <c r="AT161" s="26"/>
      <c r="AU161" s="26"/>
      <c r="AV161" s="26"/>
      <c r="AW161" s="26"/>
      <c r="AX161" s="26"/>
      <c r="AY161" s="34"/>
      <c r="AZ161" s="26"/>
      <c r="BA161" s="26"/>
      <c r="BB161" s="26"/>
      <c r="BC161" s="26"/>
      <c r="BD161" s="34"/>
      <c r="BE161" s="26"/>
      <c r="BF161" s="26"/>
      <c r="BG161" s="26"/>
      <c r="BH161" s="26"/>
    </row>
    <row r="162" spans="1:60" ht="35.65" customHeight="1">
      <c r="A162" s="61" t="s">
        <v>104</v>
      </c>
      <c r="B162" s="62"/>
      <c r="C162" s="20"/>
      <c r="D162" s="20"/>
      <c r="E162" s="20"/>
      <c r="F162" s="98"/>
      <c r="G162" s="98"/>
      <c r="H162" s="98"/>
      <c r="I162" s="98"/>
      <c r="J162" s="18"/>
      <c r="K162" s="20"/>
      <c r="L162" s="43"/>
      <c r="M162" s="100"/>
      <c r="N162" s="18"/>
      <c r="O162" s="100"/>
      <c r="P162" s="98"/>
      <c r="Q162" s="18"/>
      <c r="R162" s="98"/>
      <c r="S162" s="98"/>
      <c r="T162" s="99"/>
      <c r="U162" s="20"/>
      <c r="V162" s="98"/>
      <c r="W162" s="99"/>
      <c r="X162" s="20"/>
      <c r="Y162" s="98"/>
      <c r="Z162" s="98"/>
      <c r="AA162" s="20"/>
      <c r="AB162" s="98"/>
      <c r="AC162" s="26"/>
      <c r="AD162" s="52" t="s">
        <v>677</v>
      </c>
      <c r="AE162" s="26">
        <f t="shared" si="44"/>
        <v>456.1</v>
      </c>
      <c r="AF162" s="26">
        <f t="shared" si="44"/>
        <v>375.1</v>
      </c>
      <c r="AG162" s="26"/>
      <c r="AH162" s="26"/>
      <c r="AI162" s="26">
        <f>506.5-50.4</f>
        <v>456.1</v>
      </c>
      <c r="AJ162" s="26">
        <v>375.1</v>
      </c>
      <c r="AK162" s="26"/>
      <c r="AL162" s="26"/>
      <c r="AM162" s="26"/>
      <c r="AN162" s="26"/>
      <c r="AO162" s="26"/>
      <c r="AP162" s="26"/>
      <c r="AQ162" s="26"/>
      <c r="AR162" s="26"/>
      <c r="AS162" s="26"/>
      <c r="AT162" s="26"/>
      <c r="AU162" s="26"/>
      <c r="AV162" s="26"/>
      <c r="AW162" s="26"/>
      <c r="AX162" s="26"/>
      <c r="AY162" s="34"/>
      <c r="AZ162" s="26"/>
      <c r="BA162" s="26"/>
      <c r="BB162" s="26"/>
      <c r="BC162" s="26"/>
      <c r="BD162" s="34"/>
      <c r="BE162" s="26"/>
      <c r="BF162" s="26"/>
      <c r="BG162" s="26"/>
      <c r="BH162" s="26"/>
    </row>
    <row r="163" spans="1:60" ht="35.65" customHeight="1">
      <c r="A163" s="61" t="s">
        <v>104</v>
      </c>
      <c r="B163" s="62"/>
      <c r="C163" s="101" t="s">
        <v>105</v>
      </c>
      <c r="D163" s="20" t="s">
        <v>117</v>
      </c>
      <c r="E163" s="20" t="s">
        <v>107</v>
      </c>
      <c r="F163" s="101"/>
      <c r="G163" s="101"/>
      <c r="H163" s="101"/>
      <c r="I163" s="101"/>
      <c r="J163" s="18" t="s">
        <v>118</v>
      </c>
      <c r="K163" s="20" t="s">
        <v>109</v>
      </c>
      <c r="L163" s="20" t="s">
        <v>119</v>
      </c>
      <c r="M163" s="36" t="s">
        <v>120</v>
      </c>
      <c r="N163" s="18" t="s">
        <v>112</v>
      </c>
      <c r="O163" s="18" t="s">
        <v>121</v>
      </c>
      <c r="P163" s="102" t="s">
        <v>122</v>
      </c>
      <c r="Q163" s="18" t="s">
        <v>112</v>
      </c>
      <c r="R163" s="101"/>
      <c r="S163" s="101"/>
      <c r="T163" s="20" t="s">
        <v>123</v>
      </c>
      <c r="U163" s="20" t="s">
        <v>112</v>
      </c>
      <c r="V163" s="101"/>
      <c r="W163" s="20" t="s">
        <v>123</v>
      </c>
      <c r="X163" s="20" t="s">
        <v>112</v>
      </c>
      <c r="Y163" s="101"/>
      <c r="Z163" s="101" t="s">
        <v>115</v>
      </c>
      <c r="AA163" s="20" t="s">
        <v>112</v>
      </c>
      <c r="AB163" s="98"/>
      <c r="AC163" s="26"/>
      <c r="AD163" s="52" t="s">
        <v>678</v>
      </c>
      <c r="AE163" s="26">
        <f t="shared" si="44"/>
        <v>0</v>
      </c>
      <c r="AF163" s="26">
        <f t="shared" si="44"/>
        <v>0</v>
      </c>
      <c r="AG163" s="26"/>
      <c r="AH163" s="26"/>
      <c r="AI163" s="26"/>
      <c r="AJ163" s="26"/>
      <c r="AK163" s="26"/>
      <c r="AL163" s="26"/>
      <c r="AM163" s="26"/>
      <c r="AN163" s="26"/>
      <c r="AO163" s="26">
        <f t="shared" si="45"/>
        <v>0</v>
      </c>
      <c r="AP163" s="26"/>
      <c r="AQ163" s="26"/>
      <c r="AR163" s="26"/>
      <c r="AS163" s="26"/>
      <c r="AT163" s="26">
        <f t="shared" ref="AT163:AT177" si="47">AU163+AV163+AW163+AX163</f>
        <v>0</v>
      </c>
      <c r="AU163" s="26"/>
      <c r="AV163" s="26"/>
      <c r="AW163" s="26"/>
      <c r="AX163" s="26"/>
      <c r="AY163" s="34">
        <f t="shared" ref="AY163:AY176" si="48">AZ163+BA163+BB163+BC163</f>
        <v>0</v>
      </c>
      <c r="AZ163" s="26"/>
      <c r="BA163" s="26"/>
      <c r="BB163" s="26"/>
      <c r="BC163" s="26"/>
      <c r="BD163" s="34">
        <f t="shared" ref="BD163:BD176" si="49">BE163+BF163+BG163+BH163</f>
        <v>0</v>
      </c>
      <c r="BE163" s="26"/>
      <c r="BF163" s="26"/>
      <c r="BG163" s="26"/>
      <c r="BH163" s="26"/>
    </row>
    <row r="164" spans="1:60" ht="35.65" customHeight="1" thickBot="1">
      <c r="A164" s="27" t="s">
        <v>104</v>
      </c>
      <c r="B164" s="35"/>
      <c r="C164" s="20" t="s">
        <v>105</v>
      </c>
      <c r="D164" s="20" t="s">
        <v>106</v>
      </c>
      <c r="E164" s="20" t="s">
        <v>107</v>
      </c>
      <c r="F164" s="98"/>
      <c r="G164" s="98"/>
      <c r="H164" s="98"/>
      <c r="I164" s="98"/>
      <c r="J164" s="98" t="s">
        <v>124</v>
      </c>
      <c r="K164" s="20" t="s">
        <v>109</v>
      </c>
      <c r="L164" s="20" t="s">
        <v>125</v>
      </c>
      <c r="M164" s="98"/>
      <c r="N164" s="98"/>
      <c r="O164" s="98"/>
      <c r="P164" s="98"/>
      <c r="Q164" s="98"/>
      <c r="R164" s="98"/>
      <c r="S164" s="98"/>
      <c r="T164" s="98"/>
      <c r="U164" s="98"/>
      <c r="V164" s="98"/>
      <c r="W164" s="412" t="s">
        <v>126</v>
      </c>
      <c r="X164" s="20" t="s">
        <v>112</v>
      </c>
      <c r="Y164" s="98"/>
      <c r="Z164" s="412" t="s">
        <v>115</v>
      </c>
      <c r="AA164" s="20" t="s">
        <v>112</v>
      </c>
      <c r="AB164" s="98"/>
      <c r="AC164" s="26"/>
      <c r="AD164" s="52" t="s">
        <v>679</v>
      </c>
      <c r="AE164" s="26">
        <f t="shared" si="44"/>
        <v>8852.100000000004</v>
      </c>
      <c r="AF164" s="26">
        <f t="shared" si="44"/>
        <v>8836.7000000000007</v>
      </c>
      <c r="AG164" s="26"/>
      <c r="AH164" s="26"/>
      <c r="AI164" s="26"/>
      <c r="AJ164" s="26"/>
      <c r="AK164" s="26"/>
      <c r="AL164" s="26"/>
      <c r="AM164" s="26">
        <f>7722.6+1573.7-113.6+126+279.7-209.8+75.7-497.3+126.1-231</f>
        <v>8852.100000000004</v>
      </c>
      <c r="AN164" s="26">
        <v>8836.7000000000007</v>
      </c>
      <c r="AO164" s="26">
        <f t="shared" si="45"/>
        <v>9119.4</v>
      </c>
      <c r="AP164" s="26"/>
      <c r="AQ164" s="26"/>
      <c r="AR164" s="26"/>
      <c r="AS164" s="26">
        <f>8813.9-20.1+300.1-70-18.9+48+66.4</f>
        <v>9119.4</v>
      </c>
      <c r="AT164" s="26">
        <f t="shared" si="47"/>
        <v>8813.9</v>
      </c>
      <c r="AU164" s="26"/>
      <c r="AV164" s="26"/>
      <c r="AW164" s="26"/>
      <c r="AX164" s="26">
        <v>8813.9</v>
      </c>
      <c r="AY164" s="26">
        <f t="shared" si="48"/>
        <v>8813.9</v>
      </c>
      <c r="AZ164" s="26"/>
      <c r="BA164" s="26"/>
      <c r="BB164" s="26"/>
      <c r="BC164" s="26">
        <v>8813.9</v>
      </c>
      <c r="BD164" s="26">
        <f t="shared" si="49"/>
        <v>8813.9</v>
      </c>
      <c r="BE164" s="26"/>
      <c r="BF164" s="26"/>
      <c r="BG164" s="26"/>
      <c r="BH164" s="26">
        <v>8813.9</v>
      </c>
    </row>
    <row r="165" spans="1:60" ht="35.65" customHeight="1" thickBot="1">
      <c r="A165" s="27" t="s">
        <v>104</v>
      </c>
      <c r="B165" s="35"/>
      <c r="C165" s="20" t="s">
        <v>105</v>
      </c>
      <c r="D165" s="20" t="s">
        <v>106</v>
      </c>
      <c r="E165" s="20" t="s">
        <v>107</v>
      </c>
      <c r="F165" s="98"/>
      <c r="G165" s="98"/>
      <c r="H165" s="98"/>
      <c r="I165" s="98"/>
      <c r="J165" s="98" t="s">
        <v>124</v>
      </c>
      <c r="K165" s="20" t="s">
        <v>109</v>
      </c>
      <c r="L165" s="20" t="s">
        <v>125</v>
      </c>
      <c r="M165" s="98"/>
      <c r="N165" s="98"/>
      <c r="O165" s="98"/>
      <c r="P165" s="98"/>
      <c r="Q165" s="98"/>
      <c r="R165" s="98"/>
      <c r="S165" s="98"/>
      <c r="T165" s="98"/>
      <c r="U165" s="98"/>
      <c r="V165" s="98"/>
      <c r="W165" s="413"/>
      <c r="X165" s="20" t="s">
        <v>112</v>
      </c>
      <c r="Y165" s="98"/>
      <c r="Z165" s="413"/>
      <c r="AA165" s="20" t="s">
        <v>112</v>
      </c>
      <c r="AB165" s="98"/>
      <c r="AC165" s="26"/>
      <c r="AD165" s="52" t="s">
        <v>680</v>
      </c>
      <c r="AE165" s="26">
        <f t="shared" si="44"/>
        <v>4766.8</v>
      </c>
      <c r="AF165" s="26">
        <f>AH165+AJ165+AL165+AN165</f>
        <v>4766.3999999999996</v>
      </c>
      <c r="AG165" s="26"/>
      <c r="AH165" s="26"/>
      <c r="AI165" s="26"/>
      <c r="AJ165" s="26"/>
      <c r="AK165" s="26"/>
      <c r="AL165" s="26"/>
      <c r="AM165" s="26">
        <f>3294.9+1058.2+70.4+209.8+330.2-406.7+240-30</f>
        <v>4766.8</v>
      </c>
      <c r="AN165" s="26">
        <v>4766.3999999999996</v>
      </c>
      <c r="AO165" s="26">
        <f t="shared" si="45"/>
        <v>3748.0000000000005</v>
      </c>
      <c r="AP165" s="26"/>
      <c r="AQ165" s="26"/>
      <c r="AR165" s="26"/>
      <c r="AS165" s="26">
        <f>55+634.5+750+69.7+20+1150.4+971.6+66.8+30</f>
        <v>3748.0000000000005</v>
      </c>
      <c r="AT165" s="26">
        <f t="shared" si="47"/>
        <v>55</v>
      </c>
      <c r="AU165" s="26"/>
      <c r="AV165" s="26"/>
      <c r="AW165" s="26"/>
      <c r="AX165" s="26">
        <v>55</v>
      </c>
      <c r="AY165" s="34">
        <f t="shared" si="48"/>
        <v>55</v>
      </c>
      <c r="AZ165" s="26"/>
      <c r="BA165" s="26"/>
      <c r="BB165" s="26"/>
      <c r="BC165" s="26">
        <v>55</v>
      </c>
      <c r="BD165" s="34">
        <f t="shared" si="49"/>
        <v>55</v>
      </c>
      <c r="BE165" s="26"/>
      <c r="BF165" s="26"/>
      <c r="BG165" s="26"/>
      <c r="BH165" s="26">
        <v>55</v>
      </c>
    </row>
    <row r="166" spans="1:60" ht="35.65" customHeight="1" thickBot="1">
      <c r="A166" s="27" t="s">
        <v>104</v>
      </c>
      <c r="B166" s="35"/>
      <c r="C166" s="20" t="s">
        <v>105</v>
      </c>
      <c r="D166" s="20" t="s">
        <v>106</v>
      </c>
      <c r="E166" s="20" t="s">
        <v>107</v>
      </c>
      <c r="F166" s="98"/>
      <c r="G166" s="98"/>
      <c r="H166" s="98"/>
      <c r="I166" s="98"/>
      <c r="J166" s="98" t="s">
        <v>124</v>
      </c>
      <c r="K166" s="20" t="s">
        <v>109</v>
      </c>
      <c r="L166" s="20" t="s">
        <v>125</v>
      </c>
      <c r="M166" s="98"/>
      <c r="N166" s="98"/>
      <c r="O166" s="98"/>
      <c r="P166" s="98"/>
      <c r="Q166" s="98"/>
      <c r="R166" s="98"/>
      <c r="S166" s="98"/>
      <c r="T166" s="98"/>
      <c r="U166" s="98"/>
      <c r="V166" s="98"/>
      <c r="W166" s="413"/>
      <c r="X166" s="20" t="s">
        <v>112</v>
      </c>
      <c r="Y166" s="98"/>
      <c r="Z166" s="413"/>
      <c r="AA166" s="20" t="s">
        <v>112</v>
      </c>
      <c r="AB166" s="98"/>
      <c r="AC166" s="26"/>
      <c r="AD166" s="52" t="s">
        <v>681</v>
      </c>
      <c r="AE166" s="26">
        <f t="shared" si="44"/>
        <v>1603.6</v>
      </c>
      <c r="AF166" s="26">
        <f t="shared" si="44"/>
        <v>1603.6</v>
      </c>
      <c r="AG166" s="26"/>
      <c r="AH166" s="26"/>
      <c r="AI166" s="26"/>
      <c r="AJ166" s="26"/>
      <c r="AK166" s="26"/>
      <c r="AL166" s="26"/>
      <c r="AM166" s="26">
        <f>1628.5+42+50-116.9</f>
        <v>1603.6</v>
      </c>
      <c r="AN166" s="26">
        <v>1603.6</v>
      </c>
      <c r="AO166" s="26">
        <f t="shared" si="45"/>
        <v>1743.2</v>
      </c>
      <c r="AP166" s="26"/>
      <c r="AQ166" s="26"/>
      <c r="AR166" s="26"/>
      <c r="AS166" s="26">
        <f>1747.4+30-34.2</f>
        <v>1743.2</v>
      </c>
      <c r="AT166" s="26">
        <f t="shared" si="47"/>
        <v>1747.4</v>
      </c>
      <c r="AU166" s="26"/>
      <c r="AV166" s="26"/>
      <c r="AW166" s="26"/>
      <c r="AX166" s="26">
        <v>1747.4</v>
      </c>
      <c r="AY166" s="26">
        <f t="shared" si="48"/>
        <v>1747.4</v>
      </c>
      <c r="AZ166" s="26"/>
      <c r="BA166" s="26"/>
      <c r="BB166" s="26"/>
      <c r="BC166" s="26">
        <v>1747.4</v>
      </c>
      <c r="BD166" s="26">
        <f t="shared" si="49"/>
        <v>1747.4</v>
      </c>
      <c r="BE166" s="26"/>
      <c r="BF166" s="26"/>
      <c r="BG166" s="26"/>
      <c r="BH166" s="26">
        <v>1747.4</v>
      </c>
    </row>
    <row r="167" spans="1:60" ht="35.65" customHeight="1" thickBot="1">
      <c r="A167" s="27" t="s">
        <v>104</v>
      </c>
      <c r="B167" s="35"/>
      <c r="C167" s="20" t="s">
        <v>105</v>
      </c>
      <c r="D167" s="20" t="s">
        <v>106</v>
      </c>
      <c r="E167" s="20" t="s">
        <v>107</v>
      </c>
      <c r="F167" s="98"/>
      <c r="G167" s="98"/>
      <c r="H167" s="98"/>
      <c r="I167" s="98"/>
      <c r="J167" s="98" t="s">
        <v>124</v>
      </c>
      <c r="K167" s="20" t="s">
        <v>109</v>
      </c>
      <c r="L167" s="20" t="s">
        <v>125</v>
      </c>
      <c r="M167" s="98"/>
      <c r="N167" s="98"/>
      <c r="O167" s="98"/>
      <c r="P167" s="98"/>
      <c r="Q167" s="98"/>
      <c r="R167" s="98"/>
      <c r="S167" s="98"/>
      <c r="T167" s="98"/>
      <c r="U167" s="98"/>
      <c r="V167" s="98"/>
      <c r="W167" s="414"/>
      <c r="X167" s="20" t="s">
        <v>112</v>
      </c>
      <c r="Y167" s="98"/>
      <c r="Z167" s="414"/>
      <c r="AA167" s="20" t="s">
        <v>112</v>
      </c>
      <c r="AB167" s="98"/>
      <c r="AC167" s="26"/>
      <c r="AD167" s="52" t="s">
        <v>682</v>
      </c>
      <c r="AE167" s="26">
        <f t="shared" si="44"/>
        <v>0</v>
      </c>
      <c r="AF167" s="26">
        <f t="shared" si="44"/>
        <v>0</v>
      </c>
      <c r="AG167" s="26"/>
      <c r="AH167" s="26"/>
      <c r="AI167" s="26"/>
      <c r="AJ167" s="26"/>
      <c r="AK167" s="26"/>
      <c r="AL167" s="26"/>
      <c r="AM167" s="26"/>
      <c r="AN167" s="26"/>
      <c r="AO167" s="26">
        <f t="shared" si="45"/>
        <v>34.200000000000003</v>
      </c>
      <c r="AP167" s="26"/>
      <c r="AQ167" s="26"/>
      <c r="AR167" s="26"/>
      <c r="AS167" s="26">
        <v>34.200000000000003</v>
      </c>
      <c r="AT167" s="26">
        <f t="shared" si="47"/>
        <v>0</v>
      </c>
      <c r="AU167" s="26"/>
      <c r="AV167" s="26"/>
      <c r="AW167" s="26"/>
      <c r="AX167" s="26"/>
      <c r="AY167" s="26">
        <f t="shared" si="48"/>
        <v>0</v>
      </c>
      <c r="AZ167" s="26"/>
      <c r="BA167" s="26"/>
      <c r="BB167" s="26"/>
      <c r="BC167" s="26"/>
      <c r="BD167" s="26">
        <f t="shared" si="49"/>
        <v>0</v>
      </c>
      <c r="BE167" s="26"/>
      <c r="BF167" s="26"/>
      <c r="BG167" s="26"/>
      <c r="BH167" s="26"/>
    </row>
    <row r="168" spans="1:60" ht="35.65" customHeight="1" thickBot="1">
      <c r="A168" s="27"/>
      <c r="B168" s="35"/>
      <c r="C168" s="103"/>
      <c r="D168" s="20"/>
      <c r="E168" s="20"/>
      <c r="F168" s="98"/>
      <c r="G168" s="98"/>
      <c r="H168" s="98"/>
      <c r="I168" s="98"/>
      <c r="J168" s="98"/>
      <c r="K168" s="20"/>
      <c r="L168" s="20"/>
      <c r="M168" s="98"/>
      <c r="N168" s="98"/>
      <c r="O168" s="98"/>
      <c r="P168" s="98"/>
      <c r="Q168" s="98"/>
      <c r="R168" s="98"/>
      <c r="S168" s="98"/>
      <c r="T168" s="98"/>
      <c r="U168" s="98"/>
      <c r="V168" s="98"/>
      <c r="W168" s="104"/>
      <c r="X168" s="20"/>
      <c r="Y168" s="98"/>
      <c r="Z168" s="104"/>
      <c r="AA168" s="20"/>
      <c r="AB168" s="98"/>
      <c r="AC168" s="26"/>
      <c r="AD168" s="52" t="s">
        <v>683</v>
      </c>
      <c r="AE168" s="26"/>
      <c r="AF168" s="26"/>
      <c r="AG168" s="26"/>
      <c r="AH168" s="26"/>
      <c r="AI168" s="26"/>
      <c r="AJ168" s="26"/>
      <c r="AK168" s="26"/>
      <c r="AL168" s="26"/>
      <c r="AM168" s="26"/>
      <c r="AN168" s="26"/>
      <c r="AO168" s="26">
        <f t="shared" si="45"/>
        <v>7.5</v>
      </c>
      <c r="AP168" s="26"/>
      <c r="AQ168" s="26"/>
      <c r="AR168" s="26"/>
      <c r="AS168" s="26">
        <f>77.2-69.7</f>
        <v>7.5</v>
      </c>
      <c r="AT168" s="26">
        <f t="shared" si="47"/>
        <v>77.2</v>
      </c>
      <c r="AU168" s="26"/>
      <c r="AV168" s="26"/>
      <c r="AW168" s="26"/>
      <c r="AX168" s="26">
        <v>77.2</v>
      </c>
      <c r="AY168" s="26">
        <f t="shared" si="48"/>
        <v>77.2</v>
      </c>
      <c r="AZ168" s="26"/>
      <c r="BA168" s="26"/>
      <c r="BB168" s="26"/>
      <c r="BC168" s="26">
        <v>77.2</v>
      </c>
      <c r="BD168" s="26">
        <f t="shared" si="49"/>
        <v>77.2</v>
      </c>
      <c r="BE168" s="26"/>
      <c r="BF168" s="26"/>
      <c r="BG168" s="26"/>
      <c r="BH168" s="26">
        <v>77.2</v>
      </c>
    </row>
    <row r="169" spans="1:60" ht="35.65" customHeight="1" thickBot="1">
      <c r="A169" s="27" t="s">
        <v>104</v>
      </c>
      <c r="B169" s="35"/>
      <c r="C169" s="352" t="s">
        <v>105</v>
      </c>
      <c r="D169" s="20" t="s">
        <v>106</v>
      </c>
      <c r="E169" s="20" t="s">
        <v>107</v>
      </c>
      <c r="F169" s="98"/>
      <c r="G169" s="98"/>
      <c r="H169" s="98"/>
      <c r="I169" s="98"/>
      <c r="J169" s="98" t="s">
        <v>124</v>
      </c>
      <c r="K169" s="20" t="s">
        <v>109</v>
      </c>
      <c r="L169" s="20" t="s">
        <v>125</v>
      </c>
      <c r="M169" s="98"/>
      <c r="N169" s="98"/>
      <c r="O169" s="98"/>
      <c r="P169" s="98"/>
      <c r="Q169" s="98"/>
      <c r="R169" s="98"/>
      <c r="S169" s="98"/>
      <c r="T169" s="98"/>
      <c r="U169" s="98"/>
      <c r="V169" s="98"/>
      <c r="W169" s="412" t="s">
        <v>126</v>
      </c>
      <c r="X169" s="20" t="s">
        <v>112</v>
      </c>
      <c r="Y169" s="98"/>
      <c r="Z169" s="412" t="s">
        <v>115</v>
      </c>
      <c r="AA169" s="20" t="s">
        <v>112</v>
      </c>
      <c r="AB169" s="98"/>
      <c r="AC169" s="26"/>
      <c r="AD169" s="52" t="s">
        <v>684</v>
      </c>
      <c r="AE169" s="26">
        <f t="shared" si="44"/>
        <v>22561.5</v>
      </c>
      <c r="AF169" s="26">
        <f t="shared" si="44"/>
        <v>21943.3</v>
      </c>
      <c r="AG169" s="26"/>
      <c r="AH169" s="26"/>
      <c r="AI169" s="26"/>
      <c r="AJ169" s="26"/>
      <c r="AK169" s="26"/>
      <c r="AL169" s="26"/>
      <c r="AM169" s="26">
        <f>17586.3-50-366+846.4+1497.3+2000+1047.5</f>
        <v>22561.5</v>
      </c>
      <c r="AN169" s="26">
        <v>21943.3</v>
      </c>
      <c r="AO169" s="26">
        <f t="shared" si="45"/>
        <v>17632.5</v>
      </c>
      <c r="AP169" s="26"/>
      <c r="AQ169" s="26"/>
      <c r="AR169" s="26"/>
      <c r="AS169" s="26">
        <f>17843.9-115-96.4</f>
        <v>17632.5</v>
      </c>
      <c r="AT169" s="26">
        <f t="shared" si="47"/>
        <v>17843.900000000001</v>
      </c>
      <c r="AU169" s="26"/>
      <c r="AV169" s="26"/>
      <c r="AW169" s="26"/>
      <c r="AX169" s="26">
        <v>17843.900000000001</v>
      </c>
      <c r="AY169" s="26">
        <f t="shared" si="48"/>
        <v>17843.900000000001</v>
      </c>
      <c r="AZ169" s="26"/>
      <c r="BA169" s="26"/>
      <c r="BB169" s="26"/>
      <c r="BC169" s="26">
        <v>17843.900000000001</v>
      </c>
      <c r="BD169" s="26">
        <f t="shared" si="49"/>
        <v>17843.900000000001</v>
      </c>
      <c r="BE169" s="26"/>
      <c r="BF169" s="26"/>
      <c r="BG169" s="26"/>
      <c r="BH169" s="26">
        <v>17843.900000000001</v>
      </c>
    </row>
    <row r="170" spans="1:60" ht="35.65" customHeight="1" thickBot="1">
      <c r="A170" s="27" t="s">
        <v>104</v>
      </c>
      <c r="B170" s="35"/>
      <c r="C170" s="395"/>
      <c r="D170" s="20" t="s">
        <v>106</v>
      </c>
      <c r="E170" s="20" t="s">
        <v>107</v>
      </c>
      <c r="F170" s="98"/>
      <c r="G170" s="98"/>
      <c r="H170" s="98"/>
      <c r="I170" s="98"/>
      <c r="J170" s="98" t="s">
        <v>124</v>
      </c>
      <c r="K170" s="20" t="s">
        <v>109</v>
      </c>
      <c r="L170" s="20" t="s">
        <v>125</v>
      </c>
      <c r="M170" s="98"/>
      <c r="N170" s="98"/>
      <c r="O170" s="98"/>
      <c r="P170" s="98"/>
      <c r="Q170" s="98"/>
      <c r="R170" s="98"/>
      <c r="S170" s="98"/>
      <c r="T170" s="98"/>
      <c r="U170" s="98"/>
      <c r="V170" s="98"/>
      <c r="W170" s="415"/>
      <c r="X170" s="20" t="s">
        <v>112</v>
      </c>
      <c r="Y170" s="98"/>
      <c r="Z170" s="413"/>
      <c r="AA170" s="20" t="s">
        <v>112</v>
      </c>
      <c r="AB170" s="98"/>
      <c r="AC170" s="26"/>
      <c r="AD170" s="52" t="s">
        <v>685</v>
      </c>
      <c r="AE170" s="26">
        <f t="shared" si="44"/>
        <v>3291.9</v>
      </c>
      <c r="AF170" s="26">
        <f t="shared" si="44"/>
        <v>3291.9</v>
      </c>
      <c r="AG170" s="26"/>
      <c r="AH170" s="26"/>
      <c r="AI170" s="26"/>
      <c r="AJ170" s="26"/>
      <c r="AK170" s="26"/>
      <c r="AL170" s="26"/>
      <c r="AM170" s="26">
        <v>3291.9</v>
      </c>
      <c r="AN170" s="26">
        <v>3291.9</v>
      </c>
      <c r="AO170" s="26">
        <f t="shared" si="45"/>
        <v>3163.1</v>
      </c>
      <c r="AP170" s="26"/>
      <c r="AQ170" s="26"/>
      <c r="AR170" s="26"/>
      <c r="AS170" s="26">
        <v>3163.1</v>
      </c>
      <c r="AT170" s="26">
        <f t="shared" si="47"/>
        <v>3163.1</v>
      </c>
      <c r="AU170" s="26"/>
      <c r="AV170" s="26"/>
      <c r="AW170" s="26"/>
      <c r="AX170" s="26">
        <v>3163.1</v>
      </c>
      <c r="AY170" s="26">
        <f t="shared" si="48"/>
        <v>3163.1</v>
      </c>
      <c r="AZ170" s="26"/>
      <c r="BA170" s="26"/>
      <c r="BB170" s="26"/>
      <c r="BC170" s="26">
        <v>3163.1</v>
      </c>
      <c r="BD170" s="26">
        <f t="shared" si="49"/>
        <v>3163.1</v>
      </c>
      <c r="BE170" s="26"/>
      <c r="BF170" s="26"/>
      <c r="BG170" s="26"/>
      <c r="BH170" s="26">
        <v>3163.1</v>
      </c>
    </row>
    <row r="171" spans="1:60" ht="35.65" customHeight="1" thickBot="1">
      <c r="A171" s="27" t="s">
        <v>104</v>
      </c>
      <c r="B171" s="35"/>
      <c r="C171" s="395"/>
      <c r="D171" s="20" t="s">
        <v>106</v>
      </c>
      <c r="E171" s="20" t="s">
        <v>107</v>
      </c>
      <c r="F171" s="98"/>
      <c r="G171" s="98"/>
      <c r="H171" s="98"/>
      <c r="I171" s="98"/>
      <c r="J171" s="98" t="s">
        <v>124</v>
      </c>
      <c r="K171" s="20" t="s">
        <v>109</v>
      </c>
      <c r="L171" s="20" t="s">
        <v>125</v>
      </c>
      <c r="M171" s="98"/>
      <c r="N171" s="98"/>
      <c r="O171" s="98"/>
      <c r="P171" s="98"/>
      <c r="Q171" s="98"/>
      <c r="R171" s="98"/>
      <c r="S171" s="98"/>
      <c r="T171" s="98"/>
      <c r="U171" s="98"/>
      <c r="V171" s="98"/>
      <c r="W171" s="415"/>
      <c r="X171" s="20" t="s">
        <v>112</v>
      </c>
      <c r="Y171" s="98"/>
      <c r="Z171" s="413"/>
      <c r="AA171" s="20" t="s">
        <v>112</v>
      </c>
      <c r="AB171" s="98"/>
      <c r="AC171" s="26"/>
      <c r="AD171" s="52" t="s">
        <v>686</v>
      </c>
      <c r="AE171" s="26">
        <f t="shared" si="44"/>
        <v>16236.600000000002</v>
      </c>
      <c r="AF171" s="26">
        <f t="shared" si="44"/>
        <v>15522.3</v>
      </c>
      <c r="AG171" s="26"/>
      <c r="AH171" s="26"/>
      <c r="AI171" s="26"/>
      <c r="AJ171" s="26"/>
      <c r="AK171" s="26"/>
      <c r="AL171" s="26"/>
      <c r="AM171" s="26">
        <f>16691.4+183.2-638</f>
        <v>16236.600000000002</v>
      </c>
      <c r="AN171" s="26">
        <v>15522.3</v>
      </c>
      <c r="AO171" s="26">
        <f t="shared" si="45"/>
        <v>17026</v>
      </c>
      <c r="AP171" s="26"/>
      <c r="AQ171" s="26"/>
      <c r="AR171" s="26"/>
      <c r="AS171" s="26">
        <f>14973+100+1763+190</f>
        <v>17026</v>
      </c>
      <c r="AT171" s="26">
        <f t="shared" si="47"/>
        <v>14973</v>
      </c>
      <c r="AU171" s="26"/>
      <c r="AV171" s="26"/>
      <c r="AW171" s="26"/>
      <c r="AX171" s="26">
        <v>14973</v>
      </c>
      <c r="AY171" s="26">
        <f t="shared" si="48"/>
        <v>14973</v>
      </c>
      <c r="AZ171" s="26"/>
      <c r="BA171" s="26"/>
      <c r="BB171" s="26"/>
      <c r="BC171" s="26">
        <v>14973</v>
      </c>
      <c r="BD171" s="26">
        <f t="shared" si="49"/>
        <v>14973</v>
      </c>
      <c r="BE171" s="26"/>
      <c r="BF171" s="26"/>
      <c r="BG171" s="26"/>
      <c r="BH171" s="26">
        <v>14973</v>
      </c>
    </row>
    <row r="172" spans="1:60" ht="35.65" customHeight="1" thickBot="1">
      <c r="A172" s="27" t="s">
        <v>104</v>
      </c>
      <c r="B172" s="35"/>
      <c r="C172" s="395"/>
      <c r="D172" s="20"/>
      <c r="E172" s="20"/>
      <c r="F172" s="98"/>
      <c r="G172" s="98"/>
      <c r="H172" s="98"/>
      <c r="I172" s="98"/>
      <c r="J172" s="98"/>
      <c r="K172" s="20"/>
      <c r="L172" s="20"/>
      <c r="M172" s="98"/>
      <c r="N172" s="98"/>
      <c r="O172" s="98"/>
      <c r="P172" s="98"/>
      <c r="Q172" s="98"/>
      <c r="R172" s="98"/>
      <c r="S172" s="98"/>
      <c r="T172" s="98"/>
      <c r="U172" s="98"/>
      <c r="V172" s="98"/>
      <c r="W172" s="415"/>
      <c r="X172" s="20"/>
      <c r="Y172" s="98"/>
      <c r="Z172" s="413"/>
      <c r="AA172" s="20"/>
      <c r="AB172" s="98"/>
      <c r="AC172" s="26"/>
      <c r="AD172" s="52" t="s">
        <v>687</v>
      </c>
      <c r="AE172" s="26"/>
      <c r="AF172" s="26"/>
      <c r="AG172" s="26"/>
      <c r="AH172" s="26"/>
      <c r="AI172" s="26"/>
      <c r="AJ172" s="26"/>
      <c r="AK172" s="26"/>
      <c r="AL172" s="26"/>
      <c r="AM172" s="26"/>
      <c r="AN172" s="26"/>
      <c r="AO172" s="26">
        <f t="shared" si="45"/>
        <v>637.9</v>
      </c>
      <c r="AP172" s="26"/>
      <c r="AQ172" s="26"/>
      <c r="AR172" s="26"/>
      <c r="AS172" s="26">
        <f>827.9-190</f>
        <v>637.9</v>
      </c>
      <c r="AT172" s="26">
        <f t="shared" si="47"/>
        <v>827.9</v>
      </c>
      <c r="AU172" s="26"/>
      <c r="AV172" s="26"/>
      <c r="AW172" s="26"/>
      <c r="AX172" s="26">
        <v>827.9</v>
      </c>
      <c r="AY172" s="26">
        <f t="shared" si="48"/>
        <v>827.9</v>
      </c>
      <c r="AZ172" s="26"/>
      <c r="BA172" s="26"/>
      <c r="BB172" s="26"/>
      <c r="BC172" s="26">
        <v>827.9</v>
      </c>
      <c r="BD172" s="26">
        <f t="shared" si="49"/>
        <v>827.9</v>
      </c>
      <c r="BE172" s="26"/>
      <c r="BF172" s="26"/>
      <c r="BG172" s="26"/>
      <c r="BH172" s="26">
        <v>827.9</v>
      </c>
    </row>
    <row r="173" spans="1:60" ht="35.65" customHeight="1" thickBot="1">
      <c r="A173" s="27" t="s">
        <v>104</v>
      </c>
      <c r="B173" s="35"/>
      <c r="C173" s="395"/>
      <c r="D173" s="20" t="s">
        <v>106</v>
      </c>
      <c r="E173" s="20" t="s">
        <v>107</v>
      </c>
      <c r="F173" s="98"/>
      <c r="G173" s="98"/>
      <c r="H173" s="98"/>
      <c r="I173" s="98"/>
      <c r="J173" s="98" t="s">
        <v>124</v>
      </c>
      <c r="K173" s="20" t="s">
        <v>109</v>
      </c>
      <c r="L173" s="20" t="s">
        <v>125</v>
      </c>
      <c r="M173" s="98"/>
      <c r="N173" s="98"/>
      <c r="O173" s="98"/>
      <c r="P173" s="98"/>
      <c r="Q173" s="98"/>
      <c r="R173" s="98"/>
      <c r="S173" s="98"/>
      <c r="T173" s="98"/>
      <c r="U173" s="98"/>
      <c r="V173" s="98"/>
      <c r="W173" s="415"/>
      <c r="X173" s="20" t="s">
        <v>112</v>
      </c>
      <c r="Y173" s="98"/>
      <c r="Z173" s="413"/>
      <c r="AA173" s="20" t="s">
        <v>112</v>
      </c>
      <c r="AB173" s="98"/>
      <c r="AC173" s="26"/>
      <c r="AD173" s="52" t="s">
        <v>688</v>
      </c>
      <c r="AE173" s="26">
        <f t="shared" si="44"/>
        <v>2056.1</v>
      </c>
      <c r="AF173" s="26">
        <f t="shared" si="44"/>
        <v>1922.1</v>
      </c>
      <c r="AG173" s="26"/>
      <c r="AH173" s="26"/>
      <c r="AI173" s="26"/>
      <c r="AJ173" s="26"/>
      <c r="AK173" s="26"/>
      <c r="AL173" s="26"/>
      <c r="AM173" s="26">
        <f>1939.3+116.9-0.1</f>
        <v>2056.1</v>
      </c>
      <c r="AN173" s="26">
        <v>1922.1</v>
      </c>
      <c r="AO173" s="26">
        <f t="shared" si="45"/>
        <v>1923.9</v>
      </c>
      <c r="AP173" s="26"/>
      <c r="AQ173" s="26"/>
      <c r="AR173" s="26"/>
      <c r="AS173" s="26">
        <f>1786.4+137.5</f>
        <v>1923.9</v>
      </c>
      <c r="AT173" s="26">
        <f t="shared" si="47"/>
        <v>1786.4</v>
      </c>
      <c r="AU173" s="26"/>
      <c r="AV173" s="26"/>
      <c r="AW173" s="26"/>
      <c r="AX173" s="26">
        <v>1786.4</v>
      </c>
      <c r="AY173" s="26">
        <f t="shared" si="48"/>
        <v>1786.4</v>
      </c>
      <c r="AZ173" s="26"/>
      <c r="BA173" s="26"/>
      <c r="BB173" s="26"/>
      <c r="BC173" s="26">
        <v>1786.4</v>
      </c>
      <c r="BD173" s="26">
        <f t="shared" si="49"/>
        <v>1786.4</v>
      </c>
      <c r="BE173" s="26"/>
      <c r="BF173" s="26"/>
      <c r="BG173" s="26"/>
      <c r="BH173" s="26">
        <v>1786.4</v>
      </c>
    </row>
    <row r="174" spans="1:60" ht="35.65" customHeight="1" thickBot="1">
      <c r="A174" s="27" t="s">
        <v>104</v>
      </c>
      <c r="B174" s="35"/>
      <c r="C174" s="395"/>
      <c r="D174" s="20" t="s">
        <v>106</v>
      </c>
      <c r="E174" s="20" t="s">
        <v>107</v>
      </c>
      <c r="F174" s="98"/>
      <c r="G174" s="98"/>
      <c r="H174" s="98"/>
      <c r="I174" s="98"/>
      <c r="J174" s="98" t="s">
        <v>124</v>
      </c>
      <c r="K174" s="20" t="s">
        <v>109</v>
      </c>
      <c r="L174" s="20" t="s">
        <v>125</v>
      </c>
      <c r="M174" s="98"/>
      <c r="N174" s="98"/>
      <c r="O174" s="98"/>
      <c r="P174" s="98"/>
      <c r="Q174" s="98"/>
      <c r="R174" s="98"/>
      <c r="S174" s="98"/>
      <c r="T174" s="98"/>
      <c r="U174" s="98"/>
      <c r="V174" s="98"/>
      <c r="W174" s="415"/>
      <c r="X174" s="20" t="s">
        <v>112</v>
      </c>
      <c r="Y174" s="98"/>
      <c r="Z174" s="413"/>
      <c r="AA174" s="20" t="s">
        <v>112</v>
      </c>
      <c r="AB174" s="98"/>
      <c r="AC174" s="26"/>
      <c r="AD174" s="52" t="s">
        <v>689</v>
      </c>
      <c r="AE174" s="26">
        <f>AG174+AI174+AK174+AM174</f>
        <v>55125.9</v>
      </c>
      <c r="AF174" s="26">
        <f t="shared" si="44"/>
        <v>54723.4</v>
      </c>
      <c r="AG174" s="26"/>
      <c r="AH174" s="26"/>
      <c r="AI174" s="26">
        <v>3898.9</v>
      </c>
      <c r="AJ174" s="26">
        <v>3898.9</v>
      </c>
      <c r="AK174" s="26"/>
      <c r="AL174" s="26"/>
      <c r="AM174" s="26">
        <f>51311.6+3026.6+546.9-944.7+68.5+26.5+1282.7-88.6-103.6-3898.9</f>
        <v>51227</v>
      </c>
      <c r="AN174" s="26">
        <f>54723.4-3898.9</f>
        <v>50824.5</v>
      </c>
      <c r="AO174" s="26">
        <f t="shared" si="45"/>
        <v>59298.999999999993</v>
      </c>
      <c r="AP174" s="26"/>
      <c r="AQ174" s="26">
        <v>2369.1</v>
      </c>
      <c r="AR174" s="26"/>
      <c r="AS174" s="26">
        <f>52563.2+2369.2-2369.1+269.1+3156.9+940.6</f>
        <v>56929.899999999994</v>
      </c>
      <c r="AT174" s="26">
        <f t="shared" si="47"/>
        <v>52563.199999999997</v>
      </c>
      <c r="AU174" s="26"/>
      <c r="AV174" s="26"/>
      <c r="AW174" s="26"/>
      <c r="AX174" s="26">
        <v>52563.199999999997</v>
      </c>
      <c r="AY174" s="26">
        <f t="shared" si="48"/>
        <v>52563.199999999997</v>
      </c>
      <c r="AZ174" s="26"/>
      <c r="BA174" s="26"/>
      <c r="BB174" s="26"/>
      <c r="BC174" s="26">
        <v>52563.199999999997</v>
      </c>
      <c r="BD174" s="26">
        <f t="shared" si="49"/>
        <v>52563.199999999997</v>
      </c>
      <c r="BE174" s="26"/>
      <c r="BF174" s="26"/>
      <c r="BG174" s="26"/>
      <c r="BH174" s="26">
        <v>52563.199999999997</v>
      </c>
    </row>
    <row r="175" spans="1:60" ht="35.65" customHeight="1" thickBot="1">
      <c r="A175" s="27" t="s">
        <v>104</v>
      </c>
      <c r="B175" s="35"/>
      <c r="C175" s="353"/>
      <c r="D175" s="20" t="s">
        <v>106</v>
      </c>
      <c r="E175" s="20" t="s">
        <v>107</v>
      </c>
      <c r="F175" s="98"/>
      <c r="G175" s="98"/>
      <c r="H175" s="98"/>
      <c r="I175" s="98"/>
      <c r="J175" s="98" t="s">
        <v>124</v>
      </c>
      <c r="K175" s="20" t="s">
        <v>109</v>
      </c>
      <c r="L175" s="20" t="s">
        <v>125</v>
      </c>
      <c r="M175" s="98"/>
      <c r="N175" s="98"/>
      <c r="O175" s="98"/>
      <c r="P175" s="98"/>
      <c r="Q175" s="98"/>
      <c r="R175" s="98"/>
      <c r="S175" s="98"/>
      <c r="T175" s="98"/>
      <c r="U175" s="98"/>
      <c r="V175" s="98"/>
      <c r="W175" s="416"/>
      <c r="X175" s="20" t="s">
        <v>112</v>
      </c>
      <c r="Y175" s="98"/>
      <c r="Z175" s="414"/>
      <c r="AA175" s="20" t="s">
        <v>112</v>
      </c>
      <c r="AB175" s="98"/>
      <c r="AC175" s="26"/>
      <c r="AD175" s="52" t="s">
        <v>690</v>
      </c>
      <c r="AE175" s="26">
        <f t="shared" si="44"/>
        <v>8908.9000000000015</v>
      </c>
      <c r="AF175" s="26">
        <f>AH175+AJ175+AL175+AN175</f>
        <v>8882.9</v>
      </c>
      <c r="AG175" s="26"/>
      <c r="AH175" s="26"/>
      <c r="AI175" s="26">
        <v>26.4</v>
      </c>
      <c r="AJ175" s="26">
        <v>26.4</v>
      </c>
      <c r="AK175" s="26"/>
      <c r="AL175" s="26"/>
      <c r="AM175" s="26">
        <f>8202.2+514.4+26.4-26.4+88.7+103.6-26.4</f>
        <v>8882.5000000000018</v>
      </c>
      <c r="AN175" s="26">
        <f>8882.9-26.4</f>
        <v>8856.5</v>
      </c>
      <c r="AO175" s="26">
        <f t="shared" si="45"/>
        <v>10694.400000000001</v>
      </c>
      <c r="AP175" s="26"/>
      <c r="AQ175" s="26">
        <f>435.2</f>
        <v>435.2</v>
      </c>
      <c r="AR175" s="26"/>
      <c r="AS175" s="26">
        <f>9249.7+435.2-435.2+59.8+470+479.7</f>
        <v>10259.200000000001</v>
      </c>
      <c r="AT175" s="26">
        <f t="shared" si="47"/>
        <v>9249.7000000000007</v>
      </c>
      <c r="AU175" s="26"/>
      <c r="AV175" s="26"/>
      <c r="AW175" s="26"/>
      <c r="AX175" s="26">
        <v>9249.7000000000007</v>
      </c>
      <c r="AY175" s="26">
        <f t="shared" si="48"/>
        <v>9249.7000000000007</v>
      </c>
      <c r="AZ175" s="26"/>
      <c r="BA175" s="26"/>
      <c r="BB175" s="26"/>
      <c r="BC175" s="26">
        <v>9249.7000000000007</v>
      </c>
      <c r="BD175" s="26">
        <f t="shared" si="49"/>
        <v>9249.7000000000007</v>
      </c>
      <c r="BE175" s="26"/>
      <c r="BF175" s="26"/>
      <c r="BG175" s="26"/>
      <c r="BH175" s="26">
        <v>9249.7000000000007</v>
      </c>
    </row>
    <row r="176" spans="1:60" ht="35.65" customHeight="1" thickBot="1">
      <c r="A176" s="27" t="s">
        <v>104</v>
      </c>
      <c r="B176" s="35"/>
      <c r="C176" s="18"/>
      <c r="D176" s="20"/>
      <c r="E176" s="20"/>
      <c r="F176" s="98"/>
      <c r="G176" s="98"/>
      <c r="H176" s="98"/>
      <c r="I176" s="98"/>
      <c r="J176" s="98"/>
      <c r="K176" s="20"/>
      <c r="L176" s="20"/>
      <c r="M176" s="98"/>
      <c r="N176" s="98"/>
      <c r="O176" s="98"/>
      <c r="P176" s="98"/>
      <c r="Q176" s="98"/>
      <c r="R176" s="98"/>
      <c r="S176" s="98"/>
      <c r="T176" s="98"/>
      <c r="U176" s="98"/>
      <c r="V176" s="98"/>
      <c r="W176" s="105"/>
      <c r="X176" s="20"/>
      <c r="Y176" s="98"/>
      <c r="Z176" s="100"/>
      <c r="AA176" s="20"/>
      <c r="AB176" s="98"/>
      <c r="AC176" s="26"/>
      <c r="AD176" s="52" t="s">
        <v>691</v>
      </c>
      <c r="AE176" s="26">
        <f t="shared" si="44"/>
        <v>0</v>
      </c>
      <c r="AF176" s="26">
        <f t="shared" si="44"/>
        <v>0</v>
      </c>
      <c r="AG176" s="26"/>
      <c r="AH176" s="26"/>
      <c r="AI176" s="26"/>
      <c r="AJ176" s="26"/>
      <c r="AK176" s="26"/>
      <c r="AL176" s="26"/>
      <c r="AM176" s="26">
        <f>2519.1-350-40-2129.1</f>
        <v>0</v>
      </c>
      <c r="AN176" s="26"/>
      <c r="AO176" s="26">
        <f t="shared" si="45"/>
        <v>0</v>
      </c>
      <c r="AP176" s="26"/>
      <c r="AQ176" s="26"/>
      <c r="AR176" s="26"/>
      <c r="AS176" s="26">
        <f>3535-328.9-1785.8-1420.3</f>
        <v>0</v>
      </c>
      <c r="AT176" s="26">
        <f t="shared" si="47"/>
        <v>3535</v>
      </c>
      <c r="AU176" s="26"/>
      <c r="AV176" s="26"/>
      <c r="AW176" s="26"/>
      <c r="AX176" s="26">
        <v>3535</v>
      </c>
      <c r="AY176" s="26">
        <f t="shared" si="48"/>
        <v>3535</v>
      </c>
      <c r="AZ176" s="26"/>
      <c r="BA176" s="26"/>
      <c r="BB176" s="26"/>
      <c r="BC176" s="26">
        <v>3535</v>
      </c>
      <c r="BD176" s="26">
        <f t="shared" si="49"/>
        <v>3535</v>
      </c>
      <c r="BE176" s="26"/>
      <c r="BF176" s="26"/>
      <c r="BG176" s="26"/>
      <c r="BH176" s="26">
        <v>3535</v>
      </c>
    </row>
    <row r="177" spans="1:60" ht="35.65" customHeight="1" thickBot="1">
      <c r="A177" s="27" t="s">
        <v>104</v>
      </c>
      <c r="B177" s="35"/>
      <c r="C177" s="20"/>
      <c r="D177" s="20"/>
      <c r="E177" s="20"/>
      <c r="F177" s="98"/>
      <c r="G177" s="98"/>
      <c r="H177" s="98"/>
      <c r="I177" s="98"/>
      <c r="J177" s="20" t="s">
        <v>108</v>
      </c>
      <c r="K177" s="20" t="s">
        <v>109</v>
      </c>
      <c r="L177" s="43" t="s">
        <v>110</v>
      </c>
      <c r="M177" s="98" t="s">
        <v>111</v>
      </c>
      <c r="N177" s="20" t="s">
        <v>112</v>
      </c>
      <c r="O177" s="98"/>
      <c r="P177" s="98" t="s">
        <v>113</v>
      </c>
      <c r="Q177" s="20" t="s">
        <v>112</v>
      </c>
      <c r="R177" s="98"/>
      <c r="S177" s="98"/>
      <c r="T177" s="99" t="s">
        <v>114</v>
      </c>
      <c r="U177" s="20" t="s">
        <v>112</v>
      </c>
      <c r="V177" s="98"/>
      <c r="W177" s="99" t="s">
        <v>114</v>
      </c>
      <c r="X177" s="20" t="s">
        <v>112</v>
      </c>
      <c r="Y177" s="98"/>
      <c r="Z177" s="98" t="s">
        <v>115</v>
      </c>
      <c r="AA177" s="20" t="s">
        <v>112</v>
      </c>
      <c r="AB177" s="98"/>
      <c r="AC177" s="26"/>
      <c r="AD177" s="52" t="s">
        <v>692</v>
      </c>
      <c r="AE177" s="26">
        <f t="shared" si="44"/>
        <v>0</v>
      </c>
      <c r="AF177" s="26">
        <f t="shared" si="44"/>
        <v>0</v>
      </c>
      <c r="AG177" s="26"/>
      <c r="AH177" s="26"/>
      <c r="AI177" s="26"/>
      <c r="AJ177" s="26"/>
      <c r="AK177" s="26"/>
      <c r="AL177" s="26"/>
      <c r="AM177" s="26"/>
      <c r="AN177" s="26"/>
      <c r="AO177" s="26">
        <f t="shared" si="45"/>
        <v>0</v>
      </c>
      <c r="AP177" s="26"/>
      <c r="AQ177" s="26"/>
      <c r="AR177" s="26"/>
      <c r="AS177" s="26"/>
      <c r="AT177" s="26">
        <f t="shared" si="47"/>
        <v>0</v>
      </c>
      <c r="AU177" s="26"/>
      <c r="AV177" s="26"/>
      <c r="AW177" s="26"/>
      <c r="AX177" s="26"/>
      <c r="AY177" s="34"/>
      <c r="AZ177" s="26"/>
      <c r="BA177" s="26"/>
      <c r="BB177" s="26"/>
      <c r="BC177" s="26"/>
      <c r="BD177" s="34"/>
      <c r="BE177" s="26"/>
      <c r="BF177" s="26"/>
      <c r="BG177" s="26"/>
      <c r="BH177" s="26"/>
    </row>
    <row r="178" spans="1:60" ht="35.65" customHeight="1" thickBot="1">
      <c r="A178" s="27" t="s">
        <v>104</v>
      </c>
      <c r="B178" s="35"/>
      <c r="C178" s="20"/>
      <c r="D178" s="20"/>
      <c r="E178" s="20"/>
      <c r="F178" s="98"/>
      <c r="G178" s="98"/>
      <c r="H178" s="98"/>
      <c r="I178" s="98"/>
      <c r="J178" s="20"/>
      <c r="K178" s="20"/>
      <c r="L178" s="43"/>
      <c r="M178" s="98"/>
      <c r="N178" s="20"/>
      <c r="O178" s="98"/>
      <c r="P178" s="98"/>
      <c r="Q178" s="20"/>
      <c r="R178" s="98"/>
      <c r="S178" s="98"/>
      <c r="T178" s="99"/>
      <c r="U178" s="20"/>
      <c r="V178" s="98"/>
      <c r="W178" s="99"/>
      <c r="X178" s="20"/>
      <c r="Y178" s="98"/>
      <c r="Z178" s="98"/>
      <c r="AA178" s="20"/>
      <c r="AB178" s="98"/>
      <c r="AC178" s="26"/>
      <c r="AD178" s="52" t="s">
        <v>693</v>
      </c>
      <c r="AE178" s="26">
        <f t="shared" si="44"/>
        <v>606.70000000000005</v>
      </c>
      <c r="AF178" s="26">
        <f t="shared" si="44"/>
        <v>606.70000000000005</v>
      </c>
      <c r="AG178" s="26"/>
      <c r="AH178" s="26"/>
      <c r="AI178" s="26"/>
      <c r="AJ178" s="26"/>
      <c r="AK178" s="26"/>
      <c r="AL178" s="26"/>
      <c r="AM178" s="26">
        <f>714.1-107.4</f>
        <v>606.70000000000005</v>
      </c>
      <c r="AN178" s="26">
        <v>606.70000000000005</v>
      </c>
      <c r="AO178" s="26">
        <f t="shared" si="45"/>
        <v>0</v>
      </c>
      <c r="AP178" s="26"/>
      <c r="AQ178" s="26"/>
      <c r="AR178" s="26"/>
      <c r="AS178" s="26"/>
      <c r="AT178" s="26"/>
      <c r="AU178" s="26"/>
      <c r="AV178" s="26"/>
      <c r="AW178" s="26"/>
      <c r="AX178" s="26"/>
      <c r="AY178" s="34"/>
      <c r="AZ178" s="26"/>
      <c r="BA178" s="26"/>
      <c r="BB178" s="26"/>
      <c r="BC178" s="26"/>
      <c r="BD178" s="34"/>
      <c r="BE178" s="26"/>
      <c r="BF178" s="26"/>
      <c r="BG178" s="26"/>
      <c r="BH178" s="26"/>
    </row>
    <row r="179" spans="1:60" ht="35.65" customHeight="1" thickBot="1">
      <c r="A179" s="27" t="s">
        <v>104</v>
      </c>
      <c r="B179" s="35"/>
      <c r="C179" s="20" t="s">
        <v>127</v>
      </c>
      <c r="D179" s="20"/>
      <c r="E179" s="20"/>
      <c r="F179" s="98"/>
      <c r="G179" s="98"/>
      <c r="H179" s="98"/>
      <c r="I179" s="98"/>
      <c r="J179" s="20" t="s">
        <v>128</v>
      </c>
      <c r="K179" s="20"/>
      <c r="L179" s="43"/>
      <c r="M179" s="98"/>
      <c r="N179" s="20"/>
      <c r="O179" s="98"/>
      <c r="P179" s="98"/>
      <c r="Q179" s="20"/>
      <c r="R179" s="98"/>
      <c r="S179" s="98"/>
      <c r="T179" s="99"/>
      <c r="U179" s="20"/>
      <c r="V179" s="98"/>
      <c r="W179" s="99" t="s">
        <v>129</v>
      </c>
      <c r="X179" s="20" t="s">
        <v>36</v>
      </c>
      <c r="Y179" s="98"/>
      <c r="Z179" s="99" t="s">
        <v>129</v>
      </c>
      <c r="AA179" s="20" t="s">
        <v>36</v>
      </c>
      <c r="AB179" s="98"/>
      <c r="AC179" s="26"/>
      <c r="AD179" s="52" t="s">
        <v>694</v>
      </c>
      <c r="AE179" s="26">
        <f t="shared" si="44"/>
        <v>8</v>
      </c>
      <c r="AF179" s="26">
        <f t="shared" si="44"/>
        <v>5.6</v>
      </c>
      <c r="AG179" s="26"/>
      <c r="AH179" s="26"/>
      <c r="AI179" s="26"/>
      <c r="AJ179" s="26"/>
      <c r="AK179" s="26"/>
      <c r="AL179" s="26"/>
      <c r="AM179" s="26">
        <f>8.6-0.6</f>
        <v>8</v>
      </c>
      <c r="AN179" s="26">
        <v>5.6</v>
      </c>
      <c r="AO179" s="26"/>
      <c r="AP179" s="26"/>
      <c r="AQ179" s="26"/>
      <c r="AR179" s="26"/>
      <c r="AS179" s="26"/>
      <c r="AT179" s="26"/>
      <c r="AU179" s="26"/>
      <c r="AV179" s="26"/>
      <c r="AW179" s="26"/>
      <c r="AX179" s="26"/>
      <c r="AY179" s="34"/>
      <c r="AZ179" s="26"/>
      <c r="BA179" s="26"/>
      <c r="BB179" s="26"/>
      <c r="BC179" s="26"/>
      <c r="BD179" s="34"/>
      <c r="BE179" s="26"/>
      <c r="BF179" s="26"/>
      <c r="BG179" s="26"/>
      <c r="BH179" s="26"/>
    </row>
    <row r="180" spans="1:60" ht="35.65" customHeight="1" thickBot="1">
      <c r="A180" s="27" t="s">
        <v>104</v>
      </c>
      <c r="B180" s="35"/>
      <c r="C180" s="20"/>
      <c r="D180" s="20"/>
      <c r="E180" s="20"/>
      <c r="F180" s="98"/>
      <c r="G180" s="98"/>
      <c r="H180" s="98"/>
      <c r="I180" s="98"/>
      <c r="J180" s="20"/>
      <c r="K180" s="20"/>
      <c r="L180" s="43"/>
      <c r="M180" s="98"/>
      <c r="N180" s="20"/>
      <c r="O180" s="98"/>
      <c r="P180" s="98"/>
      <c r="Q180" s="20"/>
      <c r="R180" s="98"/>
      <c r="S180" s="98"/>
      <c r="T180" s="99"/>
      <c r="U180" s="20"/>
      <c r="V180" s="98"/>
      <c r="W180" s="99"/>
      <c r="X180" s="20"/>
      <c r="Y180" s="98"/>
      <c r="Z180" s="99"/>
      <c r="AA180" s="20"/>
      <c r="AB180" s="98"/>
      <c r="AC180" s="26"/>
      <c r="AD180" s="52" t="s">
        <v>695</v>
      </c>
      <c r="AE180" s="26">
        <f t="shared" si="44"/>
        <v>0.6</v>
      </c>
      <c r="AF180" s="26">
        <f t="shared" si="44"/>
        <v>0.2</v>
      </c>
      <c r="AG180" s="26"/>
      <c r="AH180" s="26"/>
      <c r="AI180" s="26"/>
      <c r="AJ180" s="26"/>
      <c r="AK180" s="26"/>
      <c r="AL180" s="26"/>
      <c r="AM180" s="26">
        <v>0.6</v>
      </c>
      <c r="AN180" s="26">
        <v>0.2</v>
      </c>
      <c r="AO180" s="26"/>
      <c r="AP180" s="26"/>
      <c r="AQ180" s="26"/>
      <c r="AR180" s="26"/>
      <c r="AS180" s="26"/>
      <c r="AT180" s="26"/>
      <c r="AU180" s="26"/>
      <c r="AV180" s="26"/>
      <c r="AW180" s="26"/>
      <c r="AX180" s="26"/>
      <c r="AY180" s="34"/>
      <c r="AZ180" s="26"/>
      <c r="BA180" s="26"/>
      <c r="BB180" s="26"/>
      <c r="BC180" s="26"/>
      <c r="BD180" s="34"/>
      <c r="BE180" s="26"/>
      <c r="BF180" s="26"/>
      <c r="BG180" s="26"/>
      <c r="BH180" s="26"/>
    </row>
    <row r="181" spans="1:60" ht="35.65" customHeight="1" thickBot="1">
      <c r="A181" s="31" t="s">
        <v>130</v>
      </c>
      <c r="B181" s="106">
        <v>2523</v>
      </c>
      <c r="C181" s="33"/>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v>6</v>
      </c>
      <c r="AD181" s="34"/>
      <c r="AE181" s="118">
        <f>AE182+AE183+AE184+AE185+AE186+AE188+AE189+AE190+AE194+AE195+AE196+AE199+AE201+AE202+AE204+AE205+AE206+AE207+AE208+AE209+AE210+AE211+AE214+AE215+AE216+AE217+AE218+AE219+AE220+AE221+AE222+AE223+AE225+AE226+AE227+AE228+AE229+AE231+AE232+AE233+AE234+AE236+AE200+AE235+AE187+AE191+AE192+AE193</f>
        <v>96280.6</v>
      </c>
      <c r="AF181" s="118">
        <f>AH181+AJ181+AL181+AN181</f>
        <v>95502.7</v>
      </c>
      <c r="AG181" s="118">
        <f>AG182+AG183+AG184+AG185+AG186+AG188+AG189+AG190+AG194+AG195+AG196+AG199+AG201+AG202+AG204+AG205+AG206+AG207+AG208+AG209+AG210+AG211+AG214+AG215+AG216+AG217+AG218+AG219+AG220+AG221+AG222+AG223+AG225+AG226+AG227+AG228+AG229+AG231+AG232+AG233+AG234+AG236+AG200+AG235+AG187+AG191+AG192+AG193</f>
        <v>15707.300000000001</v>
      </c>
      <c r="AH181" s="118">
        <f>AH182+AH183+AH184+AH185+AH186+AH188+AH189+AH190+AH194+AH195+AH196+AH199+AH201+AH202+AH204+AH205+AH206+AH207+AH208+AH209+AH210+AH211+AH214+AH215+AH216+AH217+AH218+AH219+AH220+AH221+AH222+AH223+AH225+AH226+AH227+AH228+AH229+AH231+AH232+AH233+AH234+AH236+AH200+AH235+AH187+AH191+AH192+AH193</f>
        <v>15502.8</v>
      </c>
      <c r="AI181" s="118">
        <f>AI182+AI183+AI184+AI185+AI186+AI188+AI189+AI190+AI194+AI195+AI196+AI199+AI201+AI202+AI204+AI205+AI206+AI207+AI208+AI209+AI210+AI211+AI214+AI215+AI216+AI217+AI218+AI219+AI220+AI221+AI222+AI223+AI225+AI226+AI227+AI228+AI229+AI231+AI232+AI233+AI234+AI236+AI200+AI235+AI187+AI191+AI192+AI193</f>
        <v>14135.999999999998</v>
      </c>
      <c r="AJ181" s="118">
        <f>AJ182+AJ183+AJ184+AJ185+AJ186+AJ188+AJ189+AJ190+AJ194+AJ195+AJ196+AJ199+AJ201+AJ202+AJ204+AJ205+AJ206+AJ207+AJ208+AJ209+AJ210+AJ211+AJ214+AJ215+AJ216+AJ217+AJ218+AJ219+AJ220+AJ221+AJ222+AJ223+AJ225+AJ226+AJ227+AJ228+AJ229+AJ231+AJ232+AJ233+AJ234+AJ236+AJ200+AJ235+AJ187+AJ191+AJ192+AJ193</f>
        <v>14096.599999999999</v>
      </c>
      <c r="AK181" s="118">
        <f>AK182+AK183+AK184+AK185+AK186+AK188+AK189+AK190+AK194+AK195+AK196+AK199+AK201+AK202+AK204+AK205+AK206+AK207+AK208+AK209+AK210+AK211+AK214+AK215+AK216+AK217+AK218+AK219+AK220+AK221+AK222+AK223+AK225+AK226+AK227+AK228+AK229+AK231+AK232+AK233+AK234+AK236+AK200+AK235+AK187+AK191+AK192+AK193</f>
        <v>0</v>
      </c>
      <c r="AL181" s="118"/>
      <c r="AM181" s="118">
        <f>AM182+AM183+AM184+AM185+AM186+AM188+AM189+AM190+AM194+AM195+AM196+AM199+AM201+AM202+AM204+AM205+AM206+AM207+AM208+AM209+AM210+AM211+AM214+AM215+AM216+AM217+AM218+AM219+AM220+AM221+AM222+AM223+AM225+AM226+AM227+AM228+AM229+AM231+AM232+AM233+AM234+AM236+AM200+AM235+AM187+AM191+AM192+AM193</f>
        <v>66437.3</v>
      </c>
      <c r="AN181" s="118">
        <f>AN182+AN183+AN184+AN185+AN186+AN188+AN189+AN190+AN194+AN195+AN196+AN199+AN201+AN202+AN204+AN205+AN206+AN207+AN208+AN209+AN210+AN211+AN214+AN215+AN216+AN217+AN218+AN219+AN220+AN221+AN222+AN223+AN225+AN226+AN227+AN228+AN229+AN231+AN232+AN233+AN234+AN236+AN200+AN235+AN187+AN191+AN192+AN193</f>
        <v>65903.3</v>
      </c>
      <c r="AO181" s="118">
        <f>AO182+AO183+AO184+AO185+AO186+AO188+AO189+AO190+AO194+AO195+AO196+AO199+AO201+AO202+AO204+AO205+AO206+AO207+AO208+AO209+AO210+AO211+AO214+AO215+AO216+AO217+AO218+AO219+AO220+AO221+AO222+AO223+AO225+AO226+AO227+AO228+AO229+AO231+AO232+AO233+AO234+AO236+AO203+AO200+AO212+AO213+AO224+AO235+AO197+AO198+AO230</f>
        <v>98499.900000000009</v>
      </c>
      <c r="AP181" s="118">
        <f>AP182+AP183+AP184+AP185+AP186+AP188+AP189+AP190+AP194+AP195+AP196+AP199+AP201+AP202+AP204+AP205+AP206+AP207+AP208+AP209+AP210+AP211+AP214+AP215+AP216+AP217+AP218+AP219+AP220+AP221+AP222+AP223+AP225+AP226+AP227+AP228+AP229+AP231+AP232+AP233+AP234+AP236+AP203+AP200+AP212+AP213+AP224+AP235+AP197+AP198+AP230</f>
        <v>16656.400000000001</v>
      </c>
      <c r="AQ181" s="118">
        <f>AQ182+AQ183+AQ184+AQ185+AQ186+AQ188+AQ189+AQ190+AQ194+AQ195+AQ196+AQ199+AQ201+AQ202+AQ204+AQ205+AQ206+AQ207+AQ208+AQ209+AQ210+AQ211+AQ214+AQ215+AQ216+AQ217+AQ218+AQ219+AQ220+AQ221+AQ222+AQ223+AQ225+AQ226+AQ227+AQ228+AQ229+AQ231+AQ232+AQ233+AQ234+AQ236+AQ203+AQ200+AQ212+AQ213+AQ224+AQ235+AQ197+AQ198+AQ230</f>
        <v>13973.599999999999</v>
      </c>
      <c r="AR181" s="118">
        <f>AR182+AR183+AR184+AR185+AR186+AR188+AR189+AR190+AR194+AR195+AR196+AR199+AR201+AR202+AR204+AR205+AR206+AR207+AR208+AR209+AR210+AR211+AR214+AR215+AR216+AR217+AR218+AR219+AR220+AR221+AR222+AR223+AR225+AR226+AR227+AR228+AR229+AR231+AR232+AR233+AR234+AR236+AR203+AR200+AR212+AR213+AR224+AR235+AR197+AR198+AR230</f>
        <v>0</v>
      </c>
      <c r="AS181" s="118">
        <f>AS182+AS183+AS184+AS185+AS186+AS188+AS189+AS190+AS194+AS195+AS196+AS199+AS201+AS202+AS204+AS205+AS206+AS207+AS208+AS209+AS210+AS211+AS214+AS215+AS216+AS217+AS218+AS219+AS220+AS221+AS222+AS223+AS225+AS226+AS227+AS228+AS229+AS231+AS232+AS233+AS234+AS236+AS203+AS200+AS212+AS213+AS224+AS235+AS197+AS198+AS230</f>
        <v>67869.900000000009</v>
      </c>
      <c r="AT181" s="118">
        <f t="shared" ref="AT181:BH181" si="50">AT182+AT183+AT184+AT185+AT186+AT188+AT189+AT190+AT194+AT195+AT196+AT199+AT201+AT202+AT204+AT205+AT206+AT207+AT208+AT209+AT210+AT211+AT214+AT215+AT216+AT217+AT218+AT219+AT220+AT221+AT222+AT223+AT225+AT226+AT227+AT228+AT229+AT231+AT232+AT233+AT234+AT236+AT203+AT200+AT212+AT213+AT224+AT235</f>
        <v>80399.200000000026</v>
      </c>
      <c r="AU181" s="118">
        <f t="shared" si="50"/>
        <v>18345.7</v>
      </c>
      <c r="AV181" s="118">
        <f t="shared" si="50"/>
        <v>1392.5</v>
      </c>
      <c r="AW181" s="118">
        <f t="shared" si="50"/>
        <v>0</v>
      </c>
      <c r="AX181" s="118">
        <f t="shared" si="50"/>
        <v>60661</v>
      </c>
      <c r="AY181" s="118">
        <f t="shared" si="50"/>
        <v>80399.200000000026</v>
      </c>
      <c r="AZ181" s="118">
        <f t="shared" si="50"/>
        <v>18345.7</v>
      </c>
      <c r="BA181" s="118">
        <f t="shared" si="50"/>
        <v>1392.5</v>
      </c>
      <c r="BB181" s="118">
        <f t="shared" si="50"/>
        <v>0</v>
      </c>
      <c r="BC181" s="118">
        <f t="shared" si="50"/>
        <v>60661</v>
      </c>
      <c r="BD181" s="118">
        <f t="shared" si="50"/>
        <v>80399.200000000026</v>
      </c>
      <c r="BE181" s="118">
        <f t="shared" si="50"/>
        <v>18345.7</v>
      </c>
      <c r="BF181" s="118">
        <f t="shared" si="50"/>
        <v>1392.5</v>
      </c>
      <c r="BG181" s="118">
        <f t="shared" si="50"/>
        <v>0</v>
      </c>
      <c r="BH181" s="118">
        <f t="shared" si="50"/>
        <v>60661</v>
      </c>
    </row>
    <row r="182" spans="1:60" ht="35.65" customHeight="1" thickBot="1">
      <c r="A182" s="27" t="s">
        <v>131</v>
      </c>
      <c r="B182" s="35"/>
      <c r="C182" s="20" t="s">
        <v>105</v>
      </c>
      <c r="D182" s="20" t="s">
        <v>106</v>
      </c>
      <c r="E182" s="20" t="s">
        <v>107</v>
      </c>
      <c r="F182" s="98"/>
      <c r="G182" s="98"/>
      <c r="H182" s="98"/>
      <c r="I182" s="98"/>
      <c r="J182" s="20" t="s">
        <v>108</v>
      </c>
      <c r="K182" s="20" t="s">
        <v>109</v>
      </c>
      <c r="L182" s="43" t="s">
        <v>110</v>
      </c>
      <c r="M182" s="98" t="s">
        <v>116</v>
      </c>
      <c r="N182" s="20" t="s">
        <v>112</v>
      </c>
      <c r="O182" s="98"/>
      <c r="P182" s="98" t="s">
        <v>113</v>
      </c>
      <c r="Q182" s="20" t="s">
        <v>112</v>
      </c>
      <c r="R182" s="98"/>
      <c r="S182" s="98"/>
      <c r="T182" s="99" t="s">
        <v>114</v>
      </c>
      <c r="U182" s="20" t="s">
        <v>112</v>
      </c>
      <c r="V182" s="98"/>
      <c r="W182" s="99" t="s">
        <v>114</v>
      </c>
      <c r="X182" s="20" t="s">
        <v>112</v>
      </c>
      <c r="Y182" s="98"/>
      <c r="Z182" s="98" t="s">
        <v>115</v>
      </c>
      <c r="AA182" s="20" t="s">
        <v>112</v>
      </c>
      <c r="AB182" s="98"/>
      <c r="AC182" s="26"/>
      <c r="AD182" s="52" t="s">
        <v>696</v>
      </c>
      <c r="AE182" s="26">
        <f t="shared" ref="AE182:AF218" si="51">AG182+AI182+AK182+AM182</f>
        <v>59.6</v>
      </c>
      <c r="AF182" s="26">
        <f>AH182+AJ182+AL182+AN182</f>
        <v>59.599999999999994</v>
      </c>
      <c r="AG182" s="26"/>
      <c r="AH182" s="26"/>
      <c r="AI182" s="26">
        <v>49.4</v>
      </c>
      <c r="AJ182" s="26">
        <v>49.4</v>
      </c>
      <c r="AK182" s="26"/>
      <c r="AL182" s="26"/>
      <c r="AM182" s="26">
        <f>9.3+0.9</f>
        <v>10.200000000000001</v>
      </c>
      <c r="AN182" s="26">
        <v>10.199999999999999</v>
      </c>
      <c r="AO182" s="26">
        <f>AP182+AQ182+AR182+AS182</f>
        <v>44.2</v>
      </c>
      <c r="AP182" s="26"/>
      <c r="AQ182" s="26">
        <v>43.2</v>
      </c>
      <c r="AR182" s="26"/>
      <c r="AS182" s="26">
        <v>1</v>
      </c>
      <c r="AT182" s="26">
        <f>AU182+AV182+AW182+AX182</f>
        <v>0</v>
      </c>
      <c r="AU182" s="26"/>
      <c r="AV182" s="26"/>
      <c r="AW182" s="26"/>
      <c r="AX182" s="26"/>
      <c r="AY182" s="26">
        <f>AZ182+BA182+BB182+BC182</f>
        <v>0</v>
      </c>
      <c r="AZ182" s="26"/>
      <c r="BA182" s="26"/>
      <c r="BB182" s="26"/>
      <c r="BC182" s="26"/>
      <c r="BD182" s="26">
        <f>BE182+BF182+BG182+BH182</f>
        <v>0</v>
      </c>
      <c r="BE182" s="26"/>
      <c r="BF182" s="26"/>
      <c r="BG182" s="26"/>
      <c r="BH182" s="26"/>
    </row>
    <row r="183" spans="1:60" ht="35.65" customHeight="1" thickBot="1">
      <c r="A183" s="27" t="s">
        <v>131</v>
      </c>
      <c r="B183" s="35"/>
      <c r="C183" s="20" t="s">
        <v>105</v>
      </c>
      <c r="D183" s="20" t="s">
        <v>106</v>
      </c>
      <c r="E183" s="20" t="s">
        <v>107</v>
      </c>
      <c r="F183" s="98"/>
      <c r="G183" s="98"/>
      <c r="H183" s="98"/>
      <c r="I183" s="98"/>
      <c r="J183" s="20" t="s">
        <v>108</v>
      </c>
      <c r="K183" s="20" t="s">
        <v>109</v>
      </c>
      <c r="L183" s="43" t="s">
        <v>110</v>
      </c>
      <c r="M183" s="98" t="s">
        <v>116</v>
      </c>
      <c r="N183" s="20" t="s">
        <v>112</v>
      </c>
      <c r="O183" s="98"/>
      <c r="P183" s="98" t="s">
        <v>113</v>
      </c>
      <c r="Q183" s="20" t="s">
        <v>112</v>
      </c>
      <c r="R183" s="98"/>
      <c r="S183" s="98"/>
      <c r="T183" s="99" t="s">
        <v>114</v>
      </c>
      <c r="U183" s="20" t="s">
        <v>112</v>
      </c>
      <c r="V183" s="98"/>
      <c r="W183" s="99" t="s">
        <v>114</v>
      </c>
      <c r="X183" s="20" t="s">
        <v>112</v>
      </c>
      <c r="Y183" s="98"/>
      <c r="Z183" s="98" t="s">
        <v>115</v>
      </c>
      <c r="AA183" s="20" t="s">
        <v>112</v>
      </c>
      <c r="AB183" s="98"/>
      <c r="AC183" s="26"/>
      <c r="AD183" s="52" t="s">
        <v>697</v>
      </c>
      <c r="AE183" s="26">
        <f t="shared" si="51"/>
        <v>4.5999999999999996</v>
      </c>
      <c r="AF183" s="26">
        <f t="shared" si="51"/>
        <v>4.5999999999999996</v>
      </c>
      <c r="AG183" s="26"/>
      <c r="AH183" s="26"/>
      <c r="AI183" s="26">
        <v>1.8</v>
      </c>
      <c r="AJ183" s="26">
        <v>1.8</v>
      </c>
      <c r="AK183" s="26"/>
      <c r="AL183" s="26"/>
      <c r="AM183" s="26">
        <f>2.8</f>
        <v>2.8</v>
      </c>
      <c r="AN183" s="26">
        <v>2.8</v>
      </c>
      <c r="AO183" s="26">
        <f>AP183+AQ183+AR183+AS183</f>
        <v>0</v>
      </c>
      <c r="AP183" s="26"/>
      <c r="AQ183" s="26"/>
      <c r="AR183" s="26"/>
      <c r="AS183" s="26"/>
      <c r="AT183" s="26">
        <f>AU183+AV183+AW183+AX183</f>
        <v>0</v>
      </c>
      <c r="AU183" s="26"/>
      <c r="AV183" s="26"/>
      <c r="AW183" s="26"/>
      <c r="AX183" s="26"/>
      <c r="AY183" s="26">
        <f>AZ183+BA183+BB183+BC183</f>
        <v>0</v>
      </c>
      <c r="AZ183" s="26"/>
      <c r="BA183" s="26"/>
      <c r="BB183" s="26"/>
      <c r="BC183" s="26"/>
      <c r="BD183" s="26">
        <f>BE183+BF183+BG183+BH183</f>
        <v>0</v>
      </c>
      <c r="BE183" s="26"/>
      <c r="BF183" s="26"/>
      <c r="BG183" s="26"/>
      <c r="BH183" s="26"/>
    </row>
    <row r="184" spans="1:60" ht="35.65" customHeight="1" thickBot="1">
      <c r="A184" s="27" t="s">
        <v>131</v>
      </c>
      <c r="B184" s="35"/>
      <c r="C184" s="20" t="s">
        <v>105</v>
      </c>
      <c r="D184" s="20" t="s">
        <v>106</v>
      </c>
      <c r="E184" s="20" t="s">
        <v>107</v>
      </c>
      <c r="F184" s="96"/>
      <c r="G184" s="96"/>
      <c r="H184" s="96"/>
      <c r="I184" s="96"/>
      <c r="J184" s="20" t="s">
        <v>132</v>
      </c>
      <c r="K184" s="20" t="s">
        <v>109</v>
      </c>
      <c r="L184" s="107">
        <v>43831</v>
      </c>
      <c r="M184" s="98"/>
      <c r="N184" s="20"/>
      <c r="O184" s="98"/>
      <c r="P184" s="98"/>
      <c r="Q184" s="20"/>
      <c r="R184" s="98"/>
      <c r="S184" s="98"/>
      <c r="T184" s="99"/>
      <c r="U184" s="20"/>
      <c r="V184" s="98"/>
      <c r="W184" s="99"/>
      <c r="X184" s="20"/>
      <c r="Y184" s="98"/>
      <c r="Z184" s="108"/>
      <c r="AA184" s="20"/>
      <c r="AB184" s="98"/>
      <c r="AC184" s="26"/>
      <c r="AD184" s="52" t="s">
        <v>698</v>
      </c>
      <c r="AE184" s="26">
        <f t="shared" si="51"/>
        <v>12074.7</v>
      </c>
      <c r="AF184" s="26">
        <f t="shared" si="51"/>
        <v>11870.3</v>
      </c>
      <c r="AG184" s="26">
        <f>12186.7-112.1+0.1</f>
        <v>12074.7</v>
      </c>
      <c r="AH184" s="26">
        <v>11870.3</v>
      </c>
      <c r="AI184" s="26"/>
      <c r="AJ184" s="26"/>
      <c r="AK184" s="26"/>
      <c r="AL184" s="26"/>
      <c r="AM184" s="26"/>
      <c r="AN184" s="26"/>
      <c r="AO184" s="26">
        <f>AP184+AQ184+AR184+AS184</f>
        <v>12538.2</v>
      </c>
      <c r="AP184" s="26">
        <v>12538.2</v>
      </c>
      <c r="AQ184" s="26"/>
      <c r="AR184" s="26"/>
      <c r="AS184" s="26"/>
      <c r="AT184" s="26">
        <f>AU184+AV184+AW184+AX184</f>
        <v>12538.2</v>
      </c>
      <c r="AU184" s="26">
        <v>12538.2</v>
      </c>
      <c r="AV184" s="26"/>
      <c r="AW184" s="26"/>
      <c r="AX184" s="26"/>
      <c r="AY184" s="26">
        <f>AZ184+BA184+BB184+BC184</f>
        <v>12538.2</v>
      </c>
      <c r="AZ184" s="26">
        <v>12538.2</v>
      </c>
      <c r="BA184" s="26"/>
      <c r="BB184" s="26"/>
      <c r="BC184" s="26"/>
      <c r="BD184" s="26">
        <f>BE184+BF184+BG184+BH184</f>
        <v>12538.2</v>
      </c>
      <c r="BE184" s="26">
        <v>12538.2</v>
      </c>
      <c r="BF184" s="26"/>
      <c r="BG184" s="26"/>
      <c r="BH184" s="26"/>
    </row>
    <row r="185" spans="1:60" ht="35.65" customHeight="1" thickBot="1">
      <c r="A185" s="27" t="s">
        <v>131</v>
      </c>
      <c r="B185" s="35"/>
      <c r="C185" s="20" t="s">
        <v>105</v>
      </c>
      <c r="D185" s="20" t="s">
        <v>106</v>
      </c>
      <c r="E185" s="20" t="s">
        <v>107</v>
      </c>
      <c r="F185" s="96"/>
      <c r="G185" s="96"/>
      <c r="H185" s="96"/>
      <c r="I185" s="96"/>
      <c r="J185" s="20" t="s">
        <v>132</v>
      </c>
      <c r="K185" s="20" t="s">
        <v>109</v>
      </c>
      <c r="L185" s="107">
        <v>43831</v>
      </c>
      <c r="M185" s="98"/>
      <c r="N185" s="20"/>
      <c r="O185" s="98"/>
      <c r="P185" s="98"/>
      <c r="Q185" s="20"/>
      <c r="R185" s="98"/>
      <c r="S185" s="98"/>
      <c r="T185" s="99"/>
      <c r="U185" s="20"/>
      <c r="V185" s="98"/>
      <c r="W185" s="99"/>
      <c r="X185" s="20"/>
      <c r="Y185" s="98"/>
      <c r="Z185" s="108"/>
      <c r="AA185" s="20"/>
      <c r="AB185" s="98"/>
      <c r="AC185" s="26"/>
      <c r="AD185" s="52" t="s">
        <v>699</v>
      </c>
      <c r="AE185" s="26">
        <f t="shared" si="51"/>
        <v>3632.6</v>
      </c>
      <c r="AF185" s="26">
        <f t="shared" si="51"/>
        <v>3632.5</v>
      </c>
      <c r="AG185" s="26">
        <v>3632.6</v>
      </c>
      <c r="AH185" s="26">
        <v>3632.5</v>
      </c>
      <c r="AI185" s="26"/>
      <c r="AJ185" s="26"/>
      <c r="AK185" s="26"/>
      <c r="AL185" s="26"/>
      <c r="AM185" s="26"/>
      <c r="AN185" s="26"/>
      <c r="AO185" s="26">
        <f>AP185+AQ185+AR185+AS185</f>
        <v>3632.6</v>
      </c>
      <c r="AP185" s="26">
        <v>3632.6</v>
      </c>
      <c r="AQ185" s="26"/>
      <c r="AR185" s="26"/>
      <c r="AS185" s="26"/>
      <c r="AT185" s="26">
        <f>AU185+AV185+AW185+AX185</f>
        <v>3632.6</v>
      </c>
      <c r="AU185" s="26">
        <v>3632.6</v>
      </c>
      <c r="AV185" s="26"/>
      <c r="AW185" s="26"/>
      <c r="AX185" s="26"/>
      <c r="AY185" s="26">
        <f>AZ185+BA185+BB185+BC185</f>
        <v>3632.6</v>
      </c>
      <c r="AZ185" s="26">
        <v>3632.6</v>
      </c>
      <c r="BA185" s="26"/>
      <c r="BB185" s="26"/>
      <c r="BC185" s="26"/>
      <c r="BD185" s="26">
        <f>BE185+BF185+BG185+BH185</f>
        <v>3632.6</v>
      </c>
      <c r="BE185" s="26">
        <v>3632.6</v>
      </c>
      <c r="BF185" s="26"/>
      <c r="BG185" s="26"/>
      <c r="BH185" s="26"/>
    </row>
    <row r="186" spans="1:60" ht="35.65" customHeight="1" thickBot="1">
      <c r="A186" s="27" t="s">
        <v>131</v>
      </c>
      <c r="B186" s="35"/>
      <c r="C186" s="20" t="s">
        <v>105</v>
      </c>
      <c r="D186" s="20" t="s">
        <v>106</v>
      </c>
      <c r="E186" s="20" t="s">
        <v>107</v>
      </c>
      <c r="F186" s="96"/>
      <c r="G186" s="96"/>
      <c r="H186" s="96"/>
      <c r="I186" s="96"/>
      <c r="J186" s="20" t="s">
        <v>132</v>
      </c>
      <c r="K186" s="20" t="s">
        <v>109</v>
      </c>
      <c r="L186" s="107">
        <v>43831</v>
      </c>
      <c r="M186" s="98"/>
      <c r="N186" s="20"/>
      <c r="O186" s="98"/>
      <c r="P186" s="98"/>
      <c r="Q186" s="20"/>
      <c r="R186" s="98"/>
      <c r="S186" s="98"/>
      <c r="T186" s="99"/>
      <c r="U186" s="20"/>
      <c r="V186" s="98"/>
      <c r="W186" s="99"/>
      <c r="X186" s="20"/>
      <c r="Y186" s="98"/>
      <c r="Z186" s="108"/>
      <c r="AA186" s="20"/>
      <c r="AB186" s="98"/>
      <c r="AC186" s="26"/>
      <c r="AD186" s="52" t="s">
        <v>700</v>
      </c>
      <c r="AE186" s="26">
        <f t="shared" si="51"/>
        <v>0</v>
      </c>
      <c r="AF186" s="26">
        <f t="shared" si="51"/>
        <v>0</v>
      </c>
      <c r="AG186" s="26">
        <f>703.1-351.6-351.5</f>
        <v>0</v>
      </c>
      <c r="AH186" s="26"/>
      <c r="AI186" s="26"/>
      <c r="AJ186" s="26"/>
      <c r="AK186" s="26"/>
      <c r="AL186" s="26"/>
      <c r="AM186" s="26"/>
      <c r="AN186" s="26"/>
      <c r="AO186" s="26">
        <f>AP186+AQ186+AR186+AS186</f>
        <v>0</v>
      </c>
      <c r="AP186" s="26"/>
      <c r="AQ186" s="26"/>
      <c r="AR186" s="26"/>
      <c r="AS186" s="26"/>
      <c r="AT186" s="26">
        <f>AU186+AV186+AW186+AX186</f>
        <v>0</v>
      </c>
      <c r="AU186" s="26"/>
      <c r="AV186" s="26"/>
      <c r="AW186" s="26"/>
      <c r="AX186" s="26"/>
      <c r="AY186" s="26">
        <f>AZ186+BA186+BB186+BC186</f>
        <v>0</v>
      </c>
      <c r="AZ186" s="26"/>
      <c r="BA186" s="26"/>
      <c r="BB186" s="26"/>
      <c r="BC186" s="26"/>
      <c r="BD186" s="26">
        <f>BE186+BF186+BG186+BH186</f>
        <v>0</v>
      </c>
      <c r="BE186" s="26"/>
      <c r="BF186" s="26"/>
      <c r="BG186" s="26"/>
      <c r="BH186" s="26"/>
    </row>
    <row r="187" spans="1:60" ht="35.65" customHeight="1" thickBot="1">
      <c r="A187" s="27" t="s">
        <v>131</v>
      </c>
      <c r="B187" s="35"/>
      <c r="C187" s="109"/>
      <c r="D187" s="20"/>
      <c r="E187" s="20"/>
      <c r="F187" s="96"/>
      <c r="G187" s="96"/>
      <c r="H187" s="96"/>
      <c r="I187" s="96"/>
      <c r="J187" s="20"/>
      <c r="K187" s="20"/>
      <c r="L187" s="107"/>
      <c r="M187" s="98"/>
      <c r="N187" s="20"/>
      <c r="O187" s="98"/>
      <c r="P187" s="98"/>
      <c r="Q187" s="20"/>
      <c r="R187" s="98"/>
      <c r="S187" s="98"/>
      <c r="T187" s="99"/>
      <c r="U187" s="20"/>
      <c r="V187" s="98"/>
      <c r="W187" s="99"/>
      <c r="X187" s="20"/>
      <c r="Y187" s="98"/>
      <c r="Z187" s="108"/>
      <c r="AA187" s="20"/>
      <c r="AB187" s="98"/>
      <c r="AC187" s="26"/>
      <c r="AD187" s="52" t="s">
        <v>701</v>
      </c>
      <c r="AE187" s="26">
        <f t="shared" si="51"/>
        <v>3763.9</v>
      </c>
      <c r="AF187" s="26">
        <f t="shared" si="51"/>
        <v>3763.9</v>
      </c>
      <c r="AG187" s="26"/>
      <c r="AH187" s="26"/>
      <c r="AI187" s="26">
        <v>3763.9</v>
      </c>
      <c r="AJ187" s="26">
        <v>3763.9</v>
      </c>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row>
    <row r="188" spans="1:60" ht="35.65" customHeight="1" thickBot="1">
      <c r="A188" s="27" t="s">
        <v>133</v>
      </c>
      <c r="B188" s="35"/>
      <c r="C188" s="110" t="s">
        <v>105</v>
      </c>
      <c r="D188" s="20" t="s">
        <v>106</v>
      </c>
      <c r="E188" s="20" t="s">
        <v>107</v>
      </c>
      <c r="F188" s="98"/>
      <c r="G188" s="98"/>
      <c r="H188" s="98"/>
      <c r="I188" s="98"/>
      <c r="J188" s="98" t="s">
        <v>124</v>
      </c>
      <c r="K188" s="20" t="s">
        <v>109</v>
      </c>
      <c r="L188" s="20" t="s">
        <v>125</v>
      </c>
      <c r="M188" s="98" t="s">
        <v>134</v>
      </c>
      <c r="N188" s="20" t="s">
        <v>112</v>
      </c>
      <c r="O188" s="98"/>
      <c r="P188" s="71" t="s">
        <v>135</v>
      </c>
      <c r="Q188" s="20" t="s">
        <v>112</v>
      </c>
      <c r="R188" s="98"/>
      <c r="S188" s="98"/>
      <c r="T188" s="98" t="s">
        <v>136</v>
      </c>
      <c r="U188" s="20" t="s">
        <v>112</v>
      </c>
      <c r="V188" s="98"/>
      <c r="W188" s="98" t="s">
        <v>136</v>
      </c>
      <c r="X188" s="20" t="s">
        <v>112</v>
      </c>
      <c r="Y188" s="98"/>
      <c r="Z188" s="108" t="s">
        <v>115</v>
      </c>
      <c r="AA188" s="20" t="s">
        <v>112</v>
      </c>
      <c r="AB188" s="98"/>
      <c r="AC188" s="26"/>
      <c r="AD188" s="52" t="s">
        <v>702</v>
      </c>
      <c r="AE188" s="26">
        <f t="shared" si="51"/>
        <v>140.5</v>
      </c>
      <c r="AF188" s="26">
        <f t="shared" si="51"/>
        <v>140.5</v>
      </c>
      <c r="AG188" s="26"/>
      <c r="AH188" s="26"/>
      <c r="AI188" s="26">
        <v>140.5</v>
      </c>
      <c r="AJ188" s="26">
        <v>140.5</v>
      </c>
      <c r="AK188" s="26"/>
      <c r="AL188" s="26"/>
      <c r="AM188" s="26"/>
      <c r="AN188" s="26"/>
      <c r="AO188" s="26">
        <f>AP188+AQ188+AR188+AS188</f>
        <v>478.1</v>
      </c>
      <c r="AP188" s="26"/>
      <c r="AQ188" s="26">
        <v>478.1</v>
      </c>
      <c r="AR188" s="26"/>
      <c r="AS188" s="26"/>
      <c r="AT188" s="26">
        <f>AU188+AV188+AW188+AX188</f>
        <v>426</v>
      </c>
      <c r="AU188" s="26"/>
      <c r="AV188" s="26">
        <v>426</v>
      </c>
      <c r="AW188" s="26"/>
      <c r="AX188" s="26"/>
      <c r="AY188" s="26">
        <f>AZ188+BA188+BB188+BC188</f>
        <v>0</v>
      </c>
      <c r="AZ188" s="26"/>
      <c r="BA188" s="26">
        <v>0</v>
      </c>
      <c r="BB188" s="26"/>
      <c r="BC188" s="26"/>
      <c r="BD188" s="26">
        <f>BE188+BF188+BG188+BH188</f>
        <v>0</v>
      </c>
      <c r="BE188" s="26"/>
      <c r="BF188" s="26">
        <v>0</v>
      </c>
      <c r="BG188" s="26"/>
      <c r="BH188" s="26"/>
    </row>
    <row r="189" spans="1:60" ht="35.65" customHeight="1" thickBot="1">
      <c r="A189" s="27" t="s">
        <v>131</v>
      </c>
      <c r="B189" s="35"/>
      <c r="C189" s="20" t="s">
        <v>105</v>
      </c>
      <c r="D189" s="20" t="s">
        <v>106</v>
      </c>
      <c r="E189" s="20" t="s">
        <v>107</v>
      </c>
      <c r="F189" s="98"/>
      <c r="G189" s="98"/>
      <c r="H189" s="98"/>
      <c r="I189" s="98"/>
      <c r="J189" s="98" t="s">
        <v>124</v>
      </c>
      <c r="K189" s="20" t="s">
        <v>109</v>
      </c>
      <c r="L189" s="20" t="s">
        <v>125</v>
      </c>
      <c r="M189" s="98" t="s">
        <v>134</v>
      </c>
      <c r="N189" s="20" t="s">
        <v>112</v>
      </c>
      <c r="O189" s="98"/>
      <c r="P189" s="71" t="s">
        <v>135</v>
      </c>
      <c r="Q189" s="20" t="s">
        <v>112</v>
      </c>
      <c r="R189" s="98"/>
      <c r="S189" s="98"/>
      <c r="T189" s="98" t="s">
        <v>136</v>
      </c>
      <c r="U189" s="20" t="s">
        <v>112</v>
      </c>
      <c r="V189" s="98"/>
      <c r="W189" s="98" t="s">
        <v>136</v>
      </c>
      <c r="X189" s="20" t="s">
        <v>112</v>
      </c>
      <c r="Y189" s="98"/>
      <c r="Z189" s="98" t="s">
        <v>115</v>
      </c>
      <c r="AA189" s="20" t="s">
        <v>112</v>
      </c>
      <c r="AB189" s="98"/>
      <c r="AC189" s="26"/>
      <c r="AD189" s="52" t="s">
        <v>703</v>
      </c>
      <c r="AE189" s="26">
        <f t="shared" si="51"/>
        <v>1484.5</v>
      </c>
      <c r="AF189" s="26">
        <f t="shared" si="51"/>
        <v>1484.3</v>
      </c>
      <c r="AG189" s="26"/>
      <c r="AH189" s="26"/>
      <c r="AI189" s="26">
        <f>1159.5+325</f>
        <v>1484.5</v>
      </c>
      <c r="AJ189" s="26">
        <v>1484.3</v>
      </c>
      <c r="AK189" s="26"/>
      <c r="AL189" s="26"/>
      <c r="AM189" s="26"/>
      <c r="AN189" s="26"/>
      <c r="AO189" s="26">
        <f>AP189+AQ189+AR189+AS189</f>
        <v>1119.4000000000001</v>
      </c>
      <c r="AP189" s="26"/>
      <c r="AQ189" s="26">
        <v>1119.4000000000001</v>
      </c>
      <c r="AR189" s="26"/>
      <c r="AS189" s="26"/>
      <c r="AT189" s="26">
        <f>AU189+AV189+AW189+AX189</f>
        <v>852</v>
      </c>
      <c r="AU189" s="26"/>
      <c r="AV189" s="26">
        <v>852</v>
      </c>
      <c r="AW189" s="26"/>
      <c r="AX189" s="26"/>
      <c r="AY189" s="26">
        <f>AZ189+BA189+BB189+BC189</f>
        <v>1278</v>
      </c>
      <c r="AZ189" s="26"/>
      <c r="BA189" s="26">
        <v>1278</v>
      </c>
      <c r="BB189" s="26"/>
      <c r="BC189" s="26"/>
      <c r="BD189" s="26">
        <f>BE189+BF189+BG189+BH189</f>
        <v>1278</v>
      </c>
      <c r="BE189" s="26"/>
      <c r="BF189" s="26">
        <v>1278</v>
      </c>
      <c r="BG189" s="26"/>
      <c r="BH189" s="26"/>
    </row>
    <row r="190" spans="1:60" ht="35.65" customHeight="1" thickBot="1">
      <c r="A190" s="27" t="s">
        <v>131</v>
      </c>
      <c r="B190" s="35"/>
      <c r="C190" s="20"/>
      <c r="D190" s="20"/>
      <c r="E190" s="20"/>
      <c r="F190" s="98"/>
      <c r="G190" s="98"/>
      <c r="H190" s="98"/>
      <c r="I190" s="98"/>
      <c r="J190" s="100"/>
      <c r="K190" s="20"/>
      <c r="L190" s="20"/>
      <c r="M190" s="98"/>
      <c r="N190" s="20"/>
      <c r="O190" s="98"/>
      <c r="P190" s="71"/>
      <c r="Q190" s="20"/>
      <c r="R190" s="98"/>
      <c r="S190" s="98"/>
      <c r="T190" s="101"/>
      <c r="U190" s="20"/>
      <c r="V190" s="101"/>
      <c r="W190" s="20"/>
      <c r="X190" s="20"/>
      <c r="Y190" s="98"/>
      <c r="Z190" s="98"/>
      <c r="AA190" s="20"/>
      <c r="AB190" s="98"/>
      <c r="AC190" s="26"/>
      <c r="AD190" s="52" t="s">
        <v>704</v>
      </c>
      <c r="AE190" s="26">
        <f t="shared" si="51"/>
        <v>0</v>
      </c>
      <c r="AF190" s="26">
        <f t="shared" si="51"/>
        <v>0</v>
      </c>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row>
    <row r="191" spans="1:60" ht="35.65" customHeight="1" thickBot="1">
      <c r="A191" s="27" t="s">
        <v>131</v>
      </c>
      <c r="B191" s="35"/>
      <c r="C191" s="20"/>
      <c r="D191" s="20"/>
      <c r="E191" s="20"/>
      <c r="F191" s="98"/>
      <c r="G191" s="98"/>
      <c r="H191" s="98"/>
      <c r="I191" s="98"/>
      <c r="J191" s="100"/>
      <c r="K191" s="20"/>
      <c r="L191" s="20"/>
      <c r="M191" s="98"/>
      <c r="N191" s="20"/>
      <c r="O191" s="98"/>
      <c r="P191" s="71"/>
      <c r="Q191" s="20"/>
      <c r="R191" s="98"/>
      <c r="S191" s="98"/>
      <c r="T191" s="101"/>
      <c r="U191" s="20"/>
      <c r="V191" s="101"/>
      <c r="W191" s="20"/>
      <c r="X191" s="20"/>
      <c r="Y191" s="98"/>
      <c r="Z191" s="98"/>
      <c r="AA191" s="20"/>
      <c r="AB191" s="98"/>
      <c r="AC191" s="26"/>
      <c r="AD191" s="52" t="s">
        <v>705</v>
      </c>
      <c r="AE191" s="26">
        <f t="shared" si="51"/>
        <v>1088.8</v>
      </c>
      <c r="AF191" s="26">
        <f t="shared" si="51"/>
        <v>1088.8</v>
      </c>
      <c r="AG191" s="26"/>
      <c r="AH191" s="26"/>
      <c r="AI191" s="26">
        <v>1088.8</v>
      </c>
      <c r="AJ191" s="26">
        <v>1088.8</v>
      </c>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row>
    <row r="192" spans="1:60" ht="35.65" customHeight="1" thickBot="1">
      <c r="A192" s="27" t="s">
        <v>131</v>
      </c>
      <c r="B192" s="35"/>
      <c r="C192" s="20"/>
      <c r="D192" s="20"/>
      <c r="E192" s="20"/>
      <c r="F192" s="98"/>
      <c r="G192" s="98"/>
      <c r="H192" s="98"/>
      <c r="I192" s="98"/>
      <c r="J192" s="100"/>
      <c r="K192" s="20"/>
      <c r="L192" s="20"/>
      <c r="M192" s="98"/>
      <c r="N192" s="20"/>
      <c r="O192" s="98"/>
      <c r="P192" s="71"/>
      <c r="Q192" s="20"/>
      <c r="R192" s="98"/>
      <c r="S192" s="98"/>
      <c r="T192" s="101"/>
      <c r="U192" s="20"/>
      <c r="V192" s="101"/>
      <c r="W192" s="20"/>
      <c r="X192" s="20"/>
      <c r="Y192" s="98"/>
      <c r="Z192" s="98"/>
      <c r="AA192" s="20"/>
      <c r="AB192" s="98"/>
      <c r="AC192" s="26"/>
      <c r="AD192" s="52" t="s">
        <v>706</v>
      </c>
      <c r="AE192" s="26">
        <f t="shared" si="51"/>
        <v>1409.6000000000001</v>
      </c>
      <c r="AF192" s="26">
        <f t="shared" si="51"/>
        <v>1370.4</v>
      </c>
      <c r="AG192" s="26"/>
      <c r="AH192" s="26"/>
      <c r="AI192" s="26">
        <f>1397.9+11.7</f>
        <v>1409.6000000000001</v>
      </c>
      <c r="AJ192" s="26">
        <v>1370.4</v>
      </c>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row>
    <row r="193" spans="1:60" ht="35.65" customHeight="1" thickBot="1">
      <c r="A193" s="27" t="s">
        <v>131</v>
      </c>
      <c r="B193" s="35"/>
      <c r="C193" s="20"/>
      <c r="D193" s="20"/>
      <c r="E193" s="20"/>
      <c r="F193" s="98"/>
      <c r="G193" s="98"/>
      <c r="H193" s="98"/>
      <c r="I193" s="98"/>
      <c r="J193" s="100"/>
      <c r="K193" s="20"/>
      <c r="L193" s="20"/>
      <c r="M193" s="98"/>
      <c r="N193" s="20"/>
      <c r="O193" s="98"/>
      <c r="P193" s="71"/>
      <c r="Q193" s="20"/>
      <c r="R193" s="98"/>
      <c r="S193" s="98"/>
      <c r="T193" s="101"/>
      <c r="U193" s="20"/>
      <c r="V193" s="101"/>
      <c r="W193" s="20"/>
      <c r="X193" s="20"/>
      <c r="Y193" s="98"/>
      <c r="Z193" s="98"/>
      <c r="AA193" s="20"/>
      <c r="AB193" s="98"/>
      <c r="AC193" s="26"/>
      <c r="AD193" s="52" t="s">
        <v>707</v>
      </c>
      <c r="AE193" s="26">
        <f t="shared" si="51"/>
        <v>60.8</v>
      </c>
      <c r="AF193" s="26">
        <f>AH193+AJ193+AL193+AN193</f>
        <v>60.8</v>
      </c>
      <c r="AG193" s="26"/>
      <c r="AH193" s="26"/>
      <c r="AI193" s="26">
        <v>60.8</v>
      </c>
      <c r="AJ193" s="26">
        <v>60.8</v>
      </c>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row>
    <row r="194" spans="1:60" ht="35.65" customHeight="1" thickBot="1">
      <c r="A194" s="27" t="s">
        <v>131</v>
      </c>
      <c r="B194" s="35"/>
      <c r="C194" s="101" t="s">
        <v>105</v>
      </c>
      <c r="D194" s="20" t="s">
        <v>117</v>
      </c>
      <c r="E194" s="20" t="s">
        <v>107</v>
      </c>
      <c r="F194" s="101"/>
      <c r="G194" s="101"/>
      <c r="H194" s="101"/>
      <c r="I194" s="101"/>
      <c r="J194" s="18" t="s">
        <v>118</v>
      </c>
      <c r="K194" s="20" t="s">
        <v>109</v>
      </c>
      <c r="L194" s="20" t="s">
        <v>119</v>
      </c>
      <c r="M194" s="101" t="s">
        <v>137</v>
      </c>
      <c r="N194" s="20" t="s">
        <v>112</v>
      </c>
      <c r="O194" s="101"/>
      <c r="P194" s="101" t="s">
        <v>138</v>
      </c>
      <c r="Q194" s="20" t="s">
        <v>112</v>
      </c>
      <c r="R194" s="101"/>
      <c r="S194" s="101"/>
      <c r="T194" s="101" t="s">
        <v>139</v>
      </c>
      <c r="U194" s="20" t="s">
        <v>112</v>
      </c>
      <c r="V194" s="101"/>
      <c r="W194" s="43" t="s">
        <v>140</v>
      </c>
      <c r="X194" s="20" t="s">
        <v>112</v>
      </c>
      <c r="Y194" s="101"/>
      <c r="Z194" s="43" t="s">
        <v>140</v>
      </c>
      <c r="AA194" s="20" t="s">
        <v>112</v>
      </c>
      <c r="AB194" s="98"/>
      <c r="AC194" s="26"/>
      <c r="AD194" s="52" t="s">
        <v>708</v>
      </c>
      <c r="AE194" s="26">
        <f t="shared" si="51"/>
        <v>0</v>
      </c>
      <c r="AF194" s="26">
        <f t="shared" si="51"/>
        <v>0</v>
      </c>
      <c r="AG194" s="26"/>
      <c r="AH194" s="26"/>
      <c r="AI194" s="26"/>
      <c r="AJ194" s="26"/>
      <c r="AK194" s="26"/>
      <c r="AL194" s="26"/>
      <c r="AM194" s="26"/>
      <c r="AN194" s="26"/>
      <c r="AO194" s="26">
        <f t="shared" ref="AO194:AO230" si="52">AP194+AQ194+AR194+AS194</f>
        <v>6802.8</v>
      </c>
      <c r="AP194" s="26"/>
      <c r="AQ194" s="26">
        <f>7500-697.2</f>
        <v>6802.8</v>
      </c>
      <c r="AR194" s="26"/>
      <c r="AS194" s="26"/>
      <c r="AT194" s="26">
        <f t="shared" ref="AT194:AT199" si="53">AU194+AV194+AW194+AX194</f>
        <v>0</v>
      </c>
      <c r="AU194" s="26"/>
      <c r="AV194" s="26"/>
      <c r="AW194" s="26"/>
      <c r="AX194" s="26"/>
      <c r="AY194" s="26">
        <f t="shared" ref="AY194:AY222" si="54">AZ194+BA194+BB194+BC194</f>
        <v>0</v>
      </c>
      <c r="AZ194" s="26"/>
      <c r="BA194" s="26"/>
      <c r="BB194" s="26"/>
      <c r="BC194" s="26"/>
      <c r="BD194" s="26">
        <f t="shared" ref="BD194:BD204" si="55">BE194+BF194+BG194+BH194</f>
        <v>0</v>
      </c>
      <c r="BE194" s="26"/>
      <c r="BF194" s="26"/>
      <c r="BG194" s="26"/>
      <c r="BH194" s="26"/>
    </row>
    <row r="195" spans="1:60" ht="35.65" customHeight="1" thickBot="1">
      <c r="A195" s="27" t="s">
        <v>131</v>
      </c>
      <c r="B195" s="35"/>
      <c r="C195" s="111" t="s">
        <v>141</v>
      </c>
      <c r="D195" s="111" t="s">
        <v>142</v>
      </c>
      <c r="E195" s="111" t="s">
        <v>143</v>
      </c>
      <c r="F195" s="111"/>
      <c r="G195" s="111"/>
      <c r="H195" s="111"/>
      <c r="I195" s="111"/>
      <c r="J195" s="53" t="s">
        <v>144</v>
      </c>
      <c r="K195" s="111" t="s">
        <v>145</v>
      </c>
      <c r="L195" s="111" t="s">
        <v>146</v>
      </c>
      <c r="M195" s="111"/>
      <c r="N195" s="111"/>
      <c r="O195" s="111"/>
      <c r="P195" s="52" t="s">
        <v>147</v>
      </c>
      <c r="Q195" s="111" t="s">
        <v>112</v>
      </c>
      <c r="R195" s="111"/>
      <c r="S195" s="111"/>
      <c r="T195" s="111"/>
      <c r="U195" s="111"/>
      <c r="V195" s="111"/>
      <c r="W195" s="111"/>
      <c r="X195" s="112"/>
      <c r="Y195" s="112"/>
      <c r="Z195" s="112"/>
      <c r="AA195" s="112"/>
      <c r="AB195" s="112"/>
      <c r="AC195" s="26"/>
      <c r="AD195" s="52" t="s">
        <v>709</v>
      </c>
      <c r="AE195" s="26">
        <f t="shared" si="51"/>
        <v>0</v>
      </c>
      <c r="AF195" s="26">
        <f t="shared" si="51"/>
        <v>0</v>
      </c>
      <c r="AG195" s="26">
        <v>0</v>
      </c>
      <c r="AH195" s="26"/>
      <c r="AI195" s="26">
        <v>0</v>
      </c>
      <c r="AJ195" s="26"/>
      <c r="AK195" s="26"/>
      <c r="AL195" s="26"/>
      <c r="AM195" s="26"/>
      <c r="AN195" s="26"/>
      <c r="AO195" s="26">
        <f t="shared" si="52"/>
        <v>0</v>
      </c>
      <c r="AP195" s="26"/>
      <c r="AQ195" s="26">
        <v>0</v>
      </c>
      <c r="AR195" s="26"/>
      <c r="AS195" s="26"/>
      <c r="AT195" s="26">
        <f t="shared" si="53"/>
        <v>0</v>
      </c>
      <c r="AU195" s="26"/>
      <c r="AV195" s="26">
        <v>0</v>
      </c>
      <c r="AW195" s="26"/>
      <c r="AX195" s="26"/>
      <c r="AY195" s="26">
        <f t="shared" si="54"/>
        <v>0</v>
      </c>
      <c r="AZ195" s="26"/>
      <c r="BA195" s="26">
        <v>0</v>
      </c>
      <c r="BB195" s="26"/>
      <c r="BC195" s="26"/>
      <c r="BD195" s="26">
        <f t="shared" si="55"/>
        <v>0</v>
      </c>
      <c r="BE195" s="26"/>
      <c r="BF195" s="26">
        <v>0</v>
      </c>
      <c r="BG195" s="26"/>
      <c r="BH195" s="26"/>
    </row>
    <row r="196" spans="1:60" ht="35.65" customHeight="1" thickBot="1">
      <c r="A196" s="27" t="s">
        <v>131</v>
      </c>
      <c r="B196" s="35"/>
      <c r="C196" s="111" t="s">
        <v>141</v>
      </c>
      <c r="D196" s="111" t="s">
        <v>142</v>
      </c>
      <c r="E196" s="111" t="s">
        <v>143</v>
      </c>
      <c r="F196" s="111"/>
      <c r="G196" s="111"/>
      <c r="H196" s="111"/>
      <c r="I196" s="111"/>
      <c r="J196" s="53" t="s">
        <v>144</v>
      </c>
      <c r="K196" s="111" t="s">
        <v>145</v>
      </c>
      <c r="L196" s="111" t="s">
        <v>146</v>
      </c>
      <c r="M196" s="111"/>
      <c r="N196" s="111"/>
      <c r="O196" s="111"/>
      <c r="P196" s="52" t="s">
        <v>147</v>
      </c>
      <c r="Q196" s="111" t="s">
        <v>112</v>
      </c>
      <c r="R196" s="111"/>
      <c r="S196" s="111"/>
      <c r="T196" s="111"/>
      <c r="U196" s="111"/>
      <c r="V196" s="111"/>
      <c r="W196" s="111"/>
      <c r="X196" s="112"/>
      <c r="Y196" s="112"/>
      <c r="Z196" s="112"/>
      <c r="AA196" s="112"/>
      <c r="AB196" s="112"/>
      <c r="AC196" s="26"/>
      <c r="AD196" s="52" t="s">
        <v>710</v>
      </c>
      <c r="AE196" s="26">
        <f t="shared" si="51"/>
        <v>0</v>
      </c>
      <c r="AF196" s="26">
        <f t="shared" si="51"/>
        <v>0</v>
      </c>
      <c r="AG196" s="26"/>
      <c r="AH196" s="26"/>
      <c r="AI196" s="26"/>
      <c r="AJ196" s="26"/>
      <c r="AK196" s="26"/>
      <c r="AL196" s="26"/>
      <c r="AM196" s="26"/>
      <c r="AN196" s="26"/>
      <c r="AO196" s="26">
        <f t="shared" si="52"/>
        <v>0</v>
      </c>
      <c r="AP196" s="26">
        <v>0</v>
      </c>
      <c r="AQ196" s="26">
        <v>0</v>
      </c>
      <c r="AR196" s="26"/>
      <c r="AS196" s="26"/>
      <c r="AT196" s="26">
        <f t="shared" si="53"/>
        <v>0</v>
      </c>
      <c r="AU196" s="26">
        <v>0</v>
      </c>
      <c r="AV196" s="26">
        <v>0</v>
      </c>
      <c r="AW196" s="26"/>
      <c r="AX196" s="26"/>
      <c r="AY196" s="26">
        <f t="shared" si="54"/>
        <v>0</v>
      </c>
      <c r="AZ196" s="26">
        <v>0</v>
      </c>
      <c r="BA196" s="26">
        <v>0</v>
      </c>
      <c r="BB196" s="26"/>
      <c r="BC196" s="26"/>
      <c r="BD196" s="26">
        <f t="shared" si="55"/>
        <v>0</v>
      </c>
      <c r="BE196" s="26">
        <v>0</v>
      </c>
      <c r="BF196" s="26">
        <v>0</v>
      </c>
      <c r="BG196" s="26"/>
      <c r="BH196" s="26"/>
    </row>
    <row r="197" spans="1:60" ht="35.65" customHeight="1" thickBot="1">
      <c r="A197" s="27"/>
      <c r="B197" s="35"/>
      <c r="C197" s="111"/>
      <c r="D197" s="111"/>
      <c r="E197" s="111"/>
      <c r="F197" s="111"/>
      <c r="G197" s="111"/>
      <c r="H197" s="111"/>
      <c r="I197" s="111"/>
      <c r="J197" s="53"/>
      <c r="K197" s="111"/>
      <c r="L197" s="111"/>
      <c r="M197" s="111"/>
      <c r="N197" s="111"/>
      <c r="O197" s="111"/>
      <c r="P197" s="52"/>
      <c r="Q197" s="111"/>
      <c r="R197" s="111"/>
      <c r="S197" s="111"/>
      <c r="T197" s="111"/>
      <c r="U197" s="111"/>
      <c r="V197" s="111"/>
      <c r="W197" s="111"/>
      <c r="X197" s="112"/>
      <c r="Y197" s="112"/>
      <c r="Z197" s="112"/>
      <c r="AA197" s="112"/>
      <c r="AB197" s="112"/>
      <c r="AC197" s="26"/>
      <c r="AD197" s="52" t="s">
        <v>711</v>
      </c>
      <c r="AE197" s="26"/>
      <c r="AF197" s="26"/>
      <c r="AG197" s="26"/>
      <c r="AH197" s="26"/>
      <c r="AI197" s="26"/>
      <c r="AJ197" s="26"/>
      <c r="AK197" s="26"/>
      <c r="AL197" s="26"/>
      <c r="AM197" s="26"/>
      <c r="AN197" s="26"/>
      <c r="AO197" s="26">
        <f t="shared" si="52"/>
        <v>1765.3999999999999</v>
      </c>
      <c r="AP197" s="26"/>
      <c r="AQ197" s="26">
        <f>1744.8+20.6</f>
        <v>1765.3999999999999</v>
      </c>
      <c r="AR197" s="26"/>
      <c r="AS197" s="26"/>
      <c r="AT197" s="26"/>
      <c r="AU197" s="26"/>
      <c r="AV197" s="26"/>
      <c r="AW197" s="26"/>
      <c r="AX197" s="26"/>
      <c r="AY197" s="26"/>
      <c r="AZ197" s="26"/>
      <c r="BA197" s="26"/>
      <c r="BB197" s="26"/>
      <c r="BC197" s="26"/>
      <c r="BD197" s="26"/>
      <c r="BE197" s="26"/>
      <c r="BF197" s="26"/>
      <c r="BG197" s="26"/>
      <c r="BH197" s="26"/>
    </row>
    <row r="198" spans="1:60" ht="35.65" customHeight="1" thickBot="1">
      <c r="A198" s="27"/>
      <c r="B198" s="35"/>
      <c r="C198" s="111"/>
      <c r="D198" s="111"/>
      <c r="E198" s="111"/>
      <c r="F198" s="111"/>
      <c r="G198" s="111"/>
      <c r="H198" s="111"/>
      <c r="I198" s="111"/>
      <c r="J198" s="53"/>
      <c r="K198" s="111"/>
      <c r="L198" s="111"/>
      <c r="M198" s="111"/>
      <c r="N198" s="111"/>
      <c r="O198" s="111"/>
      <c r="P198" s="52"/>
      <c r="Q198" s="111"/>
      <c r="R198" s="111"/>
      <c r="S198" s="111"/>
      <c r="T198" s="111"/>
      <c r="U198" s="111"/>
      <c r="V198" s="111"/>
      <c r="W198" s="111"/>
      <c r="X198" s="112"/>
      <c r="Y198" s="112"/>
      <c r="Z198" s="112"/>
      <c r="AA198" s="112"/>
      <c r="AB198" s="112"/>
      <c r="AC198" s="26"/>
      <c r="AD198" s="52" t="s">
        <v>712</v>
      </c>
      <c r="AE198" s="26"/>
      <c r="AF198" s="26"/>
      <c r="AG198" s="26"/>
      <c r="AH198" s="26"/>
      <c r="AI198" s="26"/>
      <c r="AJ198" s="26"/>
      <c r="AK198" s="26"/>
      <c r="AL198" s="26"/>
      <c r="AM198" s="26"/>
      <c r="AN198" s="26"/>
      <c r="AO198" s="26">
        <f t="shared" si="52"/>
        <v>2240.4</v>
      </c>
      <c r="AP198" s="26"/>
      <c r="AQ198" s="26">
        <f>2261-20.6</f>
        <v>2240.4</v>
      </c>
      <c r="AR198" s="26"/>
      <c r="AS198" s="26"/>
      <c r="AT198" s="26"/>
      <c r="AU198" s="26"/>
      <c r="AV198" s="26"/>
      <c r="AW198" s="26"/>
      <c r="AX198" s="26"/>
      <c r="AY198" s="26"/>
      <c r="AZ198" s="26"/>
      <c r="BA198" s="26"/>
      <c r="BB198" s="26"/>
      <c r="BC198" s="26"/>
      <c r="BD198" s="26"/>
      <c r="BE198" s="26"/>
      <c r="BF198" s="26"/>
      <c r="BG198" s="26"/>
      <c r="BH198" s="26"/>
    </row>
    <row r="199" spans="1:60" ht="35.65" customHeight="1" thickBot="1">
      <c r="A199" s="27" t="s">
        <v>104</v>
      </c>
      <c r="B199" s="35"/>
      <c r="C199" s="98" t="s">
        <v>105</v>
      </c>
      <c r="D199" s="20" t="s">
        <v>117</v>
      </c>
      <c r="E199" s="20" t="s">
        <v>107</v>
      </c>
      <c r="F199" s="98"/>
      <c r="G199" s="98"/>
      <c r="H199" s="98"/>
      <c r="I199" s="98"/>
      <c r="J199" s="98" t="s">
        <v>124</v>
      </c>
      <c r="K199" s="20" t="s">
        <v>109</v>
      </c>
      <c r="L199" s="20" t="s">
        <v>125</v>
      </c>
      <c r="M199" s="98" t="s">
        <v>148</v>
      </c>
      <c r="N199" s="20" t="s">
        <v>112</v>
      </c>
      <c r="O199" s="98"/>
      <c r="P199" s="98" t="s">
        <v>138</v>
      </c>
      <c r="Q199" s="20" t="s">
        <v>112</v>
      </c>
      <c r="R199" s="98"/>
      <c r="S199" s="98"/>
      <c r="T199" s="98" t="s">
        <v>139</v>
      </c>
      <c r="U199" s="20" t="s">
        <v>112</v>
      </c>
      <c r="V199" s="98"/>
      <c r="W199" s="43" t="s">
        <v>140</v>
      </c>
      <c r="X199" s="20" t="s">
        <v>112</v>
      </c>
      <c r="Y199" s="98"/>
      <c r="Z199" s="43" t="s">
        <v>140</v>
      </c>
      <c r="AA199" s="20" t="s">
        <v>112</v>
      </c>
      <c r="AB199" s="98"/>
      <c r="AC199" s="26"/>
      <c r="AD199" s="52" t="s">
        <v>713</v>
      </c>
      <c r="AE199" s="26">
        <f t="shared" si="51"/>
        <v>0</v>
      </c>
      <c r="AF199" s="26">
        <f t="shared" si="51"/>
        <v>0</v>
      </c>
      <c r="AG199" s="26"/>
      <c r="AH199" s="26"/>
      <c r="AI199" s="26"/>
      <c r="AJ199" s="26"/>
      <c r="AK199" s="26"/>
      <c r="AL199" s="26"/>
      <c r="AM199" s="26"/>
      <c r="AN199" s="26"/>
      <c r="AO199" s="26">
        <f t="shared" si="52"/>
        <v>0</v>
      </c>
      <c r="AP199" s="26"/>
      <c r="AQ199" s="26"/>
      <c r="AR199" s="26"/>
      <c r="AS199" s="26"/>
      <c r="AT199" s="26">
        <f t="shared" si="53"/>
        <v>0</v>
      </c>
      <c r="AU199" s="26"/>
      <c r="AV199" s="26"/>
      <c r="AW199" s="26"/>
      <c r="AX199" s="26"/>
      <c r="AY199" s="26">
        <f t="shared" si="54"/>
        <v>0</v>
      </c>
      <c r="AZ199" s="26"/>
      <c r="BA199" s="26"/>
      <c r="BB199" s="26"/>
      <c r="BC199" s="26"/>
      <c r="BD199" s="26">
        <f t="shared" si="55"/>
        <v>0</v>
      </c>
      <c r="BE199" s="26"/>
      <c r="BF199" s="26"/>
      <c r="BG199" s="26"/>
      <c r="BH199" s="26"/>
    </row>
    <row r="200" spans="1:60" ht="35.65" customHeight="1" thickBot="1">
      <c r="A200" s="27" t="s">
        <v>104</v>
      </c>
      <c r="B200" s="35"/>
      <c r="C200" s="98"/>
      <c r="D200" s="20"/>
      <c r="E200" s="20"/>
      <c r="F200" s="98"/>
      <c r="G200" s="98"/>
      <c r="H200" s="98"/>
      <c r="I200" s="98"/>
      <c r="J200" s="98"/>
      <c r="K200" s="20"/>
      <c r="L200" s="20"/>
      <c r="M200" s="98"/>
      <c r="N200" s="20"/>
      <c r="O200" s="98"/>
      <c r="P200" s="98"/>
      <c r="Q200" s="20"/>
      <c r="R200" s="98"/>
      <c r="S200" s="98"/>
      <c r="T200" s="101" t="s">
        <v>149</v>
      </c>
      <c r="U200" s="20" t="s">
        <v>112</v>
      </c>
      <c r="V200" s="98"/>
      <c r="W200" s="43"/>
      <c r="X200" s="20"/>
      <c r="Y200" s="98"/>
      <c r="Z200" s="43"/>
      <c r="AA200" s="20"/>
      <c r="AB200" s="98"/>
      <c r="AC200" s="26"/>
      <c r="AD200" s="52" t="s">
        <v>714</v>
      </c>
      <c r="AE200" s="26">
        <f t="shared" si="51"/>
        <v>4000</v>
      </c>
      <c r="AF200" s="26">
        <f t="shared" si="51"/>
        <v>4000</v>
      </c>
      <c r="AG200" s="26"/>
      <c r="AH200" s="26"/>
      <c r="AI200" s="26">
        <v>4000</v>
      </c>
      <c r="AJ200" s="26">
        <v>4000</v>
      </c>
      <c r="AK200" s="26"/>
      <c r="AL200" s="26"/>
      <c r="AM200" s="26"/>
      <c r="AN200" s="26"/>
      <c r="AO200" s="26">
        <f t="shared" si="52"/>
        <v>0</v>
      </c>
      <c r="AP200" s="26"/>
      <c r="AQ200" s="26">
        <f>3850-3850</f>
        <v>0</v>
      </c>
      <c r="AR200" s="26"/>
      <c r="AS200" s="26"/>
      <c r="AT200" s="26"/>
      <c r="AU200" s="26"/>
      <c r="AV200" s="26"/>
      <c r="AW200" s="26"/>
      <c r="AX200" s="26"/>
      <c r="AY200" s="26"/>
      <c r="AZ200" s="26"/>
      <c r="BA200" s="26"/>
      <c r="BB200" s="26"/>
      <c r="BC200" s="26"/>
      <c r="BD200" s="26"/>
      <c r="BE200" s="26"/>
      <c r="BF200" s="26"/>
      <c r="BG200" s="26"/>
      <c r="BH200" s="26"/>
    </row>
    <row r="201" spans="1:60" ht="35.65" customHeight="1" thickBot="1">
      <c r="A201" s="27" t="s">
        <v>131</v>
      </c>
      <c r="B201" s="35"/>
      <c r="C201" s="20" t="s">
        <v>105</v>
      </c>
      <c r="D201" s="20" t="s">
        <v>106</v>
      </c>
      <c r="E201" s="20" t="s">
        <v>107</v>
      </c>
      <c r="F201" s="20"/>
      <c r="G201" s="20"/>
      <c r="H201" s="20"/>
      <c r="I201" s="20"/>
      <c r="J201" s="20" t="s">
        <v>150</v>
      </c>
      <c r="K201" s="20" t="s">
        <v>109</v>
      </c>
      <c r="L201" s="20" t="s">
        <v>125</v>
      </c>
      <c r="M201" s="20"/>
      <c r="N201" s="20"/>
      <c r="O201" s="20"/>
      <c r="P201" s="20"/>
      <c r="Q201" s="20"/>
      <c r="R201" s="20"/>
      <c r="S201" s="20"/>
      <c r="T201" s="20"/>
      <c r="U201" s="20"/>
      <c r="V201" s="98"/>
      <c r="W201" s="98" t="s">
        <v>115</v>
      </c>
      <c r="X201" s="20" t="s">
        <v>112</v>
      </c>
      <c r="Y201" s="98"/>
      <c r="Z201" s="98" t="s">
        <v>115</v>
      </c>
      <c r="AA201" s="20" t="s">
        <v>112</v>
      </c>
      <c r="AB201" s="98"/>
      <c r="AC201" s="26"/>
      <c r="AD201" s="52" t="s">
        <v>715</v>
      </c>
      <c r="AE201" s="26">
        <f t="shared" si="51"/>
        <v>0</v>
      </c>
      <c r="AF201" s="26">
        <f t="shared" si="51"/>
        <v>0</v>
      </c>
      <c r="AG201" s="26"/>
      <c r="AH201" s="26"/>
      <c r="AI201" s="26"/>
      <c r="AJ201" s="26"/>
      <c r="AK201" s="26"/>
      <c r="AL201" s="26"/>
      <c r="AM201" s="26"/>
      <c r="AN201" s="26"/>
      <c r="AO201" s="26">
        <f t="shared" si="52"/>
        <v>0</v>
      </c>
      <c r="AP201" s="26"/>
      <c r="AQ201" s="26"/>
      <c r="AR201" s="26"/>
      <c r="AS201" s="26"/>
      <c r="AT201" s="26">
        <f t="shared" ref="AT201:AT204" si="56">AU201+AV201+AW201+AX201</f>
        <v>0</v>
      </c>
      <c r="AU201" s="26"/>
      <c r="AV201" s="26"/>
      <c r="AW201" s="26"/>
      <c r="AX201" s="26"/>
      <c r="AY201" s="26">
        <f t="shared" si="54"/>
        <v>0</v>
      </c>
      <c r="AZ201" s="26"/>
      <c r="BA201" s="26"/>
      <c r="BB201" s="26"/>
      <c r="BC201" s="26"/>
      <c r="BD201" s="26">
        <f t="shared" si="55"/>
        <v>0</v>
      </c>
      <c r="BE201" s="26"/>
      <c r="BF201" s="26"/>
      <c r="BG201" s="26"/>
      <c r="BH201" s="26"/>
    </row>
    <row r="202" spans="1:60" ht="35.65" customHeight="1" thickBot="1">
      <c r="A202" s="27" t="s">
        <v>131</v>
      </c>
      <c r="B202" s="35"/>
      <c r="C202" s="20" t="s">
        <v>105</v>
      </c>
      <c r="D202" s="20" t="s">
        <v>106</v>
      </c>
      <c r="E202" s="20" t="s">
        <v>107</v>
      </c>
      <c r="F202" s="98"/>
      <c r="G202" s="98"/>
      <c r="H202" s="98"/>
      <c r="I202" s="98"/>
      <c r="J202" s="20" t="s">
        <v>150</v>
      </c>
      <c r="K202" s="20" t="s">
        <v>109</v>
      </c>
      <c r="L202" s="20" t="s">
        <v>125</v>
      </c>
      <c r="M202" s="98"/>
      <c r="N202" s="98"/>
      <c r="O202" s="98"/>
      <c r="P202" s="98"/>
      <c r="Q202" s="98"/>
      <c r="R202" s="98"/>
      <c r="S202" s="98"/>
      <c r="T202" s="98"/>
      <c r="U202" s="98"/>
      <c r="V202" s="98"/>
      <c r="W202" s="98" t="s">
        <v>115</v>
      </c>
      <c r="X202" s="20" t="s">
        <v>112</v>
      </c>
      <c r="Y202" s="98"/>
      <c r="Z202" s="98" t="s">
        <v>115</v>
      </c>
      <c r="AA202" s="20" t="s">
        <v>112</v>
      </c>
      <c r="AB202" s="98"/>
      <c r="AC202" s="26"/>
      <c r="AD202" s="52" t="s">
        <v>716</v>
      </c>
      <c r="AE202" s="26">
        <f t="shared" si="51"/>
        <v>0</v>
      </c>
      <c r="AF202" s="26">
        <f t="shared" si="51"/>
        <v>0</v>
      </c>
      <c r="AG202" s="26"/>
      <c r="AH202" s="26"/>
      <c r="AI202" s="26"/>
      <c r="AJ202" s="26"/>
      <c r="AK202" s="26"/>
      <c r="AL202" s="26"/>
      <c r="AM202" s="26">
        <v>0</v>
      </c>
      <c r="AN202" s="26"/>
      <c r="AO202" s="26">
        <f t="shared" si="52"/>
        <v>0</v>
      </c>
      <c r="AP202" s="26"/>
      <c r="AQ202" s="26"/>
      <c r="AR202" s="26"/>
      <c r="AS202" s="26">
        <v>0</v>
      </c>
      <c r="AT202" s="26">
        <f t="shared" si="56"/>
        <v>0</v>
      </c>
      <c r="AU202" s="26"/>
      <c r="AV202" s="26"/>
      <c r="AW202" s="26"/>
      <c r="AX202" s="26">
        <v>0</v>
      </c>
      <c r="AY202" s="26">
        <f t="shared" si="54"/>
        <v>0</v>
      </c>
      <c r="AZ202" s="26"/>
      <c r="BA202" s="26"/>
      <c r="BB202" s="26"/>
      <c r="BC202" s="26">
        <v>0</v>
      </c>
      <c r="BD202" s="26">
        <f t="shared" si="55"/>
        <v>0</v>
      </c>
      <c r="BE202" s="26"/>
      <c r="BF202" s="26"/>
      <c r="BG202" s="26"/>
      <c r="BH202" s="26">
        <v>0</v>
      </c>
    </row>
    <row r="203" spans="1:60" ht="35.65" customHeight="1" thickBot="1">
      <c r="A203" s="27" t="s">
        <v>131</v>
      </c>
      <c r="B203" s="35"/>
      <c r="C203" s="20"/>
      <c r="D203" s="20"/>
      <c r="E203" s="20"/>
      <c r="F203" s="98"/>
      <c r="G203" s="98"/>
      <c r="H203" s="98"/>
      <c r="I203" s="98"/>
      <c r="J203" s="18"/>
      <c r="K203" s="20"/>
      <c r="L203" s="20"/>
      <c r="M203" s="100"/>
      <c r="N203" s="100"/>
      <c r="O203" s="100"/>
      <c r="P203" s="98"/>
      <c r="Q203" s="100"/>
      <c r="R203" s="98"/>
      <c r="S203" s="98"/>
      <c r="T203" s="98"/>
      <c r="U203" s="98"/>
      <c r="V203" s="98"/>
      <c r="W203" s="113"/>
      <c r="X203" s="20"/>
      <c r="Y203" s="98"/>
      <c r="Z203" s="98"/>
      <c r="AA203" s="20"/>
      <c r="AB203" s="98"/>
      <c r="AC203" s="26"/>
      <c r="AD203" s="52" t="s">
        <v>717</v>
      </c>
      <c r="AE203" s="26"/>
      <c r="AF203" s="26"/>
      <c r="AG203" s="26"/>
      <c r="AH203" s="26"/>
      <c r="AI203" s="26"/>
      <c r="AJ203" s="26"/>
      <c r="AK203" s="26"/>
      <c r="AL203" s="26"/>
      <c r="AM203" s="26"/>
      <c r="AN203" s="26"/>
      <c r="AO203" s="26">
        <f t="shared" si="52"/>
        <v>0</v>
      </c>
      <c r="AP203" s="26"/>
      <c r="AQ203" s="26"/>
      <c r="AR203" s="26"/>
      <c r="AS203" s="26">
        <f>2092-299.8-261.2-63.7-81-7.8-214.3-1164.2</f>
        <v>0</v>
      </c>
      <c r="AT203" s="26">
        <f t="shared" si="56"/>
        <v>2092</v>
      </c>
      <c r="AU203" s="26"/>
      <c r="AV203" s="26"/>
      <c r="AW203" s="26"/>
      <c r="AX203" s="26">
        <v>2092</v>
      </c>
      <c r="AY203" s="26">
        <f t="shared" si="54"/>
        <v>2092</v>
      </c>
      <c r="AZ203" s="26"/>
      <c r="BA203" s="26"/>
      <c r="BB203" s="26"/>
      <c r="BC203" s="26">
        <v>2092</v>
      </c>
      <c r="BD203" s="26">
        <f t="shared" si="55"/>
        <v>2092</v>
      </c>
      <c r="BE203" s="26"/>
      <c r="BF203" s="26"/>
      <c r="BG203" s="26"/>
      <c r="BH203" s="26">
        <v>2092</v>
      </c>
    </row>
    <row r="204" spans="1:60" ht="35.65" customHeight="1" thickBot="1">
      <c r="A204" s="31" t="s">
        <v>104</v>
      </c>
      <c r="B204" s="106"/>
      <c r="C204" s="101"/>
      <c r="D204" s="20"/>
      <c r="E204" s="20"/>
      <c r="F204" s="101"/>
      <c r="G204" s="101"/>
      <c r="H204" s="101"/>
      <c r="I204" s="101"/>
      <c r="J204" s="18"/>
      <c r="K204" s="20"/>
      <c r="L204" s="20"/>
      <c r="M204" s="36"/>
      <c r="N204" s="18"/>
      <c r="O204" s="18"/>
      <c r="P204" s="102"/>
      <c r="Q204" s="18"/>
      <c r="R204" s="101"/>
      <c r="S204" s="101"/>
      <c r="T204" s="101" t="s">
        <v>151</v>
      </c>
      <c r="U204" s="20" t="s">
        <v>112</v>
      </c>
      <c r="V204" s="101"/>
      <c r="W204" s="114" t="s">
        <v>151</v>
      </c>
      <c r="X204" s="20" t="s">
        <v>112</v>
      </c>
      <c r="Y204" s="101"/>
      <c r="Z204" s="101" t="s">
        <v>151</v>
      </c>
      <c r="AA204" s="20" t="s">
        <v>112</v>
      </c>
      <c r="AB204" s="101"/>
      <c r="AC204" s="34"/>
      <c r="AD204" s="52" t="s">
        <v>718</v>
      </c>
      <c r="AE204" s="26">
        <f t="shared" si="51"/>
        <v>0</v>
      </c>
      <c r="AF204" s="26">
        <f t="shared" si="51"/>
        <v>0</v>
      </c>
      <c r="AG204" s="34"/>
      <c r="AH204" s="34"/>
      <c r="AI204" s="34"/>
      <c r="AJ204" s="34"/>
      <c r="AK204" s="34"/>
      <c r="AL204" s="34"/>
      <c r="AM204" s="34"/>
      <c r="AN204" s="34"/>
      <c r="AO204" s="26">
        <f t="shared" si="52"/>
        <v>0</v>
      </c>
      <c r="AP204" s="34"/>
      <c r="AQ204" s="34"/>
      <c r="AR204" s="34"/>
      <c r="AS204" s="34"/>
      <c r="AT204" s="26">
        <f t="shared" si="56"/>
        <v>0</v>
      </c>
      <c r="AU204" s="34"/>
      <c r="AV204" s="34"/>
      <c r="AW204" s="34"/>
      <c r="AX204" s="34"/>
      <c r="AY204" s="26">
        <f t="shared" si="54"/>
        <v>0</v>
      </c>
      <c r="AZ204" s="34"/>
      <c r="BA204" s="34"/>
      <c r="BB204" s="34"/>
      <c r="BC204" s="34"/>
      <c r="BD204" s="26">
        <f t="shared" si="55"/>
        <v>0</v>
      </c>
      <c r="BE204" s="34"/>
      <c r="BF204" s="34"/>
      <c r="BG204" s="34"/>
      <c r="BH204" s="34"/>
    </row>
    <row r="205" spans="1:60" ht="35.65" customHeight="1" thickBot="1">
      <c r="A205" s="31" t="s">
        <v>104</v>
      </c>
      <c r="B205" s="106"/>
      <c r="C205" s="111" t="s">
        <v>141</v>
      </c>
      <c r="D205" s="111" t="s">
        <v>142</v>
      </c>
      <c r="E205" s="111" t="s">
        <v>143</v>
      </c>
      <c r="F205" s="111"/>
      <c r="G205" s="111"/>
      <c r="H205" s="111"/>
      <c r="I205" s="111"/>
      <c r="J205" s="53" t="s">
        <v>144</v>
      </c>
      <c r="K205" s="111" t="s">
        <v>145</v>
      </c>
      <c r="L205" s="111" t="s">
        <v>146</v>
      </c>
      <c r="M205" s="111"/>
      <c r="N205" s="111"/>
      <c r="O205" s="111"/>
      <c r="P205" s="52" t="s">
        <v>147</v>
      </c>
      <c r="Q205" s="111" t="s">
        <v>112</v>
      </c>
      <c r="R205" s="111"/>
      <c r="S205" s="101"/>
      <c r="T205" s="101"/>
      <c r="U205" s="18"/>
      <c r="V205" s="101"/>
      <c r="W205" s="114"/>
      <c r="X205" s="20"/>
      <c r="Y205" s="101"/>
      <c r="Z205" s="101"/>
      <c r="AA205" s="20"/>
      <c r="AB205" s="101"/>
      <c r="AC205" s="34"/>
      <c r="AD205" s="52" t="s">
        <v>719</v>
      </c>
      <c r="AE205" s="26">
        <f t="shared" si="51"/>
        <v>0</v>
      </c>
      <c r="AF205" s="26">
        <f t="shared" si="51"/>
        <v>0</v>
      </c>
      <c r="AG205" s="34"/>
      <c r="AH205" s="34"/>
      <c r="AI205" s="34"/>
      <c r="AJ205" s="34"/>
      <c r="AK205" s="34"/>
      <c r="AL205" s="34"/>
      <c r="AM205" s="34"/>
      <c r="AN205" s="34"/>
      <c r="AO205" s="26"/>
      <c r="AP205" s="34"/>
      <c r="AQ205" s="34"/>
      <c r="AR205" s="34"/>
      <c r="AS205" s="34"/>
      <c r="AT205" s="26"/>
      <c r="AU205" s="34"/>
      <c r="AV205" s="34"/>
      <c r="AW205" s="34"/>
      <c r="AX205" s="34"/>
      <c r="AY205" s="26"/>
      <c r="AZ205" s="34"/>
      <c r="BA205" s="34"/>
      <c r="BB205" s="34"/>
      <c r="BC205" s="34"/>
      <c r="BD205" s="26"/>
      <c r="BE205" s="34"/>
      <c r="BF205" s="34"/>
      <c r="BG205" s="34"/>
      <c r="BH205" s="34"/>
    </row>
    <row r="206" spans="1:60" ht="35.65" customHeight="1" thickBot="1">
      <c r="A206" s="31" t="s">
        <v>104</v>
      </c>
      <c r="B206" s="106"/>
      <c r="C206" s="101" t="s">
        <v>105</v>
      </c>
      <c r="D206" s="20" t="s">
        <v>117</v>
      </c>
      <c r="E206" s="20" t="s">
        <v>107</v>
      </c>
      <c r="F206" s="101"/>
      <c r="G206" s="101"/>
      <c r="H206" s="101"/>
      <c r="I206" s="101"/>
      <c r="J206" s="18" t="s">
        <v>118</v>
      </c>
      <c r="K206" s="20" t="s">
        <v>109</v>
      </c>
      <c r="L206" s="20" t="s">
        <v>119</v>
      </c>
      <c r="M206" s="36" t="s">
        <v>120</v>
      </c>
      <c r="N206" s="18" t="s">
        <v>112</v>
      </c>
      <c r="O206" s="18" t="s">
        <v>121</v>
      </c>
      <c r="P206" s="102" t="s">
        <v>122</v>
      </c>
      <c r="Q206" s="18" t="s">
        <v>112</v>
      </c>
      <c r="R206" s="102"/>
      <c r="S206" s="102"/>
      <c r="T206" s="20" t="s">
        <v>152</v>
      </c>
      <c r="U206" s="18" t="s">
        <v>112</v>
      </c>
      <c r="V206" s="102"/>
      <c r="W206" s="101" t="s">
        <v>115</v>
      </c>
      <c r="X206" s="20" t="s">
        <v>112</v>
      </c>
      <c r="Y206" s="101"/>
      <c r="Z206" s="101" t="s">
        <v>115</v>
      </c>
      <c r="AA206" s="20" t="s">
        <v>112</v>
      </c>
      <c r="AB206" s="98"/>
      <c r="AC206" s="34"/>
      <c r="AD206" s="52" t="s">
        <v>720</v>
      </c>
      <c r="AE206" s="26">
        <f t="shared" si="51"/>
        <v>0</v>
      </c>
      <c r="AF206" s="26">
        <f>AH206+AJ206+AL206+AN206</f>
        <v>0</v>
      </c>
      <c r="AG206" s="34"/>
      <c r="AH206" s="34"/>
      <c r="AI206" s="34"/>
      <c r="AJ206" s="34"/>
      <c r="AK206" s="34"/>
      <c r="AL206" s="34"/>
      <c r="AM206" s="34"/>
      <c r="AN206" s="34"/>
      <c r="AO206" s="26">
        <f t="shared" si="52"/>
        <v>0</v>
      </c>
      <c r="AP206" s="34"/>
      <c r="AQ206" s="34"/>
      <c r="AR206" s="34"/>
      <c r="AS206" s="34"/>
      <c r="AT206" s="26">
        <f t="shared" ref="AT206:AT222" si="57">AU206+AV206+AW206+AX206</f>
        <v>0</v>
      </c>
      <c r="AU206" s="34"/>
      <c r="AV206" s="34"/>
      <c r="AW206" s="34"/>
      <c r="AX206" s="34"/>
      <c r="AY206" s="26">
        <f t="shared" si="54"/>
        <v>0</v>
      </c>
      <c r="AZ206" s="34"/>
      <c r="BA206" s="34"/>
      <c r="BB206" s="34"/>
      <c r="BC206" s="34"/>
      <c r="BD206" s="26">
        <f>BE206+BF206+BG206+BH206</f>
        <v>0</v>
      </c>
      <c r="BE206" s="34"/>
      <c r="BF206" s="34"/>
      <c r="BG206" s="34"/>
      <c r="BH206" s="34"/>
    </row>
    <row r="207" spans="1:60" ht="35.65" customHeight="1" thickBot="1">
      <c r="A207" s="31" t="s">
        <v>104</v>
      </c>
      <c r="B207" s="106"/>
      <c r="C207" s="111" t="s">
        <v>141</v>
      </c>
      <c r="D207" s="111" t="s">
        <v>142</v>
      </c>
      <c r="E207" s="111" t="s">
        <v>143</v>
      </c>
      <c r="F207" s="111"/>
      <c r="G207" s="111"/>
      <c r="H207" s="111"/>
      <c r="I207" s="111"/>
      <c r="J207" s="53" t="s">
        <v>144</v>
      </c>
      <c r="K207" s="111" t="s">
        <v>145</v>
      </c>
      <c r="L207" s="111" t="s">
        <v>146</v>
      </c>
      <c r="M207" s="111"/>
      <c r="N207" s="111"/>
      <c r="O207" s="111"/>
      <c r="P207" s="52" t="s">
        <v>147</v>
      </c>
      <c r="Q207" s="111" t="s">
        <v>112</v>
      </c>
      <c r="R207" s="111"/>
      <c r="S207" s="102"/>
      <c r="T207" s="20"/>
      <c r="U207" s="18"/>
      <c r="V207" s="102"/>
      <c r="W207" s="101"/>
      <c r="X207" s="20"/>
      <c r="Y207" s="101"/>
      <c r="Z207" s="101"/>
      <c r="AA207" s="20"/>
      <c r="AB207" s="98"/>
      <c r="AC207" s="34"/>
      <c r="AD207" s="52" t="s">
        <v>721</v>
      </c>
      <c r="AE207" s="26">
        <f t="shared" si="51"/>
        <v>0</v>
      </c>
      <c r="AF207" s="26">
        <f t="shared" si="51"/>
        <v>0</v>
      </c>
      <c r="AG207" s="26"/>
      <c r="AH207" s="26"/>
      <c r="AI207" s="26"/>
      <c r="AJ207" s="26"/>
      <c r="AK207" s="26"/>
      <c r="AL207" s="26"/>
      <c r="AM207" s="26"/>
      <c r="AN207" s="26"/>
      <c r="AO207" s="26">
        <f t="shared" si="52"/>
        <v>0</v>
      </c>
      <c r="AP207" s="26"/>
      <c r="AQ207" s="26"/>
      <c r="AR207" s="26"/>
      <c r="AS207" s="26"/>
      <c r="AT207" s="26">
        <f t="shared" si="57"/>
        <v>0</v>
      </c>
      <c r="AU207" s="26"/>
      <c r="AV207" s="26"/>
      <c r="AW207" s="26"/>
      <c r="AX207" s="26"/>
      <c r="AY207" s="26">
        <f t="shared" si="54"/>
        <v>0</v>
      </c>
      <c r="AZ207" s="26"/>
      <c r="BA207" s="26">
        <v>0</v>
      </c>
      <c r="BB207" s="26"/>
      <c r="BC207" s="26">
        <v>0</v>
      </c>
      <c r="BD207" s="26">
        <f>BE207+BF207+BG207+BH207</f>
        <v>0</v>
      </c>
      <c r="BE207" s="26"/>
      <c r="BF207" s="26">
        <v>0</v>
      </c>
      <c r="BG207" s="26"/>
      <c r="BH207" s="26">
        <v>0</v>
      </c>
    </row>
    <row r="208" spans="1:60" ht="35.65" customHeight="1" thickBot="1">
      <c r="A208" s="31" t="s">
        <v>104</v>
      </c>
      <c r="B208" s="106"/>
      <c r="C208" s="111" t="s">
        <v>141</v>
      </c>
      <c r="D208" s="111" t="s">
        <v>142</v>
      </c>
      <c r="E208" s="111" t="s">
        <v>143</v>
      </c>
      <c r="F208" s="111"/>
      <c r="G208" s="111"/>
      <c r="H208" s="111"/>
      <c r="I208" s="111"/>
      <c r="J208" s="53" t="s">
        <v>144</v>
      </c>
      <c r="K208" s="111" t="s">
        <v>145</v>
      </c>
      <c r="L208" s="111" t="s">
        <v>146</v>
      </c>
      <c r="M208" s="111"/>
      <c r="N208" s="111"/>
      <c r="O208" s="111"/>
      <c r="P208" s="52" t="s">
        <v>147</v>
      </c>
      <c r="Q208" s="111" t="s">
        <v>112</v>
      </c>
      <c r="R208" s="111"/>
      <c r="S208" s="102"/>
      <c r="T208" s="20"/>
      <c r="U208" s="18"/>
      <c r="V208" s="102"/>
      <c r="W208" s="101"/>
      <c r="X208" s="20"/>
      <c r="Y208" s="101"/>
      <c r="Z208" s="101"/>
      <c r="AA208" s="20"/>
      <c r="AB208" s="98"/>
      <c r="AC208" s="34"/>
      <c r="AD208" s="52" t="s">
        <v>722</v>
      </c>
      <c r="AE208" s="26">
        <f t="shared" si="51"/>
        <v>0</v>
      </c>
      <c r="AF208" s="26">
        <f t="shared" si="51"/>
        <v>0</v>
      </c>
      <c r="AG208" s="26">
        <f>1038.7-1038.7</f>
        <v>0</v>
      </c>
      <c r="AH208" s="26"/>
      <c r="AI208" s="26"/>
      <c r="AJ208" s="26"/>
      <c r="AK208" s="26"/>
      <c r="AL208" s="26"/>
      <c r="AM208" s="26">
        <f>20.8-20.8</f>
        <v>0</v>
      </c>
      <c r="AN208" s="26"/>
      <c r="AO208" s="26">
        <f t="shared" si="52"/>
        <v>0</v>
      </c>
      <c r="AP208" s="26"/>
      <c r="AQ208" s="26"/>
      <c r="AR208" s="26"/>
      <c r="AS208" s="26"/>
      <c r="AT208" s="26">
        <f t="shared" si="57"/>
        <v>0</v>
      </c>
      <c r="AU208" s="26"/>
      <c r="AV208" s="26"/>
      <c r="AW208" s="26"/>
      <c r="AX208" s="26"/>
      <c r="AY208" s="26">
        <f t="shared" si="54"/>
        <v>0</v>
      </c>
      <c r="AZ208" s="26"/>
      <c r="BA208" s="26"/>
      <c r="BB208" s="26"/>
      <c r="BC208" s="26"/>
      <c r="BD208" s="26">
        <f>BE208+BF208+BG208+BH208</f>
        <v>0</v>
      </c>
      <c r="BE208" s="26"/>
      <c r="BF208" s="26"/>
      <c r="BG208" s="26"/>
      <c r="BH208" s="26"/>
    </row>
    <row r="209" spans="1:60" ht="35.65" customHeight="1" thickBot="1">
      <c r="A209" s="31" t="s">
        <v>104</v>
      </c>
      <c r="B209" s="106"/>
      <c r="C209" s="115" t="s">
        <v>141</v>
      </c>
      <c r="D209" s="115" t="s">
        <v>142</v>
      </c>
      <c r="E209" s="115" t="s">
        <v>143</v>
      </c>
      <c r="F209" s="111"/>
      <c r="G209" s="111"/>
      <c r="H209" s="111"/>
      <c r="I209" s="111"/>
      <c r="J209" s="62"/>
      <c r="K209" s="116" t="s">
        <v>153</v>
      </c>
      <c r="L209" s="116" t="s">
        <v>154</v>
      </c>
      <c r="M209" s="115"/>
      <c r="N209" s="117"/>
      <c r="O209" s="117"/>
      <c r="P209" s="115" t="s">
        <v>155</v>
      </c>
      <c r="Q209" s="117" t="s">
        <v>112</v>
      </c>
      <c r="R209" s="115" t="s">
        <v>156</v>
      </c>
      <c r="S209" s="118"/>
      <c r="T209" s="116" t="s">
        <v>157</v>
      </c>
      <c r="U209" s="20" t="s">
        <v>112</v>
      </c>
      <c r="V209" s="102"/>
      <c r="W209" s="101"/>
      <c r="X209" s="20"/>
      <c r="Y209" s="101"/>
      <c r="Z209" s="101"/>
      <c r="AA209" s="20"/>
      <c r="AB209" s="98"/>
      <c r="AC209" s="34"/>
      <c r="AD209" s="52" t="s">
        <v>723</v>
      </c>
      <c r="AE209" s="26">
        <f t="shared" si="51"/>
        <v>0</v>
      </c>
      <c r="AF209" s="26">
        <f t="shared" si="51"/>
        <v>0</v>
      </c>
      <c r="AG209" s="26"/>
      <c r="AH209" s="26"/>
      <c r="AI209" s="26"/>
      <c r="AJ209" s="26"/>
      <c r="AK209" s="26"/>
      <c r="AL209" s="26"/>
      <c r="AM209" s="26"/>
      <c r="AN209" s="26"/>
      <c r="AO209" s="26">
        <f t="shared" si="52"/>
        <v>0</v>
      </c>
      <c r="AP209" s="26"/>
      <c r="AQ209" s="26"/>
      <c r="AR209" s="26"/>
      <c r="AS209" s="26"/>
      <c r="AT209" s="26">
        <f t="shared" si="57"/>
        <v>0</v>
      </c>
      <c r="AU209" s="26"/>
      <c r="AV209" s="26"/>
      <c r="AW209" s="26"/>
      <c r="AX209" s="26"/>
      <c r="AY209" s="26">
        <f t="shared" si="54"/>
        <v>0</v>
      </c>
      <c r="AZ209" s="26"/>
      <c r="BA209" s="26"/>
      <c r="BB209" s="26"/>
      <c r="BC209" s="26"/>
      <c r="BD209" s="26">
        <f>BE209+BF209+BG209+BH209</f>
        <v>0</v>
      </c>
      <c r="BE209" s="26"/>
      <c r="BF209" s="26"/>
      <c r="BG209" s="26"/>
      <c r="BH209" s="26"/>
    </row>
    <row r="210" spans="1:60" ht="35.65" customHeight="1" thickBot="1">
      <c r="A210" s="31" t="s">
        <v>104</v>
      </c>
      <c r="B210" s="106"/>
      <c r="C210" s="115" t="s">
        <v>141</v>
      </c>
      <c r="D210" s="115" t="s">
        <v>142</v>
      </c>
      <c r="E210" s="115" t="s">
        <v>143</v>
      </c>
      <c r="F210" s="117"/>
      <c r="G210" s="117"/>
      <c r="H210" s="117"/>
      <c r="I210" s="117"/>
      <c r="J210" s="87" t="s">
        <v>158</v>
      </c>
      <c r="K210" s="116" t="s">
        <v>153</v>
      </c>
      <c r="L210" s="116" t="s">
        <v>154</v>
      </c>
      <c r="M210" s="115"/>
      <c r="N210" s="117"/>
      <c r="O210" s="117"/>
      <c r="P210" s="115" t="s">
        <v>155</v>
      </c>
      <c r="Q210" s="117" t="s">
        <v>112</v>
      </c>
      <c r="R210" s="115" t="s">
        <v>156</v>
      </c>
      <c r="S210" s="118"/>
      <c r="T210" s="116" t="s">
        <v>157</v>
      </c>
      <c r="U210" s="20" t="s">
        <v>112</v>
      </c>
      <c r="V210" s="118"/>
      <c r="W210" s="118"/>
      <c r="X210" s="118"/>
      <c r="Y210" s="118"/>
      <c r="Z210" s="118"/>
      <c r="AA210" s="118"/>
      <c r="AB210" s="118"/>
      <c r="AC210" s="34"/>
      <c r="AD210" s="52" t="s">
        <v>724</v>
      </c>
      <c r="AE210" s="26">
        <f t="shared" si="51"/>
        <v>0</v>
      </c>
      <c r="AF210" s="26">
        <f t="shared" si="51"/>
        <v>0</v>
      </c>
      <c r="AG210" s="26">
        <f>1935.3-1935.3</f>
        <v>0</v>
      </c>
      <c r="AH210" s="26"/>
      <c r="AI210" s="26"/>
      <c r="AJ210" s="26"/>
      <c r="AK210" s="26"/>
      <c r="AL210" s="26"/>
      <c r="AM210" s="26"/>
      <c r="AN210" s="26"/>
      <c r="AO210" s="26">
        <f t="shared" si="52"/>
        <v>0</v>
      </c>
      <c r="AP210" s="26">
        <f>96.7-96.7</f>
        <v>0</v>
      </c>
      <c r="AQ210" s="26"/>
      <c r="AR210" s="26"/>
      <c r="AS210" s="26"/>
      <c r="AT210" s="26">
        <f t="shared" si="57"/>
        <v>0</v>
      </c>
      <c r="AU210" s="26">
        <f>96.7-96.7</f>
        <v>0</v>
      </c>
      <c r="AV210" s="26"/>
      <c r="AW210" s="26"/>
      <c r="AX210" s="26"/>
      <c r="AY210" s="26">
        <f t="shared" si="54"/>
        <v>0</v>
      </c>
      <c r="AZ210" s="26">
        <f>96.7-96.7</f>
        <v>0</v>
      </c>
      <c r="BA210" s="26"/>
      <c r="BB210" s="26"/>
      <c r="BC210" s="26"/>
      <c r="BD210" s="26">
        <f>BE210+BF210+BG210+BH210</f>
        <v>0</v>
      </c>
      <c r="BE210" s="26">
        <f>96.7-96.7</f>
        <v>0</v>
      </c>
      <c r="BF210" s="26"/>
      <c r="BG210" s="26"/>
      <c r="BH210" s="26"/>
    </row>
    <row r="211" spans="1:60" ht="35.65" customHeight="1" thickBot="1">
      <c r="A211" s="31" t="s">
        <v>104</v>
      </c>
      <c r="B211" s="106"/>
      <c r="C211" s="115" t="s">
        <v>141</v>
      </c>
      <c r="D211" s="115" t="s">
        <v>142</v>
      </c>
      <c r="E211" s="115" t="s">
        <v>143</v>
      </c>
      <c r="F211" s="117"/>
      <c r="G211" s="117"/>
      <c r="H211" s="117"/>
      <c r="I211" s="117"/>
      <c r="J211" s="87" t="s">
        <v>158</v>
      </c>
      <c r="K211" s="116" t="s">
        <v>153</v>
      </c>
      <c r="L211" s="116" t="s">
        <v>154</v>
      </c>
      <c r="M211" s="115"/>
      <c r="N211" s="117"/>
      <c r="O211" s="117"/>
      <c r="P211" s="115" t="s">
        <v>155</v>
      </c>
      <c r="Q211" s="117" t="s">
        <v>112</v>
      </c>
      <c r="R211" s="115" t="s">
        <v>156</v>
      </c>
      <c r="S211" s="118"/>
      <c r="T211" s="116" t="s">
        <v>157</v>
      </c>
      <c r="U211" s="20" t="s">
        <v>112</v>
      </c>
      <c r="V211" s="118"/>
      <c r="W211" s="118"/>
      <c r="X211" s="118"/>
      <c r="Y211" s="118"/>
      <c r="Z211" s="118"/>
      <c r="AA211" s="118"/>
      <c r="AB211" s="118"/>
      <c r="AC211" s="34"/>
      <c r="AD211" s="52" t="s">
        <v>725</v>
      </c>
      <c r="AE211" s="26">
        <f t="shared" si="51"/>
        <v>0</v>
      </c>
      <c r="AF211" s="26">
        <f t="shared" si="51"/>
        <v>0</v>
      </c>
      <c r="AG211" s="26"/>
      <c r="AH211" s="26"/>
      <c r="AI211" s="26"/>
      <c r="AJ211" s="26"/>
      <c r="AK211" s="26"/>
      <c r="AL211" s="26"/>
      <c r="AM211" s="26"/>
      <c r="AN211" s="26"/>
      <c r="AO211" s="26">
        <f t="shared" si="52"/>
        <v>0</v>
      </c>
      <c r="AP211" s="26"/>
      <c r="AQ211" s="26"/>
      <c r="AR211" s="26"/>
      <c r="AS211" s="26"/>
      <c r="AT211" s="26">
        <f t="shared" si="57"/>
        <v>0</v>
      </c>
      <c r="AU211" s="26"/>
      <c r="AV211" s="26"/>
      <c r="AW211" s="26"/>
      <c r="AX211" s="26"/>
      <c r="AY211" s="26">
        <f t="shared" si="54"/>
        <v>0</v>
      </c>
      <c r="AZ211" s="26">
        <v>0</v>
      </c>
      <c r="BA211" s="26">
        <v>0</v>
      </c>
      <c r="BB211" s="26"/>
      <c r="BC211" s="26">
        <v>0</v>
      </c>
      <c r="BD211" s="26">
        <f t="shared" ref="BD211:BD222" si="58">BE211+BF211+BG211+BH211</f>
        <v>0</v>
      </c>
      <c r="BE211" s="26">
        <v>0</v>
      </c>
      <c r="BF211" s="26">
        <v>0</v>
      </c>
      <c r="BG211" s="26"/>
      <c r="BH211" s="26">
        <v>0</v>
      </c>
    </row>
    <row r="212" spans="1:60" ht="35.65" customHeight="1" thickBot="1">
      <c r="A212" s="31" t="s">
        <v>104</v>
      </c>
      <c r="B212" s="106"/>
      <c r="C212" s="115"/>
      <c r="D212" s="115"/>
      <c r="E212" s="115"/>
      <c r="F212" s="117"/>
      <c r="G212" s="117"/>
      <c r="H212" s="117"/>
      <c r="I212" s="117"/>
      <c r="J212" s="87"/>
      <c r="K212" s="116"/>
      <c r="L212" s="116"/>
      <c r="M212" s="115"/>
      <c r="N212" s="117"/>
      <c r="O212" s="117"/>
      <c r="P212" s="115"/>
      <c r="Q212" s="117"/>
      <c r="R212" s="115"/>
      <c r="S212" s="118"/>
      <c r="T212" s="116"/>
      <c r="U212" s="20"/>
      <c r="V212" s="118"/>
      <c r="W212" s="118"/>
      <c r="X212" s="118"/>
      <c r="Y212" s="118"/>
      <c r="Z212" s="118"/>
      <c r="AA212" s="118"/>
      <c r="AB212" s="118"/>
      <c r="AC212" s="34"/>
      <c r="AD212" s="52" t="s">
        <v>726</v>
      </c>
      <c r="AE212" s="26"/>
      <c r="AF212" s="26"/>
      <c r="AG212" s="26"/>
      <c r="AH212" s="26"/>
      <c r="AI212" s="26"/>
      <c r="AJ212" s="26"/>
      <c r="AK212" s="26"/>
      <c r="AL212" s="26"/>
      <c r="AM212" s="26"/>
      <c r="AN212" s="26"/>
      <c r="AO212" s="26">
        <f t="shared" si="52"/>
        <v>383.3</v>
      </c>
      <c r="AP212" s="26">
        <v>364.2</v>
      </c>
      <c r="AQ212" s="26">
        <v>19.100000000000001</v>
      </c>
      <c r="AR212" s="26"/>
      <c r="AS212" s="26"/>
      <c r="AT212" s="26">
        <f t="shared" si="57"/>
        <v>1907.8000000000002</v>
      </c>
      <c r="AU212" s="26">
        <v>1812.4</v>
      </c>
      <c r="AV212" s="26">
        <v>95.4</v>
      </c>
      <c r="AW212" s="26"/>
      <c r="AX212" s="26"/>
      <c r="AY212" s="26">
        <f t="shared" si="54"/>
        <v>1907.8000000000002</v>
      </c>
      <c r="AZ212" s="26">
        <v>1812.4</v>
      </c>
      <c r="BA212" s="26">
        <v>95.4</v>
      </c>
      <c r="BB212" s="26"/>
      <c r="BC212" s="26"/>
      <c r="BD212" s="26">
        <f t="shared" si="58"/>
        <v>1907.8000000000002</v>
      </c>
      <c r="BE212" s="26">
        <v>1812.4</v>
      </c>
      <c r="BF212" s="26">
        <v>95.4</v>
      </c>
      <c r="BG212" s="26"/>
      <c r="BH212" s="26"/>
    </row>
    <row r="213" spans="1:60" ht="35.65" customHeight="1" thickBot="1">
      <c r="A213" s="31" t="s">
        <v>104</v>
      </c>
      <c r="B213" s="106"/>
      <c r="C213" s="115"/>
      <c r="D213" s="115"/>
      <c r="E213" s="115"/>
      <c r="F213" s="117"/>
      <c r="G213" s="117"/>
      <c r="H213" s="117"/>
      <c r="I213" s="117"/>
      <c r="J213" s="87"/>
      <c r="K213" s="116"/>
      <c r="L213" s="116"/>
      <c r="M213" s="115"/>
      <c r="N213" s="117"/>
      <c r="O213" s="117"/>
      <c r="P213" s="115"/>
      <c r="Q213" s="117"/>
      <c r="R213" s="115"/>
      <c r="S213" s="118"/>
      <c r="T213" s="116"/>
      <c r="U213" s="20"/>
      <c r="V213" s="118"/>
      <c r="W213" s="118"/>
      <c r="X213" s="118"/>
      <c r="Y213" s="118"/>
      <c r="Z213" s="118"/>
      <c r="AA213" s="118"/>
      <c r="AB213" s="118"/>
      <c r="AC213" s="34"/>
      <c r="AD213" s="52" t="s">
        <v>727</v>
      </c>
      <c r="AE213" s="26"/>
      <c r="AF213" s="26"/>
      <c r="AG213" s="26"/>
      <c r="AH213" s="26"/>
      <c r="AI213" s="26"/>
      <c r="AJ213" s="26"/>
      <c r="AK213" s="26"/>
      <c r="AL213" s="26"/>
      <c r="AM213" s="26"/>
      <c r="AN213" s="26"/>
      <c r="AO213" s="26">
        <f t="shared" si="52"/>
        <v>127.80000000000001</v>
      </c>
      <c r="AP213" s="26">
        <v>121.4</v>
      </c>
      <c r="AQ213" s="26">
        <v>6.4</v>
      </c>
      <c r="AR213" s="26"/>
      <c r="AS213" s="26"/>
      <c r="AT213" s="26">
        <f t="shared" si="57"/>
        <v>381.6</v>
      </c>
      <c r="AU213" s="26">
        <v>362.5</v>
      </c>
      <c r="AV213" s="26">
        <v>19.100000000000001</v>
      </c>
      <c r="AW213" s="26"/>
      <c r="AX213" s="26"/>
      <c r="AY213" s="26">
        <f t="shared" si="54"/>
        <v>381.6</v>
      </c>
      <c r="AZ213" s="26">
        <v>362.5</v>
      </c>
      <c r="BA213" s="26">
        <v>19.100000000000001</v>
      </c>
      <c r="BB213" s="26"/>
      <c r="BC213" s="26"/>
      <c r="BD213" s="26">
        <f t="shared" si="58"/>
        <v>381.6</v>
      </c>
      <c r="BE213" s="26">
        <v>362.5</v>
      </c>
      <c r="BF213" s="26">
        <v>19.100000000000001</v>
      </c>
      <c r="BG213" s="26"/>
      <c r="BH213" s="26"/>
    </row>
    <row r="214" spans="1:60" ht="35.65" customHeight="1" thickBot="1">
      <c r="A214" s="27" t="s">
        <v>131</v>
      </c>
      <c r="B214" s="35"/>
      <c r="C214" s="20" t="s">
        <v>105</v>
      </c>
      <c r="D214" s="20" t="s">
        <v>106</v>
      </c>
      <c r="E214" s="20" t="s">
        <v>107</v>
      </c>
      <c r="F214" s="98"/>
      <c r="G214" s="98"/>
      <c r="H214" s="98"/>
      <c r="I214" s="98"/>
      <c r="J214" s="20" t="s">
        <v>150</v>
      </c>
      <c r="K214" s="20" t="s">
        <v>109</v>
      </c>
      <c r="L214" s="20" t="s">
        <v>125</v>
      </c>
      <c r="M214" s="98"/>
      <c r="N214" s="98"/>
      <c r="O214" s="98"/>
      <c r="P214" s="98"/>
      <c r="Q214" s="98"/>
      <c r="R214" s="98"/>
      <c r="S214" s="98"/>
      <c r="T214" s="98"/>
      <c r="U214" s="98"/>
      <c r="V214" s="98"/>
      <c r="W214" s="98" t="s">
        <v>115</v>
      </c>
      <c r="X214" s="20" t="s">
        <v>112</v>
      </c>
      <c r="Y214" s="98"/>
      <c r="Z214" s="98" t="s">
        <v>115</v>
      </c>
      <c r="AA214" s="20" t="s">
        <v>112</v>
      </c>
      <c r="AB214" s="98"/>
      <c r="AC214" s="26"/>
      <c r="AD214" s="52" t="s">
        <v>728</v>
      </c>
      <c r="AE214" s="26">
        <f t="shared" si="51"/>
        <v>4928.9000000000005</v>
      </c>
      <c r="AF214" s="26">
        <f t="shared" si="51"/>
        <v>4926.3999999999996</v>
      </c>
      <c r="AG214" s="26"/>
      <c r="AH214" s="26"/>
      <c r="AI214" s="26"/>
      <c r="AJ214" s="26"/>
      <c r="AK214" s="26"/>
      <c r="AL214" s="26"/>
      <c r="AM214" s="26">
        <f>4496.6+8-20.5+252.6+198.8-82+75.4</f>
        <v>4928.9000000000005</v>
      </c>
      <c r="AN214" s="26">
        <v>4926.3999999999996</v>
      </c>
      <c r="AO214" s="26">
        <f t="shared" si="52"/>
        <v>5375.7</v>
      </c>
      <c r="AP214" s="26"/>
      <c r="AQ214" s="26"/>
      <c r="AR214" s="26"/>
      <c r="AS214" s="26">
        <f>4376+176.7-17.2+300+477.2+93-30</f>
        <v>5375.7</v>
      </c>
      <c r="AT214" s="26">
        <f t="shared" si="57"/>
        <v>4376</v>
      </c>
      <c r="AU214" s="26"/>
      <c r="AV214" s="26"/>
      <c r="AW214" s="26"/>
      <c r="AX214" s="26">
        <v>4376</v>
      </c>
      <c r="AY214" s="26">
        <f t="shared" si="54"/>
        <v>4376</v>
      </c>
      <c r="AZ214" s="26"/>
      <c r="BA214" s="26"/>
      <c r="BB214" s="26"/>
      <c r="BC214" s="26">
        <v>4376</v>
      </c>
      <c r="BD214" s="26">
        <f t="shared" si="58"/>
        <v>4376</v>
      </c>
      <c r="BE214" s="26"/>
      <c r="BF214" s="26"/>
      <c r="BG214" s="26"/>
      <c r="BH214" s="26">
        <v>4376</v>
      </c>
    </row>
    <row r="215" spans="1:60" ht="35.65" customHeight="1" thickBot="1">
      <c r="A215" s="27" t="s">
        <v>131</v>
      </c>
      <c r="B215" s="35"/>
      <c r="C215" s="20" t="s">
        <v>105</v>
      </c>
      <c r="D215" s="20" t="s">
        <v>106</v>
      </c>
      <c r="E215" s="20" t="s">
        <v>107</v>
      </c>
      <c r="F215" s="98"/>
      <c r="G215" s="98"/>
      <c r="H215" s="98"/>
      <c r="I215" s="98"/>
      <c r="J215" s="20" t="s">
        <v>150</v>
      </c>
      <c r="K215" s="20" t="s">
        <v>109</v>
      </c>
      <c r="L215" s="20" t="s">
        <v>125</v>
      </c>
      <c r="M215" s="98"/>
      <c r="N215" s="98"/>
      <c r="O215" s="98"/>
      <c r="P215" s="98"/>
      <c r="Q215" s="98"/>
      <c r="R215" s="98"/>
      <c r="S215" s="98"/>
      <c r="T215" s="98"/>
      <c r="U215" s="98"/>
      <c r="V215" s="98"/>
      <c r="W215" s="98" t="s">
        <v>115</v>
      </c>
      <c r="X215" s="20" t="s">
        <v>112</v>
      </c>
      <c r="Y215" s="98"/>
      <c r="Z215" s="98" t="s">
        <v>115</v>
      </c>
      <c r="AA215" s="20" t="s">
        <v>112</v>
      </c>
      <c r="AB215" s="98"/>
      <c r="AC215" s="26"/>
      <c r="AD215" s="52" t="s">
        <v>729</v>
      </c>
      <c r="AE215" s="26">
        <f t="shared" si="51"/>
        <v>4974.1000000000004</v>
      </c>
      <c r="AF215" s="26">
        <f t="shared" si="51"/>
        <v>4971</v>
      </c>
      <c r="AG215" s="26"/>
      <c r="AH215" s="26"/>
      <c r="AI215" s="26"/>
      <c r="AJ215" s="26"/>
      <c r="AK215" s="26"/>
      <c r="AL215" s="26"/>
      <c r="AM215" s="26">
        <f>2110.3+185.6+363.4+197.3+284+375.9+231.7+480.3+160.5+585.1</f>
        <v>4974.1000000000004</v>
      </c>
      <c r="AN215" s="26">
        <v>4971</v>
      </c>
      <c r="AO215" s="26">
        <f t="shared" si="52"/>
        <v>3106.8</v>
      </c>
      <c r="AP215" s="26"/>
      <c r="AQ215" s="26"/>
      <c r="AR215" s="26"/>
      <c r="AS215" s="26">
        <f>324.8+234.1+243.8-90+81+110.5+494.5+1447.1+167.5+93.5</f>
        <v>3106.8</v>
      </c>
      <c r="AT215" s="26">
        <f t="shared" si="57"/>
        <v>0</v>
      </c>
      <c r="AU215" s="26"/>
      <c r="AV215" s="26"/>
      <c r="AW215" s="26"/>
      <c r="AX215" s="26"/>
      <c r="AY215" s="26">
        <f t="shared" si="54"/>
        <v>0</v>
      </c>
      <c r="AZ215" s="26"/>
      <c r="BA215" s="26"/>
      <c r="BB215" s="26"/>
      <c r="BC215" s="26"/>
      <c r="BD215" s="26">
        <f t="shared" si="58"/>
        <v>0</v>
      </c>
      <c r="BE215" s="26"/>
      <c r="BF215" s="26"/>
      <c r="BG215" s="26"/>
      <c r="BH215" s="26"/>
    </row>
    <row r="216" spans="1:60" ht="35.65" customHeight="1" thickBot="1">
      <c r="A216" s="27" t="s">
        <v>131</v>
      </c>
      <c r="B216" s="35"/>
      <c r="C216" s="20" t="s">
        <v>105</v>
      </c>
      <c r="D216" s="20" t="s">
        <v>106</v>
      </c>
      <c r="E216" s="20" t="s">
        <v>107</v>
      </c>
      <c r="F216" s="98"/>
      <c r="G216" s="98"/>
      <c r="H216" s="98"/>
      <c r="I216" s="98"/>
      <c r="J216" s="20" t="s">
        <v>150</v>
      </c>
      <c r="K216" s="20" t="s">
        <v>109</v>
      </c>
      <c r="L216" s="20" t="s">
        <v>125</v>
      </c>
      <c r="M216" s="98"/>
      <c r="N216" s="98"/>
      <c r="O216" s="98"/>
      <c r="P216" s="98"/>
      <c r="Q216" s="98"/>
      <c r="R216" s="98"/>
      <c r="S216" s="98"/>
      <c r="T216" s="98"/>
      <c r="U216" s="98"/>
      <c r="V216" s="98"/>
      <c r="W216" s="98" t="s">
        <v>115</v>
      </c>
      <c r="X216" s="20" t="s">
        <v>112</v>
      </c>
      <c r="Y216" s="98"/>
      <c r="Z216" s="98" t="s">
        <v>115</v>
      </c>
      <c r="AA216" s="20" t="s">
        <v>112</v>
      </c>
      <c r="AB216" s="98"/>
      <c r="AC216" s="26"/>
      <c r="AD216" s="52" t="s">
        <v>730</v>
      </c>
      <c r="AE216" s="26">
        <f t="shared" si="51"/>
        <v>7817.1</v>
      </c>
      <c r="AF216" s="26">
        <f t="shared" si="51"/>
        <v>7816.6</v>
      </c>
      <c r="AG216" s="26"/>
      <c r="AH216" s="26"/>
      <c r="AI216" s="26"/>
      <c r="AJ216" s="26"/>
      <c r="AK216" s="26"/>
      <c r="AL216" s="26"/>
      <c r="AM216" s="26">
        <f>1642+5459+81+395.1+240</f>
        <v>7817.1</v>
      </c>
      <c r="AN216" s="26">
        <v>7816.6</v>
      </c>
      <c r="AO216" s="26">
        <f t="shared" si="52"/>
        <v>2467.6</v>
      </c>
      <c r="AP216" s="26"/>
      <c r="AQ216" s="26"/>
      <c r="AR216" s="26"/>
      <c r="AS216" s="26">
        <f>1726.6+59+70+97.3+265.3+249.8-0.4</f>
        <v>2467.6</v>
      </c>
      <c r="AT216" s="26">
        <f t="shared" si="57"/>
        <v>1726.6</v>
      </c>
      <c r="AU216" s="26"/>
      <c r="AV216" s="26"/>
      <c r="AW216" s="26"/>
      <c r="AX216" s="26">
        <v>1726.6</v>
      </c>
      <c r="AY216" s="26">
        <f t="shared" si="54"/>
        <v>1726.6</v>
      </c>
      <c r="AZ216" s="26"/>
      <c r="BA216" s="26"/>
      <c r="BB216" s="26"/>
      <c r="BC216" s="26">
        <v>1726.6</v>
      </c>
      <c r="BD216" s="26">
        <f t="shared" si="58"/>
        <v>1726.6</v>
      </c>
      <c r="BE216" s="26"/>
      <c r="BF216" s="26"/>
      <c r="BG216" s="26"/>
      <c r="BH216" s="26">
        <v>1726.6</v>
      </c>
    </row>
    <row r="217" spans="1:60" ht="35.65" customHeight="1" thickBot="1">
      <c r="A217" s="27" t="s">
        <v>131</v>
      </c>
      <c r="B217" s="35"/>
      <c r="C217" s="20" t="s">
        <v>105</v>
      </c>
      <c r="D217" s="20" t="s">
        <v>106</v>
      </c>
      <c r="E217" s="20" t="s">
        <v>107</v>
      </c>
      <c r="F217" s="98"/>
      <c r="G217" s="98"/>
      <c r="H217" s="98"/>
      <c r="I217" s="98"/>
      <c r="J217" s="20" t="s">
        <v>150</v>
      </c>
      <c r="K217" s="20" t="s">
        <v>109</v>
      </c>
      <c r="L217" s="20" t="s">
        <v>125</v>
      </c>
      <c r="M217" s="98"/>
      <c r="N217" s="98"/>
      <c r="O217" s="98"/>
      <c r="P217" s="98"/>
      <c r="Q217" s="98"/>
      <c r="R217" s="98"/>
      <c r="S217" s="98"/>
      <c r="T217" s="98"/>
      <c r="U217" s="98"/>
      <c r="V217" s="98"/>
      <c r="W217" s="98" t="s">
        <v>115</v>
      </c>
      <c r="X217" s="20" t="s">
        <v>112</v>
      </c>
      <c r="Y217" s="98"/>
      <c r="Z217" s="98" t="s">
        <v>115</v>
      </c>
      <c r="AA217" s="20" t="s">
        <v>112</v>
      </c>
      <c r="AB217" s="98"/>
      <c r="AC217" s="26"/>
      <c r="AD217" s="52" t="s">
        <v>731</v>
      </c>
      <c r="AE217" s="26">
        <f t="shared" si="51"/>
        <v>0</v>
      </c>
      <c r="AF217" s="26">
        <f>AH217+AJ217+AL217+AN217</f>
        <v>0</v>
      </c>
      <c r="AG217" s="26"/>
      <c r="AH217" s="26"/>
      <c r="AI217" s="26"/>
      <c r="AJ217" s="26"/>
      <c r="AK217" s="26"/>
      <c r="AL217" s="26"/>
      <c r="AM217" s="26">
        <v>0</v>
      </c>
      <c r="AN217" s="26"/>
      <c r="AO217" s="26">
        <f t="shared" si="52"/>
        <v>0</v>
      </c>
      <c r="AP217" s="26"/>
      <c r="AQ217" s="26"/>
      <c r="AR217" s="26"/>
      <c r="AS217" s="26">
        <v>0</v>
      </c>
      <c r="AT217" s="26">
        <f t="shared" si="57"/>
        <v>0</v>
      </c>
      <c r="AU217" s="26"/>
      <c r="AV217" s="26"/>
      <c r="AW217" s="26"/>
      <c r="AX217" s="26">
        <v>0</v>
      </c>
      <c r="AY217" s="26">
        <f t="shared" si="54"/>
        <v>0</v>
      </c>
      <c r="AZ217" s="26"/>
      <c r="BA217" s="26"/>
      <c r="BB217" s="26"/>
      <c r="BC217" s="26">
        <v>0</v>
      </c>
      <c r="BD217" s="26">
        <f t="shared" si="58"/>
        <v>0</v>
      </c>
      <c r="BE217" s="26"/>
      <c r="BF217" s="26"/>
      <c r="BG217" s="26"/>
      <c r="BH217" s="26">
        <v>0</v>
      </c>
    </row>
    <row r="218" spans="1:60" ht="35.65" customHeight="1" thickBot="1">
      <c r="A218" s="27" t="s">
        <v>131</v>
      </c>
      <c r="B218" s="35"/>
      <c r="C218" s="20" t="s">
        <v>105</v>
      </c>
      <c r="D218" s="20" t="s">
        <v>159</v>
      </c>
      <c r="E218" s="20" t="s">
        <v>107</v>
      </c>
      <c r="F218" s="98"/>
      <c r="G218" s="98"/>
      <c r="H218" s="98"/>
      <c r="I218" s="98"/>
      <c r="J218" s="20" t="s">
        <v>150</v>
      </c>
      <c r="K218" s="20" t="s">
        <v>160</v>
      </c>
      <c r="L218" s="20" t="s">
        <v>161</v>
      </c>
      <c r="M218" s="98"/>
      <c r="N218" s="98"/>
      <c r="O218" s="98"/>
      <c r="P218" s="98"/>
      <c r="Q218" s="98"/>
      <c r="R218" s="98"/>
      <c r="S218" s="98"/>
      <c r="T218" s="98"/>
      <c r="U218" s="98"/>
      <c r="V218" s="98"/>
      <c r="W218" s="98" t="s">
        <v>115</v>
      </c>
      <c r="X218" s="20" t="s">
        <v>112</v>
      </c>
      <c r="Y218" s="98"/>
      <c r="Z218" s="98" t="s">
        <v>115</v>
      </c>
      <c r="AA218" s="20" t="s">
        <v>112</v>
      </c>
      <c r="AB218" s="98"/>
      <c r="AC218" s="26"/>
      <c r="AD218" s="52" t="s">
        <v>732</v>
      </c>
      <c r="AE218" s="26">
        <f t="shared" si="51"/>
        <v>12244</v>
      </c>
      <c r="AF218" s="26">
        <f t="shared" si="51"/>
        <v>11778.4</v>
      </c>
      <c r="AG218" s="26"/>
      <c r="AH218" s="26"/>
      <c r="AI218" s="26"/>
      <c r="AJ218" s="26"/>
      <c r="AK218" s="26"/>
      <c r="AL218" s="26"/>
      <c r="AM218" s="26">
        <f>12702.3+36.2+20.5-100-91-78.5+80-325.5</f>
        <v>12244</v>
      </c>
      <c r="AN218" s="26">
        <v>11778.4</v>
      </c>
      <c r="AO218" s="26">
        <f t="shared" si="52"/>
        <v>13649.800000000001</v>
      </c>
      <c r="AP218" s="26"/>
      <c r="AQ218" s="26"/>
      <c r="AR218" s="26"/>
      <c r="AS218" s="26">
        <f>12225.7+21+1576.6-80-93.5</f>
        <v>13649.800000000001</v>
      </c>
      <c r="AT218" s="26">
        <f t="shared" si="57"/>
        <v>12225.7</v>
      </c>
      <c r="AU218" s="26"/>
      <c r="AV218" s="26"/>
      <c r="AW218" s="26"/>
      <c r="AX218" s="26">
        <v>12225.7</v>
      </c>
      <c r="AY218" s="26">
        <f t="shared" si="54"/>
        <v>12225.7</v>
      </c>
      <c r="AZ218" s="26"/>
      <c r="BA218" s="26"/>
      <c r="BB218" s="26"/>
      <c r="BC218" s="26">
        <v>12225.7</v>
      </c>
      <c r="BD218" s="26">
        <f t="shared" si="58"/>
        <v>12225.7</v>
      </c>
      <c r="BE218" s="26"/>
      <c r="BF218" s="26"/>
      <c r="BG218" s="26"/>
      <c r="BH218" s="26">
        <v>12225.7</v>
      </c>
    </row>
    <row r="219" spans="1:60" ht="35.65" customHeight="1" thickBot="1">
      <c r="A219" s="27" t="s">
        <v>131</v>
      </c>
      <c r="B219" s="35"/>
      <c r="C219" s="20" t="s">
        <v>105</v>
      </c>
      <c r="D219" s="20" t="s">
        <v>162</v>
      </c>
      <c r="E219" s="20" t="s">
        <v>107</v>
      </c>
      <c r="F219" s="98"/>
      <c r="G219" s="98"/>
      <c r="H219" s="98"/>
      <c r="I219" s="98"/>
      <c r="J219" s="20" t="s">
        <v>150</v>
      </c>
      <c r="K219" s="20" t="s">
        <v>163</v>
      </c>
      <c r="L219" s="20" t="s">
        <v>164</v>
      </c>
      <c r="M219" s="98"/>
      <c r="N219" s="98"/>
      <c r="O219" s="98"/>
      <c r="P219" s="98"/>
      <c r="Q219" s="98"/>
      <c r="R219" s="98"/>
      <c r="S219" s="98"/>
      <c r="T219" s="98"/>
      <c r="U219" s="98"/>
      <c r="V219" s="98"/>
      <c r="W219" s="98" t="s">
        <v>115</v>
      </c>
      <c r="X219" s="20" t="s">
        <v>112</v>
      </c>
      <c r="Y219" s="98"/>
      <c r="Z219" s="98" t="s">
        <v>115</v>
      </c>
      <c r="AA219" s="20" t="s">
        <v>112</v>
      </c>
      <c r="AB219" s="98"/>
      <c r="AC219" s="26"/>
      <c r="AD219" s="52" t="s">
        <v>733</v>
      </c>
      <c r="AE219" s="26">
        <f t="shared" ref="AE219:AF236" si="59">AG219+AI219+AK219+AM219</f>
        <v>4431.5999999999995</v>
      </c>
      <c r="AF219" s="26">
        <f t="shared" si="59"/>
        <v>4431.6000000000004</v>
      </c>
      <c r="AG219" s="26"/>
      <c r="AH219" s="26"/>
      <c r="AI219" s="26"/>
      <c r="AJ219" s="26"/>
      <c r="AK219" s="26"/>
      <c r="AL219" s="26"/>
      <c r="AM219" s="26">
        <f>5496.7-395.1-430-240</f>
        <v>4431.5999999999995</v>
      </c>
      <c r="AN219" s="26">
        <v>4431.6000000000004</v>
      </c>
      <c r="AO219" s="26">
        <f t="shared" si="52"/>
        <v>5305.4</v>
      </c>
      <c r="AP219" s="26"/>
      <c r="AQ219" s="26"/>
      <c r="AR219" s="26"/>
      <c r="AS219" s="26">
        <v>5305.4</v>
      </c>
      <c r="AT219" s="26">
        <f t="shared" si="57"/>
        <v>5305.4</v>
      </c>
      <c r="AU219" s="26"/>
      <c r="AV219" s="26"/>
      <c r="AW219" s="26"/>
      <c r="AX219" s="26">
        <v>5305.4</v>
      </c>
      <c r="AY219" s="26">
        <f t="shared" si="54"/>
        <v>5305.4</v>
      </c>
      <c r="AZ219" s="26"/>
      <c r="BA219" s="26"/>
      <c r="BB219" s="26"/>
      <c r="BC219" s="26">
        <v>5305.4</v>
      </c>
      <c r="BD219" s="26">
        <f t="shared" si="58"/>
        <v>5305.4</v>
      </c>
      <c r="BE219" s="26"/>
      <c r="BF219" s="26"/>
      <c r="BG219" s="26"/>
      <c r="BH219" s="26">
        <v>5305.4</v>
      </c>
    </row>
    <row r="220" spans="1:60" ht="35.65" customHeight="1" thickBot="1">
      <c r="A220" s="27" t="s">
        <v>131</v>
      </c>
      <c r="B220" s="35"/>
      <c r="C220" s="20" t="s">
        <v>105</v>
      </c>
      <c r="D220" s="20" t="s">
        <v>165</v>
      </c>
      <c r="E220" s="20" t="s">
        <v>107</v>
      </c>
      <c r="F220" s="98"/>
      <c r="G220" s="98"/>
      <c r="H220" s="98"/>
      <c r="I220" s="98"/>
      <c r="J220" s="20" t="s">
        <v>150</v>
      </c>
      <c r="K220" s="20" t="s">
        <v>166</v>
      </c>
      <c r="L220" s="20" t="s">
        <v>167</v>
      </c>
      <c r="M220" s="98"/>
      <c r="N220" s="98"/>
      <c r="O220" s="98"/>
      <c r="P220" s="98"/>
      <c r="Q220" s="98"/>
      <c r="R220" s="98"/>
      <c r="S220" s="98"/>
      <c r="T220" s="98"/>
      <c r="U220" s="98"/>
      <c r="V220" s="98"/>
      <c r="W220" s="98" t="s">
        <v>115</v>
      </c>
      <c r="X220" s="20" t="s">
        <v>112</v>
      </c>
      <c r="Y220" s="98"/>
      <c r="Z220" s="98" t="s">
        <v>115</v>
      </c>
      <c r="AA220" s="20" t="s">
        <v>112</v>
      </c>
      <c r="AB220" s="98"/>
      <c r="AC220" s="26"/>
      <c r="AD220" s="52" t="s">
        <v>734</v>
      </c>
      <c r="AE220" s="26">
        <f t="shared" si="59"/>
        <v>26466.800000000003</v>
      </c>
      <c r="AF220" s="26">
        <f t="shared" si="59"/>
        <v>26404.5</v>
      </c>
      <c r="AG220" s="26"/>
      <c r="AH220" s="26"/>
      <c r="AI220" s="26">
        <v>1818.7</v>
      </c>
      <c r="AJ220" s="26">
        <v>1818.7</v>
      </c>
      <c r="AK220" s="26"/>
      <c r="AL220" s="26"/>
      <c r="AM220" s="26">
        <f>23533.5+1851.4-39.7+247+164.4+127.4-164.4+557.2+190-1818.7</f>
        <v>24648.100000000002</v>
      </c>
      <c r="AN220" s="26">
        <f>26404.5-1818.7</f>
        <v>24585.8</v>
      </c>
      <c r="AO220" s="26">
        <f t="shared" si="52"/>
        <v>30847.7</v>
      </c>
      <c r="AP220" s="26"/>
      <c r="AQ220" s="26">
        <v>1246</v>
      </c>
      <c r="AR220" s="26"/>
      <c r="AS220" s="26">
        <f>27924.8+1246-1246-263+1770.2+169.7</f>
        <v>29601.7</v>
      </c>
      <c r="AT220" s="26">
        <f t="shared" si="57"/>
        <v>27924.799999999999</v>
      </c>
      <c r="AU220" s="26"/>
      <c r="AV220" s="26"/>
      <c r="AW220" s="26"/>
      <c r="AX220" s="26">
        <v>27924.799999999999</v>
      </c>
      <c r="AY220" s="26">
        <f t="shared" si="54"/>
        <v>27924.799999999999</v>
      </c>
      <c r="AZ220" s="26"/>
      <c r="BA220" s="26"/>
      <c r="BB220" s="26"/>
      <c r="BC220" s="26">
        <v>27924.799999999999</v>
      </c>
      <c r="BD220" s="26">
        <f t="shared" si="58"/>
        <v>27924.799999999999</v>
      </c>
      <c r="BE220" s="26"/>
      <c r="BF220" s="26"/>
      <c r="BG220" s="26"/>
      <c r="BH220" s="26">
        <v>27924.799999999999</v>
      </c>
    </row>
    <row r="221" spans="1:60" ht="35.65" customHeight="1" thickBot="1">
      <c r="A221" s="27" t="s">
        <v>131</v>
      </c>
      <c r="B221" s="35"/>
      <c r="C221" s="20" t="s">
        <v>105</v>
      </c>
      <c r="D221" s="20" t="s">
        <v>168</v>
      </c>
      <c r="E221" s="20" t="s">
        <v>107</v>
      </c>
      <c r="F221" s="98"/>
      <c r="G221" s="98"/>
      <c r="H221" s="98"/>
      <c r="I221" s="98"/>
      <c r="J221" s="20" t="s">
        <v>150</v>
      </c>
      <c r="K221" s="20" t="s">
        <v>145</v>
      </c>
      <c r="L221" s="20" t="s">
        <v>169</v>
      </c>
      <c r="M221" s="98"/>
      <c r="N221" s="98"/>
      <c r="O221" s="98"/>
      <c r="P221" s="98"/>
      <c r="Q221" s="98"/>
      <c r="R221" s="98"/>
      <c r="S221" s="98"/>
      <c r="T221" s="98"/>
      <c r="U221" s="98"/>
      <c r="V221" s="98"/>
      <c r="W221" s="98" t="s">
        <v>115</v>
      </c>
      <c r="X221" s="20" t="s">
        <v>112</v>
      </c>
      <c r="Y221" s="98"/>
      <c r="Z221" s="98" t="s">
        <v>115</v>
      </c>
      <c r="AA221" s="20" t="s">
        <v>112</v>
      </c>
      <c r="AB221" s="98"/>
      <c r="AC221" s="26"/>
      <c r="AD221" s="52" t="s">
        <v>735</v>
      </c>
      <c r="AE221" s="26">
        <f t="shared" si="59"/>
        <v>6291.5</v>
      </c>
      <c r="AF221" s="26">
        <f t="shared" si="59"/>
        <v>6291.5</v>
      </c>
      <c r="AG221" s="26"/>
      <c r="AH221" s="26"/>
      <c r="AI221" s="26">
        <v>318</v>
      </c>
      <c r="AJ221" s="26">
        <v>318</v>
      </c>
      <c r="AK221" s="26"/>
      <c r="AL221" s="26"/>
      <c r="AM221" s="26">
        <f>5641.2+327.3-246.9+220+349.9-318</f>
        <v>5973.5</v>
      </c>
      <c r="AN221" s="26">
        <f>6291.5-318</f>
        <v>5973.5</v>
      </c>
      <c r="AO221" s="26">
        <f t="shared" si="52"/>
        <v>7061.3</v>
      </c>
      <c r="AP221" s="26"/>
      <c r="AQ221" s="26">
        <v>252.8</v>
      </c>
      <c r="AR221" s="26"/>
      <c r="AS221" s="26">
        <f>6208.3+252.8-252.8+515.9+84.3</f>
        <v>6808.5</v>
      </c>
      <c r="AT221" s="26">
        <f t="shared" si="57"/>
        <v>6208.3</v>
      </c>
      <c r="AU221" s="26"/>
      <c r="AV221" s="26"/>
      <c r="AW221" s="26"/>
      <c r="AX221" s="26">
        <v>6208.3</v>
      </c>
      <c r="AY221" s="26">
        <f t="shared" si="54"/>
        <v>6208.3</v>
      </c>
      <c r="AZ221" s="26"/>
      <c r="BA221" s="26"/>
      <c r="BB221" s="26"/>
      <c r="BC221" s="26">
        <v>6208.3</v>
      </c>
      <c r="BD221" s="26">
        <f t="shared" si="58"/>
        <v>6208.3</v>
      </c>
      <c r="BE221" s="26"/>
      <c r="BF221" s="26"/>
      <c r="BG221" s="26"/>
      <c r="BH221" s="26">
        <v>6208.3</v>
      </c>
    </row>
    <row r="222" spans="1:60" ht="35.65" customHeight="1" thickBot="1">
      <c r="A222" s="27" t="s">
        <v>131</v>
      </c>
      <c r="B222" s="35"/>
      <c r="C222" s="20"/>
      <c r="D222" s="20"/>
      <c r="E222" s="20"/>
      <c r="F222" s="98"/>
      <c r="G222" s="98"/>
      <c r="H222" s="98"/>
      <c r="I222" s="98"/>
      <c r="J222" s="20"/>
      <c r="K222" s="20"/>
      <c r="L222" s="20"/>
      <c r="M222" s="98"/>
      <c r="N222" s="98"/>
      <c r="O222" s="98"/>
      <c r="P222" s="98"/>
      <c r="Q222" s="98"/>
      <c r="R222" s="98"/>
      <c r="S222" s="98"/>
      <c r="T222" s="98"/>
      <c r="U222" s="98"/>
      <c r="V222" s="98"/>
      <c r="W222" s="98"/>
      <c r="X222" s="20"/>
      <c r="Y222" s="98"/>
      <c r="Z222" s="98"/>
      <c r="AA222" s="20"/>
      <c r="AB222" s="98"/>
      <c r="AC222" s="26"/>
      <c r="AD222" s="52" t="s">
        <v>736</v>
      </c>
      <c r="AE222" s="26">
        <f t="shared" si="59"/>
        <v>0</v>
      </c>
      <c r="AF222" s="26">
        <f t="shared" si="59"/>
        <v>0</v>
      </c>
      <c r="AG222" s="26"/>
      <c r="AH222" s="26"/>
      <c r="AI222" s="26"/>
      <c r="AJ222" s="26"/>
      <c r="AK222" s="26"/>
      <c r="AL222" s="26"/>
      <c r="AM222" s="26">
        <f>1253.7-164.4-362.9-726.4</f>
        <v>0</v>
      </c>
      <c r="AN222" s="26"/>
      <c r="AO222" s="26">
        <f t="shared" si="52"/>
        <v>89.5</v>
      </c>
      <c r="AP222" s="26"/>
      <c r="AQ222" s="26"/>
      <c r="AR222" s="26"/>
      <c r="AS222" s="26">
        <f>751.1-25-328.3-308.3</f>
        <v>89.5</v>
      </c>
      <c r="AT222" s="26">
        <f t="shared" si="57"/>
        <v>751.1</v>
      </c>
      <c r="AU222" s="26"/>
      <c r="AV222" s="26"/>
      <c r="AW222" s="26"/>
      <c r="AX222" s="26">
        <v>751.1</v>
      </c>
      <c r="AY222" s="26">
        <f t="shared" si="54"/>
        <v>751.1</v>
      </c>
      <c r="AZ222" s="26"/>
      <c r="BA222" s="26"/>
      <c r="BB222" s="26"/>
      <c r="BC222" s="26">
        <v>751.1</v>
      </c>
      <c r="BD222" s="26">
        <f t="shared" si="58"/>
        <v>751.1</v>
      </c>
      <c r="BE222" s="26"/>
      <c r="BF222" s="26"/>
      <c r="BG222" s="26"/>
      <c r="BH222" s="26">
        <v>751.1</v>
      </c>
    </row>
    <row r="223" spans="1:60" ht="35.65" customHeight="1" thickBot="1">
      <c r="A223" s="27" t="s">
        <v>131</v>
      </c>
      <c r="B223" s="35"/>
      <c r="C223" s="20" t="s">
        <v>105</v>
      </c>
      <c r="D223" s="20" t="s">
        <v>106</v>
      </c>
      <c r="E223" s="20" t="s">
        <v>107</v>
      </c>
      <c r="F223" s="20"/>
      <c r="G223" s="20"/>
      <c r="H223" s="20"/>
      <c r="I223" s="20"/>
      <c r="J223" s="18" t="s">
        <v>118</v>
      </c>
      <c r="K223" s="20" t="s">
        <v>109</v>
      </c>
      <c r="L223" s="20" t="s">
        <v>119</v>
      </c>
      <c r="M223" s="101" t="s">
        <v>170</v>
      </c>
      <c r="N223" s="20" t="s">
        <v>112</v>
      </c>
      <c r="O223" s="101"/>
      <c r="P223" s="101"/>
      <c r="Q223" s="20"/>
      <c r="R223" s="101"/>
      <c r="S223" s="101"/>
      <c r="T223" s="119" t="s">
        <v>171</v>
      </c>
      <c r="U223" s="20"/>
      <c r="V223" s="101"/>
      <c r="W223" s="43"/>
      <c r="X223" s="20"/>
      <c r="Y223" s="10"/>
      <c r="Z223" s="98"/>
      <c r="AA223" s="20"/>
      <c r="AB223" s="20"/>
      <c r="AC223" s="26"/>
      <c r="AD223" s="52" t="s">
        <v>737</v>
      </c>
      <c r="AE223" s="26">
        <f t="shared" si="59"/>
        <v>0</v>
      </c>
      <c r="AF223" s="26">
        <f t="shared" si="59"/>
        <v>0</v>
      </c>
      <c r="AG223" s="26"/>
      <c r="AH223" s="26"/>
      <c r="AI223" s="26"/>
      <c r="AJ223" s="26"/>
      <c r="AK223" s="26"/>
      <c r="AL223" s="26"/>
      <c r="AM223" s="26"/>
      <c r="AN223" s="26"/>
      <c r="AO223" s="26">
        <f t="shared" si="52"/>
        <v>0</v>
      </c>
      <c r="AP223" s="26"/>
      <c r="AQ223" s="26"/>
      <c r="AR223" s="26"/>
      <c r="AS223" s="26"/>
      <c r="AT223" s="26"/>
      <c r="AU223" s="26"/>
      <c r="AV223" s="26"/>
      <c r="AW223" s="26"/>
      <c r="AX223" s="26"/>
      <c r="AY223" s="26"/>
      <c r="AZ223" s="26"/>
      <c r="BA223" s="26"/>
      <c r="BB223" s="26"/>
      <c r="BC223" s="26"/>
      <c r="BD223" s="26"/>
      <c r="BE223" s="26"/>
      <c r="BF223" s="26"/>
      <c r="BG223" s="26"/>
      <c r="BH223" s="26"/>
    </row>
    <row r="224" spans="1:60" ht="35.65" customHeight="1" thickBot="1">
      <c r="A224" s="27" t="s">
        <v>131</v>
      </c>
      <c r="B224" s="35"/>
      <c r="C224" s="20"/>
      <c r="D224" s="20"/>
      <c r="E224" s="20"/>
      <c r="F224" s="20"/>
      <c r="G224" s="20"/>
      <c r="H224" s="20"/>
      <c r="I224" s="20"/>
      <c r="J224" s="18"/>
      <c r="K224" s="20"/>
      <c r="L224" s="20"/>
      <c r="M224" s="120"/>
      <c r="N224" s="18"/>
      <c r="O224" s="120"/>
      <c r="P224" s="101"/>
      <c r="Q224" s="18"/>
      <c r="R224" s="101"/>
      <c r="S224" s="101"/>
      <c r="T224" s="119"/>
      <c r="U224" s="18"/>
      <c r="V224" s="101"/>
      <c r="W224" s="43"/>
      <c r="X224" s="20"/>
      <c r="Y224" s="10"/>
      <c r="Z224" s="98"/>
      <c r="AA224" s="20"/>
      <c r="AB224" s="20"/>
      <c r="AC224" s="26"/>
      <c r="AD224" s="52" t="s">
        <v>738</v>
      </c>
      <c r="AE224" s="26"/>
      <c r="AF224" s="26"/>
      <c r="AG224" s="26"/>
      <c r="AH224" s="26"/>
      <c r="AI224" s="26"/>
      <c r="AJ224" s="26"/>
      <c r="AK224" s="26"/>
      <c r="AL224" s="26"/>
      <c r="AM224" s="26"/>
      <c r="AN224" s="26"/>
      <c r="AO224" s="26">
        <f t="shared" si="52"/>
        <v>160</v>
      </c>
      <c r="AP224" s="26"/>
      <c r="AQ224" s="26"/>
      <c r="AR224" s="26"/>
      <c r="AS224" s="26">
        <v>160</v>
      </c>
      <c r="AT224" s="26"/>
      <c r="AU224" s="26"/>
      <c r="AV224" s="26"/>
      <c r="AW224" s="26"/>
      <c r="AX224" s="26"/>
      <c r="AY224" s="26"/>
      <c r="AZ224" s="26"/>
      <c r="BA224" s="26"/>
      <c r="BB224" s="26"/>
      <c r="BC224" s="26"/>
      <c r="BD224" s="26"/>
      <c r="BE224" s="26"/>
      <c r="BF224" s="26"/>
      <c r="BG224" s="26"/>
      <c r="BH224" s="26"/>
    </row>
    <row r="225" spans="1:60" ht="35.65" customHeight="1" thickBot="1">
      <c r="A225" s="27" t="s">
        <v>104</v>
      </c>
      <c r="B225" s="42"/>
      <c r="C225" s="101" t="s">
        <v>105</v>
      </c>
      <c r="D225" s="20" t="s">
        <v>117</v>
      </c>
      <c r="E225" s="20" t="s">
        <v>107</v>
      </c>
      <c r="F225" s="101"/>
      <c r="G225" s="101"/>
      <c r="H225" s="101"/>
      <c r="I225" s="101"/>
      <c r="J225" s="18" t="s">
        <v>118</v>
      </c>
      <c r="K225" s="20" t="s">
        <v>109</v>
      </c>
      <c r="L225" s="20" t="s">
        <v>119</v>
      </c>
      <c r="M225" s="36" t="s">
        <v>120</v>
      </c>
      <c r="N225" s="18" t="s">
        <v>112</v>
      </c>
      <c r="O225" s="18" t="s">
        <v>121</v>
      </c>
      <c r="P225" s="102" t="s">
        <v>122</v>
      </c>
      <c r="Q225" s="18" t="s">
        <v>112</v>
      </c>
      <c r="R225" s="102"/>
      <c r="S225" s="102"/>
      <c r="T225" s="20" t="s">
        <v>152</v>
      </c>
      <c r="U225" s="18" t="s">
        <v>112</v>
      </c>
      <c r="V225" s="102"/>
      <c r="W225" s="101" t="s">
        <v>115</v>
      </c>
      <c r="X225" s="20" t="s">
        <v>112</v>
      </c>
      <c r="Y225" s="101"/>
      <c r="Z225" s="101" t="s">
        <v>115</v>
      </c>
      <c r="AA225" s="20" t="s">
        <v>112</v>
      </c>
      <c r="AB225" s="102"/>
      <c r="AC225" s="26"/>
      <c r="AD225" s="52" t="s">
        <v>739</v>
      </c>
      <c r="AE225" s="26">
        <f t="shared" si="59"/>
        <v>0</v>
      </c>
      <c r="AF225" s="26">
        <f t="shared" si="59"/>
        <v>0</v>
      </c>
      <c r="AG225" s="26"/>
      <c r="AH225" s="26"/>
      <c r="AI225" s="26"/>
      <c r="AJ225" s="26"/>
      <c r="AK225" s="26"/>
      <c r="AL225" s="26"/>
      <c r="AM225" s="26">
        <v>0</v>
      </c>
      <c r="AN225" s="26"/>
      <c r="AO225" s="26">
        <f t="shared" si="52"/>
        <v>0</v>
      </c>
      <c r="AP225" s="26"/>
      <c r="AQ225" s="26"/>
      <c r="AR225" s="26"/>
      <c r="AS225" s="26">
        <v>0</v>
      </c>
      <c r="AT225" s="26"/>
      <c r="AU225" s="26"/>
      <c r="AV225" s="26"/>
      <c r="AW225" s="26"/>
      <c r="AX225" s="26">
        <v>0</v>
      </c>
      <c r="AY225" s="26"/>
      <c r="AZ225" s="26"/>
      <c r="BA225" s="26"/>
      <c r="BB225" s="26"/>
      <c r="BC225" s="26">
        <v>0</v>
      </c>
      <c r="BD225" s="26"/>
      <c r="BE225" s="26"/>
      <c r="BF225" s="26"/>
      <c r="BG225" s="26"/>
      <c r="BH225" s="26">
        <v>0</v>
      </c>
    </row>
    <row r="226" spans="1:60" ht="35.65" customHeight="1" thickBot="1">
      <c r="A226" s="27" t="s">
        <v>104</v>
      </c>
      <c r="B226" s="35"/>
      <c r="C226" s="20" t="s">
        <v>105</v>
      </c>
      <c r="D226" s="20" t="s">
        <v>106</v>
      </c>
      <c r="E226" s="20" t="s">
        <v>107</v>
      </c>
      <c r="F226" s="98"/>
      <c r="G226" s="98"/>
      <c r="H226" s="98"/>
      <c r="I226" s="98"/>
      <c r="J226" s="20" t="s">
        <v>150</v>
      </c>
      <c r="K226" s="20" t="s">
        <v>109</v>
      </c>
      <c r="L226" s="20" t="s">
        <v>125</v>
      </c>
      <c r="M226" s="98"/>
      <c r="N226" s="98"/>
      <c r="O226" s="98"/>
      <c r="P226" s="71" t="s">
        <v>135</v>
      </c>
      <c r="Q226" s="20" t="s">
        <v>112</v>
      </c>
      <c r="R226" s="98"/>
      <c r="S226" s="98"/>
      <c r="T226" s="98"/>
      <c r="U226" s="98"/>
      <c r="V226" s="98"/>
      <c r="W226" s="98" t="s">
        <v>115</v>
      </c>
      <c r="X226" s="20" t="s">
        <v>112</v>
      </c>
      <c r="Y226" s="98"/>
      <c r="Z226" s="98" t="s">
        <v>115</v>
      </c>
      <c r="AA226" s="20" t="s">
        <v>112</v>
      </c>
      <c r="AB226" s="98"/>
      <c r="AC226" s="26"/>
      <c r="AD226" s="52" t="s">
        <v>740</v>
      </c>
      <c r="AE226" s="26">
        <f t="shared" si="59"/>
        <v>0</v>
      </c>
      <c r="AF226" s="26">
        <f t="shared" si="59"/>
        <v>0</v>
      </c>
      <c r="AG226" s="26"/>
      <c r="AH226" s="26"/>
      <c r="AI226" s="26"/>
      <c r="AJ226" s="26"/>
      <c r="AK226" s="26"/>
      <c r="AL226" s="26"/>
      <c r="AM226" s="26"/>
      <c r="AN226" s="26"/>
      <c r="AO226" s="26">
        <f t="shared" si="52"/>
        <v>0</v>
      </c>
      <c r="AP226" s="26"/>
      <c r="AQ226" s="26"/>
      <c r="AR226" s="26"/>
      <c r="AS226" s="26"/>
      <c r="AT226" s="26"/>
      <c r="AU226" s="26"/>
      <c r="AV226" s="26"/>
      <c r="AW226" s="26"/>
      <c r="AX226" s="26"/>
      <c r="AY226" s="26"/>
      <c r="AZ226" s="26"/>
      <c r="BA226" s="26"/>
      <c r="BB226" s="26"/>
      <c r="BC226" s="26"/>
      <c r="BD226" s="26"/>
      <c r="BE226" s="26"/>
      <c r="BF226" s="26"/>
      <c r="BG226" s="26"/>
      <c r="BH226" s="26"/>
    </row>
    <row r="227" spans="1:60" ht="35.65" customHeight="1" thickBot="1">
      <c r="A227" s="27" t="s">
        <v>104</v>
      </c>
      <c r="B227" s="35"/>
      <c r="C227" s="101" t="s">
        <v>105</v>
      </c>
      <c r="D227" s="20" t="s">
        <v>117</v>
      </c>
      <c r="E227" s="20" t="s">
        <v>107</v>
      </c>
      <c r="F227" s="101"/>
      <c r="G227" s="101"/>
      <c r="H227" s="101"/>
      <c r="I227" s="101"/>
      <c r="J227" s="18" t="s">
        <v>118</v>
      </c>
      <c r="K227" s="20" t="s">
        <v>109</v>
      </c>
      <c r="L227" s="20" t="s">
        <v>119</v>
      </c>
      <c r="M227" s="36" t="s">
        <v>120</v>
      </c>
      <c r="N227" s="18" t="s">
        <v>112</v>
      </c>
      <c r="O227" s="18" t="s">
        <v>121</v>
      </c>
      <c r="P227" s="102" t="s">
        <v>122</v>
      </c>
      <c r="Q227" s="18" t="s">
        <v>112</v>
      </c>
      <c r="R227" s="101"/>
      <c r="S227" s="101"/>
      <c r="T227" s="101"/>
      <c r="U227" s="101"/>
      <c r="V227" s="101"/>
      <c r="W227" s="101" t="s">
        <v>115</v>
      </c>
      <c r="X227" s="20" t="s">
        <v>112</v>
      </c>
      <c r="Y227" s="101"/>
      <c r="Z227" s="101" t="s">
        <v>115</v>
      </c>
      <c r="AA227" s="20" t="s">
        <v>112</v>
      </c>
      <c r="AB227" s="98"/>
      <c r="AC227" s="26"/>
      <c r="AD227" s="52" t="s">
        <v>741</v>
      </c>
      <c r="AE227" s="26">
        <f t="shared" si="59"/>
        <v>0</v>
      </c>
      <c r="AF227" s="26">
        <f>AH227+AJ227+AL227+AN227</f>
        <v>0</v>
      </c>
      <c r="AG227" s="26"/>
      <c r="AH227" s="26"/>
      <c r="AI227" s="26"/>
      <c r="AJ227" s="26"/>
      <c r="AK227" s="26"/>
      <c r="AL227" s="26"/>
      <c r="AM227" s="26"/>
      <c r="AN227" s="26"/>
      <c r="AO227" s="26">
        <f t="shared" si="52"/>
        <v>926.1</v>
      </c>
      <c r="AP227" s="26"/>
      <c r="AQ227" s="26"/>
      <c r="AR227" s="26"/>
      <c r="AS227" s="26">
        <f>1021-94.9</f>
        <v>926.1</v>
      </c>
      <c r="AT227" s="26"/>
      <c r="AU227" s="26"/>
      <c r="AV227" s="26"/>
      <c r="AW227" s="26"/>
      <c r="AX227" s="26"/>
      <c r="AY227" s="26"/>
      <c r="AZ227" s="26"/>
      <c r="BA227" s="26"/>
      <c r="BB227" s="26"/>
      <c r="BC227" s="26"/>
      <c r="BD227" s="26"/>
      <c r="BE227" s="26"/>
      <c r="BF227" s="26"/>
      <c r="BG227" s="26"/>
      <c r="BH227" s="26"/>
    </row>
    <row r="228" spans="1:60" ht="35.65" customHeight="1" thickBot="1">
      <c r="A228" s="27" t="s">
        <v>104</v>
      </c>
      <c r="B228" s="35"/>
      <c r="C228" s="101" t="s">
        <v>105</v>
      </c>
      <c r="D228" s="20" t="s">
        <v>117</v>
      </c>
      <c r="E228" s="20" t="s">
        <v>107</v>
      </c>
      <c r="F228" s="101"/>
      <c r="G228" s="101"/>
      <c r="H228" s="101"/>
      <c r="I228" s="101"/>
      <c r="J228" s="18" t="s">
        <v>118</v>
      </c>
      <c r="K228" s="20" t="s">
        <v>109</v>
      </c>
      <c r="L228" s="20" t="s">
        <v>119</v>
      </c>
      <c r="M228" s="36" t="s">
        <v>120</v>
      </c>
      <c r="N228" s="18" t="s">
        <v>112</v>
      </c>
      <c r="O228" s="18" t="s">
        <v>121</v>
      </c>
      <c r="P228" s="102" t="s">
        <v>122</v>
      </c>
      <c r="Q228" s="18" t="s">
        <v>112</v>
      </c>
      <c r="R228" s="102"/>
      <c r="S228" s="102"/>
      <c r="T228" s="20" t="s">
        <v>152</v>
      </c>
      <c r="U228" s="18" t="s">
        <v>112</v>
      </c>
      <c r="V228" s="102"/>
      <c r="W228" s="101" t="s">
        <v>115</v>
      </c>
      <c r="X228" s="20" t="s">
        <v>112</v>
      </c>
      <c r="Y228" s="101"/>
      <c r="Z228" s="101" t="s">
        <v>115</v>
      </c>
      <c r="AA228" s="20" t="s">
        <v>112</v>
      </c>
      <c r="AB228" s="102"/>
      <c r="AC228" s="26"/>
      <c r="AD228" s="52" t="s">
        <v>739</v>
      </c>
      <c r="AE228" s="26">
        <f t="shared" si="59"/>
        <v>0</v>
      </c>
      <c r="AF228" s="26">
        <f t="shared" si="59"/>
        <v>0</v>
      </c>
      <c r="AG228" s="26"/>
      <c r="AH228" s="26"/>
      <c r="AI228" s="26"/>
      <c r="AJ228" s="26"/>
      <c r="AK228" s="26"/>
      <c r="AL228" s="26"/>
      <c r="AM228" s="26"/>
      <c r="AN228" s="26"/>
      <c r="AO228" s="26">
        <f t="shared" si="52"/>
        <v>0</v>
      </c>
      <c r="AP228" s="26"/>
      <c r="AQ228" s="26"/>
      <c r="AR228" s="26"/>
      <c r="AS228" s="26"/>
      <c r="AT228" s="26"/>
      <c r="AU228" s="26"/>
      <c r="AV228" s="26"/>
      <c r="AW228" s="26"/>
      <c r="AX228" s="26"/>
      <c r="AY228" s="26"/>
      <c r="AZ228" s="26"/>
      <c r="BA228" s="26"/>
      <c r="BB228" s="26"/>
      <c r="BC228" s="26"/>
      <c r="BD228" s="26"/>
      <c r="BE228" s="26"/>
      <c r="BF228" s="26"/>
      <c r="BG228" s="26"/>
      <c r="BH228" s="26"/>
    </row>
    <row r="229" spans="1:60" ht="35.65" customHeight="1" thickBot="1">
      <c r="A229" s="27" t="s">
        <v>104</v>
      </c>
      <c r="B229" s="35"/>
      <c r="C229" s="101" t="s">
        <v>105</v>
      </c>
      <c r="D229" s="20" t="s">
        <v>172</v>
      </c>
      <c r="E229" s="20" t="s">
        <v>107</v>
      </c>
      <c r="F229" s="101"/>
      <c r="G229" s="101"/>
      <c r="H229" s="101"/>
      <c r="I229" s="101"/>
      <c r="J229" s="18" t="s">
        <v>118</v>
      </c>
      <c r="K229" s="20" t="s">
        <v>160</v>
      </c>
      <c r="L229" s="20"/>
      <c r="M229" s="36"/>
      <c r="N229" s="18"/>
      <c r="O229" s="18" t="s">
        <v>121</v>
      </c>
      <c r="P229" s="102"/>
      <c r="Q229" s="18" t="s">
        <v>112</v>
      </c>
      <c r="R229" s="102"/>
      <c r="S229" s="102"/>
      <c r="T229" s="20" t="s">
        <v>149</v>
      </c>
      <c r="U229" s="18"/>
      <c r="V229" s="102"/>
      <c r="W229" s="101"/>
      <c r="X229" s="20"/>
      <c r="Y229" s="101"/>
      <c r="Z229" s="101"/>
      <c r="AA229" s="20"/>
      <c r="AB229" s="102"/>
      <c r="AC229" s="26"/>
      <c r="AD229" s="52" t="s">
        <v>742</v>
      </c>
      <c r="AE229" s="26">
        <f t="shared" si="59"/>
        <v>1172</v>
      </c>
      <c r="AF229" s="26">
        <f t="shared" si="59"/>
        <v>1172</v>
      </c>
      <c r="AG229" s="26"/>
      <c r="AH229" s="26"/>
      <c r="AI229" s="26"/>
      <c r="AJ229" s="26"/>
      <c r="AK229" s="26"/>
      <c r="AL229" s="26"/>
      <c r="AM229" s="26">
        <f>2100-197.3-284-446.7</f>
        <v>1172</v>
      </c>
      <c r="AN229" s="26">
        <v>1172</v>
      </c>
      <c r="AO229" s="26">
        <f t="shared" si="52"/>
        <v>0</v>
      </c>
      <c r="AP229" s="26"/>
      <c r="AQ229" s="26"/>
      <c r="AR229" s="26"/>
      <c r="AS229" s="26"/>
      <c r="AT229" s="26"/>
      <c r="AU229" s="26"/>
      <c r="AV229" s="26"/>
      <c r="AW229" s="26"/>
      <c r="AX229" s="26"/>
      <c r="AY229" s="26"/>
      <c r="AZ229" s="26"/>
      <c r="BA229" s="26"/>
      <c r="BB229" s="26"/>
      <c r="BC229" s="26"/>
      <c r="BD229" s="26"/>
      <c r="BE229" s="26"/>
      <c r="BF229" s="26"/>
      <c r="BG229" s="26"/>
      <c r="BH229" s="26"/>
    </row>
    <row r="230" spans="1:60" ht="35.65" customHeight="1" thickBot="1">
      <c r="A230" s="27" t="s">
        <v>104</v>
      </c>
      <c r="B230" s="35"/>
      <c r="C230" s="101"/>
      <c r="D230" s="20"/>
      <c r="E230" s="20"/>
      <c r="F230" s="101"/>
      <c r="G230" s="101"/>
      <c r="H230" s="101"/>
      <c r="I230" s="101"/>
      <c r="J230" s="18"/>
      <c r="K230" s="20"/>
      <c r="L230" s="20"/>
      <c r="M230" s="36"/>
      <c r="N230" s="18"/>
      <c r="O230" s="18"/>
      <c r="P230" s="102"/>
      <c r="Q230" s="18"/>
      <c r="R230" s="102"/>
      <c r="S230" s="102"/>
      <c r="T230" s="20"/>
      <c r="U230" s="18"/>
      <c r="V230" s="102"/>
      <c r="W230" s="101"/>
      <c r="X230" s="20"/>
      <c r="Y230" s="101"/>
      <c r="Z230" s="101"/>
      <c r="AA230" s="20"/>
      <c r="AB230" s="102"/>
      <c r="AC230" s="26"/>
      <c r="AD230" s="52" t="s">
        <v>743</v>
      </c>
      <c r="AE230" s="26"/>
      <c r="AF230" s="26"/>
      <c r="AG230" s="26"/>
      <c r="AH230" s="26"/>
      <c r="AI230" s="26"/>
      <c r="AJ230" s="26"/>
      <c r="AK230" s="26"/>
      <c r="AL230" s="26"/>
      <c r="AM230" s="26"/>
      <c r="AN230" s="26"/>
      <c r="AO230" s="26">
        <f t="shared" si="52"/>
        <v>290.3</v>
      </c>
      <c r="AP230" s="26"/>
      <c r="AQ230" s="26"/>
      <c r="AR230" s="26"/>
      <c r="AS230" s="26">
        <f>200.3+90</f>
        <v>290.3</v>
      </c>
      <c r="AT230" s="26"/>
      <c r="AU230" s="26"/>
      <c r="AV230" s="26"/>
      <c r="AW230" s="26"/>
      <c r="AX230" s="26"/>
      <c r="AY230" s="26"/>
      <c r="AZ230" s="26"/>
      <c r="BA230" s="26"/>
      <c r="BB230" s="26"/>
      <c r="BC230" s="26"/>
      <c r="BD230" s="26"/>
      <c r="BE230" s="26"/>
      <c r="BF230" s="26"/>
      <c r="BG230" s="26"/>
      <c r="BH230" s="26"/>
    </row>
    <row r="231" spans="1:60" ht="35.65" customHeight="1" thickBot="1">
      <c r="A231" s="27" t="s">
        <v>131</v>
      </c>
      <c r="B231" s="35"/>
      <c r="C231" s="20" t="s">
        <v>105</v>
      </c>
      <c r="D231" s="20" t="s">
        <v>106</v>
      </c>
      <c r="E231" s="20" t="s">
        <v>107</v>
      </c>
      <c r="F231" s="98"/>
      <c r="G231" s="98"/>
      <c r="H231" s="98"/>
      <c r="I231" s="98"/>
      <c r="J231" s="98" t="s">
        <v>124</v>
      </c>
      <c r="K231" s="20" t="s">
        <v>109</v>
      </c>
      <c r="L231" s="20" t="s">
        <v>125</v>
      </c>
      <c r="M231" s="98" t="s">
        <v>134</v>
      </c>
      <c r="N231" s="20" t="s">
        <v>112</v>
      </c>
      <c r="O231" s="98"/>
      <c r="P231" s="71" t="s">
        <v>135</v>
      </c>
      <c r="Q231" s="20" t="s">
        <v>112</v>
      </c>
      <c r="R231" s="98"/>
      <c r="S231" s="98"/>
      <c r="T231" s="98" t="s">
        <v>136</v>
      </c>
      <c r="U231" s="20" t="s">
        <v>112</v>
      </c>
      <c r="V231" s="98"/>
      <c r="W231" s="98" t="s">
        <v>136</v>
      </c>
      <c r="X231" s="20" t="s">
        <v>112</v>
      </c>
      <c r="Y231" s="98"/>
      <c r="Z231" s="98" t="s">
        <v>115</v>
      </c>
      <c r="AA231" s="20" t="s">
        <v>112</v>
      </c>
      <c r="AB231" s="98"/>
      <c r="AC231" s="26"/>
      <c r="AD231" s="52" t="s">
        <v>744</v>
      </c>
      <c r="AE231" s="26">
        <f t="shared" si="59"/>
        <v>0</v>
      </c>
      <c r="AF231" s="26">
        <f t="shared" si="59"/>
        <v>0</v>
      </c>
      <c r="AG231" s="26"/>
      <c r="AH231" s="26"/>
      <c r="AI231" s="26"/>
      <c r="AJ231" s="26"/>
      <c r="AK231" s="26"/>
      <c r="AL231" s="26"/>
      <c r="AM231" s="26"/>
      <c r="AN231" s="26"/>
      <c r="AO231" s="26">
        <f>AP231+AQ231+AR231+AS231</f>
        <v>0</v>
      </c>
      <c r="AP231" s="26"/>
      <c r="AQ231" s="26"/>
      <c r="AR231" s="26"/>
      <c r="AS231" s="26"/>
      <c r="AT231" s="26">
        <f>AU231+AV231+AW231+AX231</f>
        <v>0</v>
      </c>
      <c r="AU231" s="26"/>
      <c r="AV231" s="26"/>
      <c r="AW231" s="26"/>
      <c r="AX231" s="26"/>
      <c r="AY231" s="26">
        <f>AZ231+BA231+BB231+BC231</f>
        <v>0</v>
      </c>
      <c r="AZ231" s="26"/>
      <c r="BA231" s="26"/>
      <c r="BB231" s="26"/>
      <c r="BC231" s="26"/>
      <c r="BD231" s="26">
        <f>BE231+BF231+BG231+BH231</f>
        <v>0</v>
      </c>
      <c r="BE231" s="26"/>
      <c r="BF231" s="26"/>
      <c r="BG231" s="26"/>
      <c r="BH231" s="26"/>
    </row>
    <row r="232" spans="1:60" ht="35.65" customHeight="1" thickBot="1">
      <c r="A232" s="27" t="s">
        <v>131</v>
      </c>
      <c r="B232" s="35"/>
      <c r="C232" s="20" t="s">
        <v>105</v>
      </c>
      <c r="D232" s="20" t="s">
        <v>106</v>
      </c>
      <c r="E232" s="20" t="s">
        <v>107</v>
      </c>
      <c r="F232" s="101"/>
      <c r="G232" s="101"/>
      <c r="H232" s="101"/>
      <c r="I232" s="101"/>
      <c r="J232" s="18" t="s">
        <v>118</v>
      </c>
      <c r="K232" s="20" t="s">
        <v>109</v>
      </c>
      <c r="L232" s="20" t="s">
        <v>119</v>
      </c>
      <c r="M232" s="36" t="s">
        <v>120</v>
      </c>
      <c r="N232" s="18" t="s">
        <v>112</v>
      </c>
      <c r="O232" s="18" t="s">
        <v>121</v>
      </c>
      <c r="P232" s="102" t="s">
        <v>122</v>
      </c>
      <c r="Q232" s="18" t="s">
        <v>112</v>
      </c>
      <c r="R232" s="101"/>
      <c r="S232" s="101"/>
      <c r="T232" s="101" t="s">
        <v>173</v>
      </c>
      <c r="U232" s="20" t="s">
        <v>112</v>
      </c>
      <c r="V232" s="101"/>
      <c r="W232" s="101" t="s">
        <v>173</v>
      </c>
      <c r="X232" s="20" t="s">
        <v>112</v>
      </c>
      <c r="Y232" s="101"/>
      <c r="Z232" s="101" t="s">
        <v>115</v>
      </c>
      <c r="AA232" s="20" t="s">
        <v>112</v>
      </c>
      <c r="AB232" s="98"/>
      <c r="AC232" s="26"/>
      <c r="AD232" s="52" t="s">
        <v>745</v>
      </c>
      <c r="AE232" s="26">
        <f t="shared" si="59"/>
        <v>65</v>
      </c>
      <c r="AF232" s="26">
        <f t="shared" si="59"/>
        <v>65</v>
      </c>
      <c r="AG232" s="26"/>
      <c r="AH232" s="26"/>
      <c r="AI232" s="26"/>
      <c r="AJ232" s="26"/>
      <c r="AK232" s="26"/>
      <c r="AL232" s="26"/>
      <c r="AM232" s="26">
        <v>65</v>
      </c>
      <c r="AN232" s="26">
        <v>65</v>
      </c>
      <c r="AO232" s="26">
        <f>AP232+AQ232+AR232+AS232</f>
        <v>87.5</v>
      </c>
      <c r="AP232" s="26"/>
      <c r="AQ232" s="26"/>
      <c r="AR232" s="26"/>
      <c r="AS232" s="26">
        <v>87.5</v>
      </c>
      <c r="AT232" s="26">
        <f>AU232+AV232+AW232+AX232</f>
        <v>51.1</v>
      </c>
      <c r="AU232" s="26"/>
      <c r="AV232" s="26"/>
      <c r="AW232" s="26"/>
      <c r="AX232" s="26">
        <v>51.1</v>
      </c>
      <c r="AY232" s="26">
        <f>AZ232+BA232+BB232+BC232</f>
        <v>51.1</v>
      </c>
      <c r="AZ232" s="26"/>
      <c r="BA232" s="26"/>
      <c r="BB232" s="26"/>
      <c r="BC232" s="26">
        <v>51.1</v>
      </c>
      <c r="BD232" s="26">
        <f>BE232+BF232+BG232+BH232</f>
        <v>51.1</v>
      </c>
      <c r="BE232" s="26"/>
      <c r="BF232" s="26"/>
      <c r="BG232" s="26"/>
      <c r="BH232" s="26">
        <v>51.1</v>
      </c>
    </row>
    <row r="233" spans="1:60" ht="35.65" customHeight="1" thickBot="1">
      <c r="A233" s="27" t="s">
        <v>131</v>
      </c>
      <c r="B233" s="35"/>
      <c r="C233" s="111" t="s">
        <v>141</v>
      </c>
      <c r="D233" s="111" t="s">
        <v>142</v>
      </c>
      <c r="E233" s="111" t="s">
        <v>143</v>
      </c>
      <c r="F233" s="111"/>
      <c r="G233" s="111"/>
      <c r="H233" s="111"/>
      <c r="I233" s="111"/>
      <c r="J233" s="53" t="s">
        <v>144</v>
      </c>
      <c r="K233" s="111" t="s">
        <v>145</v>
      </c>
      <c r="L233" s="111" t="s">
        <v>146</v>
      </c>
      <c r="M233" s="111"/>
      <c r="N233" s="111"/>
      <c r="O233" s="111"/>
      <c r="P233" s="52" t="s">
        <v>147</v>
      </c>
      <c r="Q233" s="111" t="s">
        <v>112</v>
      </c>
      <c r="R233" s="111"/>
      <c r="S233" s="111"/>
      <c r="T233" s="98"/>
      <c r="U233" s="20"/>
      <c r="V233" s="98"/>
      <c r="W233" s="98"/>
      <c r="X233" s="20"/>
      <c r="Y233" s="98"/>
      <c r="Z233" s="98"/>
      <c r="AA233" s="20"/>
      <c r="AB233" s="98"/>
      <c r="AC233" s="26"/>
      <c r="AD233" s="52" t="s">
        <v>746</v>
      </c>
      <c r="AE233" s="26">
        <f t="shared" si="59"/>
        <v>0</v>
      </c>
      <c r="AF233" s="26">
        <f t="shared" si="59"/>
        <v>0</v>
      </c>
      <c r="AG233" s="26"/>
      <c r="AH233" s="26"/>
      <c r="AI233" s="26"/>
      <c r="AJ233" s="26"/>
      <c r="AK233" s="26"/>
      <c r="AL233" s="26"/>
      <c r="AM233" s="26">
        <f>20-20</f>
        <v>0</v>
      </c>
      <c r="AN233" s="26"/>
      <c r="AO233" s="26">
        <f>AP233+AQ233+AR233+AS233</f>
        <v>0</v>
      </c>
      <c r="AP233" s="26"/>
      <c r="AQ233" s="26"/>
      <c r="AR233" s="26"/>
      <c r="AS233" s="26">
        <v>0</v>
      </c>
      <c r="AT233" s="26">
        <f>AU233+AV233+AW233+AX233</f>
        <v>0</v>
      </c>
      <c r="AU233" s="26"/>
      <c r="AV233" s="26"/>
      <c r="AW233" s="26"/>
      <c r="AX233" s="26">
        <v>0</v>
      </c>
      <c r="AY233" s="26">
        <f>AZ233+BA233+BB233+BC233</f>
        <v>0</v>
      </c>
      <c r="AZ233" s="26"/>
      <c r="BA233" s="26"/>
      <c r="BB233" s="26"/>
      <c r="BC233" s="26">
        <v>0</v>
      </c>
      <c r="BD233" s="26">
        <f>BE233+BF233+BG233+BH233</f>
        <v>0</v>
      </c>
      <c r="BE233" s="26"/>
      <c r="BF233" s="26"/>
      <c r="BG233" s="26"/>
      <c r="BH233" s="26">
        <v>0</v>
      </c>
    </row>
    <row r="234" spans="1:60" ht="35.65" customHeight="1" thickBot="1">
      <c r="A234" s="27" t="s">
        <v>131</v>
      </c>
      <c r="B234" s="35"/>
      <c r="C234" s="111" t="s">
        <v>141</v>
      </c>
      <c r="D234" s="111" t="s">
        <v>142</v>
      </c>
      <c r="E234" s="111" t="s">
        <v>143</v>
      </c>
      <c r="F234" s="111"/>
      <c r="G234" s="111"/>
      <c r="H234" s="111"/>
      <c r="I234" s="111"/>
      <c r="J234" s="53" t="s">
        <v>144</v>
      </c>
      <c r="K234" s="111" t="s">
        <v>145</v>
      </c>
      <c r="L234" s="111" t="s">
        <v>146</v>
      </c>
      <c r="M234" s="111"/>
      <c r="N234" s="111"/>
      <c r="O234" s="111"/>
      <c r="P234" s="52" t="s">
        <v>147</v>
      </c>
      <c r="Q234" s="111" t="s">
        <v>112</v>
      </c>
      <c r="R234" s="111"/>
      <c r="S234" s="111"/>
      <c r="T234" s="98"/>
      <c r="U234" s="20"/>
      <c r="V234" s="98"/>
      <c r="W234" s="98"/>
      <c r="X234" s="20"/>
      <c r="Y234" s="98"/>
      <c r="Z234" s="98"/>
      <c r="AA234" s="20"/>
      <c r="AB234" s="98"/>
      <c r="AC234" s="26"/>
      <c r="AD234" s="52" t="s">
        <v>747</v>
      </c>
      <c r="AE234" s="26">
        <f t="shared" si="59"/>
        <v>0</v>
      </c>
      <c r="AF234" s="26">
        <f t="shared" si="59"/>
        <v>0</v>
      </c>
      <c r="AG234" s="26"/>
      <c r="AH234" s="26"/>
      <c r="AI234" s="26"/>
      <c r="AJ234" s="26"/>
      <c r="AK234" s="26"/>
      <c r="AL234" s="26"/>
      <c r="AM234" s="26"/>
      <c r="AN234" s="26"/>
      <c r="AO234" s="26">
        <f>AP234+AQ234+AR234+AS234</f>
        <v>0</v>
      </c>
      <c r="AP234" s="26"/>
      <c r="AQ234" s="26"/>
      <c r="AR234" s="26"/>
      <c r="AS234" s="26"/>
      <c r="AT234" s="26">
        <f>AU234+AV234+AW234+AX234</f>
        <v>0</v>
      </c>
      <c r="AU234" s="26"/>
      <c r="AV234" s="26"/>
      <c r="AW234" s="26"/>
      <c r="AX234" s="26"/>
      <c r="AY234" s="26">
        <f>AZ234+BA234+BB234+BC234</f>
        <v>0</v>
      </c>
      <c r="AZ234" s="26"/>
      <c r="BA234" s="26"/>
      <c r="BB234" s="26"/>
      <c r="BC234" s="26"/>
      <c r="BD234" s="26">
        <f>BE234+BF234+BG234+BH234</f>
        <v>0</v>
      </c>
      <c r="BE234" s="26"/>
      <c r="BF234" s="26"/>
      <c r="BG234" s="26"/>
      <c r="BH234" s="26"/>
    </row>
    <row r="235" spans="1:60" ht="35.65" customHeight="1" thickBot="1">
      <c r="A235" s="27" t="s">
        <v>131</v>
      </c>
      <c r="B235" s="35"/>
      <c r="C235" s="111"/>
      <c r="D235" s="111"/>
      <c r="E235" s="111"/>
      <c r="F235" s="111"/>
      <c r="G235" s="111"/>
      <c r="H235" s="111"/>
      <c r="I235" s="111"/>
      <c r="J235" s="53"/>
      <c r="K235" s="111"/>
      <c r="L235" s="111"/>
      <c r="M235" s="111"/>
      <c r="N235" s="111"/>
      <c r="O235" s="111"/>
      <c r="P235" s="52"/>
      <c r="Q235" s="111"/>
      <c r="R235" s="111"/>
      <c r="S235" s="111"/>
      <c r="T235" s="101" t="s">
        <v>149</v>
      </c>
      <c r="U235" s="20"/>
      <c r="V235" s="98"/>
      <c r="W235" s="113"/>
      <c r="X235" s="20"/>
      <c r="Y235" s="98"/>
      <c r="Z235" s="98"/>
      <c r="AA235" s="20"/>
      <c r="AB235" s="98"/>
      <c r="AC235" s="26"/>
      <c r="AD235" s="52" t="s">
        <v>748</v>
      </c>
      <c r="AE235" s="26">
        <f t="shared" si="59"/>
        <v>170</v>
      </c>
      <c r="AF235" s="26">
        <f t="shared" si="59"/>
        <v>170</v>
      </c>
      <c r="AG235" s="26"/>
      <c r="AH235" s="26"/>
      <c r="AI235" s="26"/>
      <c r="AJ235" s="26"/>
      <c r="AK235" s="26"/>
      <c r="AL235" s="26"/>
      <c r="AM235" s="26">
        <f>2270-2100</f>
        <v>170</v>
      </c>
      <c r="AN235" s="26">
        <v>170</v>
      </c>
      <c r="AO235" s="26">
        <f t="shared" ref="AO235" si="60">AP235+AQ235+AR235+AS235</f>
        <v>0</v>
      </c>
      <c r="AP235" s="26"/>
      <c r="AQ235" s="26"/>
      <c r="AR235" s="26"/>
      <c r="AS235" s="26">
        <f>200-200</f>
        <v>0</v>
      </c>
      <c r="AT235" s="26"/>
      <c r="AU235" s="26"/>
      <c r="AV235" s="26"/>
      <c r="AW235" s="26"/>
      <c r="AX235" s="26"/>
      <c r="AY235" s="26"/>
      <c r="AZ235" s="26"/>
      <c r="BA235" s="26"/>
      <c r="BB235" s="26"/>
      <c r="BC235" s="26"/>
      <c r="BD235" s="26"/>
      <c r="BE235" s="26"/>
      <c r="BF235" s="26"/>
      <c r="BG235" s="26"/>
      <c r="BH235" s="26"/>
    </row>
    <row r="236" spans="1:60" ht="35.65" customHeight="1" thickBot="1">
      <c r="A236" s="27" t="s">
        <v>133</v>
      </c>
      <c r="B236" s="35"/>
      <c r="C236" s="25"/>
      <c r="D236" s="26"/>
      <c r="E236" s="26"/>
      <c r="F236" s="26"/>
      <c r="G236" s="26"/>
      <c r="H236" s="26"/>
      <c r="I236" s="26"/>
      <c r="J236" s="26"/>
      <c r="K236" s="26"/>
      <c r="L236" s="26"/>
      <c r="M236" s="26"/>
      <c r="N236" s="26"/>
      <c r="O236" s="26"/>
      <c r="P236" s="26"/>
      <c r="Q236" s="26"/>
      <c r="R236" s="26"/>
      <c r="S236" s="26"/>
      <c r="T236" s="101" t="s">
        <v>151</v>
      </c>
      <c r="U236" s="20" t="s">
        <v>112</v>
      </c>
      <c r="V236" s="101"/>
      <c r="W236" s="114" t="s">
        <v>151</v>
      </c>
      <c r="X236" s="20" t="s">
        <v>112</v>
      </c>
      <c r="Y236" s="101"/>
      <c r="Z236" s="101" t="s">
        <v>151</v>
      </c>
      <c r="AA236" s="20" t="s">
        <v>112</v>
      </c>
      <c r="AB236" s="26"/>
      <c r="AC236" s="26"/>
      <c r="AD236" s="52" t="s">
        <v>749</v>
      </c>
      <c r="AE236" s="26">
        <f t="shared" si="59"/>
        <v>0</v>
      </c>
      <c r="AF236" s="26">
        <f t="shared" si="59"/>
        <v>0</v>
      </c>
      <c r="AG236" s="26"/>
      <c r="AH236" s="26"/>
      <c r="AI236" s="26"/>
      <c r="AJ236" s="26"/>
      <c r="AK236" s="26"/>
      <c r="AL236" s="26"/>
      <c r="AM236" s="26"/>
      <c r="AN236" s="26"/>
      <c r="AO236" s="26">
        <f>AP236+AQ236+AR236+AS236</f>
        <v>0</v>
      </c>
      <c r="AP236" s="26"/>
      <c r="AQ236" s="26"/>
      <c r="AR236" s="26"/>
      <c r="AS236" s="26"/>
      <c r="AT236" s="26">
        <f>AU236+AV236+AW236+AX236</f>
        <v>0</v>
      </c>
      <c r="AU236" s="26"/>
      <c r="AV236" s="26"/>
      <c r="AW236" s="26"/>
      <c r="AX236" s="26"/>
      <c r="AY236" s="26">
        <f>AZ236+BA236+BB236+BC236</f>
        <v>0</v>
      </c>
      <c r="AZ236" s="26"/>
      <c r="BA236" s="26"/>
      <c r="BB236" s="26"/>
      <c r="BC236" s="26"/>
      <c r="BD236" s="26">
        <f>BE236+BF236+BG236+BH236</f>
        <v>0</v>
      </c>
      <c r="BE236" s="26"/>
      <c r="BF236" s="26"/>
      <c r="BG236" s="26"/>
      <c r="BH236" s="26"/>
    </row>
    <row r="237" spans="1:60" ht="35.65" customHeight="1" thickBot="1">
      <c r="A237" s="31" t="s">
        <v>174</v>
      </c>
      <c r="B237" s="32">
        <v>2525</v>
      </c>
      <c r="C237" s="33"/>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v>6</v>
      </c>
      <c r="AD237" s="34"/>
      <c r="AE237" s="118">
        <f>AE238+AE240+AE242+AE244+AE247+AE249+AE250+AE253+AE255+AE258+AE264+AE267+AE268+AE269+AE270+AE271+AE272+AE265+AE257</f>
        <v>77613.299999999988</v>
      </c>
      <c r="AF237" s="118">
        <f>AH237+AJ237+AL237+AN237</f>
        <v>77296</v>
      </c>
      <c r="AG237" s="118">
        <f>AG238+AG240+AG242+AG244+AG247+AG249+AG250+AG253+AG255+AG258+AG264+AG267+AG268+AG269+AG270+AG271+AG272+AG265+AG257</f>
        <v>0</v>
      </c>
      <c r="AH237" s="118">
        <f>AH238+AH240+AH242+AH244+AH247+AH249+AH250+AH253+AH255+AH258+AH264+AH267+AH268+AH269+AH270+AH271+AH272+AH265+AH257</f>
        <v>0</v>
      </c>
      <c r="AI237" s="118">
        <f>AI238+AI240+AI242+AI244+AI247+AI249+AI250+AI253+AI255+AI258+AI264+AI267+AI268+AI269+AI270+AI271+AI272+AI265+AI257</f>
        <v>5957.4</v>
      </c>
      <c r="AJ237" s="118">
        <f>AJ238+AJ240+AJ242+AJ244+AJ247+AJ249+AJ250+AJ253+AJ255+AJ258+AJ264+AJ267+AJ268+AJ269+AJ270+AJ271+AJ272+AJ265+AJ257</f>
        <v>5952.5999999999995</v>
      </c>
      <c r="AK237" s="118">
        <f>AK238+AK240+AK242+AK244+AK247+AK249+AK250+AK253+AK255+AK258+AK264+AK267+AK268+AK269+AK270+AK271+AK272+AK265+AK257</f>
        <v>0</v>
      </c>
      <c r="AL237" s="118"/>
      <c r="AM237" s="118">
        <f>AM238+AM240+AM242+AM244+AM247+AM249+AM250+AM253+AM255+AM258+AM264+AM267+AM268+AM269+AM270+AM271+AM272+AM265+AM257</f>
        <v>71655.899999999994</v>
      </c>
      <c r="AN237" s="118">
        <f>AN238+AN240+AN242+AN244+AN247+AN249+AN250+AN253+AN255+AN258+AN264+AN267+AN268+AN269+AN270+AN271+AN272+AN265+AN257</f>
        <v>71343.399999999994</v>
      </c>
      <c r="AO237" s="118">
        <f>AO238+AO240+AO242+AO244+AO247+AO249+AO250+AO253+AO255+AO258+AO264+AO267+AO268+AO269+AO270+AO271+AO272+AO251+AO252+AO259+AO254+AO239+AO241+AO243+AO248+AO260+AO262+AO263+AO256+AO261+AO245+AO246+AO266</f>
        <v>88678.5</v>
      </c>
      <c r="AP237" s="118">
        <f t="shared" ref="AP237:AS237" si="61">AP238+AP240+AP242+AP244+AP247+AP249+AP250+AP253+AP255+AP258+AP264+AP267+AP268+AP269+AP270+AP271+AP272+AP251+AP252+AP259+AP254+AP239+AP241+AP243+AP248+AP260+AP262+AP263+AP256+AP261+AP245+AP246+AP266</f>
        <v>0</v>
      </c>
      <c r="AQ237" s="118">
        <f t="shared" si="61"/>
        <v>7534</v>
      </c>
      <c r="AR237" s="118">
        <f t="shared" si="61"/>
        <v>0</v>
      </c>
      <c r="AS237" s="118">
        <f t="shared" si="61"/>
        <v>81144.5</v>
      </c>
      <c r="AT237" s="118">
        <f t="shared" ref="AT237:BH237" si="62">AT238+AT240+AT242+AT244+AT247+AT249+AT250+AT253+AT255+AT258+AT264+AT267+AT268+AT269+AT270+AT271+AT272</f>
        <v>74218.3</v>
      </c>
      <c r="AU237" s="118">
        <f t="shared" si="62"/>
        <v>0</v>
      </c>
      <c r="AV237" s="118">
        <f t="shared" si="62"/>
        <v>0</v>
      </c>
      <c r="AW237" s="118">
        <f t="shared" si="62"/>
        <v>0</v>
      </c>
      <c r="AX237" s="118">
        <f t="shared" si="62"/>
        <v>74218.3</v>
      </c>
      <c r="AY237" s="118">
        <f t="shared" si="62"/>
        <v>74218.3</v>
      </c>
      <c r="AZ237" s="118">
        <f t="shared" si="62"/>
        <v>0</v>
      </c>
      <c r="BA237" s="118">
        <f t="shared" si="62"/>
        <v>0</v>
      </c>
      <c r="BB237" s="118">
        <f t="shared" si="62"/>
        <v>0</v>
      </c>
      <c r="BC237" s="118">
        <f t="shared" si="62"/>
        <v>74218.3</v>
      </c>
      <c r="BD237" s="118">
        <f t="shared" si="62"/>
        <v>74218.3</v>
      </c>
      <c r="BE237" s="118">
        <f t="shared" si="62"/>
        <v>0</v>
      </c>
      <c r="BF237" s="118">
        <f t="shared" si="62"/>
        <v>0</v>
      </c>
      <c r="BG237" s="118">
        <f t="shared" si="62"/>
        <v>0</v>
      </c>
      <c r="BH237" s="118">
        <f t="shared" si="62"/>
        <v>74218.3</v>
      </c>
    </row>
    <row r="238" spans="1:60" ht="35.65" customHeight="1" thickBot="1">
      <c r="A238" s="27" t="s">
        <v>104</v>
      </c>
      <c r="B238" s="42"/>
      <c r="C238" s="110" t="s">
        <v>105</v>
      </c>
      <c r="D238" s="20" t="s">
        <v>106</v>
      </c>
      <c r="E238" s="20" t="s">
        <v>107</v>
      </c>
      <c r="F238" s="98"/>
      <c r="G238" s="98"/>
      <c r="H238" s="98"/>
      <c r="I238" s="98"/>
      <c r="J238" s="20" t="s">
        <v>150</v>
      </c>
      <c r="K238" s="20" t="s">
        <v>109</v>
      </c>
      <c r="L238" s="20" t="s">
        <v>125</v>
      </c>
      <c r="M238" s="98"/>
      <c r="N238" s="98"/>
      <c r="O238" s="98"/>
      <c r="P238" s="98"/>
      <c r="Q238" s="98"/>
      <c r="R238" s="98"/>
      <c r="S238" s="98"/>
      <c r="T238" s="98"/>
      <c r="U238" s="98"/>
      <c r="V238" s="98"/>
      <c r="W238" s="108" t="s">
        <v>115</v>
      </c>
      <c r="X238" s="20" t="s">
        <v>112</v>
      </c>
      <c r="Y238" s="98"/>
      <c r="Z238" s="108" t="s">
        <v>115</v>
      </c>
      <c r="AA238" s="20" t="s">
        <v>112</v>
      </c>
      <c r="AB238" s="98"/>
      <c r="AC238" s="26"/>
      <c r="AD238" s="52" t="s">
        <v>750</v>
      </c>
      <c r="AE238" s="26">
        <f t="shared" ref="AE238:AF272" si="63">AG238+AI238+AK238+AM238</f>
        <v>2859.3</v>
      </c>
      <c r="AF238" s="26">
        <f>AH238+AJ238+AL238+AN238</f>
        <v>2859.3</v>
      </c>
      <c r="AG238" s="26"/>
      <c r="AH238" s="26"/>
      <c r="AI238" s="26"/>
      <c r="AJ238" s="26"/>
      <c r="AK238" s="26"/>
      <c r="AL238" s="26"/>
      <c r="AM238" s="26">
        <f>1986.5+665.4+50+157.4</f>
        <v>2859.3</v>
      </c>
      <c r="AN238" s="26">
        <v>2859.3</v>
      </c>
      <c r="AO238" s="26">
        <f t="shared" ref="AO238:AO270" si="64">AP238+AQ238+AR238+AS238</f>
        <v>1483.1</v>
      </c>
      <c r="AP238" s="26"/>
      <c r="AQ238" s="26"/>
      <c r="AR238" s="26"/>
      <c r="AS238" s="26">
        <f>1993.5+118+50-664.5-13.9</f>
        <v>1483.1</v>
      </c>
      <c r="AT238" s="26">
        <f t="shared" ref="AT238:AT255" si="65">AU238+AV238+AW238+AX238</f>
        <v>1971.8</v>
      </c>
      <c r="AU238" s="26"/>
      <c r="AV238" s="26"/>
      <c r="AW238" s="26"/>
      <c r="AX238" s="26">
        <v>1971.8</v>
      </c>
      <c r="AY238" s="26">
        <f t="shared" ref="AY238:AY270" si="66">AZ238+BA238+BB238+BC238</f>
        <v>1971.8</v>
      </c>
      <c r="AZ238" s="26"/>
      <c r="BA238" s="26"/>
      <c r="BB238" s="26"/>
      <c r="BC238" s="26">
        <v>1971.8</v>
      </c>
      <c r="BD238" s="26">
        <f t="shared" ref="BD238:BD258" si="67">BE238+BF238+BG238+BH238</f>
        <v>1971.8</v>
      </c>
      <c r="BE238" s="26"/>
      <c r="BF238" s="26"/>
      <c r="BG238" s="26"/>
      <c r="BH238" s="26">
        <v>1971.8</v>
      </c>
    </row>
    <row r="239" spans="1:60" ht="35.65" customHeight="1" thickBot="1">
      <c r="A239" s="27"/>
      <c r="B239" s="42"/>
      <c r="C239" s="110"/>
      <c r="D239" s="20"/>
      <c r="E239" s="20"/>
      <c r="F239" s="98"/>
      <c r="G239" s="98"/>
      <c r="H239" s="98"/>
      <c r="I239" s="98"/>
      <c r="J239" s="20"/>
      <c r="K239" s="20"/>
      <c r="L239" s="20"/>
      <c r="M239" s="98"/>
      <c r="N239" s="98"/>
      <c r="O239" s="98"/>
      <c r="P239" s="98"/>
      <c r="Q239" s="98"/>
      <c r="R239" s="98"/>
      <c r="S239" s="98"/>
      <c r="T239" s="98"/>
      <c r="U239" s="98"/>
      <c r="V239" s="98"/>
      <c r="W239" s="108"/>
      <c r="X239" s="20"/>
      <c r="Y239" s="98"/>
      <c r="Z239" s="108"/>
      <c r="AA239" s="20"/>
      <c r="AB239" s="98"/>
      <c r="AC239" s="26"/>
      <c r="AD239" s="52" t="s">
        <v>751</v>
      </c>
      <c r="AE239" s="26"/>
      <c r="AF239" s="26"/>
      <c r="AG239" s="26"/>
      <c r="AH239" s="26"/>
      <c r="AI239" s="26"/>
      <c r="AJ239" s="26"/>
      <c r="AK239" s="26"/>
      <c r="AL239" s="26"/>
      <c r="AM239" s="26"/>
      <c r="AN239" s="26"/>
      <c r="AO239" s="26">
        <f t="shared" si="64"/>
        <v>1028.4000000000001</v>
      </c>
      <c r="AP239" s="26"/>
      <c r="AQ239" s="26"/>
      <c r="AR239" s="26"/>
      <c r="AS239" s="26">
        <f>664.5+13.9+350</f>
        <v>1028.4000000000001</v>
      </c>
      <c r="AT239" s="26"/>
      <c r="AU239" s="26"/>
      <c r="AV239" s="26"/>
      <c r="AW239" s="26"/>
      <c r="AX239" s="26"/>
      <c r="AY239" s="26"/>
      <c r="AZ239" s="26"/>
      <c r="BA239" s="26"/>
      <c r="BB239" s="26"/>
      <c r="BC239" s="26"/>
      <c r="BD239" s="26"/>
      <c r="BE239" s="26"/>
      <c r="BF239" s="26"/>
      <c r="BG239" s="26"/>
      <c r="BH239" s="26"/>
    </row>
    <row r="240" spans="1:60" ht="35.65" customHeight="1" thickBot="1">
      <c r="A240" s="27" t="s">
        <v>104</v>
      </c>
      <c r="B240" s="42"/>
      <c r="C240" s="110" t="s">
        <v>105</v>
      </c>
      <c r="D240" s="20" t="s">
        <v>159</v>
      </c>
      <c r="E240" s="20" t="s">
        <v>107</v>
      </c>
      <c r="F240" s="98"/>
      <c r="G240" s="98"/>
      <c r="H240" s="98"/>
      <c r="I240" s="98"/>
      <c r="J240" s="20" t="s">
        <v>150</v>
      </c>
      <c r="K240" s="20" t="s">
        <v>160</v>
      </c>
      <c r="L240" s="20" t="s">
        <v>161</v>
      </c>
      <c r="M240" s="98"/>
      <c r="N240" s="98"/>
      <c r="O240" s="98"/>
      <c r="P240" s="98"/>
      <c r="Q240" s="98"/>
      <c r="R240" s="98"/>
      <c r="S240" s="98"/>
      <c r="T240" s="98"/>
      <c r="U240" s="98"/>
      <c r="V240" s="98"/>
      <c r="W240" s="108" t="s">
        <v>115</v>
      </c>
      <c r="X240" s="20" t="s">
        <v>112</v>
      </c>
      <c r="Y240" s="98"/>
      <c r="Z240" s="108" t="s">
        <v>115</v>
      </c>
      <c r="AA240" s="20" t="s">
        <v>112</v>
      </c>
      <c r="AB240" s="98"/>
      <c r="AC240" s="26"/>
      <c r="AD240" s="52" t="s">
        <v>752</v>
      </c>
      <c r="AE240" s="26">
        <f t="shared" si="63"/>
        <v>5204.2000000000007</v>
      </c>
      <c r="AF240" s="26">
        <f t="shared" si="63"/>
        <v>5118.2</v>
      </c>
      <c r="AG240" s="26"/>
      <c r="AH240" s="26"/>
      <c r="AI240" s="26"/>
      <c r="AJ240" s="26"/>
      <c r="AK240" s="26"/>
      <c r="AL240" s="26"/>
      <c r="AM240" s="26">
        <f>5737.8+42.1-163.3-157.4-255</f>
        <v>5204.2000000000007</v>
      </c>
      <c r="AN240" s="26">
        <v>5118.2</v>
      </c>
      <c r="AO240" s="26">
        <f t="shared" si="64"/>
        <v>4063.8</v>
      </c>
      <c r="AP240" s="26"/>
      <c r="AQ240" s="26"/>
      <c r="AR240" s="26"/>
      <c r="AS240" s="26">
        <f>5746.6-1327-355.8</f>
        <v>4063.8</v>
      </c>
      <c r="AT240" s="26">
        <f t="shared" si="65"/>
        <v>5746.6</v>
      </c>
      <c r="AU240" s="26"/>
      <c r="AV240" s="26"/>
      <c r="AW240" s="26"/>
      <c r="AX240" s="26">
        <v>5746.6</v>
      </c>
      <c r="AY240" s="26">
        <f t="shared" si="66"/>
        <v>5746.6</v>
      </c>
      <c r="AZ240" s="26"/>
      <c r="BA240" s="26"/>
      <c r="BB240" s="26"/>
      <c r="BC240" s="26">
        <v>5746.6</v>
      </c>
      <c r="BD240" s="26">
        <f t="shared" si="67"/>
        <v>5746.6</v>
      </c>
      <c r="BE240" s="26"/>
      <c r="BF240" s="26"/>
      <c r="BG240" s="26"/>
      <c r="BH240" s="26">
        <v>5746.6</v>
      </c>
    </row>
    <row r="241" spans="1:60" ht="35.65" customHeight="1" thickBot="1">
      <c r="A241" s="27"/>
      <c r="B241" s="42"/>
      <c r="C241" s="110"/>
      <c r="D241" s="20"/>
      <c r="E241" s="20"/>
      <c r="F241" s="98"/>
      <c r="G241" s="98"/>
      <c r="H241" s="98"/>
      <c r="I241" s="98"/>
      <c r="J241" s="20"/>
      <c r="K241" s="20"/>
      <c r="L241" s="20"/>
      <c r="M241" s="98"/>
      <c r="N241" s="98"/>
      <c r="O241" s="98"/>
      <c r="P241" s="98"/>
      <c r="Q241" s="98"/>
      <c r="R241" s="98"/>
      <c r="S241" s="98"/>
      <c r="T241" s="98"/>
      <c r="U241" s="98"/>
      <c r="V241" s="98"/>
      <c r="W241" s="108"/>
      <c r="X241" s="20"/>
      <c r="Y241" s="98"/>
      <c r="Z241" s="108"/>
      <c r="AA241" s="20"/>
      <c r="AB241" s="98"/>
      <c r="AC241" s="26"/>
      <c r="AD241" s="52" t="s">
        <v>753</v>
      </c>
      <c r="AE241" s="26"/>
      <c r="AF241" s="26"/>
      <c r="AG241" s="26"/>
      <c r="AH241" s="26"/>
      <c r="AI241" s="26"/>
      <c r="AJ241" s="26"/>
      <c r="AK241" s="26"/>
      <c r="AL241" s="26"/>
      <c r="AM241" s="26"/>
      <c r="AN241" s="26"/>
      <c r="AO241" s="26">
        <f t="shared" si="64"/>
        <v>1682.8</v>
      </c>
      <c r="AP241" s="26"/>
      <c r="AQ241" s="26"/>
      <c r="AR241" s="26"/>
      <c r="AS241" s="26">
        <f>1327+355.8</f>
        <v>1682.8</v>
      </c>
      <c r="AT241" s="26"/>
      <c r="AU241" s="26"/>
      <c r="AV241" s="26"/>
      <c r="AW241" s="26"/>
      <c r="AX241" s="26"/>
      <c r="AY241" s="26"/>
      <c r="AZ241" s="26"/>
      <c r="BA241" s="26"/>
      <c r="BB241" s="26"/>
      <c r="BC241" s="26"/>
      <c r="BD241" s="26"/>
      <c r="BE241" s="26"/>
      <c r="BF241" s="26"/>
      <c r="BG241" s="26"/>
      <c r="BH241" s="26"/>
    </row>
    <row r="242" spans="1:60" ht="35.65" customHeight="1" thickBot="1">
      <c r="A242" s="27" t="s">
        <v>175</v>
      </c>
      <c r="B242" s="42"/>
      <c r="C242" s="110" t="s">
        <v>105</v>
      </c>
      <c r="D242" s="20" t="s">
        <v>162</v>
      </c>
      <c r="E242" s="20" t="s">
        <v>107</v>
      </c>
      <c r="F242" s="98"/>
      <c r="G242" s="98"/>
      <c r="H242" s="98"/>
      <c r="I242" s="98"/>
      <c r="J242" s="20" t="s">
        <v>150</v>
      </c>
      <c r="K242" s="20" t="s">
        <v>163</v>
      </c>
      <c r="L242" s="20" t="s">
        <v>164</v>
      </c>
      <c r="M242" s="98"/>
      <c r="N242" s="98"/>
      <c r="O242" s="98"/>
      <c r="P242" s="98"/>
      <c r="Q242" s="98"/>
      <c r="R242" s="98"/>
      <c r="S242" s="98"/>
      <c r="T242" s="98"/>
      <c r="U242" s="98"/>
      <c r="V242" s="98"/>
      <c r="W242" s="108" t="s">
        <v>115</v>
      </c>
      <c r="X242" s="20" t="s">
        <v>112</v>
      </c>
      <c r="Y242" s="98"/>
      <c r="Z242" s="108" t="s">
        <v>115</v>
      </c>
      <c r="AA242" s="20" t="s">
        <v>112</v>
      </c>
      <c r="AB242" s="98"/>
      <c r="AC242" s="26"/>
      <c r="AD242" s="52" t="s">
        <v>754</v>
      </c>
      <c r="AE242" s="26">
        <f t="shared" si="63"/>
        <v>28003.1</v>
      </c>
      <c r="AF242" s="26">
        <f t="shared" si="63"/>
        <v>27905.5</v>
      </c>
      <c r="AG242" s="26"/>
      <c r="AH242" s="26"/>
      <c r="AI242" s="26">
        <v>2830.7</v>
      </c>
      <c r="AJ242" s="26">
        <v>2830.7</v>
      </c>
      <c r="AK242" s="26"/>
      <c r="AL242" s="26"/>
      <c r="AM242" s="26">
        <f>22993+1825+167.3+1005.6-115.7+1277.7+850.2-2830.7</f>
        <v>25172.399999999998</v>
      </c>
      <c r="AN242" s="26">
        <f>27905.4+0.1-2830.7</f>
        <v>25074.799999999999</v>
      </c>
      <c r="AO242" s="26">
        <f t="shared" si="64"/>
        <v>24177.899999999994</v>
      </c>
      <c r="AP242" s="26"/>
      <c r="AQ242" s="26">
        <v>1171.9000000000001</v>
      </c>
      <c r="AR242" s="26"/>
      <c r="AS242" s="26">
        <f>23913.6+1172-1171.9+548.6-3423.4+2759-791.9</f>
        <v>23005.999999999993</v>
      </c>
      <c r="AT242" s="26">
        <f t="shared" si="65"/>
        <v>23913.599999999999</v>
      </c>
      <c r="AU242" s="26"/>
      <c r="AV242" s="26"/>
      <c r="AW242" s="26"/>
      <c r="AX242" s="26">
        <v>23913.599999999999</v>
      </c>
      <c r="AY242" s="26">
        <f t="shared" si="66"/>
        <v>23913.599999999999</v>
      </c>
      <c r="AZ242" s="26"/>
      <c r="BA242" s="26"/>
      <c r="BB242" s="26"/>
      <c r="BC242" s="26">
        <v>23913.599999999999</v>
      </c>
      <c r="BD242" s="26">
        <f t="shared" si="67"/>
        <v>23913.599999999999</v>
      </c>
      <c r="BE242" s="26"/>
      <c r="BF242" s="26"/>
      <c r="BG242" s="26"/>
      <c r="BH242" s="26">
        <v>23913.599999999999</v>
      </c>
    </row>
    <row r="243" spans="1:60" ht="35.65" customHeight="1" thickBot="1">
      <c r="A243" s="27"/>
      <c r="B243" s="42"/>
      <c r="C243" s="110"/>
      <c r="D243" s="20"/>
      <c r="E243" s="20"/>
      <c r="F243" s="98"/>
      <c r="G243" s="98"/>
      <c r="H243" s="98"/>
      <c r="I243" s="98"/>
      <c r="J243" s="20"/>
      <c r="K243" s="20"/>
      <c r="L243" s="20"/>
      <c r="M243" s="98"/>
      <c r="N243" s="98"/>
      <c r="O243" s="98"/>
      <c r="P243" s="98"/>
      <c r="Q243" s="98"/>
      <c r="R243" s="98"/>
      <c r="S243" s="98"/>
      <c r="T243" s="98"/>
      <c r="U243" s="98"/>
      <c r="V243" s="98"/>
      <c r="W243" s="108"/>
      <c r="X243" s="20"/>
      <c r="Y243" s="98"/>
      <c r="Z243" s="108"/>
      <c r="AA243" s="20"/>
      <c r="AB243" s="98"/>
      <c r="AC243" s="26"/>
      <c r="AD243" s="52" t="s">
        <v>755</v>
      </c>
      <c r="AE243" s="26"/>
      <c r="AF243" s="26"/>
      <c r="AG243" s="26"/>
      <c r="AH243" s="26"/>
      <c r="AI243" s="26"/>
      <c r="AJ243" s="26"/>
      <c r="AK243" s="26"/>
      <c r="AL243" s="26"/>
      <c r="AM243" s="26"/>
      <c r="AN243" s="26"/>
      <c r="AO243" s="26">
        <f t="shared" si="64"/>
        <v>4215.3</v>
      </c>
      <c r="AP243" s="26"/>
      <c r="AQ243" s="26"/>
      <c r="AR243" s="26"/>
      <c r="AS243" s="26">
        <f>3423.4+791.9</f>
        <v>4215.3</v>
      </c>
      <c r="AT243" s="26"/>
      <c r="AU243" s="26"/>
      <c r="AV243" s="26"/>
      <c r="AW243" s="26"/>
      <c r="AX243" s="26"/>
      <c r="AY243" s="26"/>
      <c r="AZ243" s="26"/>
      <c r="BA243" s="26"/>
      <c r="BB243" s="26"/>
      <c r="BC243" s="26"/>
      <c r="BD243" s="26"/>
      <c r="BE243" s="26"/>
      <c r="BF243" s="26"/>
      <c r="BG243" s="26"/>
      <c r="BH243" s="26"/>
    </row>
    <row r="244" spans="1:60" ht="35.65" customHeight="1" thickBot="1">
      <c r="A244" s="27" t="s">
        <v>104</v>
      </c>
      <c r="B244" s="42"/>
      <c r="C244" s="110" t="s">
        <v>105</v>
      </c>
      <c r="D244" s="20" t="s">
        <v>106</v>
      </c>
      <c r="E244" s="20" t="s">
        <v>107</v>
      </c>
      <c r="F244" s="98"/>
      <c r="G244" s="98"/>
      <c r="H244" s="98"/>
      <c r="I244" s="98"/>
      <c r="J244" s="20" t="s">
        <v>150</v>
      </c>
      <c r="K244" s="20" t="s">
        <v>109</v>
      </c>
      <c r="L244" s="20" t="s">
        <v>125</v>
      </c>
      <c r="M244" s="98"/>
      <c r="N244" s="98"/>
      <c r="O244" s="98"/>
      <c r="P244" s="98"/>
      <c r="Q244" s="98"/>
      <c r="R244" s="98"/>
      <c r="S244" s="98"/>
      <c r="T244" s="98"/>
      <c r="U244" s="98"/>
      <c r="V244" s="98"/>
      <c r="W244" s="108" t="s">
        <v>115</v>
      </c>
      <c r="X244" s="20" t="s">
        <v>112</v>
      </c>
      <c r="Y244" s="98"/>
      <c r="Z244" s="108" t="s">
        <v>115</v>
      </c>
      <c r="AA244" s="20" t="s">
        <v>112</v>
      </c>
      <c r="AB244" s="98"/>
      <c r="AC244" s="26"/>
      <c r="AD244" s="52" t="s">
        <v>756</v>
      </c>
      <c r="AE244" s="26">
        <f t="shared" si="63"/>
        <v>253.3</v>
      </c>
      <c r="AF244" s="26">
        <f t="shared" si="63"/>
        <v>253.3</v>
      </c>
      <c r="AG244" s="26"/>
      <c r="AH244" s="26"/>
      <c r="AI244" s="26"/>
      <c r="AJ244" s="26"/>
      <c r="AK244" s="26"/>
      <c r="AL244" s="26"/>
      <c r="AM244" s="26">
        <f>90+163.3</f>
        <v>253.3</v>
      </c>
      <c r="AN244" s="26">
        <v>253.3</v>
      </c>
      <c r="AO244" s="26">
        <f t="shared" si="64"/>
        <v>380</v>
      </c>
      <c r="AP244" s="26"/>
      <c r="AQ244" s="26"/>
      <c r="AR244" s="26"/>
      <c r="AS244" s="26">
        <v>380</v>
      </c>
      <c r="AT244" s="26">
        <f t="shared" si="65"/>
        <v>0</v>
      </c>
      <c r="AU244" s="26"/>
      <c r="AV244" s="26"/>
      <c r="AW244" s="26"/>
      <c r="AX244" s="26"/>
      <c r="AY244" s="26">
        <f t="shared" si="66"/>
        <v>0</v>
      </c>
      <c r="AZ244" s="26"/>
      <c r="BA244" s="26"/>
      <c r="BB244" s="26"/>
      <c r="BC244" s="26"/>
      <c r="BD244" s="26">
        <f t="shared" si="67"/>
        <v>0</v>
      </c>
      <c r="BE244" s="26"/>
      <c r="BF244" s="26"/>
      <c r="BG244" s="26"/>
      <c r="BH244" s="26"/>
    </row>
    <row r="245" spans="1:60" ht="35.65" customHeight="1" thickBot="1">
      <c r="A245" s="27"/>
      <c r="B245" s="42"/>
      <c r="C245" s="109"/>
      <c r="D245" s="20"/>
      <c r="E245" s="20"/>
      <c r="F245" s="98"/>
      <c r="G245" s="98"/>
      <c r="H245" s="98"/>
      <c r="I245" s="98"/>
      <c r="J245" s="20"/>
      <c r="K245" s="20"/>
      <c r="L245" s="20"/>
      <c r="M245" s="98"/>
      <c r="N245" s="98"/>
      <c r="O245" s="98"/>
      <c r="P245" s="98"/>
      <c r="Q245" s="98"/>
      <c r="R245" s="98"/>
      <c r="S245" s="98"/>
      <c r="T245" s="98"/>
      <c r="U245" s="98"/>
      <c r="V245" s="98"/>
      <c r="W245" s="108"/>
      <c r="X245" s="20"/>
      <c r="Y245" s="98"/>
      <c r="Z245" s="108"/>
      <c r="AA245" s="20"/>
      <c r="AB245" s="98"/>
      <c r="AC245" s="26"/>
      <c r="AD245" s="52" t="s">
        <v>757</v>
      </c>
      <c r="AE245" s="26"/>
      <c r="AF245" s="26"/>
      <c r="AG245" s="26"/>
      <c r="AH245" s="26"/>
      <c r="AI245" s="26"/>
      <c r="AJ245" s="26"/>
      <c r="AK245" s="26"/>
      <c r="AL245" s="26"/>
      <c r="AM245" s="26"/>
      <c r="AN245" s="26"/>
      <c r="AO245" s="26">
        <f t="shared" si="64"/>
        <v>697.2</v>
      </c>
      <c r="AP245" s="26"/>
      <c r="AQ245" s="26">
        <v>697.2</v>
      </c>
      <c r="AR245" s="26"/>
      <c r="AS245" s="26"/>
      <c r="AT245" s="26"/>
      <c r="AU245" s="26"/>
      <c r="AV245" s="26"/>
      <c r="AW245" s="26"/>
      <c r="AX245" s="26"/>
      <c r="AY245" s="26"/>
      <c r="AZ245" s="26"/>
      <c r="BA245" s="26"/>
      <c r="BB245" s="26"/>
      <c r="BC245" s="26"/>
      <c r="BD245" s="26"/>
      <c r="BE245" s="26"/>
      <c r="BF245" s="26"/>
      <c r="BG245" s="26"/>
      <c r="BH245" s="26"/>
    </row>
    <row r="246" spans="1:60" ht="35.65" customHeight="1" thickBot="1">
      <c r="A246" s="27"/>
      <c r="B246" s="42"/>
      <c r="C246" s="109"/>
      <c r="D246" s="20"/>
      <c r="E246" s="20"/>
      <c r="F246" s="98"/>
      <c r="G246" s="98"/>
      <c r="H246" s="98"/>
      <c r="I246" s="98"/>
      <c r="J246" s="20"/>
      <c r="K246" s="20"/>
      <c r="L246" s="20"/>
      <c r="M246" s="98"/>
      <c r="N246" s="98"/>
      <c r="O246" s="98"/>
      <c r="P246" s="98"/>
      <c r="Q246" s="98"/>
      <c r="R246" s="98"/>
      <c r="S246" s="98"/>
      <c r="T246" s="98"/>
      <c r="U246" s="98"/>
      <c r="V246" s="98"/>
      <c r="W246" s="108"/>
      <c r="X246" s="20"/>
      <c r="Y246" s="98"/>
      <c r="Z246" s="108"/>
      <c r="AA246" s="20"/>
      <c r="AB246" s="98"/>
      <c r="AC246" s="26"/>
      <c r="AD246" s="52" t="s">
        <v>758</v>
      </c>
      <c r="AE246" s="26"/>
      <c r="AF246" s="26"/>
      <c r="AG246" s="26"/>
      <c r="AH246" s="26"/>
      <c r="AI246" s="26"/>
      <c r="AJ246" s="26"/>
      <c r="AK246" s="26"/>
      <c r="AL246" s="26"/>
      <c r="AM246" s="26"/>
      <c r="AN246" s="26"/>
      <c r="AO246" s="26">
        <f t="shared" si="64"/>
        <v>147.69999999999999</v>
      </c>
      <c r="AP246" s="26"/>
      <c r="AQ246" s="26"/>
      <c r="AR246" s="26"/>
      <c r="AS246" s="26">
        <v>147.69999999999999</v>
      </c>
      <c r="AT246" s="26"/>
      <c r="AU246" s="26"/>
      <c r="AV246" s="26"/>
      <c r="AW246" s="26"/>
      <c r="AX246" s="26"/>
      <c r="AY246" s="26"/>
      <c r="AZ246" s="26"/>
      <c r="BA246" s="26"/>
      <c r="BB246" s="26"/>
      <c r="BC246" s="26"/>
      <c r="BD246" s="26"/>
      <c r="BE246" s="26"/>
      <c r="BF246" s="26"/>
      <c r="BG246" s="26"/>
      <c r="BH246" s="26"/>
    </row>
    <row r="247" spans="1:60" ht="35.65" customHeight="1" thickBot="1">
      <c r="A247" s="27" t="s">
        <v>104</v>
      </c>
      <c r="B247" s="42"/>
      <c r="C247" s="121" t="s">
        <v>105</v>
      </c>
      <c r="D247" s="121" t="s">
        <v>106</v>
      </c>
      <c r="E247" s="121" t="s">
        <v>107</v>
      </c>
      <c r="F247" s="121"/>
      <c r="G247" s="121"/>
      <c r="H247" s="121"/>
      <c r="I247" s="121"/>
      <c r="J247" s="122" t="s">
        <v>176</v>
      </c>
      <c r="K247" s="121" t="s">
        <v>109</v>
      </c>
      <c r="L247" s="123">
        <v>43831</v>
      </c>
      <c r="M247" s="121" t="s">
        <v>177</v>
      </c>
      <c r="N247" s="121" t="s">
        <v>112</v>
      </c>
      <c r="O247" s="123"/>
      <c r="P247" s="121"/>
      <c r="Q247" s="121"/>
      <c r="R247" s="121"/>
      <c r="S247" s="121"/>
      <c r="T247" s="121"/>
      <c r="U247" s="121"/>
      <c r="V247" s="124"/>
      <c r="W247" s="124" t="s">
        <v>178</v>
      </c>
      <c r="X247" s="121" t="s">
        <v>112</v>
      </c>
      <c r="Y247" s="98"/>
      <c r="Z247" s="124" t="s">
        <v>178</v>
      </c>
      <c r="AA247" s="121" t="s">
        <v>112</v>
      </c>
      <c r="AB247" s="98"/>
      <c r="AC247" s="26"/>
      <c r="AD247" s="52" t="s">
        <v>759</v>
      </c>
      <c r="AE247" s="26">
        <f t="shared" si="63"/>
        <v>7957.7</v>
      </c>
      <c r="AF247" s="26">
        <f t="shared" si="63"/>
        <v>7957.7</v>
      </c>
      <c r="AG247" s="26"/>
      <c r="AH247" s="26"/>
      <c r="AI247" s="26"/>
      <c r="AJ247" s="26"/>
      <c r="AK247" s="26"/>
      <c r="AL247" s="26"/>
      <c r="AM247" s="26">
        <f>9993.2-1782.7-252.8</f>
        <v>7957.7</v>
      </c>
      <c r="AN247" s="26">
        <v>7957.7</v>
      </c>
      <c r="AO247" s="26">
        <f t="shared" si="64"/>
        <v>5272.3</v>
      </c>
      <c r="AP247" s="26"/>
      <c r="AQ247" s="26"/>
      <c r="AR247" s="26"/>
      <c r="AS247" s="26">
        <f>10745.5-4751.3-721.9</f>
        <v>5272.3</v>
      </c>
      <c r="AT247" s="26">
        <f t="shared" si="65"/>
        <v>10487.2</v>
      </c>
      <c r="AU247" s="26"/>
      <c r="AV247" s="26"/>
      <c r="AW247" s="26"/>
      <c r="AX247" s="26">
        <v>10487.2</v>
      </c>
      <c r="AY247" s="26">
        <f t="shared" si="66"/>
        <v>10487.2</v>
      </c>
      <c r="AZ247" s="26"/>
      <c r="BA247" s="26"/>
      <c r="BB247" s="26"/>
      <c r="BC247" s="26">
        <v>10487.2</v>
      </c>
      <c r="BD247" s="26">
        <f t="shared" si="67"/>
        <v>10487.2</v>
      </c>
      <c r="BE247" s="26"/>
      <c r="BF247" s="26"/>
      <c r="BG247" s="26"/>
      <c r="BH247" s="26">
        <v>10487.2</v>
      </c>
    </row>
    <row r="248" spans="1:60" ht="35.65" customHeight="1" thickBot="1">
      <c r="A248" s="27"/>
      <c r="B248" s="42"/>
      <c r="C248" s="121"/>
      <c r="D248" s="121"/>
      <c r="E248" s="121"/>
      <c r="F248" s="121"/>
      <c r="G248" s="121"/>
      <c r="H248" s="121"/>
      <c r="I248" s="121"/>
      <c r="J248" s="122"/>
      <c r="K248" s="121"/>
      <c r="L248" s="123"/>
      <c r="M248" s="121"/>
      <c r="N248" s="121"/>
      <c r="O248" s="123"/>
      <c r="P248" s="121"/>
      <c r="Q248" s="121"/>
      <c r="R248" s="121"/>
      <c r="S248" s="121"/>
      <c r="T248" s="121"/>
      <c r="U248" s="121"/>
      <c r="V248" s="124"/>
      <c r="W248" s="124"/>
      <c r="X248" s="121"/>
      <c r="Y248" s="98"/>
      <c r="Z248" s="124"/>
      <c r="AA248" s="121"/>
      <c r="AB248" s="98"/>
      <c r="AC248" s="26"/>
      <c r="AD248" s="52" t="s">
        <v>760</v>
      </c>
      <c r="AE248" s="26"/>
      <c r="AF248" s="26"/>
      <c r="AG248" s="26"/>
      <c r="AH248" s="26"/>
      <c r="AI248" s="26"/>
      <c r="AJ248" s="26"/>
      <c r="AK248" s="26"/>
      <c r="AL248" s="26"/>
      <c r="AM248" s="26"/>
      <c r="AN248" s="26"/>
      <c r="AO248" s="26">
        <f t="shared" si="64"/>
        <v>5123.2</v>
      </c>
      <c r="AP248" s="26"/>
      <c r="AQ248" s="26"/>
      <c r="AR248" s="26"/>
      <c r="AS248" s="26">
        <f>721.9+4751.3-350</f>
        <v>5123.2</v>
      </c>
      <c r="AT248" s="26"/>
      <c r="AU248" s="26"/>
      <c r="AV248" s="26"/>
      <c r="AW248" s="26"/>
      <c r="AX248" s="26"/>
      <c r="AY248" s="26"/>
      <c r="AZ248" s="26"/>
      <c r="BA248" s="26"/>
      <c r="BB248" s="26"/>
      <c r="BC248" s="26"/>
      <c r="BD248" s="26"/>
      <c r="BE248" s="26"/>
      <c r="BF248" s="26"/>
      <c r="BG248" s="26"/>
      <c r="BH248" s="26"/>
    </row>
    <row r="249" spans="1:60" ht="35.65" customHeight="1" thickBot="1">
      <c r="A249" s="27" t="s">
        <v>104</v>
      </c>
      <c r="B249" s="42"/>
      <c r="C249" s="121" t="s">
        <v>105</v>
      </c>
      <c r="D249" s="121" t="s">
        <v>159</v>
      </c>
      <c r="E249" s="121" t="s">
        <v>107</v>
      </c>
      <c r="F249" s="121"/>
      <c r="G249" s="121"/>
      <c r="H249" s="121"/>
      <c r="I249" s="121"/>
      <c r="J249" s="122" t="s">
        <v>176</v>
      </c>
      <c r="K249" s="121" t="s">
        <v>160</v>
      </c>
      <c r="L249" s="123">
        <v>43832</v>
      </c>
      <c r="M249" s="121" t="s">
        <v>177</v>
      </c>
      <c r="N249" s="121" t="s">
        <v>112</v>
      </c>
      <c r="O249" s="123"/>
      <c r="P249" s="121"/>
      <c r="Q249" s="121"/>
      <c r="R249" s="121"/>
      <c r="S249" s="121"/>
      <c r="T249" s="121"/>
      <c r="U249" s="121"/>
      <c r="V249" s="124"/>
      <c r="W249" s="124" t="s">
        <v>178</v>
      </c>
      <c r="X249" s="121" t="s">
        <v>112</v>
      </c>
      <c r="Y249" s="98"/>
      <c r="Z249" s="124" t="s">
        <v>178</v>
      </c>
      <c r="AA249" s="121" t="s">
        <v>112</v>
      </c>
      <c r="AB249" s="98"/>
      <c r="AC249" s="26"/>
      <c r="AD249" s="52" t="s">
        <v>761</v>
      </c>
      <c r="AE249" s="26">
        <f t="shared" si="63"/>
        <v>0</v>
      </c>
      <c r="AF249" s="26">
        <f t="shared" si="63"/>
        <v>0</v>
      </c>
      <c r="AG249" s="26"/>
      <c r="AH249" s="26"/>
      <c r="AI249" s="26"/>
      <c r="AJ249" s="26"/>
      <c r="AK249" s="26"/>
      <c r="AL249" s="26"/>
      <c r="AM249" s="26">
        <f>38.3-38.3</f>
        <v>0</v>
      </c>
      <c r="AN249" s="26"/>
      <c r="AO249" s="26">
        <f t="shared" si="64"/>
        <v>0</v>
      </c>
      <c r="AP249" s="26"/>
      <c r="AQ249" s="26"/>
      <c r="AR249" s="26"/>
      <c r="AS249" s="26">
        <f>110.3-55.1-55.2</f>
        <v>0</v>
      </c>
      <c r="AT249" s="26">
        <f t="shared" si="65"/>
        <v>180.3</v>
      </c>
      <c r="AU249" s="26"/>
      <c r="AV249" s="26"/>
      <c r="AW249" s="26"/>
      <c r="AX249" s="26">
        <v>180.3</v>
      </c>
      <c r="AY249" s="26">
        <f t="shared" si="66"/>
        <v>180.3</v>
      </c>
      <c r="AZ249" s="26"/>
      <c r="BA249" s="26"/>
      <c r="BB249" s="26"/>
      <c r="BC249" s="26">
        <v>180.3</v>
      </c>
      <c r="BD249" s="26">
        <f t="shared" si="67"/>
        <v>180.3</v>
      </c>
      <c r="BE249" s="26"/>
      <c r="BF249" s="26"/>
      <c r="BG249" s="26"/>
      <c r="BH249" s="26">
        <v>180.3</v>
      </c>
    </row>
    <row r="250" spans="1:60" ht="35.65" customHeight="1" thickBot="1">
      <c r="A250" s="27" t="s">
        <v>104</v>
      </c>
      <c r="B250" s="42"/>
      <c r="C250" s="121" t="s">
        <v>105</v>
      </c>
      <c r="D250" s="121" t="s">
        <v>162</v>
      </c>
      <c r="E250" s="121" t="s">
        <v>107</v>
      </c>
      <c r="F250" s="121"/>
      <c r="G250" s="121"/>
      <c r="H250" s="121"/>
      <c r="I250" s="121"/>
      <c r="J250" s="122" t="s">
        <v>176</v>
      </c>
      <c r="K250" s="121" t="s">
        <v>163</v>
      </c>
      <c r="L250" s="123">
        <v>43833</v>
      </c>
      <c r="M250" s="121" t="s">
        <v>177</v>
      </c>
      <c r="N250" s="121" t="s">
        <v>112</v>
      </c>
      <c r="O250" s="123"/>
      <c r="P250" s="121"/>
      <c r="Q250" s="121"/>
      <c r="R250" s="121"/>
      <c r="S250" s="121"/>
      <c r="T250" s="121"/>
      <c r="U250" s="121"/>
      <c r="V250" s="124"/>
      <c r="W250" s="124" t="s">
        <v>178</v>
      </c>
      <c r="X250" s="121" t="s">
        <v>112</v>
      </c>
      <c r="Y250" s="98"/>
      <c r="Z250" s="124" t="s">
        <v>178</v>
      </c>
      <c r="AA250" s="121" t="s">
        <v>112</v>
      </c>
      <c r="AB250" s="98"/>
      <c r="AC250" s="26"/>
      <c r="AD250" s="52" t="s">
        <v>762</v>
      </c>
      <c r="AE250" s="26">
        <f t="shared" si="63"/>
        <v>0</v>
      </c>
      <c r="AF250" s="26">
        <f t="shared" si="63"/>
        <v>0</v>
      </c>
      <c r="AG250" s="26"/>
      <c r="AH250" s="26"/>
      <c r="AI250" s="26"/>
      <c r="AJ250" s="26"/>
      <c r="AK250" s="26"/>
      <c r="AL250" s="26"/>
      <c r="AM250" s="26">
        <f>51.5-51.5</f>
        <v>0</v>
      </c>
      <c r="AN250" s="26"/>
      <c r="AO250" s="26">
        <f t="shared" si="64"/>
        <v>0</v>
      </c>
      <c r="AP250" s="26"/>
      <c r="AQ250" s="26"/>
      <c r="AR250" s="26"/>
      <c r="AS250" s="26">
        <f>110.3-55.1-55.2</f>
        <v>0</v>
      </c>
      <c r="AT250" s="26">
        <v>180.3</v>
      </c>
      <c r="AU250" s="26"/>
      <c r="AV250" s="26"/>
      <c r="AW250" s="26"/>
      <c r="AX250" s="26">
        <v>180.3</v>
      </c>
      <c r="AY250" s="26">
        <f t="shared" si="66"/>
        <v>180.3</v>
      </c>
      <c r="AZ250" s="26"/>
      <c r="BA250" s="26"/>
      <c r="BB250" s="26"/>
      <c r="BC250" s="26">
        <v>180.3</v>
      </c>
      <c r="BD250" s="26">
        <f t="shared" si="67"/>
        <v>180.3</v>
      </c>
      <c r="BE250" s="26"/>
      <c r="BF250" s="26"/>
      <c r="BG250" s="26"/>
      <c r="BH250" s="26">
        <v>180.3</v>
      </c>
    </row>
    <row r="251" spans="1:60" ht="35.65" customHeight="1" thickBot="1">
      <c r="A251" s="27" t="s">
        <v>104</v>
      </c>
      <c r="B251" s="42"/>
      <c r="C251" s="121"/>
      <c r="D251" s="121"/>
      <c r="E251" s="121"/>
      <c r="F251" s="121"/>
      <c r="G251" s="121"/>
      <c r="H251" s="121"/>
      <c r="I251" s="121"/>
      <c r="J251" s="122"/>
      <c r="K251" s="121"/>
      <c r="L251" s="123"/>
      <c r="M251" s="121"/>
      <c r="N251" s="121"/>
      <c r="O251" s="123"/>
      <c r="P251" s="121"/>
      <c r="Q251" s="121"/>
      <c r="R251" s="121"/>
      <c r="S251" s="121"/>
      <c r="T251" s="121"/>
      <c r="U251" s="121"/>
      <c r="V251" s="124"/>
      <c r="W251" s="124"/>
      <c r="X251" s="121"/>
      <c r="Y251" s="98"/>
      <c r="Z251" s="124"/>
      <c r="AA251" s="121"/>
      <c r="AB251" s="98"/>
      <c r="AC251" s="26"/>
      <c r="AD251" s="295" t="s">
        <v>760</v>
      </c>
      <c r="AE251" s="26"/>
      <c r="AF251" s="26"/>
      <c r="AG251" s="26"/>
      <c r="AH251" s="26"/>
      <c r="AI251" s="26"/>
      <c r="AJ251" s="26"/>
      <c r="AK251" s="26"/>
      <c r="AL251" s="26"/>
      <c r="AM251" s="26"/>
      <c r="AN251" s="26"/>
      <c r="AO251" s="26">
        <f t="shared" si="64"/>
        <v>0</v>
      </c>
      <c r="AP251" s="26"/>
      <c r="AQ251" s="26"/>
      <c r="AR251" s="26"/>
      <c r="AS251" s="26">
        <f>4751.3-4751.3</f>
        <v>0</v>
      </c>
      <c r="AT251" s="26"/>
      <c r="AU251" s="26"/>
      <c r="AV251" s="26"/>
      <c r="AW251" s="26"/>
      <c r="AX251" s="26"/>
      <c r="AY251" s="26"/>
      <c r="AZ251" s="26"/>
      <c r="BA251" s="26"/>
      <c r="BB251" s="26"/>
      <c r="BC251" s="26"/>
      <c r="BD251" s="26"/>
      <c r="BE251" s="26"/>
      <c r="BF251" s="26"/>
      <c r="BG251" s="26"/>
      <c r="BH251" s="26"/>
    </row>
    <row r="252" spans="1:60" ht="35.65" customHeight="1" thickBot="1">
      <c r="A252" s="27" t="s">
        <v>104</v>
      </c>
      <c r="B252" s="42"/>
      <c r="C252" s="121"/>
      <c r="D252" s="121"/>
      <c r="E252" s="121"/>
      <c r="F252" s="121"/>
      <c r="G252" s="121"/>
      <c r="H252" s="121"/>
      <c r="I252" s="121"/>
      <c r="J252" s="122"/>
      <c r="K252" s="121"/>
      <c r="L252" s="123"/>
      <c r="M252" s="121"/>
      <c r="N252" s="121"/>
      <c r="O252" s="123"/>
      <c r="P252" s="121"/>
      <c r="Q252" s="121"/>
      <c r="R252" s="121"/>
      <c r="S252" s="121"/>
      <c r="T252" s="121"/>
      <c r="U252" s="121"/>
      <c r="V252" s="124"/>
      <c r="W252" s="124"/>
      <c r="X252" s="121"/>
      <c r="Y252" s="98"/>
      <c r="Z252" s="124"/>
      <c r="AA252" s="121"/>
      <c r="AB252" s="98"/>
      <c r="AC252" s="26"/>
      <c r="AD252" s="52" t="s">
        <v>763</v>
      </c>
      <c r="AE252" s="26"/>
      <c r="AF252" s="26"/>
      <c r="AG252" s="26"/>
      <c r="AH252" s="26"/>
      <c r="AI252" s="26"/>
      <c r="AJ252" s="26"/>
      <c r="AK252" s="26"/>
      <c r="AL252" s="26"/>
      <c r="AM252" s="26"/>
      <c r="AN252" s="26"/>
      <c r="AO252" s="26">
        <f t="shared" si="64"/>
        <v>110.30000000000001</v>
      </c>
      <c r="AP252" s="26"/>
      <c r="AQ252" s="26"/>
      <c r="AR252" s="26"/>
      <c r="AS252" s="26">
        <f>55.1+55.2</f>
        <v>110.30000000000001</v>
      </c>
      <c r="AT252" s="26"/>
      <c r="AU252" s="26"/>
      <c r="AV252" s="26"/>
      <c r="AW252" s="26"/>
      <c r="AX252" s="26"/>
      <c r="AY252" s="26"/>
      <c r="AZ252" s="26"/>
      <c r="BA252" s="26"/>
      <c r="BB252" s="26"/>
      <c r="BC252" s="26"/>
      <c r="BD252" s="26"/>
      <c r="BE252" s="26"/>
      <c r="BF252" s="26"/>
      <c r="BG252" s="26"/>
      <c r="BH252" s="26"/>
    </row>
    <row r="253" spans="1:60" ht="35.65" customHeight="1" thickBot="1">
      <c r="A253" s="27" t="s">
        <v>104</v>
      </c>
      <c r="B253" s="42"/>
      <c r="C253" s="121" t="s">
        <v>105</v>
      </c>
      <c r="D253" s="121" t="s">
        <v>165</v>
      </c>
      <c r="E253" s="121" t="s">
        <v>107</v>
      </c>
      <c r="F253" s="121"/>
      <c r="G253" s="121"/>
      <c r="H253" s="121"/>
      <c r="I253" s="121"/>
      <c r="J253" s="122" t="s">
        <v>176</v>
      </c>
      <c r="K253" s="121" t="s">
        <v>166</v>
      </c>
      <c r="L253" s="123">
        <v>43834</v>
      </c>
      <c r="M253" s="121" t="s">
        <v>177</v>
      </c>
      <c r="N253" s="121" t="s">
        <v>112</v>
      </c>
      <c r="O253" s="123"/>
      <c r="P253" s="121"/>
      <c r="Q253" s="121"/>
      <c r="R253" s="121"/>
      <c r="S253" s="121"/>
      <c r="T253" s="121"/>
      <c r="U253" s="121"/>
      <c r="V253" s="124"/>
      <c r="W253" s="124" t="s">
        <v>178</v>
      </c>
      <c r="X253" s="121" t="s">
        <v>112</v>
      </c>
      <c r="Y253" s="98"/>
      <c r="Z253" s="124" t="s">
        <v>178</v>
      </c>
      <c r="AA253" s="121" t="s">
        <v>112</v>
      </c>
      <c r="AB253" s="98"/>
      <c r="AC253" s="26"/>
      <c r="AD253" s="52" t="s">
        <v>764</v>
      </c>
      <c r="AE253" s="26">
        <f t="shared" si="63"/>
        <v>0</v>
      </c>
      <c r="AF253" s="26">
        <f t="shared" si="63"/>
        <v>0</v>
      </c>
      <c r="AG253" s="26"/>
      <c r="AH253" s="26"/>
      <c r="AI253" s="26"/>
      <c r="AJ253" s="26"/>
      <c r="AK253" s="26"/>
      <c r="AL253" s="26"/>
      <c r="AM253" s="26">
        <f>51.5-51.5</f>
        <v>0</v>
      </c>
      <c r="AN253" s="26"/>
      <c r="AO253" s="26">
        <f t="shared" si="64"/>
        <v>0</v>
      </c>
      <c r="AP253" s="26"/>
      <c r="AQ253" s="26"/>
      <c r="AR253" s="26"/>
      <c r="AS253" s="26">
        <f>110.3-55.2-55.1</f>
        <v>0</v>
      </c>
      <c r="AT253" s="26">
        <f t="shared" si="65"/>
        <v>180.3</v>
      </c>
      <c r="AU253" s="26"/>
      <c r="AV253" s="26"/>
      <c r="AW253" s="26"/>
      <c r="AX253" s="26">
        <v>180.3</v>
      </c>
      <c r="AY253" s="26">
        <f t="shared" si="66"/>
        <v>180.3</v>
      </c>
      <c r="AZ253" s="26"/>
      <c r="BA253" s="26"/>
      <c r="BB253" s="26"/>
      <c r="BC253" s="26">
        <v>180.3</v>
      </c>
      <c r="BD253" s="26">
        <f t="shared" si="67"/>
        <v>180.3</v>
      </c>
      <c r="BE253" s="26"/>
      <c r="BF253" s="26"/>
      <c r="BG253" s="26"/>
      <c r="BH253" s="26">
        <v>180.3</v>
      </c>
    </row>
    <row r="254" spans="1:60" ht="35.65" customHeight="1" thickBot="1">
      <c r="A254" s="27" t="s">
        <v>104</v>
      </c>
      <c r="B254" s="42"/>
      <c r="C254" s="121"/>
      <c r="D254" s="121"/>
      <c r="E254" s="121"/>
      <c r="F254" s="121"/>
      <c r="G254" s="121"/>
      <c r="H254" s="121"/>
      <c r="I254" s="121"/>
      <c r="J254" s="122"/>
      <c r="K254" s="121"/>
      <c r="L254" s="123"/>
      <c r="M254" s="121"/>
      <c r="N254" s="121"/>
      <c r="O254" s="123"/>
      <c r="P254" s="121"/>
      <c r="Q254" s="121"/>
      <c r="R254" s="121"/>
      <c r="S254" s="121"/>
      <c r="T254" s="121"/>
      <c r="U254" s="121"/>
      <c r="V254" s="124"/>
      <c r="W254" s="124"/>
      <c r="X254" s="121"/>
      <c r="Y254" s="98"/>
      <c r="Z254" s="124"/>
      <c r="AA254" s="121"/>
      <c r="AB254" s="98"/>
      <c r="AC254" s="26"/>
      <c r="AD254" s="52" t="s">
        <v>765</v>
      </c>
      <c r="AE254" s="26"/>
      <c r="AF254" s="26"/>
      <c r="AG254" s="26"/>
      <c r="AH254" s="26"/>
      <c r="AI254" s="26"/>
      <c r="AJ254" s="26"/>
      <c r="AK254" s="26"/>
      <c r="AL254" s="26"/>
      <c r="AM254" s="26"/>
      <c r="AN254" s="26"/>
      <c r="AO254" s="26">
        <f t="shared" si="64"/>
        <v>110.30000000000001</v>
      </c>
      <c r="AP254" s="26"/>
      <c r="AQ254" s="26"/>
      <c r="AR254" s="26"/>
      <c r="AS254" s="26">
        <f>55.1+55.2</f>
        <v>110.30000000000001</v>
      </c>
      <c r="AT254" s="26"/>
      <c r="AU254" s="26"/>
      <c r="AV254" s="26"/>
      <c r="AW254" s="26"/>
      <c r="AX254" s="26"/>
      <c r="AY254" s="26"/>
      <c r="AZ254" s="26"/>
      <c r="BA254" s="26"/>
      <c r="BB254" s="26"/>
      <c r="BC254" s="26"/>
      <c r="BD254" s="26"/>
      <c r="BE254" s="26"/>
      <c r="BF254" s="26"/>
      <c r="BG254" s="26"/>
      <c r="BH254" s="26"/>
    </row>
    <row r="255" spans="1:60" ht="35.65" customHeight="1" thickBot="1">
      <c r="A255" s="27" t="s">
        <v>104</v>
      </c>
      <c r="B255" s="42"/>
      <c r="C255" s="121" t="s">
        <v>105</v>
      </c>
      <c r="D255" s="121" t="s">
        <v>168</v>
      </c>
      <c r="E255" s="121" t="s">
        <v>107</v>
      </c>
      <c r="F255" s="121"/>
      <c r="G255" s="121"/>
      <c r="H255" s="121"/>
      <c r="I255" s="121"/>
      <c r="J255" s="122" t="s">
        <v>176</v>
      </c>
      <c r="K255" s="121" t="s">
        <v>145</v>
      </c>
      <c r="L255" s="123">
        <v>43835</v>
      </c>
      <c r="M255" s="121" t="s">
        <v>177</v>
      </c>
      <c r="N255" s="121" t="s">
        <v>112</v>
      </c>
      <c r="O255" s="123"/>
      <c r="P255" s="121"/>
      <c r="Q255" s="121"/>
      <c r="R255" s="121"/>
      <c r="S255" s="121"/>
      <c r="T255" s="121"/>
      <c r="U255" s="121"/>
      <c r="V255" s="124"/>
      <c r="W255" s="124" t="s">
        <v>178</v>
      </c>
      <c r="X255" s="121" t="s">
        <v>112</v>
      </c>
      <c r="Y255" s="98"/>
      <c r="Z255" s="124" t="s">
        <v>178</v>
      </c>
      <c r="AA255" s="121" t="s">
        <v>112</v>
      </c>
      <c r="AB255" s="98"/>
      <c r="AC255" s="26"/>
      <c r="AD255" s="52" t="s">
        <v>766</v>
      </c>
      <c r="AE255" s="26">
        <f t="shared" si="63"/>
        <v>0</v>
      </c>
      <c r="AF255" s="26">
        <f t="shared" si="63"/>
        <v>0</v>
      </c>
      <c r="AG255" s="26"/>
      <c r="AH255" s="26"/>
      <c r="AI255" s="26"/>
      <c r="AJ255" s="26"/>
      <c r="AK255" s="26"/>
      <c r="AL255" s="26"/>
      <c r="AM255" s="26">
        <f>51.5-51.5</f>
        <v>0</v>
      </c>
      <c r="AN255" s="26"/>
      <c r="AO255" s="26">
        <f t="shared" si="64"/>
        <v>110.30000000000001</v>
      </c>
      <c r="AP255" s="26"/>
      <c r="AQ255" s="26"/>
      <c r="AR255" s="26"/>
      <c r="AS255" s="26">
        <f>55.1+55.2</f>
        <v>110.30000000000001</v>
      </c>
      <c r="AT255" s="26">
        <f t="shared" si="65"/>
        <v>0</v>
      </c>
      <c r="AU255" s="26"/>
      <c r="AV255" s="26"/>
      <c r="AW255" s="26"/>
      <c r="AX255" s="26"/>
      <c r="AY255" s="26">
        <f t="shared" si="66"/>
        <v>0</v>
      </c>
      <c r="AZ255" s="26"/>
      <c r="BA255" s="26"/>
      <c r="BB255" s="26"/>
      <c r="BC255" s="26"/>
      <c r="BD255" s="26">
        <f t="shared" si="67"/>
        <v>0</v>
      </c>
      <c r="BE255" s="26"/>
      <c r="BF255" s="26"/>
      <c r="BG255" s="26"/>
      <c r="BH255" s="26"/>
    </row>
    <row r="256" spans="1:60" ht="35.65" customHeight="1" thickBot="1">
      <c r="A256" s="27" t="s">
        <v>104</v>
      </c>
      <c r="B256" s="42"/>
      <c r="C256" s="121"/>
      <c r="D256" s="121"/>
      <c r="E256" s="121"/>
      <c r="F256" s="121"/>
      <c r="G256" s="121"/>
      <c r="H256" s="121"/>
      <c r="I256" s="121"/>
      <c r="J256" s="122"/>
      <c r="K256" s="121"/>
      <c r="L256" s="123"/>
      <c r="M256" s="121"/>
      <c r="N256" s="121"/>
      <c r="O256" s="123"/>
      <c r="P256" s="121"/>
      <c r="Q256" s="121"/>
      <c r="R256" s="121"/>
      <c r="S256" s="121"/>
      <c r="T256" s="121"/>
      <c r="U256" s="121"/>
      <c r="V256" s="124"/>
      <c r="W256" s="124"/>
      <c r="X256" s="121"/>
      <c r="Y256" s="98"/>
      <c r="Z256" s="124"/>
      <c r="AA256" s="121"/>
      <c r="AB256" s="98"/>
      <c r="AC256" s="26"/>
      <c r="AD256" s="52" t="s">
        <v>767</v>
      </c>
      <c r="AE256" s="26"/>
      <c r="AF256" s="26"/>
      <c r="AG256" s="26"/>
      <c r="AH256" s="26"/>
      <c r="AI256" s="26"/>
      <c r="AJ256" s="26"/>
      <c r="AK256" s="26"/>
      <c r="AL256" s="26"/>
      <c r="AM256" s="26"/>
      <c r="AN256" s="26"/>
      <c r="AO256" s="26">
        <f t="shared" si="64"/>
        <v>0</v>
      </c>
      <c r="AP256" s="26"/>
      <c r="AQ256" s="26"/>
      <c r="AR256" s="26"/>
      <c r="AS256" s="26">
        <f>43.8-43.8</f>
        <v>0</v>
      </c>
      <c r="AT256" s="26"/>
      <c r="AU256" s="26"/>
      <c r="AV256" s="26"/>
      <c r="AW256" s="26"/>
      <c r="AX256" s="26"/>
      <c r="AY256" s="26"/>
      <c r="AZ256" s="26"/>
      <c r="BA256" s="26"/>
      <c r="BB256" s="26"/>
      <c r="BC256" s="26"/>
      <c r="BD256" s="26"/>
      <c r="BE256" s="26"/>
      <c r="BF256" s="26"/>
      <c r="BG256" s="26"/>
      <c r="BH256" s="26"/>
    </row>
    <row r="257" spans="1:60" ht="35.65" customHeight="1" thickBot="1">
      <c r="A257" s="27" t="s">
        <v>104</v>
      </c>
      <c r="B257" s="42"/>
      <c r="C257" s="121"/>
      <c r="D257" s="121"/>
      <c r="E257" s="121"/>
      <c r="F257" s="121"/>
      <c r="G257" s="121"/>
      <c r="H257" s="121"/>
      <c r="I257" s="121"/>
      <c r="J257" s="122"/>
      <c r="K257" s="121"/>
      <c r="L257" s="123"/>
      <c r="M257" s="121"/>
      <c r="N257" s="121"/>
      <c r="O257" s="123"/>
      <c r="P257" s="121"/>
      <c r="Q257" s="121"/>
      <c r="R257" s="121"/>
      <c r="S257" s="121"/>
      <c r="T257" s="121"/>
      <c r="U257" s="121"/>
      <c r="V257" s="124"/>
      <c r="W257" s="124"/>
      <c r="X257" s="121"/>
      <c r="Y257" s="98"/>
      <c r="Z257" s="124"/>
      <c r="AA257" s="121"/>
      <c r="AB257" s="98"/>
      <c r="AC257" s="26"/>
      <c r="AD257" s="52" t="s">
        <v>768</v>
      </c>
      <c r="AE257" s="26">
        <f t="shared" si="63"/>
        <v>616.5</v>
      </c>
      <c r="AF257" s="26">
        <f>AH257+AJ257+AL257+AN257</f>
        <v>611.70000000000005</v>
      </c>
      <c r="AG257" s="26"/>
      <c r="AH257" s="26"/>
      <c r="AI257" s="26">
        <f>628.1-11.6</f>
        <v>616.5</v>
      </c>
      <c r="AJ257" s="26">
        <v>611.70000000000005</v>
      </c>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26"/>
      <c r="BH257" s="26"/>
    </row>
    <row r="258" spans="1:60" ht="35.65" customHeight="1" thickBot="1">
      <c r="A258" s="27" t="s">
        <v>104</v>
      </c>
      <c r="B258" s="42"/>
      <c r="C258" s="121" t="s">
        <v>105</v>
      </c>
      <c r="D258" s="121" t="s">
        <v>179</v>
      </c>
      <c r="E258" s="121" t="s">
        <v>107</v>
      </c>
      <c r="F258" s="121"/>
      <c r="G258" s="121"/>
      <c r="H258" s="121"/>
      <c r="I258" s="121"/>
      <c r="J258" s="122" t="s">
        <v>176</v>
      </c>
      <c r="K258" s="121" t="s">
        <v>180</v>
      </c>
      <c r="L258" s="123">
        <v>43836</v>
      </c>
      <c r="M258" s="121" t="s">
        <v>177</v>
      </c>
      <c r="N258" s="121" t="s">
        <v>112</v>
      </c>
      <c r="O258" s="123"/>
      <c r="P258" s="121"/>
      <c r="Q258" s="121"/>
      <c r="R258" s="121"/>
      <c r="S258" s="121"/>
      <c r="T258" s="121"/>
      <c r="U258" s="121"/>
      <c r="V258" s="124"/>
      <c r="W258" s="124" t="s">
        <v>178</v>
      </c>
      <c r="X258" s="121" t="s">
        <v>112</v>
      </c>
      <c r="Y258" s="98"/>
      <c r="Z258" s="124" t="s">
        <v>178</v>
      </c>
      <c r="AA258" s="121" t="s">
        <v>112</v>
      </c>
      <c r="AB258" s="98"/>
      <c r="AC258" s="26"/>
      <c r="AD258" s="52" t="s">
        <v>769</v>
      </c>
      <c r="AE258" s="26">
        <f t="shared" si="63"/>
        <v>0</v>
      </c>
      <c r="AF258" s="26">
        <f t="shared" si="63"/>
        <v>0</v>
      </c>
      <c r="AG258" s="26"/>
      <c r="AH258" s="26"/>
      <c r="AI258" s="26"/>
      <c r="AJ258" s="26"/>
      <c r="AK258" s="26"/>
      <c r="AL258" s="26"/>
      <c r="AM258" s="26">
        <f>51.5-51.5</f>
        <v>0</v>
      </c>
      <c r="AN258" s="26"/>
      <c r="AO258" s="26">
        <f t="shared" si="64"/>
        <v>0</v>
      </c>
      <c r="AP258" s="26"/>
      <c r="AQ258" s="26"/>
      <c r="AR258" s="26"/>
      <c r="AS258" s="26">
        <f>110.3-55.1-55.2</f>
        <v>0</v>
      </c>
      <c r="AT258" s="26">
        <f t="shared" ref="AT258" si="68">AU258+AV258+AW258+AX258</f>
        <v>180.3</v>
      </c>
      <c r="AU258" s="26"/>
      <c r="AV258" s="26"/>
      <c r="AW258" s="26"/>
      <c r="AX258" s="26">
        <v>180.3</v>
      </c>
      <c r="AY258" s="26">
        <f t="shared" si="66"/>
        <v>180.3</v>
      </c>
      <c r="AZ258" s="26"/>
      <c r="BA258" s="26"/>
      <c r="BB258" s="26"/>
      <c r="BC258" s="26">
        <v>180.3</v>
      </c>
      <c r="BD258" s="26">
        <f t="shared" si="67"/>
        <v>180.3</v>
      </c>
      <c r="BE258" s="26"/>
      <c r="BF258" s="26"/>
      <c r="BG258" s="26"/>
      <c r="BH258" s="26">
        <v>180.3</v>
      </c>
    </row>
    <row r="259" spans="1:60" ht="35.65" customHeight="1" thickBot="1">
      <c r="A259" s="27" t="s">
        <v>104</v>
      </c>
      <c r="B259" s="42"/>
      <c r="C259" s="121"/>
      <c r="D259" s="121"/>
      <c r="E259" s="121"/>
      <c r="F259" s="121"/>
      <c r="G259" s="121"/>
      <c r="H259" s="121"/>
      <c r="I259" s="121"/>
      <c r="J259" s="122"/>
      <c r="K259" s="121"/>
      <c r="L259" s="123"/>
      <c r="M259" s="125"/>
      <c r="N259" s="121"/>
      <c r="O259" s="123"/>
      <c r="P259" s="121"/>
      <c r="Q259" s="121"/>
      <c r="R259" s="121"/>
      <c r="S259" s="121"/>
      <c r="T259" s="121"/>
      <c r="U259" s="121"/>
      <c r="V259" s="124"/>
      <c r="W259" s="124"/>
      <c r="X259" s="121"/>
      <c r="Y259" s="98"/>
      <c r="Z259" s="124"/>
      <c r="AA259" s="121"/>
      <c r="AB259" s="98"/>
      <c r="AC259" s="26"/>
      <c r="AD259" s="52" t="s">
        <v>770</v>
      </c>
      <c r="AE259" s="26"/>
      <c r="AF259" s="26"/>
      <c r="AG259" s="26"/>
      <c r="AH259" s="26"/>
      <c r="AI259" s="26"/>
      <c r="AJ259" s="26"/>
      <c r="AK259" s="26"/>
      <c r="AL259" s="26"/>
      <c r="AM259" s="26"/>
      <c r="AN259" s="26"/>
      <c r="AO259" s="26">
        <f t="shared" si="64"/>
        <v>110.30000000000001</v>
      </c>
      <c r="AP259" s="26"/>
      <c r="AQ259" s="26"/>
      <c r="AR259" s="26"/>
      <c r="AS259" s="26">
        <f>55.1+55.2</f>
        <v>110.30000000000001</v>
      </c>
      <c r="AT259" s="26"/>
      <c r="AU259" s="26"/>
      <c r="AV259" s="26"/>
      <c r="AW259" s="26"/>
      <c r="AX259" s="26"/>
      <c r="AY259" s="26"/>
      <c r="AZ259" s="26"/>
      <c r="BA259" s="26"/>
      <c r="BB259" s="26"/>
      <c r="BC259" s="26"/>
      <c r="BD259" s="26"/>
      <c r="BE259" s="26"/>
      <c r="BF259" s="26"/>
      <c r="BG259" s="26"/>
      <c r="BH259" s="26"/>
    </row>
    <row r="260" spans="1:60" ht="35.65" customHeight="1" thickBot="1">
      <c r="A260" s="27" t="s">
        <v>104</v>
      </c>
      <c r="B260" s="42"/>
      <c r="C260" s="121"/>
      <c r="D260" s="121"/>
      <c r="E260" s="121"/>
      <c r="F260" s="121"/>
      <c r="G260" s="121"/>
      <c r="H260" s="121"/>
      <c r="I260" s="121"/>
      <c r="J260" s="122"/>
      <c r="K260" s="121"/>
      <c r="L260" s="123"/>
      <c r="M260" s="125"/>
      <c r="N260" s="121"/>
      <c r="O260" s="123"/>
      <c r="P260" s="121"/>
      <c r="Q260" s="121"/>
      <c r="R260" s="121"/>
      <c r="S260" s="121"/>
      <c r="T260" s="121"/>
      <c r="U260" s="121"/>
      <c r="V260" s="124"/>
      <c r="W260" s="124"/>
      <c r="X260" s="121"/>
      <c r="Y260" s="98"/>
      <c r="Z260" s="124"/>
      <c r="AA260" s="121"/>
      <c r="AB260" s="98"/>
      <c r="AC260" s="26"/>
      <c r="AD260" s="52" t="s">
        <v>771</v>
      </c>
      <c r="AE260" s="26"/>
      <c r="AF260" s="26"/>
      <c r="AG260" s="26"/>
      <c r="AH260" s="26"/>
      <c r="AI260" s="26"/>
      <c r="AJ260" s="26"/>
      <c r="AK260" s="26"/>
      <c r="AL260" s="26"/>
      <c r="AM260" s="26"/>
      <c r="AN260" s="26"/>
      <c r="AO260" s="26">
        <f t="shared" si="64"/>
        <v>0</v>
      </c>
      <c r="AP260" s="26"/>
      <c r="AQ260" s="26">
        <f>4334.7-4334.7</f>
        <v>0</v>
      </c>
      <c r="AR260" s="26"/>
      <c r="AS260" s="26"/>
      <c r="AT260" s="26"/>
      <c r="AU260" s="26"/>
      <c r="AV260" s="26"/>
      <c r="AW260" s="26"/>
      <c r="AX260" s="26"/>
      <c r="AY260" s="26"/>
      <c r="AZ260" s="26"/>
      <c r="BA260" s="26"/>
      <c r="BB260" s="26"/>
      <c r="BC260" s="26"/>
      <c r="BD260" s="26"/>
      <c r="BE260" s="26"/>
      <c r="BF260" s="26"/>
      <c r="BG260" s="26"/>
      <c r="BH260" s="26"/>
    </row>
    <row r="261" spans="1:60" ht="35.65" customHeight="1" thickBot="1">
      <c r="A261" s="27"/>
      <c r="B261" s="42"/>
      <c r="C261" s="121"/>
      <c r="D261" s="121"/>
      <c r="E261" s="121"/>
      <c r="F261" s="121"/>
      <c r="G261" s="121"/>
      <c r="H261" s="121"/>
      <c r="I261" s="121"/>
      <c r="J261" s="122"/>
      <c r="K261" s="121"/>
      <c r="L261" s="123"/>
      <c r="M261" s="125"/>
      <c r="N261" s="121"/>
      <c r="O261" s="123"/>
      <c r="P261" s="121"/>
      <c r="Q261" s="121"/>
      <c r="R261" s="121"/>
      <c r="S261" s="121"/>
      <c r="T261" s="121"/>
      <c r="U261" s="121"/>
      <c r="V261" s="124"/>
      <c r="W261" s="124"/>
      <c r="X261" s="121"/>
      <c r="Y261" s="98"/>
      <c r="Z261" s="124"/>
      <c r="AA261" s="121"/>
      <c r="AB261" s="98"/>
      <c r="AC261" s="26"/>
      <c r="AD261" s="52" t="s">
        <v>772</v>
      </c>
      <c r="AE261" s="26"/>
      <c r="AF261" s="26"/>
      <c r="AG261" s="26"/>
      <c r="AH261" s="26"/>
      <c r="AI261" s="26"/>
      <c r="AJ261" s="26"/>
      <c r="AK261" s="26"/>
      <c r="AL261" s="26"/>
      <c r="AM261" s="26"/>
      <c r="AN261" s="26"/>
      <c r="AO261" s="26">
        <f t="shared" si="64"/>
        <v>43.8</v>
      </c>
      <c r="AP261" s="26"/>
      <c r="AQ261" s="26"/>
      <c r="AR261" s="26"/>
      <c r="AS261" s="26">
        <v>43.8</v>
      </c>
      <c r="AT261" s="26"/>
      <c r="AU261" s="26"/>
      <c r="AV261" s="26"/>
      <c r="AW261" s="26"/>
      <c r="AX261" s="26"/>
      <c r="AY261" s="26"/>
      <c r="AZ261" s="26"/>
      <c r="BA261" s="26"/>
      <c r="BB261" s="26"/>
      <c r="BC261" s="26"/>
      <c r="BD261" s="26"/>
      <c r="BE261" s="26"/>
      <c r="BF261" s="26"/>
      <c r="BG261" s="26"/>
      <c r="BH261" s="26"/>
    </row>
    <row r="262" spans="1:60" ht="35.65" customHeight="1" thickBot="1">
      <c r="A262" s="27" t="s">
        <v>104</v>
      </c>
      <c r="B262" s="42"/>
      <c r="C262" s="121"/>
      <c r="D262" s="121"/>
      <c r="E262" s="121"/>
      <c r="F262" s="121"/>
      <c r="G262" s="121"/>
      <c r="H262" s="121"/>
      <c r="I262" s="121"/>
      <c r="J262" s="122"/>
      <c r="K262" s="121"/>
      <c r="L262" s="123"/>
      <c r="M262" s="125"/>
      <c r="N262" s="121"/>
      <c r="O262" s="123"/>
      <c r="P262" s="121"/>
      <c r="Q262" s="121"/>
      <c r="R262" s="121"/>
      <c r="S262" s="121"/>
      <c r="T262" s="121"/>
      <c r="U262" s="121"/>
      <c r="V262" s="124"/>
      <c r="W262" s="124"/>
      <c r="X262" s="121"/>
      <c r="Y262" s="98"/>
      <c r="Z262" s="124"/>
      <c r="AA262" s="121"/>
      <c r="AB262" s="98"/>
      <c r="AC262" s="26"/>
      <c r="AD262" s="52" t="s">
        <v>1211</v>
      </c>
      <c r="AE262" s="26"/>
      <c r="AF262" s="26"/>
      <c r="AG262" s="26"/>
      <c r="AH262" s="26"/>
      <c r="AI262" s="26"/>
      <c r="AJ262" s="26"/>
      <c r="AK262" s="26"/>
      <c r="AL262" s="26"/>
      <c r="AM262" s="26"/>
      <c r="AN262" s="26"/>
      <c r="AO262" s="26">
        <f t="shared" si="64"/>
        <v>2180.3000000000002</v>
      </c>
      <c r="AP262" s="26"/>
      <c r="AQ262" s="26">
        <v>2180.3000000000002</v>
      </c>
      <c r="AR262" s="26"/>
      <c r="AS262" s="26"/>
      <c r="AT262" s="26"/>
      <c r="AU262" s="26"/>
      <c r="AV262" s="26"/>
      <c r="AW262" s="26"/>
      <c r="AX262" s="26"/>
      <c r="AY262" s="26"/>
      <c r="AZ262" s="26"/>
      <c r="BA262" s="26"/>
      <c r="BB262" s="26"/>
      <c r="BC262" s="26"/>
      <c r="BD262" s="26"/>
      <c r="BE262" s="26"/>
      <c r="BF262" s="26"/>
      <c r="BG262" s="26"/>
      <c r="BH262" s="26"/>
    </row>
    <row r="263" spans="1:60" ht="35.65" customHeight="1" thickBot="1">
      <c r="A263" s="27" t="s">
        <v>104</v>
      </c>
      <c r="B263" s="42"/>
      <c r="C263" s="121"/>
      <c r="D263" s="121"/>
      <c r="E263" s="121"/>
      <c r="F263" s="121"/>
      <c r="G263" s="121"/>
      <c r="H263" s="121"/>
      <c r="I263" s="121"/>
      <c r="J263" s="122"/>
      <c r="K263" s="121"/>
      <c r="L263" s="123"/>
      <c r="M263" s="125"/>
      <c r="N263" s="121"/>
      <c r="O263" s="123"/>
      <c r="P263" s="121"/>
      <c r="Q263" s="121"/>
      <c r="R263" s="121"/>
      <c r="S263" s="121"/>
      <c r="T263" s="121"/>
      <c r="U263" s="121"/>
      <c r="V263" s="124"/>
      <c r="W263" s="124"/>
      <c r="X263" s="121"/>
      <c r="Y263" s="98"/>
      <c r="Z263" s="124"/>
      <c r="AA263" s="121"/>
      <c r="AB263" s="98"/>
      <c r="AC263" s="26"/>
      <c r="AD263" s="52" t="s">
        <v>773</v>
      </c>
      <c r="AE263" s="26"/>
      <c r="AF263" s="26"/>
      <c r="AG263" s="26"/>
      <c r="AH263" s="26"/>
      <c r="AI263" s="26"/>
      <c r="AJ263" s="26"/>
      <c r="AK263" s="26"/>
      <c r="AL263" s="26"/>
      <c r="AM263" s="26"/>
      <c r="AN263" s="26"/>
      <c r="AO263" s="26">
        <f t="shared" si="64"/>
        <v>2154.4</v>
      </c>
      <c r="AP263" s="26"/>
      <c r="AQ263" s="26">
        <v>2154.4</v>
      </c>
      <c r="AR263" s="26"/>
      <c r="AS263" s="26"/>
      <c r="AT263" s="26"/>
      <c r="AU263" s="26"/>
      <c r="AV263" s="26"/>
      <c r="AW263" s="26"/>
      <c r="AX263" s="26"/>
      <c r="AY263" s="26"/>
      <c r="AZ263" s="26"/>
      <c r="BA263" s="26"/>
      <c r="BB263" s="26"/>
      <c r="BC263" s="26"/>
      <c r="BD263" s="26"/>
      <c r="BE263" s="26"/>
      <c r="BF263" s="26"/>
      <c r="BG263" s="26"/>
      <c r="BH263" s="26"/>
    </row>
    <row r="264" spans="1:60" ht="35.65" customHeight="1" thickBot="1">
      <c r="A264" s="27" t="s">
        <v>104</v>
      </c>
      <c r="B264" s="42"/>
      <c r="C264" s="20" t="s">
        <v>181</v>
      </c>
      <c r="D264" s="20" t="s">
        <v>153</v>
      </c>
      <c r="E264" s="20" t="s">
        <v>182</v>
      </c>
      <c r="F264" s="98"/>
      <c r="G264" s="98"/>
      <c r="H264" s="98"/>
      <c r="I264" s="98"/>
      <c r="J264" s="98" t="s">
        <v>183</v>
      </c>
      <c r="K264" s="20" t="s">
        <v>109</v>
      </c>
      <c r="L264" s="20" t="s">
        <v>125</v>
      </c>
      <c r="M264" s="126" t="s">
        <v>184</v>
      </c>
      <c r="N264" s="20" t="s">
        <v>112</v>
      </c>
      <c r="O264" s="98"/>
      <c r="P264" s="98"/>
      <c r="Q264" s="98"/>
      <c r="R264" s="98"/>
      <c r="S264" s="98"/>
      <c r="T264" s="43" t="s">
        <v>185</v>
      </c>
      <c r="U264" s="20" t="s">
        <v>112</v>
      </c>
      <c r="V264" s="98"/>
      <c r="W264" s="43" t="s">
        <v>185</v>
      </c>
      <c r="X264" s="20" t="s">
        <v>112</v>
      </c>
      <c r="Y264" s="98"/>
      <c r="Z264" s="98" t="s">
        <v>186</v>
      </c>
      <c r="AA264" s="20" t="s">
        <v>112</v>
      </c>
      <c r="AB264" s="98"/>
      <c r="AC264" s="26"/>
      <c r="AD264" s="52" t="s">
        <v>774</v>
      </c>
      <c r="AE264" s="26">
        <f t="shared" si="63"/>
        <v>0</v>
      </c>
      <c r="AF264" s="26">
        <f t="shared" si="63"/>
        <v>0</v>
      </c>
      <c r="AG264" s="26"/>
      <c r="AH264" s="26"/>
      <c r="AI264" s="26"/>
      <c r="AJ264" s="26"/>
      <c r="AK264" s="26"/>
      <c r="AL264" s="26"/>
      <c r="AM264" s="26"/>
      <c r="AN264" s="26"/>
      <c r="AO264" s="26">
        <f t="shared" si="64"/>
        <v>0</v>
      </c>
      <c r="AP264" s="26"/>
      <c r="AQ264" s="26"/>
      <c r="AR264" s="26"/>
      <c r="AS264" s="26"/>
      <c r="AT264" s="26"/>
      <c r="AU264" s="26"/>
      <c r="AV264" s="26"/>
      <c r="AW264" s="26"/>
      <c r="AX264" s="26"/>
      <c r="AY264" s="26"/>
      <c r="AZ264" s="26"/>
      <c r="BA264" s="26"/>
      <c r="BB264" s="26"/>
      <c r="BC264" s="26"/>
      <c r="BD264" s="26"/>
      <c r="BE264" s="26"/>
      <c r="BF264" s="26"/>
      <c r="BG264" s="26"/>
      <c r="BH264" s="26"/>
    </row>
    <row r="265" spans="1:60" ht="35.65" customHeight="1" thickBot="1">
      <c r="A265" s="27" t="s">
        <v>187</v>
      </c>
      <c r="B265" s="42"/>
      <c r="C265" s="20"/>
      <c r="D265" s="20"/>
      <c r="E265" s="20"/>
      <c r="F265" s="98"/>
      <c r="G265" s="98"/>
      <c r="H265" s="98"/>
      <c r="I265" s="98"/>
      <c r="J265" s="98"/>
      <c r="K265" s="20"/>
      <c r="L265" s="20"/>
      <c r="M265" s="126"/>
      <c r="N265" s="20"/>
      <c r="O265" s="98"/>
      <c r="P265" s="98"/>
      <c r="Q265" s="98"/>
      <c r="R265" s="98"/>
      <c r="S265" s="98"/>
      <c r="T265" s="43"/>
      <c r="U265" s="20"/>
      <c r="V265" s="98"/>
      <c r="W265" s="43"/>
      <c r="X265" s="20"/>
      <c r="Y265" s="98"/>
      <c r="Z265" s="98"/>
      <c r="AA265" s="20"/>
      <c r="AB265" s="98"/>
      <c r="AC265" s="26"/>
      <c r="AD265" s="52" t="s">
        <v>775</v>
      </c>
      <c r="AE265" s="26">
        <f t="shared" si="63"/>
        <v>303.89999999999998</v>
      </c>
      <c r="AF265" s="26">
        <f t="shared" si="63"/>
        <v>303.89999999999998</v>
      </c>
      <c r="AG265" s="26"/>
      <c r="AH265" s="26"/>
      <c r="AI265" s="26">
        <v>303.89999999999998</v>
      </c>
      <c r="AJ265" s="26">
        <v>303.89999999999998</v>
      </c>
      <c r="AK265" s="26"/>
      <c r="AL265" s="26"/>
      <c r="AM265" s="26"/>
      <c r="AN265" s="26"/>
      <c r="AO265" s="26">
        <f t="shared" si="64"/>
        <v>0</v>
      </c>
      <c r="AP265" s="26"/>
      <c r="AQ265" s="26"/>
      <c r="AR265" s="26"/>
      <c r="AS265" s="26"/>
      <c r="AT265" s="26"/>
      <c r="AU265" s="26"/>
      <c r="AV265" s="26"/>
      <c r="AW265" s="26"/>
      <c r="AX265" s="26"/>
      <c r="AY265" s="26"/>
      <c r="AZ265" s="26"/>
      <c r="BA265" s="26"/>
      <c r="BB265" s="26"/>
      <c r="BC265" s="26"/>
      <c r="BD265" s="26"/>
      <c r="BE265" s="26"/>
      <c r="BF265" s="26"/>
      <c r="BG265" s="26"/>
      <c r="BH265" s="26"/>
    </row>
    <row r="266" spans="1:60" ht="35.65" customHeight="1" thickBot="1">
      <c r="A266" s="27" t="s">
        <v>187</v>
      </c>
      <c r="B266" s="42"/>
      <c r="C266" s="20"/>
      <c r="D266" s="20"/>
      <c r="E266" s="20"/>
      <c r="F266" s="98"/>
      <c r="G266" s="98"/>
      <c r="H266" s="98"/>
      <c r="I266" s="98"/>
      <c r="J266" s="98"/>
      <c r="K266" s="20"/>
      <c r="L266" s="20"/>
      <c r="M266" s="126"/>
      <c r="N266" s="20"/>
      <c r="O266" s="98"/>
      <c r="P266" s="98"/>
      <c r="Q266" s="98"/>
      <c r="R266" s="98"/>
      <c r="S266" s="98"/>
      <c r="T266" s="43"/>
      <c r="U266" s="20"/>
      <c r="V266" s="98"/>
      <c r="W266" s="43"/>
      <c r="X266" s="20"/>
      <c r="Y266" s="98"/>
      <c r="Z266" s="98"/>
      <c r="AA266" s="20"/>
      <c r="AB266" s="98"/>
      <c r="AC266" s="26"/>
      <c r="AD266" s="52" t="s">
        <v>776</v>
      </c>
      <c r="AE266" s="26"/>
      <c r="AF266" s="26"/>
      <c r="AG266" s="26"/>
      <c r="AH266" s="26"/>
      <c r="AI266" s="26"/>
      <c r="AJ266" s="26"/>
      <c r="AK266" s="26"/>
      <c r="AL266" s="26"/>
      <c r="AM266" s="26"/>
      <c r="AN266" s="26"/>
      <c r="AO266" s="26">
        <f t="shared" si="64"/>
        <v>397.7</v>
      </c>
      <c r="AP266" s="26"/>
      <c r="AQ266" s="26">
        <v>397.7</v>
      </c>
      <c r="AR266" s="26"/>
      <c r="AS266" s="26"/>
      <c r="AT266" s="26"/>
      <c r="AU266" s="26"/>
      <c r="AV266" s="26"/>
      <c r="AW266" s="26"/>
      <c r="AX266" s="26"/>
      <c r="AY266" s="26"/>
      <c r="AZ266" s="26"/>
      <c r="BA266" s="26"/>
      <c r="BB266" s="26"/>
      <c r="BC266" s="26"/>
      <c r="BD266" s="26"/>
      <c r="BE266" s="26"/>
      <c r="BF266" s="26"/>
      <c r="BG266" s="26"/>
      <c r="BH266" s="26"/>
    </row>
    <row r="267" spans="1:60" ht="35.65" customHeight="1" thickBot="1">
      <c r="A267" s="27" t="s">
        <v>187</v>
      </c>
      <c r="B267" s="42"/>
      <c r="C267" s="43" t="s">
        <v>181</v>
      </c>
      <c r="D267" s="43" t="s">
        <v>153</v>
      </c>
      <c r="E267" s="43" t="s">
        <v>182</v>
      </c>
      <c r="F267" s="26"/>
      <c r="G267" s="26"/>
      <c r="H267" s="26"/>
      <c r="I267" s="26"/>
      <c r="J267" s="71" t="s">
        <v>188</v>
      </c>
      <c r="K267" s="43" t="s">
        <v>189</v>
      </c>
      <c r="L267" s="43" t="s">
        <v>190</v>
      </c>
      <c r="M267" s="43"/>
      <c r="N267" s="43"/>
      <c r="O267" s="43"/>
      <c r="P267" s="26"/>
      <c r="Q267" s="26"/>
      <c r="R267" s="26"/>
      <c r="S267" s="26"/>
      <c r="T267" s="43"/>
      <c r="U267" s="43"/>
      <c r="V267" s="43"/>
      <c r="W267" s="43" t="s">
        <v>191</v>
      </c>
      <c r="X267" s="43" t="s">
        <v>112</v>
      </c>
      <c r="Y267" s="43"/>
      <c r="Z267" s="43" t="s">
        <v>192</v>
      </c>
      <c r="AA267" s="43" t="s">
        <v>112</v>
      </c>
      <c r="AB267" s="43"/>
      <c r="AC267" s="26"/>
      <c r="AD267" s="52" t="s">
        <v>777</v>
      </c>
      <c r="AE267" s="26">
        <f t="shared" si="63"/>
        <v>1547.2</v>
      </c>
      <c r="AF267" s="26">
        <f t="shared" si="63"/>
        <v>1547.2</v>
      </c>
      <c r="AG267" s="26"/>
      <c r="AH267" s="26"/>
      <c r="AI267" s="26"/>
      <c r="AJ267" s="26"/>
      <c r="AK267" s="26"/>
      <c r="AL267" s="26"/>
      <c r="AM267" s="26">
        <f>1392-1+156.2</f>
        <v>1547.2</v>
      </c>
      <c r="AN267" s="26">
        <v>1547.2</v>
      </c>
      <c r="AO267" s="26">
        <f t="shared" si="64"/>
        <v>1261.0999999999999</v>
      </c>
      <c r="AP267" s="26"/>
      <c r="AQ267" s="26"/>
      <c r="AR267" s="26"/>
      <c r="AS267" s="26">
        <v>1261.0999999999999</v>
      </c>
      <c r="AT267" s="26">
        <f t="shared" ref="AT267:AT270" si="69">AU267+AV267+AW267+AX267</f>
        <v>1261.0999999999999</v>
      </c>
      <c r="AU267" s="26"/>
      <c r="AV267" s="26"/>
      <c r="AW267" s="26"/>
      <c r="AX267" s="26">
        <v>1261.0999999999999</v>
      </c>
      <c r="AY267" s="26">
        <f t="shared" si="66"/>
        <v>1261.0999999999999</v>
      </c>
      <c r="AZ267" s="26"/>
      <c r="BA267" s="26"/>
      <c r="BB267" s="26"/>
      <c r="BC267" s="26">
        <v>1261.0999999999999</v>
      </c>
      <c r="BD267" s="26">
        <f>BE267+BF267+BG267+BH267</f>
        <v>1261.0999999999999</v>
      </c>
      <c r="BE267" s="26"/>
      <c r="BF267" s="26"/>
      <c r="BG267" s="26"/>
      <c r="BH267" s="26">
        <v>1261.0999999999999</v>
      </c>
    </row>
    <row r="268" spans="1:60" ht="35.65" customHeight="1" thickBot="1">
      <c r="A268" s="27" t="s">
        <v>187</v>
      </c>
      <c r="B268" s="42"/>
      <c r="C268" s="43" t="s">
        <v>181</v>
      </c>
      <c r="D268" s="43" t="s">
        <v>153</v>
      </c>
      <c r="E268" s="43" t="s">
        <v>182</v>
      </c>
      <c r="F268" s="26"/>
      <c r="G268" s="26"/>
      <c r="H268" s="26"/>
      <c r="I268" s="26"/>
      <c r="J268" s="127" t="s">
        <v>188</v>
      </c>
      <c r="K268" s="43" t="s">
        <v>189</v>
      </c>
      <c r="L268" s="43" t="s">
        <v>190</v>
      </c>
      <c r="M268" s="43"/>
      <c r="N268" s="43"/>
      <c r="O268" s="43"/>
      <c r="P268" s="26"/>
      <c r="Q268" s="26"/>
      <c r="R268" s="26"/>
      <c r="S268" s="26"/>
      <c r="T268" s="43"/>
      <c r="U268" s="43"/>
      <c r="V268" s="43"/>
      <c r="W268" s="43" t="s">
        <v>191</v>
      </c>
      <c r="X268" s="43" t="s">
        <v>112</v>
      </c>
      <c r="Y268" s="43"/>
      <c r="Z268" s="43" t="s">
        <v>192</v>
      </c>
      <c r="AA268" s="43" t="s">
        <v>112</v>
      </c>
      <c r="AB268" s="43"/>
      <c r="AC268" s="26"/>
      <c r="AD268" s="52" t="s">
        <v>778</v>
      </c>
      <c r="AE268" s="26">
        <f t="shared" si="63"/>
        <v>15</v>
      </c>
      <c r="AF268" s="26">
        <f t="shared" si="63"/>
        <v>15</v>
      </c>
      <c r="AG268" s="26"/>
      <c r="AH268" s="26"/>
      <c r="AI268" s="26"/>
      <c r="AJ268" s="26"/>
      <c r="AK268" s="26"/>
      <c r="AL268" s="26"/>
      <c r="AM268" s="26">
        <v>15</v>
      </c>
      <c r="AN268" s="26">
        <v>15</v>
      </c>
      <c r="AO268" s="26">
        <f t="shared" si="64"/>
        <v>0</v>
      </c>
      <c r="AP268" s="26"/>
      <c r="AQ268" s="26"/>
      <c r="AR268" s="26"/>
      <c r="AS268" s="26"/>
      <c r="AT268" s="26">
        <f t="shared" si="69"/>
        <v>0</v>
      </c>
      <c r="AU268" s="26"/>
      <c r="AV268" s="26"/>
      <c r="AW268" s="26"/>
      <c r="AX268" s="26"/>
      <c r="AY268" s="26">
        <f t="shared" si="66"/>
        <v>0</v>
      </c>
      <c r="AZ268" s="26"/>
      <c r="BA268" s="26"/>
      <c r="BB268" s="26"/>
      <c r="BC268" s="26"/>
      <c r="BD268" s="26">
        <f>BE268+BF268+BG268+BH268</f>
        <v>0</v>
      </c>
      <c r="BE268" s="26"/>
      <c r="BF268" s="26"/>
      <c r="BG268" s="26"/>
      <c r="BH268" s="26"/>
    </row>
    <row r="269" spans="1:60" ht="35.65" customHeight="1" thickBot="1">
      <c r="A269" s="27" t="s">
        <v>187</v>
      </c>
      <c r="B269" s="42"/>
      <c r="C269" s="43" t="s">
        <v>181</v>
      </c>
      <c r="D269" s="43" t="s">
        <v>193</v>
      </c>
      <c r="E269" s="43" t="s">
        <v>182</v>
      </c>
      <c r="F269" s="26"/>
      <c r="G269" s="26"/>
      <c r="H269" s="26"/>
      <c r="I269" s="26"/>
      <c r="J269" s="127" t="s">
        <v>188</v>
      </c>
      <c r="K269" s="43" t="s">
        <v>194</v>
      </c>
      <c r="L269" s="43" t="s">
        <v>190</v>
      </c>
      <c r="M269" s="43"/>
      <c r="N269" s="43"/>
      <c r="O269" s="43"/>
      <c r="P269" s="26"/>
      <c r="Q269" s="26"/>
      <c r="R269" s="26"/>
      <c r="S269" s="26"/>
      <c r="T269" s="43"/>
      <c r="U269" s="43"/>
      <c r="V269" s="43"/>
      <c r="W269" s="43" t="s">
        <v>191</v>
      </c>
      <c r="X269" s="43" t="s">
        <v>112</v>
      </c>
      <c r="Y269" s="43"/>
      <c r="Z269" s="43" t="s">
        <v>192</v>
      </c>
      <c r="AA269" s="43" t="s">
        <v>112</v>
      </c>
      <c r="AB269" s="43"/>
      <c r="AC269" s="26"/>
      <c r="AD269" s="52" t="s">
        <v>779</v>
      </c>
      <c r="AE269" s="26">
        <f t="shared" si="63"/>
        <v>740.5</v>
      </c>
      <c r="AF269" s="26">
        <f t="shared" si="63"/>
        <v>649</v>
      </c>
      <c r="AG269" s="26"/>
      <c r="AH269" s="26"/>
      <c r="AI269" s="26"/>
      <c r="AJ269" s="26"/>
      <c r="AK269" s="26"/>
      <c r="AL269" s="26"/>
      <c r="AM269" s="26">
        <f>739.5+1</f>
        <v>740.5</v>
      </c>
      <c r="AN269" s="26">
        <v>649</v>
      </c>
      <c r="AO269" s="26">
        <f t="shared" si="64"/>
        <v>708.4</v>
      </c>
      <c r="AP269" s="26"/>
      <c r="AQ269" s="26"/>
      <c r="AR269" s="26"/>
      <c r="AS269" s="26">
        <f>685.1+15.9+7.4</f>
        <v>708.4</v>
      </c>
      <c r="AT269" s="26">
        <f t="shared" si="69"/>
        <v>685.1</v>
      </c>
      <c r="AU269" s="26"/>
      <c r="AV269" s="26"/>
      <c r="AW269" s="26"/>
      <c r="AX269" s="26">
        <v>685.1</v>
      </c>
      <c r="AY269" s="26">
        <f t="shared" si="66"/>
        <v>685.1</v>
      </c>
      <c r="AZ269" s="26"/>
      <c r="BA269" s="26"/>
      <c r="BB269" s="26"/>
      <c r="BC269" s="26">
        <v>685.1</v>
      </c>
      <c r="BD269" s="26">
        <f>BE269+BF269+BG269+BH269</f>
        <v>685.1</v>
      </c>
      <c r="BE269" s="26"/>
      <c r="BF269" s="26"/>
      <c r="BG269" s="26"/>
      <c r="BH269" s="26">
        <v>685.1</v>
      </c>
    </row>
    <row r="270" spans="1:60" ht="35.65" customHeight="1" thickBot="1">
      <c r="A270" s="27" t="s">
        <v>187</v>
      </c>
      <c r="B270" s="42"/>
      <c r="C270" s="43" t="s">
        <v>181</v>
      </c>
      <c r="D270" s="43" t="s">
        <v>195</v>
      </c>
      <c r="E270" s="43" t="s">
        <v>182</v>
      </c>
      <c r="F270" s="26"/>
      <c r="G270" s="26"/>
      <c r="H270" s="26"/>
      <c r="I270" s="26"/>
      <c r="J270" s="127" t="s">
        <v>188</v>
      </c>
      <c r="K270" s="43" t="s">
        <v>196</v>
      </c>
      <c r="L270" s="43" t="s">
        <v>190</v>
      </c>
      <c r="M270" s="43"/>
      <c r="N270" s="43"/>
      <c r="O270" s="43"/>
      <c r="P270" s="26"/>
      <c r="Q270" s="26"/>
      <c r="R270" s="26"/>
      <c r="S270" s="26"/>
      <c r="T270" s="43"/>
      <c r="U270" s="43"/>
      <c r="V270" s="43"/>
      <c r="W270" s="43" t="s">
        <v>191</v>
      </c>
      <c r="X270" s="43" t="s">
        <v>112</v>
      </c>
      <c r="Y270" s="43"/>
      <c r="Z270" s="43" t="s">
        <v>192</v>
      </c>
      <c r="AA270" s="43" t="s">
        <v>112</v>
      </c>
      <c r="AB270" s="43"/>
      <c r="AC270" s="26"/>
      <c r="AD270" s="52" t="s">
        <v>780</v>
      </c>
      <c r="AE270" s="26">
        <f t="shared" si="63"/>
        <v>30112.600000000002</v>
      </c>
      <c r="AF270" s="26">
        <f t="shared" si="63"/>
        <v>30075.200000000001</v>
      </c>
      <c r="AG270" s="26"/>
      <c r="AH270" s="26"/>
      <c r="AI270" s="26">
        <v>2206.3000000000002</v>
      </c>
      <c r="AJ270" s="26">
        <v>2206.3000000000002</v>
      </c>
      <c r="AK270" s="26"/>
      <c r="AL270" s="26"/>
      <c r="AM270" s="26">
        <f>27924.4+122.5+122.5+246.8+143.7+267.5+314.9+798.9+185.6+4-156.2+138-2206.3</f>
        <v>27906.300000000003</v>
      </c>
      <c r="AN270" s="26">
        <f>30075.2-2206.3</f>
        <v>27868.9</v>
      </c>
      <c r="AO270" s="26">
        <f t="shared" si="64"/>
        <v>33219.9</v>
      </c>
      <c r="AP270" s="26"/>
      <c r="AQ270" s="26">
        <v>932.5</v>
      </c>
      <c r="AR270" s="26"/>
      <c r="AS270" s="26">
        <f>29431.7+117.4+130.7+684.4-932.5+508.7-0.2+1337.8+1016.8-7.4</f>
        <v>32287.4</v>
      </c>
      <c r="AT270" s="26">
        <f t="shared" si="69"/>
        <v>29431.7</v>
      </c>
      <c r="AU270" s="26"/>
      <c r="AV270" s="26"/>
      <c r="AW270" s="26"/>
      <c r="AX270" s="26">
        <v>29431.7</v>
      </c>
      <c r="AY270" s="26">
        <f t="shared" si="66"/>
        <v>29431.7</v>
      </c>
      <c r="AZ270" s="26"/>
      <c r="BA270" s="26"/>
      <c r="BB270" s="26"/>
      <c r="BC270" s="26">
        <v>29431.7</v>
      </c>
      <c r="BD270" s="26">
        <f>BE270+BF270+BG270+BH270</f>
        <v>29431.7</v>
      </c>
      <c r="BE270" s="26"/>
      <c r="BF270" s="26"/>
      <c r="BG270" s="26"/>
      <c r="BH270" s="26">
        <v>29431.7</v>
      </c>
    </row>
    <row r="271" spans="1:60" ht="35.65" customHeight="1" thickBot="1">
      <c r="A271" s="27" t="s">
        <v>187</v>
      </c>
      <c r="B271" s="42"/>
      <c r="C271" s="121" t="s">
        <v>105</v>
      </c>
      <c r="D271" s="121" t="s">
        <v>106</v>
      </c>
      <c r="E271" s="121" t="s">
        <v>107</v>
      </c>
      <c r="F271" s="121"/>
      <c r="G271" s="121"/>
      <c r="H271" s="121"/>
      <c r="I271" s="121"/>
      <c r="J271" s="122" t="s">
        <v>176</v>
      </c>
      <c r="K271" s="121" t="s">
        <v>109</v>
      </c>
      <c r="L271" s="123">
        <v>43831</v>
      </c>
      <c r="M271" s="121" t="s">
        <v>177</v>
      </c>
      <c r="N271" s="121" t="s">
        <v>112</v>
      </c>
      <c r="O271" s="123"/>
      <c r="P271" s="121"/>
      <c r="Q271" s="121"/>
      <c r="R271" s="121"/>
      <c r="S271" s="121"/>
      <c r="T271" s="121"/>
      <c r="U271" s="121"/>
      <c r="V271" s="124"/>
      <c r="W271" s="124" t="s">
        <v>178</v>
      </c>
      <c r="X271" s="121" t="s">
        <v>112</v>
      </c>
      <c r="Y271" s="128"/>
      <c r="Z271" s="124" t="s">
        <v>178</v>
      </c>
      <c r="AA271" s="121" t="s">
        <v>112</v>
      </c>
      <c r="AB271" s="43"/>
      <c r="AC271" s="26"/>
      <c r="AD271" s="52" t="s">
        <v>781</v>
      </c>
      <c r="AE271" s="26">
        <f t="shared" si="63"/>
        <v>0</v>
      </c>
      <c r="AF271" s="26">
        <f t="shared" si="63"/>
        <v>0</v>
      </c>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26"/>
      <c r="BH271" s="26"/>
    </row>
    <row r="272" spans="1:60" ht="35.65" customHeight="1" thickBot="1">
      <c r="A272" s="27" t="s">
        <v>187</v>
      </c>
      <c r="B272" s="42"/>
      <c r="C272" s="121" t="s">
        <v>105</v>
      </c>
      <c r="D272" s="121" t="s">
        <v>159</v>
      </c>
      <c r="E272" s="121" t="s">
        <v>107</v>
      </c>
      <c r="F272" s="121"/>
      <c r="G272" s="121"/>
      <c r="H272" s="121"/>
      <c r="I272" s="121"/>
      <c r="J272" s="122" t="s">
        <v>176</v>
      </c>
      <c r="K272" s="121" t="s">
        <v>160</v>
      </c>
      <c r="L272" s="123">
        <v>43832</v>
      </c>
      <c r="M272" s="121" t="s">
        <v>177</v>
      </c>
      <c r="N272" s="121" t="s">
        <v>112</v>
      </c>
      <c r="O272" s="123"/>
      <c r="P272" s="121"/>
      <c r="Q272" s="121"/>
      <c r="R272" s="121"/>
      <c r="S272" s="121"/>
      <c r="T272" s="121"/>
      <c r="U272" s="121"/>
      <c r="V272" s="124"/>
      <c r="W272" s="124" t="s">
        <v>178</v>
      </c>
      <c r="X272" s="121" t="s">
        <v>112</v>
      </c>
      <c r="Y272" s="128"/>
      <c r="Z272" s="124" t="s">
        <v>178</v>
      </c>
      <c r="AA272" s="121" t="s">
        <v>112</v>
      </c>
      <c r="AB272" s="43"/>
      <c r="AC272" s="26"/>
      <c r="AD272" s="52" t="s">
        <v>782</v>
      </c>
      <c r="AE272" s="26">
        <f t="shared" si="63"/>
        <v>0</v>
      </c>
      <c r="AF272" s="26">
        <f>AH272+AJ272+AL272+AN272</f>
        <v>0</v>
      </c>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26"/>
      <c r="BH272" s="26"/>
    </row>
    <row r="273" spans="1:60" ht="35.65" customHeight="1" thickBot="1">
      <c r="A273" s="31" t="s">
        <v>197</v>
      </c>
      <c r="B273" s="32">
        <v>2526</v>
      </c>
      <c r="C273" s="33"/>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v>6</v>
      </c>
      <c r="AD273" s="285"/>
      <c r="AE273" s="118">
        <f t="shared" ref="AE273:BH273" si="70">AE274+AE275+AE276+AE279+AE280+AE282+AE277+AE278+AE281</f>
        <v>0</v>
      </c>
      <c r="AF273" s="118">
        <f>AH273+AJ273+AL273+AN273</f>
        <v>0</v>
      </c>
      <c r="AG273" s="118">
        <f t="shared" si="70"/>
        <v>0</v>
      </c>
      <c r="AH273" s="118">
        <f t="shared" si="70"/>
        <v>0</v>
      </c>
      <c r="AI273" s="118">
        <f t="shared" si="70"/>
        <v>0</v>
      </c>
      <c r="AJ273" s="118">
        <f t="shared" si="70"/>
        <v>0</v>
      </c>
      <c r="AK273" s="118">
        <f t="shared" si="70"/>
        <v>0</v>
      </c>
      <c r="AL273" s="118"/>
      <c r="AM273" s="118">
        <f t="shared" si="70"/>
        <v>0</v>
      </c>
      <c r="AN273" s="118">
        <f t="shared" si="70"/>
        <v>0</v>
      </c>
      <c r="AO273" s="118">
        <f t="shared" si="70"/>
        <v>0</v>
      </c>
      <c r="AP273" s="118">
        <f t="shared" si="70"/>
        <v>0</v>
      </c>
      <c r="AQ273" s="118">
        <f t="shared" si="70"/>
        <v>0</v>
      </c>
      <c r="AR273" s="118">
        <f t="shared" si="70"/>
        <v>0</v>
      </c>
      <c r="AS273" s="118">
        <f t="shared" si="70"/>
        <v>0</v>
      </c>
      <c r="AT273" s="118">
        <f t="shared" si="70"/>
        <v>0</v>
      </c>
      <c r="AU273" s="118">
        <f t="shared" si="70"/>
        <v>0</v>
      </c>
      <c r="AV273" s="118">
        <f t="shared" si="70"/>
        <v>0</v>
      </c>
      <c r="AW273" s="118">
        <f t="shared" si="70"/>
        <v>0</v>
      </c>
      <c r="AX273" s="118">
        <f t="shared" si="70"/>
        <v>0</v>
      </c>
      <c r="AY273" s="118">
        <f t="shared" si="70"/>
        <v>0</v>
      </c>
      <c r="AZ273" s="118">
        <f t="shared" si="70"/>
        <v>0</v>
      </c>
      <c r="BA273" s="118">
        <f t="shared" si="70"/>
        <v>0</v>
      </c>
      <c r="BB273" s="118">
        <f t="shared" si="70"/>
        <v>0</v>
      </c>
      <c r="BC273" s="118">
        <f t="shared" si="70"/>
        <v>0</v>
      </c>
      <c r="BD273" s="118">
        <f t="shared" si="70"/>
        <v>0</v>
      </c>
      <c r="BE273" s="118">
        <f t="shared" si="70"/>
        <v>0</v>
      </c>
      <c r="BF273" s="118">
        <f t="shared" si="70"/>
        <v>0</v>
      </c>
      <c r="BG273" s="118">
        <f t="shared" si="70"/>
        <v>0</v>
      </c>
      <c r="BH273" s="118">
        <f t="shared" si="70"/>
        <v>0</v>
      </c>
    </row>
    <row r="274" spans="1:60" ht="35.65" customHeight="1" thickBot="1">
      <c r="A274" s="27" t="s">
        <v>104</v>
      </c>
      <c r="B274" s="42"/>
      <c r="C274" s="20" t="s">
        <v>198</v>
      </c>
      <c r="D274" s="20" t="s">
        <v>153</v>
      </c>
      <c r="E274" s="20" t="s">
        <v>182</v>
      </c>
      <c r="F274" s="71"/>
      <c r="G274" s="71"/>
      <c r="H274" s="71"/>
      <c r="I274" s="71"/>
      <c r="J274" s="71" t="s">
        <v>199</v>
      </c>
      <c r="K274" s="20" t="s">
        <v>112</v>
      </c>
      <c r="L274" s="71"/>
      <c r="M274" s="71"/>
      <c r="N274" s="71"/>
      <c r="O274" s="71"/>
      <c r="P274" s="71" t="s">
        <v>135</v>
      </c>
      <c r="Q274" s="20" t="s">
        <v>112</v>
      </c>
      <c r="R274" s="71"/>
      <c r="S274" s="71"/>
      <c r="T274" s="98" t="s">
        <v>200</v>
      </c>
      <c r="U274" s="20" t="s">
        <v>112</v>
      </c>
      <c r="V274" s="71"/>
      <c r="W274" s="98" t="s">
        <v>200</v>
      </c>
      <c r="X274" s="20" t="s">
        <v>112</v>
      </c>
      <c r="Y274" s="71"/>
      <c r="Z274" s="71" t="s">
        <v>201</v>
      </c>
      <c r="AA274" s="20" t="s">
        <v>112</v>
      </c>
      <c r="AB274" s="71"/>
      <c r="AC274" s="26"/>
      <c r="AD274" s="52" t="s">
        <v>783</v>
      </c>
      <c r="AE274" s="26">
        <f t="shared" ref="AE274:AF282" si="71">AG274+AI274+AK274+AM274</f>
        <v>0</v>
      </c>
      <c r="AF274" s="26">
        <f>AH274+AJ274+AL274+AN274</f>
        <v>0</v>
      </c>
      <c r="AG274" s="26"/>
      <c r="AH274" s="26"/>
      <c r="AI274" s="26"/>
      <c r="AJ274" s="26"/>
      <c r="AK274" s="26"/>
      <c r="AL274" s="26"/>
      <c r="AM274" s="26"/>
      <c r="AN274" s="26"/>
      <c r="AO274" s="26">
        <f>AP274+AQ274+AR274+AS274</f>
        <v>0</v>
      </c>
      <c r="AP274" s="26"/>
      <c r="AQ274" s="26"/>
      <c r="AR274" s="26"/>
      <c r="AS274" s="26"/>
      <c r="AT274" s="26">
        <f>AU274+AV274+AW274+AX274</f>
        <v>0</v>
      </c>
      <c r="AU274" s="26"/>
      <c r="AV274" s="26"/>
      <c r="AW274" s="26"/>
      <c r="AX274" s="26"/>
      <c r="AY274" s="26">
        <f>AZ274+BA274+BB274+BC274</f>
        <v>0</v>
      </c>
      <c r="AZ274" s="26"/>
      <c r="BA274" s="26"/>
      <c r="BB274" s="26"/>
      <c r="BC274" s="26"/>
      <c r="BD274" s="26">
        <f>BE274+BF274+BG274+BH274</f>
        <v>0</v>
      </c>
      <c r="BE274" s="26"/>
      <c r="BF274" s="26"/>
      <c r="BG274" s="26"/>
      <c r="BH274" s="26"/>
    </row>
    <row r="275" spans="1:60" ht="35.65" customHeight="1" thickBot="1">
      <c r="A275" s="27" t="s">
        <v>104</v>
      </c>
      <c r="B275" s="42"/>
      <c r="C275" s="20" t="s">
        <v>198</v>
      </c>
      <c r="D275" s="20" t="s">
        <v>153</v>
      </c>
      <c r="E275" s="20" t="s">
        <v>182</v>
      </c>
      <c r="F275" s="71"/>
      <c r="G275" s="71"/>
      <c r="H275" s="71"/>
      <c r="I275" s="71"/>
      <c r="J275" s="71" t="s">
        <v>202</v>
      </c>
      <c r="K275" s="20" t="s">
        <v>112</v>
      </c>
      <c r="L275" s="71"/>
      <c r="M275" s="71"/>
      <c r="N275" s="71"/>
      <c r="O275" s="71"/>
      <c r="P275" s="71" t="s">
        <v>135</v>
      </c>
      <c r="Q275" s="20" t="s">
        <v>112</v>
      </c>
      <c r="R275" s="71"/>
      <c r="S275" s="71"/>
      <c r="T275" s="98" t="s">
        <v>200</v>
      </c>
      <c r="U275" s="20" t="s">
        <v>112</v>
      </c>
      <c r="V275" s="71"/>
      <c r="W275" s="98" t="s">
        <v>200</v>
      </c>
      <c r="X275" s="20" t="s">
        <v>112</v>
      </c>
      <c r="Y275" s="71"/>
      <c r="Z275" s="71" t="s">
        <v>203</v>
      </c>
      <c r="AA275" s="20" t="s">
        <v>112</v>
      </c>
      <c r="AB275" s="71"/>
      <c r="AC275" s="26"/>
      <c r="AD275" s="52" t="s">
        <v>784</v>
      </c>
      <c r="AE275" s="26">
        <f t="shared" si="71"/>
        <v>0</v>
      </c>
      <c r="AF275" s="26">
        <f t="shared" si="71"/>
        <v>0</v>
      </c>
      <c r="AG275" s="26"/>
      <c r="AH275" s="26"/>
      <c r="AI275" s="26"/>
      <c r="AJ275" s="26"/>
      <c r="AK275" s="26"/>
      <c r="AL275" s="26"/>
      <c r="AM275" s="26"/>
      <c r="AN275" s="26"/>
      <c r="AO275" s="26">
        <f t="shared" ref="AO275:AO282" si="72">AP275+AQ275+AR275+AS275</f>
        <v>0</v>
      </c>
      <c r="AP275" s="26"/>
      <c r="AQ275" s="26"/>
      <c r="AR275" s="26"/>
      <c r="AS275" s="26"/>
      <c r="AT275" s="26">
        <f t="shared" ref="AT275:AT280" si="73">AU275+AV275+AW275+AX275</f>
        <v>0</v>
      </c>
      <c r="AU275" s="26"/>
      <c r="AV275" s="26"/>
      <c r="AW275" s="26"/>
      <c r="AX275" s="26"/>
      <c r="AY275" s="26">
        <f t="shared" ref="AY275:AY282" si="74">AZ275+BA275+BB275+BC275</f>
        <v>0</v>
      </c>
      <c r="AZ275" s="26"/>
      <c r="BA275" s="26"/>
      <c r="BB275" s="26"/>
      <c r="BC275" s="26"/>
      <c r="BD275" s="26">
        <f t="shared" ref="BD275:BD280" si="75">BE275+BF275+BG275+BH275</f>
        <v>0</v>
      </c>
      <c r="BE275" s="26"/>
      <c r="BF275" s="26"/>
      <c r="BG275" s="26"/>
      <c r="BH275" s="26"/>
    </row>
    <row r="276" spans="1:60" ht="35.65" customHeight="1" thickBot="1">
      <c r="A276" s="27" t="s">
        <v>104</v>
      </c>
      <c r="B276" s="42"/>
      <c r="C276" s="110" t="s">
        <v>105</v>
      </c>
      <c r="D276" s="20" t="s">
        <v>106</v>
      </c>
      <c r="E276" s="20" t="s">
        <v>107</v>
      </c>
      <c r="F276" s="71"/>
      <c r="G276" s="71"/>
      <c r="H276" s="71"/>
      <c r="I276" s="71"/>
      <c r="J276" s="71" t="s">
        <v>204</v>
      </c>
      <c r="K276" s="20" t="s">
        <v>112</v>
      </c>
      <c r="L276" s="71"/>
      <c r="M276" s="71"/>
      <c r="N276" s="71"/>
      <c r="O276" s="71"/>
      <c r="P276" s="71" t="s">
        <v>135</v>
      </c>
      <c r="Q276" s="20" t="s">
        <v>112</v>
      </c>
      <c r="R276" s="71"/>
      <c r="S276" s="71"/>
      <c r="T276" s="71"/>
      <c r="U276" s="71"/>
      <c r="V276" s="71"/>
      <c r="W276" s="108" t="s">
        <v>115</v>
      </c>
      <c r="X276" s="20" t="s">
        <v>112</v>
      </c>
      <c r="Y276" s="71"/>
      <c r="Z276" s="108" t="s">
        <v>115</v>
      </c>
      <c r="AA276" s="20" t="s">
        <v>112</v>
      </c>
      <c r="AB276" s="71"/>
      <c r="AC276" s="26"/>
      <c r="AD276" s="52" t="s">
        <v>785</v>
      </c>
      <c r="AE276" s="26">
        <f t="shared" si="71"/>
        <v>0</v>
      </c>
      <c r="AF276" s="26">
        <f t="shared" si="71"/>
        <v>0</v>
      </c>
      <c r="AG276" s="26"/>
      <c r="AH276" s="26"/>
      <c r="AI276" s="26"/>
      <c r="AJ276" s="26"/>
      <c r="AK276" s="26"/>
      <c r="AL276" s="26"/>
      <c r="AM276" s="26"/>
      <c r="AN276" s="26"/>
      <c r="AO276" s="26">
        <f t="shared" si="72"/>
        <v>0</v>
      </c>
      <c r="AP276" s="26"/>
      <c r="AQ276" s="26"/>
      <c r="AS276" s="26"/>
      <c r="AT276" s="26">
        <f t="shared" si="73"/>
        <v>0</v>
      </c>
      <c r="AU276" s="26"/>
      <c r="AV276" s="26"/>
      <c r="AX276" s="26"/>
      <c r="AY276" s="26">
        <f t="shared" si="74"/>
        <v>0</v>
      </c>
      <c r="AZ276" s="26"/>
      <c r="BA276" s="26"/>
      <c r="BB276" s="26"/>
      <c r="BC276" s="26"/>
      <c r="BD276" s="26">
        <f t="shared" si="75"/>
        <v>0</v>
      </c>
      <c r="BE276" s="26"/>
      <c r="BF276" s="26"/>
      <c r="BG276" s="26"/>
      <c r="BH276" s="26"/>
    </row>
    <row r="277" spans="1:60" ht="35.65" customHeight="1" thickBot="1">
      <c r="A277" s="27" t="s">
        <v>104</v>
      </c>
      <c r="B277" s="42"/>
      <c r="C277" s="109"/>
      <c r="D277" s="20"/>
      <c r="E277" s="20"/>
      <c r="F277" s="71"/>
      <c r="G277" s="71"/>
      <c r="H277" s="71"/>
      <c r="I277" s="71"/>
      <c r="J277" s="71"/>
      <c r="K277" s="20"/>
      <c r="L277" s="71"/>
      <c r="M277" s="71"/>
      <c r="N277" s="71"/>
      <c r="O277" s="71"/>
      <c r="P277" s="71"/>
      <c r="Q277" s="20"/>
      <c r="R277" s="71"/>
      <c r="S277" s="71"/>
      <c r="T277" s="71"/>
      <c r="U277" s="71"/>
      <c r="V277" s="71"/>
      <c r="W277" s="108"/>
      <c r="X277" s="20" t="s">
        <v>112</v>
      </c>
      <c r="Y277" s="129"/>
      <c r="Z277" s="130" t="s">
        <v>115</v>
      </c>
      <c r="AA277" s="20" t="s">
        <v>112</v>
      </c>
      <c r="AB277" s="129"/>
      <c r="AC277" s="26"/>
      <c r="AD277" s="52" t="s">
        <v>786</v>
      </c>
      <c r="AE277" s="26">
        <f t="shared" si="71"/>
        <v>0</v>
      </c>
      <c r="AF277" s="26">
        <f t="shared" si="71"/>
        <v>0</v>
      </c>
      <c r="AG277" s="26"/>
      <c r="AH277" s="26"/>
      <c r="AI277" s="26"/>
      <c r="AJ277" s="26"/>
      <c r="AK277" s="26"/>
      <c r="AL277" s="26"/>
      <c r="AM277" s="26"/>
      <c r="AN277" s="26"/>
      <c r="AO277" s="26">
        <f t="shared" si="72"/>
        <v>0</v>
      </c>
      <c r="AP277" s="26"/>
      <c r="AQ277" s="26"/>
      <c r="AS277" s="26"/>
      <c r="AT277" s="26">
        <f t="shared" si="73"/>
        <v>0</v>
      </c>
      <c r="AU277" s="26"/>
      <c r="AV277" s="26"/>
      <c r="AX277" s="26"/>
      <c r="AY277" s="26">
        <f t="shared" si="74"/>
        <v>0</v>
      </c>
      <c r="AZ277" s="26"/>
      <c r="BA277" s="26"/>
      <c r="BB277" s="26"/>
      <c r="BC277" s="26"/>
      <c r="BD277" s="26">
        <f t="shared" si="75"/>
        <v>0</v>
      </c>
      <c r="BE277" s="26"/>
      <c r="BF277" s="26"/>
      <c r="BG277" s="26"/>
      <c r="BH277" s="26"/>
    </row>
    <row r="278" spans="1:60" ht="35.65" customHeight="1" thickBot="1">
      <c r="A278" s="27" t="s">
        <v>104</v>
      </c>
      <c r="B278" s="42"/>
      <c r="C278" s="109"/>
      <c r="D278" s="20"/>
      <c r="E278" s="20"/>
      <c r="F278" s="71"/>
      <c r="G278" s="71"/>
      <c r="H278" s="71"/>
      <c r="I278" s="71"/>
      <c r="J278" s="71"/>
      <c r="K278" s="20"/>
      <c r="L278" s="71"/>
      <c r="M278" s="71"/>
      <c r="N278" s="71"/>
      <c r="O278" s="71"/>
      <c r="P278" s="71"/>
      <c r="Q278" s="20"/>
      <c r="R278" s="71"/>
      <c r="S278" s="71"/>
      <c r="T278" s="71"/>
      <c r="U278" s="71"/>
      <c r="V278" s="71"/>
      <c r="W278" s="108"/>
      <c r="X278" s="20" t="s">
        <v>112</v>
      </c>
      <c r="Y278" s="129"/>
      <c r="Z278" s="130" t="s">
        <v>115</v>
      </c>
      <c r="AA278" s="20" t="s">
        <v>112</v>
      </c>
      <c r="AB278" s="129"/>
      <c r="AC278" s="26"/>
      <c r="AD278" s="52" t="s">
        <v>787</v>
      </c>
      <c r="AE278" s="26">
        <f t="shared" si="71"/>
        <v>0</v>
      </c>
      <c r="AF278" s="26">
        <f t="shared" si="71"/>
        <v>0</v>
      </c>
      <c r="AG278" s="26"/>
      <c r="AH278" s="26"/>
      <c r="AI278" s="26"/>
      <c r="AJ278" s="26"/>
      <c r="AK278" s="26"/>
      <c r="AL278" s="26"/>
      <c r="AM278" s="26"/>
      <c r="AN278" s="26"/>
      <c r="AO278" s="26">
        <f t="shared" si="72"/>
        <v>0</v>
      </c>
      <c r="AP278" s="26"/>
      <c r="AQ278" s="26"/>
      <c r="AS278" s="26"/>
      <c r="AT278" s="26">
        <f t="shared" si="73"/>
        <v>0</v>
      </c>
      <c r="AU278" s="26"/>
      <c r="AV278" s="26"/>
      <c r="AX278" s="26"/>
      <c r="AY278" s="26">
        <f t="shared" si="74"/>
        <v>0</v>
      </c>
      <c r="AZ278" s="26"/>
      <c r="BA278" s="26"/>
      <c r="BB278" s="26"/>
      <c r="BC278" s="26"/>
      <c r="BD278" s="26">
        <f t="shared" si="75"/>
        <v>0</v>
      </c>
      <c r="BE278" s="26"/>
      <c r="BF278" s="26"/>
      <c r="BG278" s="26"/>
      <c r="BH278" s="26"/>
    </row>
    <row r="279" spans="1:60" ht="35.65" customHeight="1" thickBot="1">
      <c r="A279" s="27" t="s">
        <v>104</v>
      </c>
      <c r="B279" s="42"/>
      <c r="C279" s="20" t="s">
        <v>198</v>
      </c>
      <c r="D279" s="20" t="s">
        <v>153</v>
      </c>
      <c r="E279" s="20" t="s">
        <v>182</v>
      </c>
      <c r="F279" s="71"/>
      <c r="G279" s="71"/>
      <c r="H279" s="71"/>
      <c r="I279" s="71"/>
      <c r="J279" s="71" t="s">
        <v>204</v>
      </c>
      <c r="K279" s="20" t="s">
        <v>112</v>
      </c>
      <c r="L279" s="71"/>
      <c r="M279" s="71"/>
      <c r="N279" s="71"/>
      <c r="O279" s="71"/>
      <c r="P279" s="71" t="s">
        <v>135</v>
      </c>
      <c r="Q279" s="20" t="s">
        <v>112</v>
      </c>
      <c r="R279" s="71"/>
      <c r="S279" s="71"/>
      <c r="T279" s="98" t="s">
        <v>200</v>
      </c>
      <c r="U279" s="20" t="s">
        <v>112</v>
      </c>
      <c r="V279" s="71"/>
      <c r="W279" s="98" t="s">
        <v>200</v>
      </c>
      <c r="X279" s="20" t="s">
        <v>112</v>
      </c>
      <c r="Y279" s="71"/>
      <c r="Z279" s="71" t="s">
        <v>203</v>
      </c>
      <c r="AA279" s="20" t="s">
        <v>112</v>
      </c>
      <c r="AB279" s="71"/>
      <c r="AC279" s="26"/>
      <c r="AD279" s="52" t="s">
        <v>788</v>
      </c>
      <c r="AE279" s="26">
        <f t="shared" si="71"/>
        <v>0</v>
      </c>
      <c r="AF279" s="26">
        <f t="shared" si="71"/>
        <v>0</v>
      </c>
      <c r="AG279" s="26"/>
      <c r="AH279" s="26"/>
      <c r="AI279" s="26"/>
      <c r="AJ279" s="26"/>
      <c r="AK279" s="26"/>
      <c r="AL279" s="26"/>
      <c r="AM279" s="26">
        <f>1632+66.4+187.2-1885.6</f>
        <v>0</v>
      </c>
      <c r="AN279" s="26"/>
      <c r="AO279" s="26">
        <f t="shared" si="72"/>
        <v>0</v>
      </c>
      <c r="AP279" s="26"/>
      <c r="AQ279" s="26"/>
      <c r="AR279" s="26"/>
      <c r="AS279" s="26"/>
      <c r="AT279" s="26">
        <f t="shared" si="73"/>
        <v>0</v>
      </c>
      <c r="AU279" s="26"/>
      <c r="AV279" s="26"/>
      <c r="AW279" s="26"/>
      <c r="AX279" s="26"/>
      <c r="AY279" s="26">
        <f t="shared" si="74"/>
        <v>0</v>
      </c>
      <c r="AZ279" s="26"/>
      <c r="BA279" s="26"/>
      <c r="BB279" s="26"/>
      <c r="BC279" s="26"/>
      <c r="BD279" s="26">
        <f t="shared" si="75"/>
        <v>0</v>
      </c>
      <c r="BE279" s="26"/>
      <c r="BF279" s="26"/>
      <c r="BG279" s="26"/>
      <c r="BH279" s="26"/>
    </row>
    <row r="280" spans="1:60" ht="35.65" customHeight="1" thickBot="1">
      <c r="A280" s="27" t="s">
        <v>104</v>
      </c>
      <c r="B280" s="42"/>
      <c r="C280" s="110" t="s">
        <v>105</v>
      </c>
      <c r="D280" s="20" t="s">
        <v>106</v>
      </c>
      <c r="E280" s="20" t="s">
        <v>107</v>
      </c>
      <c r="F280" s="71"/>
      <c r="G280" s="71"/>
      <c r="H280" s="71"/>
      <c r="I280" s="71"/>
      <c r="J280" s="71" t="s">
        <v>199</v>
      </c>
      <c r="K280" s="20" t="s">
        <v>112</v>
      </c>
      <c r="L280" s="71"/>
      <c r="M280" s="71"/>
      <c r="N280" s="71"/>
      <c r="O280" s="71"/>
      <c r="P280" s="71" t="s">
        <v>135</v>
      </c>
      <c r="Q280" s="20" t="s">
        <v>112</v>
      </c>
      <c r="R280" s="71"/>
      <c r="S280" s="71"/>
      <c r="T280" s="71"/>
      <c r="U280" s="71"/>
      <c r="V280" s="71"/>
      <c r="W280" s="108" t="s">
        <v>115</v>
      </c>
      <c r="X280" s="20" t="s">
        <v>112</v>
      </c>
      <c r="Y280" s="71"/>
      <c r="Z280" s="108" t="s">
        <v>115</v>
      </c>
      <c r="AA280" s="20" t="s">
        <v>112</v>
      </c>
      <c r="AB280" s="71"/>
      <c r="AC280" s="26"/>
      <c r="AD280" s="52" t="s">
        <v>789</v>
      </c>
      <c r="AE280" s="26">
        <f t="shared" si="71"/>
        <v>0</v>
      </c>
      <c r="AF280" s="26">
        <f t="shared" si="71"/>
        <v>0</v>
      </c>
      <c r="AG280" s="26"/>
      <c r="AH280" s="26"/>
      <c r="AI280" s="26"/>
      <c r="AJ280" s="26"/>
      <c r="AK280" s="26"/>
      <c r="AL280" s="26"/>
      <c r="AM280" s="26"/>
      <c r="AN280" s="26"/>
      <c r="AO280" s="26">
        <f t="shared" si="72"/>
        <v>0</v>
      </c>
      <c r="AP280" s="26"/>
      <c r="AQ280" s="26"/>
      <c r="AR280" s="26"/>
      <c r="AS280" s="26"/>
      <c r="AT280" s="26">
        <f t="shared" si="73"/>
        <v>0</v>
      </c>
      <c r="AU280" s="26"/>
      <c r="AV280" s="26"/>
      <c r="AW280" s="26"/>
      <c r="AX280" s="26"/>
      <c r="AY280" s="26">
        <f t="shared" si="74"/>
        <v>0</v>
      </c>
      <c r="AZ280" s="26"/>
      <c r="BA280" s="26"/>
      <c r="BB280" s="26"/>
      <c r="BC280" s="26"/>
      <c r="BD280" s="26">
        <f t="shared" si="75"/>
        <v>0</v>
      </c>
      <c r="BE280" s="26"/>
      <c r="BF280" s="26"/>
      <c r="BG280" s="26"/>
      <c r="BH280" s="26"/>
    </row>
    <row r="281" spans="1:60" ht="35.65" customHeight="1" thickBot="1">
      <c r="A281" s="27" t="s">
        <v>104</v>
      </c>
      <c r="B281" s="42"/>
      <c r="C281" s="110" t="s">
        <v>105</v>
      </c>
      <c r="D281" s="20" t="s">
        <v>159</v>
      </c>
      <c r="E281" s="20" t="s">
        <v>107</v>
      </c>
      <c r="F281" s="71"/>
      <c r="G281" s="71"/>
      <c r="H281" s="71"/>
      <c r="I281" s="71"/>
      <c r="J281" s="71" t="s">
        <v>199</v>
      </c>
      <c r="K281" s="20" t="s">
        <v>112</v>
      </c>
      <c r="L281" s="71"/>
      <c r="M281" s="71"/>
      <c r="N281" s="71"/>
      <c r="O281" s="71"/>
      <c r="P281" s="71" t="s">
        <v>135</v>
      </c>
      <c r="Q281" s="20" t="s">
        <v>112</v>
      </c>
      <c r="R281" s="71"/>
      <c r="S281" s="71"/>
      <c r="T281" s="71"/>
      <c r="U281" s="71"/>
      <c r="V281" s="71"/>
      <c r="W281" s="108" t="s">
        <v>115</v>
      </c>
      <c r="X281" s="20" t="s">
        <v>112</v>
      </c>
      <c r="Y281" s="71"/>
      <c r="Z281" s="108" t="s">
        <v>115</v>
      </c>
      <c r="AA281" s="20" t="s">
        <v>112</v>
      </c>
      <c r="AB281" s="71"/>
      <c r="AC281" s="26"/>
      <c r="AD281" s="52" t="s">
        <v>790</v>
      </c>
      <c r="AE281" s="26">
        <f t="shared" si="71"/>
        <v>0</v>
      </c>
      <c r="AF281" s="26">
        <f t="shared" si="71"/>
        <v>0</v>
      </c>
      <c r="AG281" s="26"/>
      <c r="AH281" s="26"/>
      <c r="AI281" s="26"/>
      <c r="AJ281" s="26"/>
      <c r="AK281" s="26"/>
      <c r="AL281" s="26"/>
      <c r="AM281" s="26">
        <v>0</v>
      </c>
      <c r="AN281" s="26"/>
      <c r="AO281" s="26"/>
      <c r="AP281" s="26"/>
      <c r="AQ281" s="26"/>
      <c r="AR281" s="26"/>
      <c r="AS281" s="26">
        <v>0</v>
      </c>
      <c r="AT281" s="26"/>
      <c r="AU281" s="26"/>
      <c r="AV281" s="26"/>
      <c r="AW281" s="26"/>
      <c r="AX281" s="26">
        <v>0</v>
      </c>
      <c r="AY281" s="26"/>
      <c r="AZ281" s="26"/>
      <c r="BA281" s="26"/>
      <c r="BB281" s="26"/>
      <c r="BC281" s="26">
        <v>0</v>
      </c>
      <c r="BD281" s="26"/>
      <c r="BE281" s="26"/>
      <c r="BF281" s="26"/>
      <c r="BG281" s="26"/>
      <c r="BH281" s="26">
        <v>0</v>
      </c>
    </row>
    <row r="282" spans="1:60" ht="35.65" customHeight="1" thickBot="1">
      <c r="A282" s="27" t="s">
        <v>104</v>
      </c>
      <c r="B282" s="42"/>
      <c r="C282" s="110" t="s">
        <v>105</v>
      </c>
      <c r="D282" s="20" t="s">
        <v>106</v>
      </c>
      <c r="E282" s="20" t="s">
        <v>107</v>
      </c>
      <c r="F282" s="71"/>
      <c r="G282" s="71"/>
      <c r="H282" s="71"/>
      <c r="I282" s="71"/>
      <c r="J282" s="71" t="s">
        <v>199</v>
      </c>
      <c r="K282" s="20" t="s">
        <v>112</v>
      </c>
      <c r="L282" s="71"/>
      <c r="M282" s="71"/>
      <c r="N282" s="71"/>
      <c r="O282" s="71"/>
      <c r="P282" s="71" t="s">
        <v>135</v>
      </c>
      <c r="Q282" s="20" t="s">
        <v>112</v>
      </c>
      <c r="R282" s="71"/>
      <c r="S282" s="71"/>
      <c r="T282" s="71"/>
      <c r="U282" s="71"/>
      <c r="V282" s="71"/>
      <c r="W282" s="108" t="s">
        <v>115</v>
      </c>
      <c r="X282" s="20" t="s">
        <v>112</v>
      </c>
      <c r="Y282" s="71"/>
      <c r="Z282" s="108" t="s">
        <v>115</v>
      </c>
      <c r="AA282" s="20" t="s">
        <v>112</v>
      </c>
      <c r="AB282" s="71"/>
      <c r="AC282" s="26"/>
      <c r="AD282" s="52" t="s">
        <v>791</v>
      </c>
      <c r="AE282" s="26">
        <f t="shared" si="71"/>
        <v>0</v>
      </c>
      <c r="AF282" s="26">
        <f t="shared" si="71"/>
        <v>0</v>
      </c>
      <c r="AG282" s="26"/>
      <c r="AH282" s="26"/>
      <c r="AI282" s="26"/>
      <c r="AJ282" s="26"/>
      <c r="AK282" s="26"/>
      <c r="AL282" s="26"/>
      <c r="AM282" s="26"/>
      <c r="AN282" s="26"/>
      <c r="AO282" s="26">
        <f t="shared" si="72"/>
        <v>0</v>
      </c>
      <c r="AP282" s="26"/>
      <c r="AQ282" s="26"/>
      <c r="AR282" s="26"/>
      <c r="AS282" s="26"/>
      <c r="AT282" s="26">
        <f t="shared" ref="AT282" si="76">AU282+AV282+AW282+AX282</f>
        <v>0</v>
      </c>
      <c r="AU282" s="26"/>
      <c r="AV282" s="26"/>
      <c r="AW282" s="26"/>
      <c r="AX282" s="26"/>
      <c r="AY282" s="26">
        <f t="shared" si="74"/>
        <v>0</v>
      </c>
      <c r="AZ282" s="26"/>
      <c r="BA282" s="26"/>
      <c r="BB282" s="26"/>
      <c r="BC282" s="26"/>
      <c r="BD282" s="26">
        <f>BE282+BF282+BG282+BH282</f>
        <v>0</v>
      </c>
      <c r="BE282" s="26"/>
      <c r="BF282" s="26"/>
      <c r="BG282" s="26"/>
      <c r="BH282" s="26"/>
    </row>
    <row r="283" spans="1:60" ht="35.65" customHeight="1" thickBot="1">
      <c r="A283" s="31" t="s">
        <v>205</v>
      </c>
      <c r="B283" s="32">
        <v>2527</v>
      </c>
      <c r="C283" s="33"/>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v>6</v>
      </c>
      <c r="AD283" s="34"/>
      <c r="AE283" s="118">
        <f>AE284+AE285+AE286+AE287+AE288+AE289+AE291+AE293+AE294+AE295+AE290+AE292</f>
        <v>53147.999999999993</v>
      </c>
      <c r="AF283" s="118">
        <f>AH283+AJ283+AL283+AN283</f>
        <v>52698.3</v>
      </c>
      <c r="AG283" s="118">
        <f t="shared" ref="AG283:AN283" si="77">AG284+AG285+AG286+AG287+AG288+AG289+AG291+AG293+AG294+AG295+AG290+AG292</f>
        <v>0</v>
      </c>
      <c r="AH283" s="118">
        <f t="shared" si="77"/>
        <v>0</v>
      </c>
      <c r="AI283" s="118">
        <f t="shared" si="77"/>
        <v>5526.2</v>
      </c>
      <c r="AJ283" s="118">
        <f t="shared" si="77"/>
        <v>5428.1</v>
      </c>
      <c r="AK283" s="118">
        <f t="shared" si="77"/>
        <v>0</v>
      </c>
      <c r="AL283" s="118"/>
      <c r="AM283" s="118">
        <f t="shared" si="77"/>
        <v>47621.799999999996</v>
      </c>
      <c r="AN283" s="118">
        <f t="shared" si="77"/>
        <v>47270.200000000004</v>
      </c>
      <c r="AO283" s="118">
        <f t="shared" ref="AO283:BH283" si="78">AO284+AO285+AO286+AO287+AO288+AO289+AO291+AO293+AO294+AO295</f>
        <v>56716.600000000006</v>
      </c>
      <c r="AP283" s="118">
        <f t="shared" si="78"/>
        <v>0</v>
      </c>
      <c r="AQ283" s="118">
        <f t="shared" si="78"/>
        <v>279.89999999999998</v>
      </c>
      <c r="AR283" s="118">
        <f t="shared" si="78"/>
        <v>0</v>
      </c>
      <c r="AS283" s="118">
        <f t="shared" si="78"/>
        <v>56436.7</v>
      </c>
      <c r="AT283" s="118">
        <f t="shared" si="78"/>
        <v>52904.099999999991</v>
      </c>
      <c r="AU283" s="118">
        <f t="shared" si="78"/>
        <v>0</v>
      </c>
      <c r="AV283" s="118">
        <f t="shared" si="78"/>
        <v>0</v>
      </c>
      <c r="AW283" s="118">
        <f t="shared" si="78"/>
        <v>0</v>
      </c>
      <c r="AX283" s="118">
        <f t="shared" si="78"/>
        <v>52904.099999999991</v>
      </c>
      <c r="AY283" s="118">
        <f t="shared" si="78"/>
        <v>52904.099999999991</v>
      </c>
      <c r="AZ283" s="118">
        <f t="shared" si="78"/>
        <v>0</v>
      </c>
      <c r="BA283" s="118">
        <f t="shared" si="78"/>
        <v>0</v>
      </c>
      <c r="BB283" s="118">
        <f t="shared" si="78"/>
        <v>0</v>
      </c>
      <c r="BC283" s="118">
        <f t="shared" si="78"/>
        <v>52904.099999999991</v>
      </c>
      <c r="BD283" s="118">
        <f t="shared" si="78"/>
        <v>52904.099999999991</v>
      </c>
      <c r="BE283" s="118">
        <f t="shared" si="78"/>
        <v>0</v>
      </c>
      <c r="BF283" s="118">
        <f t="shared" si="78"/>
        <v>0</v>
      </c>
      <c r="BG283" s="118">
        <f t="shared" si="78"/>
        <v>0</v>
      </c>
      <c r="BH283" s="118">
        <f t="shared" si="78"/>
        <v>52904.099999999991</v>
      </c>
    </row>
    <row r="284" spans="1:60" ht="35.65" customHeight="1" thickBot="1">
      <c r="A284" s="27" t="s">
        <v>206</v>
      </c>
      <c r="B284" s="42"/>
      <c r="C284" s="110" t="s">
        <v>105</v>
      </c>
      <c r="D284" s="20" t="s">
        <v>106</v>
      </c>
      <c r="E284" s="20" t="s">
        <v>107</v>
      </c>
      <c r="F284" s="98"/>
      <c r="G284" s="98"/>
      <c r="H284" s="98"/>
      <c r="I284" s="98"/>
      <c r="J284" s="20" t="s">
        <v>150</v>
      </c>
      <c r="K284" s="20" t="s">
        <v>109</v>
      </c>
      <c r="L284" s="20" t="s">
        <v>125</v>
      </c>
      <c r="M284" s="98"/>
      <c r="N284" s="98"/>
      <c r="O284" s="98"/>
      <c r="P284" s="98"/>
      <c r="Q284" s="98"/>
      <c r="R284" s="98"/>
      <c r="S284" s="98"/>
      <c r="T284" s="98"/>
      <c r="U284" s="98"/>
      <c r="V284" s="98"/>
      <c r="W284" s="108" t="s">
        <v>115</v>
      </c>
      <c r="X284" s="20" t="s">
        <v>112</v>
      </c>
      <c r="Y284" s="98"/>
      <c r="Z284" s="108" t="s">
        <v>115</v>
      </c>
      <c r="AA284" s="20" t="s">
        <v>112</v>
      </c>
      <c r="AB284" s="98"/>
      <c r="AC284" s="26"/>
      <c r="AD284" s="52" t="s">
        <v>792</v>
      </c>
      <c r="AE284" s="26">
        <f>AI284+AM284</f>
        <v>19236.199999999997</v>
      </c>
      <c r="AF284" s="26">
        <f>AH284+AJ284+AL284+AN284</f>
        <v>19209.7</v>
      </c>
      <c r="AG284" s="26"/>
      <c r="AH284" s="26"/>
      <c r="AI284" s="26">
        <v>2183</v>
      </c>
      <c r="AJ284" s="26">
        <v>2183</v>
      </c>
      <c r="AK284" s="26"/>
      <c r="AL284" s="26"/>
      <c r="AM284" s="26">
        <f>17660.9+1640.7-167.3+311.6+230.6-80-0.4-229.9-130-2183</f>
        <v>17053.199999999997</v>
      </c>
      <c r="AN284" s="26">
        <f>19209.7-2183</f>
        <v>17026.7</v>
      </c>
      <c r="AO284" s="26">
        <f t="shared" ref="AO284:AO291" si="79">AP284+AQ284+AR284+AS284</f>
        <v>21557.500000000004</v>
      </c>
      <c r="AP284" s="26"/>
      <c r="AQ284" s="26">
        <v>279.89999999999998</v>
      </c>
      <c r="AR284" s="26"/>
      <c r="AS284" s="26">
        <f>20059+279.9-279.9+472.4+846.5-0.3-100</f>
        <v>21277.600000000002</v>
      </c>
      <c r="AT284" s="26">
        <f t="shared" ref="AT284:AT285" si="80">AU284+AV284+AW284+AX284</f>
        <v>20059</v>
      </c>
      <c r="AU284" s="26"/>
      <c r="AV284" s="26"/>
      <c r="AW284" s="26"/>
      <c r="AX284" s="26">
        <v>20059</v>
      </c>
      <c r="AY284" s="26">
        <f t="shared" ref="AY284:AY291" si="81">AZ284+BA284+BB284+BC284</f>
        <v>20059</v>
      </c>
      <c r="AZ284" s="26"/>
      <c r="BA284" s="26"/>
      <c r="BB284" s="26"/>
      <c r="BC284" s="26">
        <v>20059</v>
      </c>
      <c r="BD284" s="26">
        <f>BE284+BF284+BG284+BH284</f>
        <v>20059</v>
      </c>
      <c r="BE284" s="26"/>
      <c r="BF284" s="26"/>
      <c r="BG284" s="26"/>
      <c r="BH284" s="26">
        <v>20059</v>
      </c>
    </row>
    <row r="285" spans="1:60" ht="35.65" customHeight="1" thickBot="1">
      <c r="A285" s="27" t="s">
        <v>206</v>
      </c>
      <c r="B285" s="42"/>
      <c r="C285" s="110" t="s">
        <v>105</v>
      </c>
      <c r="D285" s="20" t="s">
        <v>106</v>
      </c>
      <c r="E285" s="20" t="s">
        <v>107</v>
      </c>
      <c r="F285" s="98"/>
      <c r="G285" s="98"/>
      <c r="H285" s="98"/>
      <c r="I285" s="98"/>
      <c r="J285" s="20" t="s">
        <v>150</v>
      </c>
      <c r="K285" s="20" t="s">
        <v>109</v>
      </c>
      <c r="L285" s="20" t="s">
        <v>125</v>
      </c>
      <c r="M285" s="98"/>
      <c r="N285" s="98"/>
      <c r="O285" s="98"/>
      <c r="P285" s="98"/>
      <c r="Q285" s="98"/>
      <c r="R285" s="98"/>
      <c r="S285" s="98"/>
      <c r="T285" s="98"/>
      <c r="U285" s="98"/>
      <c r="V285" s="98"/>
      <c r="W285" s="108" t="s">
        <v>115</v>
      </c>
      <c r="X285" s="20" t="s">
        <v>112</v>
      </c>
      <c r="Y285" s="98"/>
      <c r="Z285" s="108" t="s">
        <v>115</v>
      </c>
      <c r="AA285" s="20" t="s">
        <v>112</v>
      </c>
      <c r="AB285" s="98"/>
      <c r="AC285" s="26"/>
      <c r="AD285" s="52" t="s">
        <v>793</v>
      </c>
      <c r="AE285" s="26">
        <f>AM285</f>
        <v>5223</v>
      </c>
      <c r="AF285" s="26">
        <f t="shared" ref="AF285:AF295" si="82">AH285+AJ285+AL285+AN285</f>
        <v>5072.7</v>
      </c>
      <c r="AG285" s="26"/>
      <c r="AH285" s="26"/>
      <c r="AI285" s="26"/>
      <c r="AJ285" s="26"/>
      <c r="AK285" s="26"/>
      <c r="AL285" s="26"/>
      <c r="AM285" s="26">
        <f>4994.3+85.7+80+32+31</f>
        <v>5223</v>
      </c>
      <c r="AN285" s="26">
        <v>5072.7</v>
      </c>
      <c r="AO285" s="26">
        <f t="shared" si="79"/>
        <v>5115</v>
      </c>
      <c r="AP285" s="26"/>
      <c r="AQ285" s="26"/>
      <c r="AR285" s="26"/>
      <c r="AS285" s="26">
        <f>4939.5-112+200+87.5</f>
        <v>5115</v>
      </c>
      <c r="AT285" s="26">
        <f t="shared" si="80"/>
        <v>4944.5</v>
      </c>
      <c r="AU285" s="26"/>
      <c r="AV285" s="26"/>
      <c r="AW285" s="26"/>
      <c r="AX285" s="26">
        <v>4944.5</v>
      </c>
      <c r="AY285" s="26">
        <f t="shared" si="81"/>
        <v>4944.5</v>
      </c>
      <c r="AZ285" s="26"/>
      <c r="BA285" s="26"/>
      <c r="BB285" s="26"/>
      <c r="BC285" s="26">
        <v>4944.5</v>
      </c>
      <c r="BD285" s="26">
        <f>BE285+BF285+BG285+BH285</f>
        <v>4944.5</v>
      </c>
      <c r="BE285" s="26"/>
      <c r="BF285" s="26"/>
      <c r="BG285" s="26"/>
      <c r="BH285" s="26">
        <v>4944.5</v>
      </c>
    </row>
    <row r="286" spans="1:60" ht="35.65" customHeight="1" thickBot="1">
      <c r="A286" s="27" t="s">
        <v>206</v>
      </c>
      <c r="B286" s="42"/>
      <c r="C286" s="110" t="s">
        <v>105</v>
      </c>
      <c r="D286" s="20" t="s">
        <v>159</v>
      </c>
      <c r="E286" s="20" t="s">
        <v>107</v>
      </c>
      <c r="F286" s="98"/>
      <c r="G286" s="98"/>
      <c r="H286" s="98"/>
      <c r="I286" s="98"/>
      <c r="J286" s="20" t="s">
        <v>150</v>
      </c>
      <c r="K286" s="20" t="s">
        <v>160</v>
      </c>
      <c r="L286" s="20" t="s">
        <v>161</v>
      </c>
      <c r="M286" s="98"/>
      <c r="N286" s="98"/>
      <c r="O286" s="98"/>
      <c r="P286" s="98"/>
      <c r="Q286" s="98"/>
      <c r="R286" s="98"/>
      <c r="S286" s="98"/>
      <c r="T286" s="98"/>
      <c r="U286" s="98"/>
      <c r="V286" s="98"/>
      <c r="W286" s="108" t="s">
        <v>115</v>
      </c>
      <c r="X286" s="20" t="s">
        <v>112</v>
      </c>
      <c r="Y286" s="98"/>
      <c r="Z286" s="108" t="s">
        <v>115</v>
      </c>
      <c r="AA286" s="20" t="s">
        <v>112</v>
      </c>
      <c r="AB286" s="98"/>
      <c r="AC286" s="26"/>
      <c r="AD286" s="52" t="s">
        <v>794</v>
      </c>
      <c r="AE286" s="26">
        <f>AM286</f>
        <v>1100.2</v>
      </c>
      <c r="AF286" s="26">
        <f t="shared" si="82"/>
        <v>985</v>
      </c>
      <c r="AG286" s="26"/>
      <c r="AH286" s="26"/>
      <c r="AI286" s="26"/>
      <c r="AJ286" s="26"/>
      <c r="AK286" s="26"/>
      <c r="AL286" s="26"/>
      <c r="AM286" s="26">
        <f>1100.3-0.1</f>
        <v>1100.2</v>
      </c>
      <c r="AN286" s="26">
        <v>985</v>
      </c>
      <c r="AO286" s="26">
        <f>AP286+AQ286+AR286+AS286</f>
        <v>1030.3</v>
      </c>
      <c r="AP286" s="26"/>
      <c r="AQ286" s="26"/>
      <c r="AR286" s="26"/>
      <c r="AS286" s="26">
        <v>1030.3</v>
      </c>
      <c r="AT286" s="26">
        <f>AU286+AV286+AW286+AX286</f>
        <v>1030.3</v>
      </c>
      <c r="AU286" s="26"/>
      <c r="AV286" s="26"/>
      <c r="AW286" s="26"/>
      <c r="AX286" s="26">
        <v>1030.3</v>
      </c>
      <c r="AY286" s="26">
        <f t="shared" si="81"/>
        <v>1030.3</v>
      </c>
      <c r="AZ286" s="26"/>
      <c r="BA286" s="26"/>
      <c r="BB286" s="26"/>
      <c r="BC286" s="26">
        <v>1030.3</v>
      </c>
      <c r="BD286" s="26">
        <f>BE286+BF286+BG286+BH286</f>
        <v>1030.3</v>
      </c>
      <c r="BE286" s="26"/>
      <c r="BF286" s="26"/>
      <c r="BG286" s="26"/>
      <c r="BH286" s="26">
        <v>1030.3</v>
      </c>
    </row>
    <row r="287" spans="1:60" ht="35.65" customHeight="1" thickBot="1">
      <c r="A287" s="27" t="s">
        <v>206</v>
      </c>
      <c r="B287" s="42"/>
      <c r="C287" s="110" t="s">
        <v>105</v>
      </c>
      <c r="D287" s="20" t="s">
        <v>106</v>
      </c>
      <c r="E287" s="20" t="s">
        <v>107</v>
      </c>
      <c r="F287" s="98"/>
      <c r="G287" s="98"/>
      <c r="H287" s="98"/>
      <c r="I287" s="98"/>
      <c r="J287" s="20" t="s">
        <v>150</v>
      </c>
      <c r="K287" s="20" t="s">
        <v>109</v>
      </c>
      <c r="L287" s="20" t="s">
        <v>125</v>
      </c>
      <c r="M287" s="98"/>
      <c r="N287" s="98"/>
      <c r="O287" s="98"/>
      <c r="P287" s="98"/>
      <c r="Q287" s="98"/>
      <c r="R287" s="98"/>
      <c r="S287" s="98"/>
      <c r="T287" s="98"/>
      <c r="U287" s="98"/>
      <c r="V287" s="98"/>
      <c r="W287" s="108" t="s">
        <v>115</v>
      </c>
      <c r="X287" s="20" t="s">
        <v>112</v>
      </c>
      <c r="Y287" s="98"/>
      <c r="Z287" s="108" t="s">
        <v>115</v>
      </c>
      <c r="AA287" s="20" t="s">
        <v>112</v>
      </c>
      <c r="AB287" s="98"/>
      <c r="AC287" s="26"/>
      <c r="AD287" s="52" t="s">
        <v>795</v>
      </c>
      <c r="AE287" s="26">
        <f t="shared" ref="AE287:AE295" si="83">AM287</f>
        <v>0</v>
      </c>
      <c r="AF287" s="26">
        <f t="shared" si="82"/>
        <v>0</v>
      </c>
      <c r="AG287" s="26"/>
      <c r="AH287" s="26"/>
      <c r="AI287" s="26"/>
      <c r="AJ287" s="26"/>
      <c r="AK287" s="26"/>
      <c r="AL287" s="26"/>
      <c r="AM287" s="26">
        <v>0</v>
      </c>
      <c r="AN287" s="26"/>
      <c r="AO287" s="26">
        <f t="shared" si="79"/>
        <v>0</v>
      </c>
      <c r="AP287" s="26"/>
      <c r="AQ287" s="26"/>
      <c r="AR287" s="26"/>
      <c r="AS287" s="26">
        <v>0</v>
      </c>
      <c r="AT287" s="26">
        <f t="shared" ref="AT287:AT288" si="84">AU287+AV287+AW287+AX287</f>
        <v>0</v>
      </c>
      <c r="AU287" s="26"/>
      <c r="AV287" s="26"/>
      <c r="AW287" s="26"/>
      <c r="AX287" s="26">
        <v>0</v>
      </c>
      <c r="AY287" s="26">
        <f t="shared" si="81"/>
        <v>0</v>
      </c>
      <c r="AZ287" s="26"/>
      <c r="BA287" s="26"/>
      <c r="BB287" s="26"/>
      <c r="BC287" s="26">
        <v>0</v>
      </c>
      <c r="BD287" s="26">
        <f>BE287+BF287+BG287+BH287</f>
        <v>0</v>
      </c>
      <c r="BE287" s="26"/>
      <c r="BF287" s="26"/>
      <c r="BG287" s="26"/>
      <c r="BH287" s="26">
        <v>0</v>
      </c>
    </row>
    <row r="288" spans="1:60" ht="35.65" customHeight="1" thickBot="1">
      <c r="A288" s="27" t="s">
        <v>206</v>
      </c>
      <c r="B288" s="42"/>
      <c r="C288" s="110" t="s">
        <v>105</v>
      </c>
      <c r="D288" s="20" t="s">
        <v>106</v>
      </c>
      <c r="E288" s="20" t="s">
        <v>107</v>
      </c>
      <c r="F288" s="98"/>
      <c r="G288" s="98"/>
      <c r="H288" s="98"/>
      <c r="I288" s="98"/>
      <c r="J288" s="20" t="s">
        <v>150</v>
      </c>
      <c r="K288" s="20" t="s">
        <v>109</v>
      </c>
      <c r="L288" s="20" t="s">
        <v>125</v>
      </c>
      <c r="M288" s="98"/>
      <c r="N288" s="98"/>
      <c r="O288" s="98"/>
      <c r="P288" s="98"/>
      <c r="Q288" s="98"/>
      <c r="R288" s="98"/>
      <c r="S288" s="98"/>
      <c r="T288" s="98"/>
      <c r="U288" s="98"/>
      <c r="V288" s="98"/>
      <c r="W288" s="108" t="s">
        <v>115</v>
      </c>
      <c r="X288" s="20" t="s">
        <v>112</v>
      </c>
      <c r="Y288" s="98"/>
      <c r="Z288" s="108" t="s">
        <v>115</v>
      </c>
      <c r="AA288" s="20" t="s">
        <v>112</v>
      </c>
      <c r="AB288" s="98"/>
      <c r="AC288" s="26"/>
      <c r="AD288" s="52" t="s">
        <v>796</v>
      </c>
      <c r="AE288" s="26">
        <f t="shared" si="83"/>
        <v>280</v>
      </c>
      <c r="AF288" s="26">
        <f t="shared" si="82"/>
        <v>280</v>
      </c>
      <c r="AG288" s="26"/>
      <c r="AH288" s="26"/>
      <c r="AI288" s="26"/>
      <c r="AJ288" s="26"/>
      <c r="AK288" s="26"/>
      <c r="AL288" s="26"/>
      <c r="AM288" s="26">
        <v>280</v>
      </c>
      <c r="AN288" s="26">
        <v>280</v>
      </c>
      <c r="AO288" s="26">
        <f t="shared" si="79"/>
        <v>287.89999999999998</v>
      </c>
      <c r="AP288" s="26"/>
      <c r="AQ288" s="26"/>
      <c r="AR288" s="26"/>
      <c r="AS288" s="26">
        <f>280+7.9</f>
        <v>287.89999999999998</v>
      </c>
      <c r="AT288" s="26">
        <f t="shared" si="84"/>
        <v>280</v>
      </c>
      <c r="AU288" s="26"/>
      <c r="AV288" s="26"/>
      <c r="AW288" s="26"/>
      <c r="AX288" s="26">
        <v>280</v>
      </c>
      <c r="AY288" s="26">
        <f t="shared" si="81"/>
        <v>280</v>
      </c>
      <c r="AZ288" s="26"/>
      <c r="BA288" s="26"/>
      <c r="BB288" s="26"/>
      <c r="BC288" s="26">
        <v>280</v>
      </c>
      <c r="BD288" s="26">
        <f>BE288+BF288+BG288+BH288</f>
        <v>280</v>
      </c>
      <c r="BE288" s="26"/>
      <c r="BF288" s="26"/>
      <c r="BG288" s="26"/>
      <c r="BH288" s="26">
        <v>280</v>
      </c>
    </row>
    <row r="289" spans="1:60" ht="35.65" customHeight="1" thickBot="1">
      <c r="A289" s="27" t="s">
        <v>206</v>
      </c>
      <c r="B289" s="42"/>
      <c r="C289" s="110" t="s">
        <v>105</v>
      </c>
      <c r="D289" s="20" t="s">
        <v>106</v>
      </c>
      <c r="E289" s="20" t="s">
        <v>107</v>
      </c>
      <c r="F289" s="98"/>
      <c r="G289" s="98"/>
      <c r="H289" s="98"/>
      <c r="I289" s="98"/>
      <c r="J289" s="20" t="s">
        <v>150</v>
      </c>
      <c r="K289" s="20" t="s">
        <v>109</v>
      </c>
      <c r="L289" s="20" t="s">
        <v>125</v>
      </c>
      <c r="M289" s="98"/>
      <c r="N289" s="98"/>
      <c r="O289" s="98"/>
      <c r="P289" s="98"/>
      <c r="Q289" s="98"/>
      <c r="R289" s="98"/>
      <c r="S289" s="98"/>
      <c r="T289" s="98"/>
      <c r="U289" s="98"/>
      <c r="V289" s="98"/>
      <c r="W289" s="108" t="s">
        <v>115</v>
      </c>
      <c r="X289" s="20" t="s">
        <v>112</v>
      </c>
      <c r="Y289" s="98"/>
      <c r="Z289" s="108" t="s">
        <v>115</v>
      </c>
      <c r="AA289" s="20" t="s">
        <v>112</v>
      </c>
      <c r="AB289" s="98"/>
      <c r="AC289" s="26"/>
      <c r="AD289" s="52" t="s">
        <v>797</v>
      </c>
      <c r="AE289" s="26">
        <f t="shared" si="83"/>
        <v>0</v>
      </c>
      <c r="AF289" s="26">
        <f t="shared" si="82"/>
        <v>0</v>
      </c>
      <c r="AG289" s="26"/>
      <c r="AH289" s="26"/>
      <c r="AI289" s="26"/>
      <c r="AJ289" s="26"/>
      <c r="AK289" s="26"/>
      <c r="AL289" s="26"/>
      <c r="AM289" s="26"/>
      <c r="AN289" s="26"/>
      <c r="AO289" s="26"/>
      <c r="AP289" s="26"/>
      <c r="AQ289" s="26"/>
      <c r="AR289" s="26"/>
      <c r="AS289" s="26"/>
      <c r="AT289" s="26"/>
      <c r="AU289" s="26"/>
      <c r="AV289" s="26"/>
      <c r="AW289" s="26"/>
      <c r="AX289" s="26"/>
      <c r="AY289" s="26"/>
      <c r="AZ289" s="26"/>
      <c r="BA289" s="26"/>
      <c r="BB289" s="26"/>
      <c r="BC289" s="26"/>
      <c r="BD289" s="26"/>
      <c r="BE289" s="26"/>
      <c r="BF289" s="26"/>
      <c r="BG289" s="26"/>
      <c r="BH289" s="26"/>
    </row>
    <row r="290" spans="1:60" ht="35.65" customHeight="1" thickBot="1">
      <c r="A290" s="27" t="s">
        <v>206</v>
      </c>
      <c r="B290" s="42"/>
      <c r="C290" s="110"/>
      <c r="D290" s="20"/>
      <c r="E290" s="20"/>
      <c r="F290" s="98"/>
      <c r="G290" s="98"/>
      <c r="H290" s="98"/>
      <c r="I290" s="98"/>
      <c r="J290" s="20"/>
      <c r="K290" s="20"/>
      <c r="L290" s="20"/>
      <c r="M290" s="98"/>
      <c r="N290" s="98"/>
      <c r="O290" s="98"/>
      <c r="P290" s="98"/>
      <c r="Q290" s="98"/>
      <c r="R290" s="98"/>
      <c r="S290" s="98"/>
      <c r="T290" s="98"/>
      <c r="U290" s="98"/>
      <c r="V290" s="98"/>
      <c r="W290" s="108"/>
      <c r="X290" s="20"/>
      <c r="Y290" s="98"/>
      <c r="Z290" s="108"/>
      <c r="AA290" s="20"/>
      <c r="AB290" s="98"/>
      <c r="AC290" s="26"/>
      <c r="AD290" s="52" t="s">
        <v>798</v>
      </c>
      <c r="AE290" s="26">
        <f>AG290+AI290+AK290+AM290</f>
        <v>364.7</v>
      </c>
      <c r="AF290" s="26">
        <f t="shared" si="82"/>
        <v>301.3</v>
      </c>
      <c r="AG290" s="26"/>
      <c r="AH290" s="26"/>
      <c r="AI290" s="26">
        <f>324.2+40.5</f>
        <v>364.7</v>
      </c>
      <c r="AJ290" s="26">
        <v>301.3</v>
      </c>
      <c r="AK290" s="26"/>
      <c r="AL290" s="26"/>
      <c r="AM290" s="26"/>
      <c r="AN290" s="26"/>
      <c r="AO290" s="26"/>
      <c r="AP290" s="26"/>
      <c r="AQ290" s="26"/>
      <c r="AR290" s="26"/>
      <c r="AS290" s="26"/>
      <c r="AT290" s="26"/>
      <c r="AU290" s="26"/>
      <c r="AV290" s="26"/>
      <c r="AW290" s="26"/>
      <c r="AX290" s="26"/>
      <c r="AY290" s="26"/>
      <c r="AZ290" s="26"/>
      <c r="BA290" s="26"/>
      <c r="BB290" s="26"/>
      <c r="BC290" s="26"/>
      <c r="BD290" s="26"/>
      <c r="BE290" s="26"/>
      <c r="BF290" s="26"/>
      <c r="BG290" s="26"/>
      <c r="BH290" s="26"/>
    </row>
    <row r="291" spans="1:60" ht="35.65" customHeight="1" thickBot="1">
      <c r="A291" s="27" t="s">
        <v>206</v>
      </c>
      <c r="B291" s="42"/>
      <c r="C291" s="110" t="s">
        <v>105</v>
      </c>
      <c r="D291" s="20" t="s">
        <v>106</v>
      </c>
      <c r="E291" s="20" t="s">
        <v>107</v>
      </c>
      <c r="F291" s="98"/>
      <c r="G291" s="98"/>
      <c r="H291" s="98"/>
      <c r="I291" s="98"/>
      <c r="J291" s="20" t="s">
        <v>207</v>
      </c>
      <c r="K291" s="20" t="s">
        <v>109</v>
      </c>
      <c r="L291" s="43" t="s">
        <v>110</v>
      </c>
      <c r="M291" s="98"/>
      <c r="N291" s="98"/>
      <c r="O291" s="98"/>
      <c r="P291" s="98"/>
      <c r="Q291" s="98"/>
      <c r="R291" s="98"/>
      <c r="S291" s="98"/>
      <c r="T291" s="98"/>
      <c r="U291" s="98"/>
      <c r="V291" s="98"/>
      <c r="W291" s="108" t="s">
        <v>115</v>
      </c>
      <c r="X291" s="20" t="s">
        <v>112</v>
      </c>
      <c r="Y291" s="98"/>
      <c r="Z291" s="108" t="s">
        <v>115</v>
      </c>
      <c r="AA291" s="20" t="s">
        <v>112</v>
      </c>
      <c r="AB291" s="98"/>
      <c r="AC291" s="26"/>
      <c r="AD291" s="52" t="s">
        <v>799</v>
      </c>
      <c r="AE291" s="26">
        <f t="shared" si="83"/>
        <v>6.5</v>
      </c>
      <c r="AF291" s="26">
        <f t="shared" si="82"/>
        <v>4.9000000000000004</v>
      </c>
      <c r="AG291" s="26"/>
      <c r="AH291" s="26"/>
      <c r="AI291" s="26"/>
      <c r="AJ291" s="26"/>
      <c r="AK291" s="26"/>
      <c r="AL291" s="26"/>
      <c r="AM291" s="26">
        <f>37+0.5-31</f>
        <v>6.5</v>
      </c>
      <c r="AN291" s="26">
        <v>4.9000000000000004</v>
      </c>
      <c r="AO291" s="26">
        <f t="shared" si="79"/>
        <v>5.0999999999999996</v>
      </c>
      <c r="AP291" s="26"/>
      <c r="AQ291" s="26"/>
      <c r="AR291" s="26"/>
      <c r="AS291" s="26">
        <f>5+0.1</f>
        <v>5.0999999999999996</v>
      </c>
      <c r="AT291" s="26">
        <f t="shared" ref="AT291" si="85">AU291+AV291+AW291+AX291</f>
        <v>0</v>
      </c>
      <c r="AU291" s="26"/>
      <c r="AV291" s="26"/>
      <c r="AW291" s="26"/>
      <c r="AX291" s="26">
        <v>0</v>
      </c>
      <c r="AY291" s="26">
        <f t="shared" si="81"/>
        <v>0</v>
      </c>
      <c r="AZ291" s="26"/>
      <c r="BA291" s="26"/>
      <c r="BB291" s="26"/>
      <c r="BC291" s="26">
        <v>0</v>
      </c>
      <c r="BD291" s="26">
        <f>BE291+BF291+BG291+BH291</f>
        <v>0</v>
      </c>
      <c r="BE291" s="26"/>
      <c r="BF291" s="26"/>
      <c r="BG291" s="26"/>
      <c r="BH291" s="26">
        <v>0</v>
      </c>
    </row>
    <row r="292" spans="1:60" ht="35.65" customHeight="1" thickBot="1">
      <c r="A292" s="27" t="s">
        <v>208</v>
      </c>
      <c r="B292" s="35"/>
      <c r="C292" s="131"/>
      <c r="D292" s="17"/>
      <c r="E292" s="17"/>
      <c r="F292" s="98"/>
      <c r="G292" s="98"/>
      <c r="H292" s="98"/>
      <c r="I292" s="98"/>
      <c r="J292" s="103"/>
      <c r="K292" s="103"/>
      <c r="L292" s="70"/>
      <c r="M292" s="98"/>
      <c r="N292" s="98"/>
      <c r="O292" s="98"/>
      <c r="P292" s="98"/>
      <c r="Q292" s="98"/>
      <c r="R292" s="98"/>
      <c r="S292" s="98"/>
      <c r="T292" s="98"/>
      <c r="U292" s="98"/>
      <c r="V292" s="98"/>
      <c r="W292" s="104"/>
      <c r="X292" s="17"/>
      <c r="Y292" s="98"/>
      <c r="Z292" s="104"/>
      <c r="AA292" s="17"/>
      <c r="AB292" s="98"/>
      <c r="AC292" s="26"/>
      <c r="AD292" s="52" t="s">
        <v>798</v>
      </c>
      <c r="AE292" s="26">
        <f>AG292+AI292+AK292+AM292</f>
        <v>81</v>
      </c>
      <c r="AF292" s="26">
        <f t="shared" si="82"/>
        <v>46.3</v>
      </c>
      <c r="AG292" s="26"/>
      <c r="AH292" s="26"/>
      <c r="AI292" s="26">
        <v>81</v>
      </c>
      <c r="AJ292" s="26">
        <v>46.3</v>
      </c>
      <c r="AK292" s="26"/>
      <c r="AL292" s="26"/>
      <c r="AM292" s="26"/>
      <c r="AN292" s="26"/>
      <c r="AO292" s="26"/>
      <c r="AP292" s="26"/>
      <c r="AQ292" s="26"/>
      <c r="AR292" s="26"/>
      <c r="AS292" s="26"/>
      <c r="AT292" s="26"/>
      <c r="AU292" s="26"/>
      <c r="AV292" s="26"/>
      <c r="AW292" s="26"/>
      <c r="AX292" s="26"/>
      <c r="AY292" s="26"/>
      <c r="AZ292" s="26"/>
      <c r="BA292" s="26"/>
      <c r="BB292" s="26"/>
      <c r="BC292" s="26"/>
      <c r="BD292" s="26"/>
      <c r="BE292" s="26"/>
      <c r="BF292" s="26"/>
      <c r="BG292" s="26"/>
      <c r="BH292" s="26"/>
    </row>
    <row r="293" spans="1:60" ht="35.65" customHeight="1" thickBot="1">
      <c r="A293" s="27" t="s">
        <v>208</v>
      </c>
      <c r="B293" s="35"/>
      <c r="C293" s="395" t="s">
        <v>209</v>
      </c>
      <c r="D293" s="395" t="s">
        <v>210</v>
      </c>
      <c r="E293" s="395" t="s">
        <v>182</v>
      </c>
      <c r="F293" s="26"/>
      <c r="G293" s="26"/>
      <c r="H293" s="26"/>
      <c r="I293" s="26"/>
      <c r="J293" s="352" t="s">
        <v>211</v>
      </c>
      <c r="K293" s="352" t="s">
        <v>212</v>
      </c>
      <c r="L293" s="352" t="s">
        <v>213</v>
      </c>
      <c r="M293" s="26"/>
      <c r="N293" s="26"/>
      <c r="O293" s="26"/>
      <c r="P293" s="26"/>
      <c r="Q293" s="26"/>
      <c r="R293" s="26"/>
      <c r="S293" s="26"/>
      <c r="T293" s="26"/>
      <c r="U293" s="26"/>
      <c r="V293" s="26"/>
      <c r="W293" s="395" t="s">
        <v>214</v>
      </c>
      <c r="X293" s="395" t="s">
        <v>112</v>
      </c>
      <c r="Y293" s="26"/>
      <c r="Z293" s="395" t="s">
        <v>215</v>
      </c>
      <c r="AA293" s="395" t="s">
        <v>112</v>
      </c>
      <c r="AB293" s="26"/>
      <c r="AC293" s="26"/>
      <c r="AD293" s="52" t="s">
        <v>792</v>
      </c>
      <c r="AE293" s="26">
        <f>AI293+AM293</f>
        <v>23638.799999999999</v>
      </c>
      <c r="AF293" s="26">
        <f t="shared" si="82"/>
        <v>23581.599999999999</v>
      </c>
      <c r="AG293" s="26"/>
      <c r="AH293" s="26"/>
      <c r="AI293" s="26">
        <v>2897.5</v>
      </c>
      <c r="AJ293" s="26">
        <v>2897.5</v>
      </c>
      <c r="AK293" s="26"/>
      <c r="AL293" s="26"/>
      <c r="AM293" s="26">
        <f>20340+2084.1+401.2+813.5-2897.5</f>
        <v>20741.3</v>
      </c>
      <c r="AN293" s="26">
        <f>23581.6-2897.5</f>
        <v>20684.099999999999</v>
      </c>
      <c r="AO293" s="26">
        <f>AP293+AQ293+AR293+AS293</f>
        <v>26277.8</v>
      </c>
      <c r="AP293" s="26"/>
      <c r="AQ293" s="26"/>
      <c r="AR293" s="26"/>
      <c r="AS293" s="26">
        <f>24277.1+758.7+500+742</f>
        <v>26277.8</v>
      </c>
      <c r="AT293" s="26">
        <f>AU293+AV293+AW293+AX293</f>
        <v>24277.1</v>
      </c>
      <c r="AU293" s="26"/>
      <c r="AV293" s="26"/>
      <c r="AW293" s="26"/>
      <c r="AX293" s="26">
        <v>24277.1</v>
      </c>
      <c r="AY293" s="26">
        <f>AZ293+BA293+BB293+BC293</f>
        <v>24277.1</v>
      </c>
      <c r="AZ293" s="26"/>
      <c r="BA293" s="26"/>
      <c r="BB293" s="26"/>
      <c r="BC293" s="26">
        <v>24277.1</v>
      </c>
      <c r="BD293" s="26">
        <f>BE293+BF293+BG293+BH293</f>
        <v>24277.1</v>
      </c>
      <c r="BE293" s="26"/>
      <c r="BF293" s="26"/>
      <c r="BG293" s="26"/>
      <c r="BH293" s="26">
        <v>24277.1</v>
      </c>
    </row>
    <row r="294" spans="1:60" ht="35.65" customHeight="1" thickBot="1">
      <c r="A294" s="27" t="s">
        <v>208</v>
      </c>
      <c r="B294" s="35"/>
      <c r="C294" s="395"/>
      <c r="D294" s="395"/>
      <c r="E294" s="395"/>
      <c r="F294" s="26"/>
      <c r="G294" s="26"/>
      <c r="H294" s="26"/>
      <c r="I294" s="26"/>
      <c r="J294" s="395"/>
      <c r="K294" s="395"/>
      <c r="L294" s="395"/>
      <c r="M294" s="26"/>
      <c r="N294" s="26"/>
      <c r="O294" s="26"/>
      <c r="P294" s="26"/>
      <c r="Q294" s="26"/>
      <c r="R294" s="26"/>
      <c r="S294" s="26"/>
      <c r="T294" s="26"/>
      <c r="U294" s="26"/>
      <c r="V294" s="26"/>
      <c r="W294" s="395"/>
      <c r="X294" s="395"/>
      <c r="Y294" s="26"/>
      <c r="Z294" s="395"/>
      <c r="AA294" s="395"/>
      <c r="AB294" s="26"/>
      <c r="AC294" s="26"/>
      <c r="AD294" s="52" t="s">
        <v>793</v>
      </c>
      <c r="AE294" s="26">
        <f t="shared" si="83"/>
        <v>3217.6</v>
      </c>
      <c r="AF294" s="26">
        <f t="shared" si="82"/>
        <v>3216.8</v>
      </c>
      <c r="AG294" s="26"/>
      <c r="AH294" s="26"/>
      <c r="AI294" s="26"/>
      <c r="AJ294" s="26"/>
      <c r="AK294" s="26"/>
      <c r="AL294" s="26"/>
      <c r="AM294" s="26">
        <f>3021.2+189+7.4</f>
        <v>3217.6</v>
      </c>
      <c r="AN294" s="26">
        <v>3216.8</v>
      </c>
      <c r="AO294" s="26">
        <f>AP294+AQ294+AR294+AS294</f>
        <v>2443</v>
      </c>
      <c r="AP294" s="26"/>
      <c r="AQ294" s="26"/>
      <c r="AR294" s="26"/>
      <c r="AS294" s="26">
        <f>2313.2+129.8</f>
        <v>2443</v>
      </c>
      <c r="AT294" s="26">
        <f>AU294+AV294+AW294+AX294</f>
        <v>2313.1999999999998</v>
      </c>
      <c r="AU294" s="26"/>
      <c r="AV294" s="26"/>
      <c r="AW294" s="26"/>
      <c r="AX294" s="26">
        <v>2313.1999999999998</v>
      </c>
      <c r="AY294" s="26">
        <f>AZ294+BA294+BB294+BC294</f>
        <v>2313.1999999999998</v>
      </c>
      <c r="AZ294" s="26"/>
      <c r="BA294" s="26"/>
      <c r="BB294" s="26"/>
      <c r="BC294" s="26">
        <v>2313.1999999999998</v>
      </c>
      <c r="BD294" s="26">
        <f>BE294+BF294+BG294+BH294</f>
        <v>2313.1999999999998</v>
      </c>
      <c r="BE294" s="26"/>
      <c r="BF294" s="26"/>
      <c r="BG294" s="26"/>
      <c r="BH294" s="26">
        <v>2313.1999999999998</v>
      </c>
    </row>
    <row r="295" spans="1:60" ht="35.65" customHeight="1" thickBot="1">
      <c r="A295" s="27" t="s">
        <v>208</v>
      </c>
      <c r="B295" s="35"/>
      <c r="C295" s="395"/>
      <c r="D295" s="395"/>
      <c r="E295" s="395"/>
      <c r="F295" s="26"/>
      <c r="G295" s="26"/>
      <c r="H295" s="26"/>
      <c r="I295" s="26"/>
      <c r="J295" s="353"/>
      <c r="K295" s="353"/>
      <c r="L295" s="353"/>
      <c r="M295" s="26"/>
      <c r="N295" s="26"/>
      <c r="O295" s="26"/>
      <c r="P295" s="26"/>
      <c r="Q295" s="26"/>
      <c r="R295" s="26"/>
      <c r="S295" s="26"/>
      <c r="T295" s="26"/>
      <c r="U295" s="26"/>
      <c r="V295" s="26"/>
      <c r="W295" s="395"/>
      <c r="X295" s="395"/>
      <c r="Y295" s="26"/>
      <c r="Z295" s="395"/>
      <c r="AA295" s="395"/>
      <c r="AB295" s="26"/>
      <c r="AC295" s="26"/>
      <c r="AD295" s="52" t="s">
        <v>799</v>
      </c>
      <c r="AE295" s="26">
        <f t="shared" si="83"/>
        <v>0</v>
      </c>
      <c r="AF295" s="26">
        <f t="shared" si="82"/>
        <v>0</v>
      </c>
      <c r="AG295" s="26"/>
      <c r="AH295" s="26"/>
      <c r="AI295" s="26"/>
      <c r="AJ295" s="26"/>
      <c r="AK295" s="26"/>
      <c r="AL295" s="26"/>
      <c r="AM295" s="26">
        <v>0</v>
      </c>
      <c r="AN295" s="26"/>
      <c r="AO295" s="26">
        <f>AP295+AQ295+AR295+AS295</f>
        <v>0</v>
      </c>
      <c r="AP295" s="26"/>
      <c r="AQ295" s="26"/>
      <c r="AR295" s="26"/>
      <c r="AS295" s="26">
        <v>0</v>
      </c>
      <c r="AT295" s="26">
        <f>AU295+AV295+AW295+AX295</f>
        <v>0</v>
      </c>
      <c r="AU295" s="26"/>
      <c r="AV295" s="26"/>
      <c r="AW295" s="26"/>
      <c r="AX295" s="26">
        <v>0</v>
      </c>
      <c r="AY295" s="26">
        <f>AZ295+BA295+BB295+BC295</f>
        <v>0</v>
      </c>
      <c r="AZ295" s="26"/>
      <c r="BA295" s="26"/>
      <c r="BB295" s="26"/>
      <c r="BC295" s="26">
        <v>0</v>
      </c>
      <c r="BD295" s="26">
        <f>BE295+BF295+BG295+BH295</f>
        <v>0</v>
      </c>
      <c r="BE295" s="26"/>
      <c r="BF295" s="26"/>
      <c r="BG295" s="26"/>
      <c r="BH295" s="26">
        <v>0</v>
      </c>
    </row>
    <row r="296" spans="1:60" ht="35.65" customHeight="1" thickBot="1">
      <c r="A296" s="31" t="s">
        <v>216</v>
      </c>
      <c r="B296" s="106">
        <v>2530</v>
      </c>
      <c r="C296" s="33"/>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v>7</v>
      </c>
      <c r="AD296" s="34"/>
      <c r="AE296" s="118">
        <f>AE297+AE299+AE300+AE301+AE302+AE303+AE304+AE305+AE306+AE307</f>
        <v>33452</v>
      </c>
      <c r="AF296" s="118">
        <f>AH296+AJ296+AL296+AN296</f>
        <v>32905.4</v>
      </c>
      <c r="AG296" s="118">
        <f t="shared" ref="AG296:BH296" si="86">AG297+AG299+AG300+AG301+AG302+AG303+AG304+AG305+AG306+AG307</f>
        <v>1057.8</v>
      </c>
      <c r="AH296" s="118">
        <f t="shared" si="86"/>
        <v>1057.8</v>
      </c>
      <c r="AI296" s="118">
        <f t="shared" si="86"/>
        <v>3652.9</v>
      </c>
      <c r="AJ296" s="118">
        <f t="shared" si="86"/>
        <v>3652.9</v>
      </c>
      <c r="AK296" s="118">
        <f t="shared" si="86"/>
        <v>0</v>
      </c>
      <c r="AL296" s="118"/>
      <c r="AM296" s="118">
        <f t="shared" si="86"/>
        <v>28741.300000000003</v>
      </c>
      <c r="AN296" s="118">
        <f t="shared" si="86"/>
        <v>28194.7</v>
      </c>
      <c r="AO296" s="118">
        <f>AO297+AO299+AO300+AO301+AO302+AO303+AO304+AO305+AO306+AO307+AO298</f>
        <v>36332.69999999999</v>
      </c>
      <c r="AP296" s="118">
        <f t="shared" ref="AP296:AS296" si="87">AP297+AP299+AP300+AP301+AP302+AP303+AP304+AP305+AP306+AP307+AP298</f>
        <v>52.1</v>
      </c>
      <c r="AQ296" s="118">
        <f t="shared" si="87"/>
        <v>2007.6</v>
      </c>
      <c r="AR296" s="118">
        <f t="shared" si="87"/>
        <v>0</v>
      </c>
      <c r="AS296" s="118">
        <f t="shared" si="87"/>
        <v>34273</v>
      </c>
      <c r="AT296" s="118">
        <f t="shared" si="86"/>
        <v>30402.400000000001</v>
      </c>
      <c r="AU296" s="118">
        <f t="shared" si="86"/>
        <v>52.1</v>
      </c>
      <c r="AV296" s="118">
        <f t="shared" si="86"/>
        <v>105.7</v>
      </c>
      <c r="AW296" s="118">
        <f t="shared" si="86"/>
        <v>0</v>
      </c>
      <c r="AX296" s="118">
        <f t="shared" si="86"/>
        <v>30244.6</v>
      </c>
      <c r="AY296" s="118">
        <f t="shared" si="86"/>
        <v>30402.5</v>
      </c>
      <c r="AZ296" s="118">
        <f t="shared" si="86"/>
        <v>50.7</v>
      </c>
      <c r="BA296" s="118">
        <f t="shared" si="86"/>
        <v>107.2</v>
      </c>
      <c r="BB296" s="118">
        <f t="shared" si="86"/>
        <v>0</v>
      </c>
      <c r="BC296" s="118">
        <f t="shared" si="86"/>
        <v>30244.6</v>
      </c>
      <c r="BD296" s="118">
        <f t="shared" si="86"/>
        <v>30402.5</v>
      </c>
      <c r="BE296" s="118">
        <f t="shared" si="86"/>
        <v>50.7</v>
      </c>
      <c r="BF296" s="118">
        <f t="shared" si="86"/>
        <v>107.2</v>
      </c>
      <c r="BG296" s="118">
        <f t="shared" si="86"/>
        <v>0</v>
      </c>
      <c r="BH296" s="118">
        <f t="shared" si="86"/>
        <v>30244.6</v>
      </c>
    </row>
    <row r="297" spans="1:60" ht="35.65" customHeight="1" thickBot="1">
      <c r="A297" s="27" t="s">
        <v>217</v>
      </c>
      <c r="B297" s="35"/>
      <c r="C297" s="43" t="s">
        <v>105</v>
      </c>
      <c r="D297" s="43" t="s">
        <v>106</v>
      </c>
      <c r="E297" s="43" t="s">
        <v>107</v>
      </c>
      <c r="F297" s="26"/>
      <c r="G297" s="26"/>
      <c r="H297" s="26"/>
      <c r="I297" s="26"/>
      <c r="J297" s="43" t="s">
        <v>183</v>
      </c>
      <c r="K297" s="43" t="s">
        <v>109</v>
      </c>
      <c r="L297" s="71" t="s">
        <v>125</v>
      </c>
      <c r="M297" s="71" t="s">
        <v>120</v>
      </c>
      <c r="N297" s="43"/>
      <c r="O297" s="43"/>
      <c r="P297" s="71" t="s">
        <v>218</v>
      </c>
      <c r="Q297" s="43" t="s">
        <v>112</v>
      </c>
      <c r="R297" s="26"/>
      <c r="S297" s="26"/>
      <c r="T297" s="71" t="s">
        <v>219</v>
      </c>
      <c r="U297" s="43" t="s">
        <v>112</v>
      </c>
      <c r="V297" s="43"/>
      <c r="W297" s="36" t="s">
        <v>192</v>
      </c>
      <c r="X297" s="43" t="s">
        <v>112</v>
      </c>
      <c r="Y297" s="43"/>
      <c r="Z297" s="43" t="s">
        <v>192</v>
      </c>
      <c r="AA297" s="43"/>
      <c r="AB297" s="43"/>
      <c r="AC297" s="26"/>
      <c r="AD297" s="52" t="s">
        <v>800</v>
      </c>
      <c r="AE297" s="26">
        <f t="shared" ref="AE297:AF307" si="88">AG297+AI297+AK297+AM297</f>
        <v>84.3</v>
      </c>
      <c r="AF297" s="26">
        <f>AH297+AJ297+AL297+AN297</f>
        <v>84.3</v>
      </c>
      <c r="AG297" s="26"/>
      <c r="AH297" s="26"/>
      <c r="AI297" s="26">
        <v>84.3</v>
      </c>
      <c r="AJ297" s="26">
        <v>84.3</v>
      </c>
      <c r="AK297" s="26"/>
      <c r="AL297" s="26"/>
      <c r="AM297" s="26"/>
      <c r="AN297" s="26"/>
      <c r="AO297" s="26">
        <f t="shared" ref="AO297:AO307" si="89">AP297+AQ297+AR297+AS297</f>
        <v>84.4</v>
      </c>
      <c r="AP297" s="26"/>
      <c r="AQ297" s="26">
        <v>84.4</v>
      </c>
      <c r="AR297" s="26"/>
      <c r="AS297" s="26"/>
      <c r="AT297" s="26">
        <f t="shared" ref="AT297" si="90">AU297+AV297+AW297+AX297</f>
        <v>84.4</v>
      </c>
      <c r="AU297" s="26"/>
      <c r="AV297" s="26">
        <v>84.4</v>
      </c>
      <c r="AW297" s="26"/>
      <c r="AX297" s="26"/>
      <c r="AY297" s="26">
        <f t="shared" ref="AY297:AY306" si="91">AZ297+BA297+BB297+BC297</f>
        <v>84.4</v>
      </c>
      <c r="AZ297" s="26"/>
      <c r="BA297" s="26">
        <v>84.4</v>
      </c>
      <c r="BB297" s="26"/>
      <c r="BC297" s="26"/>
      <c r="BD297" s="26">
        <f>BE297+BF297+BG297+BH297</f>
        <v>84.4</v>
      </c>
      <c r="BE297" s="26"/>
      <c r="BF297" s="26">
        <v>84.4</v>
      </c>
      <c r="BG297" s="26"/>
      <c r="BH297" s="26"/>
    </row>
    <row r="298" spans="1:60" ht="35.65" customHeight="1" thickBot="1">
      <c r="A298" s="27"/>
      <c r="B298" s="35"/>
      <c r="C298" s="43"/>
      <c r="D298" s="43"/>
      <c r="E298" s="43"/>
      <c r="F298" s="26"/>
      <c r="G298" s="26"/>
      <c r="H298" s="26"/>
      <c r="I298" s="26"/>
      <c r="J298" s="43"/>
      <c r="K298" s="43"/>
      <c r="L298" s="71"/>
      <c r="M298" s="71"/>
      <c r="N298" s="43"/>
      <c r="O298" s="43"/>
      <c r="P298" s="71"/>
      <c r="Q298" s="43"/>
      <c r="R298" s="26"/>
      <c r="S298" s="26"/>
      <c r="T298" s="71"/>
      <c r="U298" s="43"/>
      <c r="V298" s="43"/>
      <c r="W298" s="36"/>
      <c r="X298" s="43"/>
      <c r="Y298" s="43"/>
      <c r="Z298" s="43"/>
      <c r="AA298" s="43"/>
      <c r="AB298" s="43"/>
      <c r="AC298" s="26"/>
      <c r="AD298" s="52" t="s">
        <v>1213</v>
      </c>
      <c r="AE298" s="26"/>
      <c r="AF298" s="26"/>
      <c r="AG298" s="26"/>
      <c r="AH298" s="26"/>
      <c r="AI298" s="26"/>
      <c r="AJ298" s="26"/>
      <c r="AK298" s="26"/>
      <c r="AL298" s="26"/>
      <c r="AM298" s="26"/>
      <c r="AN298" s="26"/>
      <c r="AO298" s="26">
        <f t="shared" si="89"/>
        <v>1098.2</v>
      </c>
      <c r="AP298" s="26"/>
      <c r="AQ298" s="26">
        <f>244.2+854</f>
        <v>1098.2</v>
      </c>
      <c r="AR298" s="26"/>
      <c r="AS298" s="26"/>
      <c r="AT298" s="26"/>
      <c r="AU298" s="26"/>
      <c r="AV298" s="26"/>
      <c r="AW298" s="26"/>
      <c r="AX298" s="26"/>
      <c r="AY298" s="26"/>
      <c r="AZ298" s="26"/>
      <c r="BA298" s="26"/>
      <c r="BB298" s="26"/>
      <c r="BC298" s="26"/>
      <c r="BD298" s="26"/>
      <c r="BE298" s="26"/>
      <c r="BF298" s="26"/>
      <c r="BG298" s="26"/>
      <c r="BH298" s="26"/>
    </row>
    <row r="299" spans="1:60" ht="35.65" customHeight="1" thickBot="1">
      <c r="A299" s="27" t="s">
        <v>217</v>
      </c>
      <c r="B299" s="35"/>
      <c r="C299" s="43"/>
      <c r="D299" s="43"/>
      <c r="E299" s="43"/>
      <c r="F299" s="26"/>
      <c r="G299" s="26"/>
      <c r="H299" s="26"/>
      <c r="I299" s="26"/>
      <c r="J299" s="43"/>
      <c r="K299" s="43"/>
      <c r="L299" s="71"/>
      <c r="M299" s="71"/>
      <c r="N299" s="43"/>
      <c r="O299" s="43"/>
      <c r="P299" s="71"/>
      <c r="Q299" s="43"/>
      <c r="R299" s="26"/>
      <c r="S299" s="26"/>
      <c r="T299" s="71"/>
      <c r="U299" s="43"/>
      <c r="V299" s="43"/>
      <c r="W299" s="36" t="s">
        <v>192</v>
      </c>
      <c r="X299" s="43" t="s">
        <v>112</v>
      </c>
      <c r="Y299" s="43"/>
      <c r="Z299" s="43" t="s">
        <v>192</v>
      </c>
      <c r="AA299" s="43"/>
      <c r="AB299" s="43"/>
      <c r="AC299" s="26"/>
      <c r="AD299" s="52" t="s">
        <v>801</v>
      </c>
      <c r="AE299" s="26">
        <f t="shared" si="88"/>
        <v>0</v>
      </c>
      <c r="AF299" s="26">
        <f t="shared" si="88"/>
        <v>0</v>
      </c>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row>
    <row r="300" spans="1:60" ht="35.65" customHeight="1" thickBot="1">
      <c r="A300" s="27" t="s">
        <v>217</v>
      </c>
      <c r="B300" s="35"/>
      <c r="C300" s="43" t="s">
        <v>105</v>
      </c>
      <c r="D300" s="43" t="s">
        <v>106</v>
      </c>
      <c r="E300" s="43" t="s">
        <v>107</v>
      </c>
      <c r="F300" s="26"/>
      <c r="G300" s="26"/>
      <c r="H300" s="26"/>
      <c r="I300" s="26"/>
      <c r="J300" s="43" t="s">
        <v>150</v>
      </c>
      <c r="K300" s="43" t="s">
        <v>109</v>
      </c>
      <c r="L300" s="43" t="s">
        <v>125</v>
      </c>
      <c r="M300" s="43"/>
      <c r="N300" s="43"/>
      <c r="O300" s="43"/>
      <c r="P300" s="26"/>
      <c r="Q300" s="26"/>
      <c r="R300" s="26"/>
      <c r="S300" s="26"/>
      <c r="T300" s="43"/>
      <c r="U300" s="43"/>
      <c r="V300" s="43"/>
      <c r="W300" s="43" t="s">
        <v>192</v>
      </c>
      <c r="X300" s="43" t="s">
        <v>112</v>
      </c>
      <c r="Y300" s="43"/>
      <c r="Z300" s="43" t="s">
        <v>192</v>
      </c>
      <c r="AA300" s="43" t="s">
        <v>112</v>
      </c>
      <c r="AB300" s="43"/>
      <c r="AC300" s="26"/>
      <c r="AD300" s="52" t="s">
        <v>802</v>
      </c>
      <c r="AE300" s="26">
        <f t="shared" si="88"/>
        <v>1799.4</v>
      </c>
      <c r="AF300" s="26">
        <f t="shared" si="88"/>
        <v>1799.4</v>
      </c>
      <c r="AG300" s="26"/>
      <c r="AH300" s="26"/>
      <c r="AI300" s="26"/>
      <c r="AJ300" s="26"/>
      <c r="AK300" s="26"/>
      <c r="AL300" s="26"/>
      <c r="AM300" s="26">
        <f>1929.4-130</f>
        <v>1799.4</v>
      </c>
      <c r="AN300" s="26">
        <v>1799.4</v>
      </c>
      <c r="AO300" s="26">
        <f t="shared" si="89"/>
        <v>1651</v>
      </c>
      <c r="AP300" s="26"/>
      <c r="AQ300" s="26"/>
      <c r="AR300" s="26"/>
      <c r="AS300" s="26">
        <v>1651</v>
      </c>
      <c r="AT300" s="26">
        <f t="shared" ref="AT300:AT304" si="92">AU300+AV300+AW300+AX300</f>
        <v>1651</v>
      </c>
      <c r="AU300" s="26"/>
      <c r="AV300" s="26"/>
      <c r="AW300" s="26"/>
      <c r="AX300" s="26">
        <v>1651</v>
      </c>
      <c r="AY300" s="26">
        <f t="shared" si="91"/>
        <v>1651</v>
      </c>
      <c r="AZ300" s="26"/>
      <c r="BA300" s="26"/>
      <c r="BB300" s="26"/>
      <c r="BC300" s="26">
        <v>1651</v>
      </c>
      <c r="BD300" s="26">
        <f>BE300+BF300+BG300+BH300</f>
        <v>1651</v>
      </c>
      <c r="BE300" s="26"/>
      <c r="BF300" s="26"/>
      <c r="BG300" s="26"/>
      <c r="BH300" s="26">
        <v>1651</v>
      </c>
    </row>
    <row r="301" spans="1:60" ht="35.65" customHeight="1" thickBot="1">
      <c r="A301" s="27" t="s">
        <v>217</v>
      </c>
      <c r="B301" s="35"/>
      <c r="C301" s="43" t="s">
        <v>105</v>
      </c>
      <c r="D301" s="43" t="s">
        <v>106</v>
      </c>
      <c r="E301" s="43" t="s">
        <v>107</v>
      </c>
      <c r="F301" s="26"/>
      <c r="G301" s="26"/>
      <c r="H301" s="26"/>
      <c r="I301" s="26"/>
      <c r="J301" s="43" t="s">
        <v>150</v>
      </c>
      <c r="K301" s="43" t="s">
        <v>109</v>
      </c>
      <c r="L301" s="43" t="s">
        <v>125</v>
      </c>
      <c r="M301" s="43"/>
      <c r="N301" s="43"/>
      <c r="O301" s="43"/>
      <c r="P301" s="26"/>
      <c r="Q301" s="26"/>
      <c r="R301" s="26"/>
      <c r="S301" s="26"/>
      <c r="T301" s="43"/>
      <c r="U301" s="43"/>
      <c r="V301" s="43"/>
      <c r="W301" s="43" t="s">
        <v>192</v>
      </c>
      <c r="X301" s="43" t="s">
        <v>112</v>
      </c>
      <c r="Y301" s="43"/>
      <c r="Z301" s="43" t="s">
        <v>192</v>
      </c>
      <c r="AA301" s="43" t="s">
        <v>112</v>
      </c>
      <c r="AB301" s="43"/>
      <c r="AC301" s="26"/>
      <c r="AD301" s="52" t="s">
        <v>803</v>
      </c>
      <c r="AE301" s="26">
        <f t="shared" si="88"/>
        <v>800</v>
      </c>
      <c r="AF301" s="26">
        <f t="shared" si="88"/>
        <v>799.5</v>
      </c>
      <c r="AG301" s="26"/>
      <c r="AH301" s="26"/>
      <c r="AI301" s="26"/>
      <c r="AJ301" s="26"/>
      <c r="AK301" s="26"/>
      <c r="AL301" s="26"/>
      <c r="AM301" s="26">
        <f>800+73.2-73.2</f>
        <v>800</v>
      </c>
      <c r="AN301" s="26">
        <v>799.5</v>
      </c>
      <c r="AO301" s="26">
        <f t="shared" si="89"/>
        <v>176.1</v>
      </c>
      <c r="AP301" s="26"/>
      <c r="AQ301" s="26"/>
      <c r="AR301" s="26"/>
      <c r="AS301" s="26">
        <v>176.1</v>
      </c>
      <c r="AT301" s="26">
        <f t="shared" si="92"/>
        <v>0</v>
      </c>
      <c r="AU301" s="26"/>
      <c r="AV301" s="26"/>
      <c r="AW301" s="26"/>
      <c r="AX301" s="26"/>
      <c r="AY301" s="26">
        <f t="shared" si="91"/>
        <v>0</v>
      </c>
      <c r="AZ301" s="26"/>
      <c r="BA301" s="26"/>
      <c r="BB301" s="26"/>
      <c r="BC301" s="26"/>
      <c r="BD301" s="26">
        <f>BE301+BF301+BG301+BH301</f>
        <v>0</v>
      </c>
      <c r="BE301" s="26"/>
      <c r="BF301" s="26"/>
      <c r="BG301" s="26"/>
      <c r="BH301" s="26"/>
    </row>
    <row r="302" spans="1:60" ht="35.65" customHeight="1" thickBot="1">
      <c r="A302" s="27" t="s">
        <v>217</v>
      </c>
      <c r="B302" s="35"/>
      <c r="C302" s="43" t="s">
        <v>105</v>
      </c>
      <c r="D302" s="43" t="s">
        <v>159</v>
      </c>
      <c r="E302" s="43" t="s">
        <v>107</v>
      </c>
      <c r="F302" s="26"/>
      <c r="G302" s="26"/>
      <c r="H302" s="26"/>
      <c r="I302" s="26"/>
      <c r="J302" s="43" t="s">
        <v>150</v>
      </c>
      <c r="K302" s="43" t="s">
        <v>160</v>
      </c>
      <c r="L302" s="43" t="s">
        <v>161</v>
      </c>
      <c r="M302" s="43"/>
      <c r="N302" s="43"/>
      <c r="O302" s="43"/>
      <c r="P302" s="26"/>
      <c r="Q302" s="26"/>
      <c r="R302" s="26"/>
      <c r="S302" s="26"/>
      <c r="T302" s="43"/>
      <c r="U302" s="43"/>
      <c r="V302" s="43"/>
      <c r="W302" s="43" t="s">
        <v>192</v>
      </c>
      <c r="X302" s="43" t="s">
        <v>112</v>
      </c>
      <c r="Y302" s="43"/>
      <c r="Z302" s="43" t="s">
        <v>192</v>
      </c>
      <c r="AA302" s="43" t="s">
        <v>112</v>
      </c>
      <c r="AB302" s="43"/>
      <c r="AC302" s="26"/>
      <c r="AD302" s="52" t="s">
        <v>804</v>
      </c>
      <c r="AE302" s="26">
        <f t="shared" si="88"/>
        <v>2330.1</v>
      </c>
      <c r="AF302" s="26">
        <f t="shared" si="88"/>
        <v>1866.4</v>
      </c>
      <c r="AG302" s="26"/>
      <c r="AH302" s="26"/>
      <c r="AI302" s="26"/>
      <c r="AJ302" s="26"/>
      <c r="AK302" s="26"/>
      <c r="AL302" s="26"/>
      <c r="AM302" s="26">
        <f>2450.9-100-20.8</f>
        <v>2330.1</v>
      </c>
      <c r="AN302" s="26">
        <v>1866.4</v>
      </c>
      <c r="AO302" s="26">
        <f t="shared" si="89"/>
        <v>2578.3000000000002</v>
      </c>
      <c r="AP302" s="26"/>
      <c r="AQ302" s="26"/>
      <c r="AR302" s="26"/>
      <c r="AS302" s="26">
        <f>2330.5+247.8</f>
        <v>2578.3000000000002</v>
      </c>
      <c r="AT302" s="26">
        <f t="shared" si="92"/>
        <v>2330.5</v>
      </c>
      <c r="AU302" s="26"/>
      <c r="AV302" s="26"/>
      <c r="AW302" s="26"/>
      <c r="AX302" s="26">
        <v>2330.5</v>
      </c>
      <c r="AY302" s="26">
        <f t="shared" si="91"/>
        <v>2330.5</v>
      </c>
      <c r="AZ302" s="26"/>
      <c r="BA302" s="26"/>
      <c r="BB302" s="26"/>
      <c r="BC302" s="26">
        <v>2330.5</v>
      </c>
      <c r="BD302" s="26">
        <f>BE302+BF302+BG302+BH302</f>
        <v>2330.5</v>
      </c>
      <c r="BE302" s="26"/>
      <c r="BF302" s="26"/>
      <c r="BG302" s="26"/>
      <c r="BH302" s="26">
        <v>2330.5</v>
      </c>
    </row>
    <row r="303" spans="1:60" ht="35.65" customHeight="1" thickBot="1">
      <c r="A303" s="27" t="s">
        <v>217</v>
      </c>
      <c r="B303" s="35"/>
      <c r="C303" s="43" t="s">
        <v>105</v>
      </c>
      <c r="D303" s="43" t="s">
        <v>162</v>
      </c>
      <c r="E303" s="43" t="s">
        <v>107</v>
      </c>
      <c r="F303" s="26"/>
      <c r="G303" s="26"/>
      <c r="H303" s="26"/>
      <c r="I303" s="26"/>
      <c r="J303" s="43" t="s">
        <v>150</v>
      </c>
      <c r="K303" s="43" t="s">
        <v>163</v>
      </c>
      <c r="L303" s="43" t="s">
        <v>164</v>
      </c>
      <c r="M303" s="43"/>
      <c r="N303" s="43"/>
      <c r="O303" s="43"/>
      <c r="P303" s="26"/>
      <c r="Q303" s="26"/>
      <c r="R303" s="26"/>
      <c r="S303" s="26"/>
      <c r="T303" s="43"/>
      <c r="U303" s="43"/>
      <c r="V303" s="43"/>
      <c r="W303" s="43" t="s">
        <v>192</v>
      </c>
      <c r="X303" s="43" t="s">
        <v>112</v>
      </c>
      <c r="Y303" s="43"/>
      <c r="Z303" s="43" t="s">
        <v>192</v>
      </c>
      <c r="AA303" s="43" t="s">
        <v>112</v>
      </c>
      <c r="AB303" s="43"/>
      <c r="AC303" s="26"/>
      <c r="AD303" s="52" t="s">
        <v>805</v>
      </c>
      <c r="AE303" s="26">
        <f t="shared" si="88"/>
        <v>27325.100000000002</v>
      </c>
      <c r="AF303" s="26">
        <f t="shared" si="88"/>
        <v>27242.7</v>
      </c>
      <c r="AG303" s="26"/>
      <c r="AH303" s="26"/>
      <c r="AI303" s="26">
        <v>3545</v>
      </c>
      <c r="AJ303" s="26">
        <v>3545</v>
      </c>
      <c r="AK303" s="26"/>
      <c r="AL303" s="26"/>
      <c r="AM303" s="26">
        <f>24422.4+230.8+380.8-570+195.4+719-72.3+2018.9+0.1-3545</f>
        <v>23780.100000000002</v>
      </c>
      <c r="AN303" s="26">
        <f>27242.7-3545</f>
        <v>23697.7</v>
      </c>
      <c r="AO303" s="26">
        <f t="shared" si="89"/>
        <v>30639.499999999996</v>
      </c>
      <c r="AP303" s="26"/>
      <c r="AQ303" s="26">
        <v>803.7</v>
      </c>
      <c r="AR303" s="26"/>
      <c r="AS303" s="26">
        <f>26231.3+161.8+641.8+0.1-803.7+404+1003.5+256.8+1940.2</f>
        <v>29835.799999999996</v>
      </c>
      <c r="AT303" s="26">
        <f t="shared" si="92"/>
        <v>26231.3</v>
      </c>
      <c r="AU303" s="26"/>
      <c r="AV303" s="26"/>
      <c r="AW303" s="26"/>
      <c r="AX303" s="26">
        <v>26231.3</v>
      </c>
      <c r="AY303" s="26">
        <f t="shared" si="91"/>
        <v>26231.3</v>
      </c>
      <c r="AZ303" s="26"/>
      <c r="BA303" s="26"/>
      <c r="BB303" s="26"/>
      <c r="BC303" s="26">
        <v>26231.3</v>
      </c>
      <c r="BD303" s="26">
        <f>BE303+BF303+BG303+BH303</f>
        <v>26231.3</v>
      </c>
      <c r="BE303" s="26"/>
      <c r="BF303" s="26"/>
      <c r="BG303" s="26"/>
      <c r="BH303" s="26">
        <v>26231.3</v>
      </c>
    </row>
    <row r="304" spans="1:60" ht="35.65" customHeight="1" thickBot="1">
      <c r="A304" s="27" t="s">
        <v>217</v>
      </c>
      <c r="B304" s="35"/>
      <c r="C304" s="70" t="s">
        <v>105</v>
      </c>
      <c r="D304" s="43" t="s">
        <v>106</v>
      </c>
      <c r="E304" s="43" t="s">
        <v>107</v>
      </c>
      <c r="F304" s="26"/>
      <c r="G304" s="26"/>
      <c r="H304" s="26"/>
      <c r="I304" s="26"/>
      <c r="J304" s="70" t="s">
        <v>183</v>
      </c>
      <c r="K304" s="70" t="s">
        <v>109</v>
      </c>
      <c r="L304" s="70" t="s">
        <v>220</v>
      </c>
      <c r="M304" s="70" t="s">
        <v>120</v>
      </c>
      <c r="N304" s="43"/>
      <c r="O304" s="43"/>
      <c r="P304" s="70" t="s">
        <v>218</v>
      </c>
      <c r="Q304" s="43" t="s">
        <v>112</v>
      </c>
      <c r="R304" s="26"/>
      <c r="S304" s="26"/>
      <c r="T304" s="70" t="s">
        <v>221</v>
      </c>
      <c r="U304" s="43" t="s">
        <v>112</v>
      </c>
      <c r="V304" s="43"/>
      <c r="W304" s="43" t="s">
        <v>192</v>
      </c>
      <c r="X304" s="43" t="s">
        <v>112</v>
      </c>
      <c r="Y304" s="43"/>
      <c r="Z304" s="43" t="s">
        <v>192</v>
      </c>
      <c r="AA304" s="43" t="s">
        <v>112</v>
      </c>
      <c r="AB304" s="43"/>
      <c r="AC304" s="26"/>
      <c r="AD304" s="52" t="s">
        <v>806</v>
      </c>
      <c r="AE304" s="26">
        <f t="shared" si="88"/>
        <v>83.100000000000009</v>
      </c>
      <c r="AF304" s="26">
        <f t="shared" si="88"/>
        <v>83.100000000000009</v>
      </c>
      <c r="AG304" s="26">
        <v>57.8</v>
      </c>
      <c r="AH304" s="26">
        <v>57.8</v>
      </c>
      <c r="AI304" s="26">
        <v>23.6</v>
      </c>
      <c r="AJ304" s="26">
        <v>23.6</v>
      </c>
      <c r="AK304" s="26"/>
      <c r="AL304" s="26"/>
      <c r="AM304" s="26">
        <v>1.7</v>
      </c>
      <c r="AN304" s="26">
        <v>1.7</v>
      </c>
      <c r="AO304" s="26">
        <f t="shared" si="89"/>
        <v>75.2</v>
      </c>
      <c r="AP304" s="26">
        <v>52.1</v>
      </c>
      <c r="AQ304" s="26">
        <v>21.3</v>
      </c>
      <c r="AR304" s="26"/>
      <c r="AS304" s="26">
        <v>1.8</v>
      </c>
      <c r="AT304" s="26">
        <f t="shared" si="92"/>
        <v>75.2</v>
      </c>
      <c r="AU304" s="26">
        <v>52.1</v>
      </c>
      <c r="AV304" s="26">
        <v>21.3</v>
      </c>
      <c r="AW304" s="26"/>
      <c r="AX304" s="26">
        <v>1.8</v>
      </c>
      <c r="AY304" s="26">
        <f t="shared" si="91"/>
        <v>75.3</v>
      </c>
      <c r="AZ304" s="26">
        <v>50.7</v>
      </c>
      <c r="BA304" s="26">
        <v>22.8</v>
      </c>
      <c r="BB304" s="26"/>
      <c r="BC304" s="26">
        <v>1.8</v>
      </c>
      <c r="BD304" s="26">
        <f>BE304+BF304+BG304+BH304</f>
        <v>75.3</v>
      </c>
      <c r="BE304" s="26">
        <v>50.7</v>
      </c>
      <c r="BF304" s="26">
        <v>22.8</v>
      </c>
      <c r="BG304" s="26"/>
      <c r="BH304" s="26">
        <v>1.8</v>
      </c>
    </row>
    <row r="305" spans="1:60" ht="35.65" customHeight="1" thickBot="1">
      <c r="A305" s="27" t="s">
        <v>217</v>
      </c>
      <c r="B305" s="35"/>
      <c r="C305" s="70"/>
      <c r="D305" s="43"/>
      <c r="E305" s="132"/>
      <c r="F305" s="26"/>
      <c r="G305" s="26"/>
      <c r="H305" s="26"/>
      <c r="I305" s="26"/>
      <c r="J305" s="70"/>
      <c r="K305" s="70"/>
      <c r="L305" s="70"/>
      <c r="M305" s="70"/>
      <c r="N305" s="43"/>
      <c r="O305" s="43"/>
      <c r="P305" s="70"/>
      <c r="Q305" s="43"/>
      <c r="R305" s="26"/>
      <c r="S305" s="26"/>
      <c r="T305" s="70"/>
      <c r="U305" s="43"/>
      <c r="V305" s="43"/>
      <c r="W305" s="36"/>
      <c r="X305" s="43"/>
      <c r="Y305" s="43"/>
      <c r="Z305" s="43"/>
      <c r="AA305" s="43"/>
      <c r="AB305" s="43"/>
      <c r="AC305" s="26"/>
      <c r="AD305" s="52" t="s">
        <v>807</v>
      </c>
      <c r="AE305" s="26">
        <f t="shared" si="88"/>
        <v>0</v>
      </c>
      <c r="AF305" s="26">
        <f t="shared" si="88"/>
        <v>0</v>
      </c>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26"/>
      <c r="BH305" s="26"/>
    </row>
    <row r="306" spans="1:60" ht="35.65" customHeight="1" thickBot="1">
      <c r="A306" s="27" t="s">
        <v>217</v>
      </c>
      <c r="B306" s="35"/>
      <c r="C306" s="43" t="s">
        <v>105</v>
      </c>
      <c r="D306" s="43" t="s">
        <v>106</v>
      </c>
      <c r="E306" s="132" t="s">
        <v>107</v>
      </c>
      <c r="F306" s="96"/>
      <c r="G306" s="96"/>
      <c r="H306" s="96"/>
      <c r="I306" s="96"/>
      <c r="J306" s="43" t="s">
        <v>183</v>
      </c>
      <c r="K306" s="43" t="s">
        <v>109</v>
      </c>
      <c r="L306" s="71" t="s">
        <v>125</v>
      </c>
      <c r="M306" s="71" t="s">
        <v>120</v>
      </c>
      <c r="N306" s="43"/>
      <c r="O306" s="43"/>
      <c r="P306" s="71" t="s">
        <v>218</v>
      </c>
      <c r="Q306" s="43" t="s">
        <v>112</v>
      </c>
      <c r="R306" s="96"/>
      <c r="S306" s="96"/>
      <c r="T306" s="71" t="s">
        <v>219</v>
      </c>
      <c r="U306" s="43" t="s">
        <v>112</v>
      </c>
      <c r="V306" s="43"/>
      <c r="W306" s="36" t="s">
        <v>192</v>
      </c>
      <c r="X306" s="43" t="s">
        <v>112</v>
      </c>
      <c r="Y306" s="43"/>
      <c r="Z306" s="43" t="s">
        <v>192</v>
      </c>
      <c r="AA306" s="43"/>
      <c r="AB306" s="43"/>
      <c r="AC306" s="26"/>
      <c r="AD306" s="52" t="s">
        <v>808</v>
      </c>
      <c r="AE306" s="26">
        <f t="shared" si="88"/>
        <v>30</v>
      </c>
      <c r="AF306" s="26">
        <f t="shared" si="88"/>
        <v>30</v>
      </c>
      <c r="AG306" s="26"/>
      <c r="AH306" s="26"/>
      <c r="AI306" s="26"/>
      <c r="AJ306" s="26"/>
      <c r="AK306" s="26"/>
      <c r="AL306" s="26"/>
      <c r="AM306" s="26">
        <v>30</v>
      </c>
      <c r="AN306" s="26">
        <v>30</v>
      </c>
      <c r="AO306" s="26">
        <f t="shared" si="89"/>
        <v>30</v>
      </c>
      <c r="AP306" s="26"/>
      <c r="AQ306" s="26"/>
      <c r="AR306" s="26"/>
      <c r="AS306" s="26">
        <v>30</v>
      </c>
      <c r="AT306" s="26">
        <f t="shared" ref="AT306:AT307" si="93">AU306+AV306+AW306+AX306</f>
        <v>30</v>
      </c>
      <c r="AU306" s="26"/>
      <c r="AV306" s="26"/>
      <c r="AW306" s="26"/>
      <c r="AX306" s="26">
        <v>30</v>
      </c>
      <c r="AY306" s="26">
        <f t="shared" si="91"/>
        <v>30</v>
      </c>
      <c r="AZ306" s="26"/>
      <c r="BA306" s="26"/>
      <c r="BB306" s="26"/>
      <c r="BC306" s="26">
        <v>30</v>
      </c>
      <c r="BD306" s="26">
        <f>BE306+BF306+BG306+BH306</f>
        <v>30</v>
      </c>
      <c r="BE306" s="26"/>
      <c r="BF306" s="26"/>
      <c r="BG306" s="26"/>
      <c r="BH306" s="26">
        <v>30</v>
      </c>
    </row>
    <row r="307" spans="1:60" ht="35.65" customHeight="1" thickBot="1">
      <c r="A307" s="27" t="s">
        <v>217</v>
      </c>
      <c r="B307" s="35"/>
      <c r="C307" s="43"/>
      <c r="D307" s="43"/>
      <c r="E307" s="132"/>
      <c r="F307" s="96"/>
      <c r="G307" s="96"/>
      <c r="H307" s="96"/>
      <c r="I307" s="96"/>
      <c r="J307" s="70" t="s">
        <v>222</v>
      </c>
      <c r="K307" s="70" t="s">
        <v>109</v>
      </c>
      <c r="L307" s="70" t="s">
        <v>223</v>
      </c>
      <c r="M307" s="70" t="s">
        <v>224</v>
      </c>
      <c r="N307" s="43"/>
      <c r="O307" s="43"/>
      <c r="P307" s="70" t="s">
        <v>218</v>
      </c>
      <c r="Q307" s="43" t="s">
        <v>112</v>
      </c>
      <c r="R307" s="26"/>
      <c r="S307" s="26"/>
      <c r="T307" s="70" t="s">
        <v>225</v>
      </c>
      <c r="U307" s="43" t="s">
        <v>112</v>
      </c>
      <c r="V307" s="43"/>
      <c r="W307" s="43" t="s">
        <v>192</v>
      </c>
      <c r="X307" s="43" t="s">
        <v>112</v>
      </c>
      <c r="Y307" s="43"/>
      <c r="Z307" s="43" t="s">
        <v>192</v>
      </c>
      <c r="AA307" s="43" t="s">
        <v>112</v>
      </c>
      <c r="AB307" s="43"/>
      <c r="AC307" s="26"/>
      <c r="AD307" s="52" t="s">
        <v>809</v>
      </c>
      <c r="AE307" s="26">
        <f t="shared" si="88"/>
        <v>1000</v>
      </c>
      <c r="AF307" s="26">
        <f t="shared" si="88"/>
        <v>1000</v>
      </c>
      <c r="AG307" s="26">
        <v>1000</v>
      </c>
      <c r="AH307" s="26">
        <v>1000</v>
      </c>
      <c r="AI307" s="26"/>
      <c r="AJ307" s="26"/>
      <c r="AK307" s="26"/>
      <c r="AL307" s="26"/>
      <c r="AM307" s="26"/>
      <c r="AN307" s="26"/>
      <c r="AO307" s="26">
        <f t="shared" si="89"/>
        <v>0</v>
      </c>
      <c r="AP307" s="26">
        <v>0</v>
      </c>
      <c r="AQ307" s="26"/>
      <c r="AR307" s="26"/>
      <c r="AS307" s="26"/>
      <c r="AT307" s="26">
        <f t="shared" si="93"/>
        <v>0</v>
      </c>
      <c r="AU307" s="26">
        <v>0</v>
      </c>
      <c r="AV307" s="26"/>
      <c r="AW307" s="26"/>
      <c r="AX307" s="26"/>
      <c r="AY307" s="26"/>
      <c r="AZ307" s="26"/>
      <c r="BA307" s="26"/>
      <c r="BB307" s="26"/>
      <c r="BC307" s="26"/>
      <c r="BD307" s="26"/>
      <c r="BE307" s="26"/>
      <c r="BF307" s="26"/>
      <c r="BG307" s="26"/>
      <c r="BH307" s="26"/>
    </row>
    <row r="308" spans="1:60" ht="35.65" customHeight="1" thickBot="1">
      <c r="A308" s="31" t="s">
        <v>226</v>
      </c>
      <c r="B308" s="106">
        <v>2531</v>
      </c>
      <c r="C308" s="33"/>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v>7</v>
      </c>
      <c r="AD308" s="34"/>
      <c r="AE308" s="118">
        <f>AE309+AE311+AE312+AE313+AE314+AE319+AE320+AE321+AE322+AE326+AE327+AE328+AE329+AE330+AE331+AE332+AE333+AE334+AE335+AE336+AE337+AE338+AE340+AE341+AE342+AE343+AE344+AE345+AE316+AE317+AE323+AE324+AE339</f>
        <v>120552.1</v>
      </c>
      <c r="AF308" s="118">
        <f>AH308+AJ308+AL308+AN308</f>
        <v>119737.20000000001</v>
      </c>
      <c r="AG308" s="118">
        <f>AG309+AG311+AG312+AG313+AG314+AG319+AG320+AG321+AG322+AG326+AG327+AG328+AG329+AG330+AG331+AG332+AG333+AG334+AG335+AG336+AG337+AG338+AG340+AG341+AG342+AG343+AG344+AG345+AG316+AG317+AG323+AG324+AG339</f>
        <v>617.69999999999993</v>
      </c>
      <c r="AH308" s="118">
        <f>AH309+AH311+AH312+AH313+AH314+AH319+AH320+AH321+AH322+AH326+AH327+AH328+AH329+AH330+AH331+AH332+AH333+AH334+AH335+AH336+AH337+AH338+AH340+AH341+AH342+AH343+AH344+AH345+AH316+AH317+AH323+AH324+AH339</f>
        <v>617.69999999999993</v>
      </c>
      <c r="AI308" s="118">
        <f>AI309+AI311+AI312+AI313+AI314+AI319+AI320+AI321+AI322+AI326+AI327+AI328+AI329+AI330+AI331+AI332+AI333+AI334+AI335+AI336+AI337+AI338+AI340+AI341+AI342+AI343+AI344+AI345+AI316+AI317+AI323+AI324+AI339</f>
        <v>27720.899999999998</v>
      </c>
      <c r="AJ308" s="118">
        <f>AJ309+AJ311+AJ312+AJ313+AJ314+AJ319+AJ320+AJ321+AJ322+AJ326+AJ327+AJ328+AJ329+AJ330+AJ331+AJ332+AJ333+AJ334+AJ335+AJ336+AJ337+AJ338+AJ340+AJ341+AJ342+AJ343+AJ344+AJ345+AJ316+AJ317+AJ323+AJ324+AJ339</f>
        <v>27720.899999999998</v>
      </c>
      <c r="AK308" s="118">
        <f>AK309+AK311+AK312+AK313+AK314+AK319+AK320+AK321+AK322+AK326+AK327+AK328+AK329+AK330+AK331+AK332+AK333+AK334+AK335+AK336+AK337+AK338+AK340+AK341+AK342+AK343+AK344+AK345+AK316+AK317+AK323+AK324+AK339</f>
        <v>0</v>
      </c>
      <c r="AL308" s="118"/>
      <c r="AM308" s="118">
        <f>AM309+AM311+AM312+AM313+AM314+AM319+AM320+AM321+AM322+AM326+AM327+AM328+AM329+AM330+AM331+AM332+AM333+AM334+AM335+AM336+AM337+AM338+AM340+AM341+AM342+AM343+AM344+AM345+AM316+AM317+AM323+AM324+AM339</f>
        <v>92213.5</v>
      </c>
      <c r="AN308" s="118">
        <f>AN309+AN311+AN312+AN313+AN314+AN319+AN320+AN321+AN322+AN326+AN327+AN328+AN329+AN330+AN331+AN332+AN333+AN334+AN335+AN336+AN337+AN338+AN340+AN341+AN342+AN343+AN344+AN345+AN316+AN317+AN323+AN324+AN339</f>
        <v>91398.6</v>
      </c>
      <c r="AO308" s="118">
        <f>AO309+AO311+AO312+AO313+AO314+AO319+AO320+AO321+AO322+AO326+AO327+AO328+AO329+AO330+AO331+AO332+AO333+AO334+AO335+AO336+AO337+AO338+AO340+AO341+AO342+AO343+AO344+AO345+AO315+AO316+AO317+AO318+AO325+AO310</f>
        <v>119385.7</v>
      </c>
      <c r="AP308" s="118">
        <f t="shared" ref="AP308:AS308" si="94">AP309+AP311+AP312+AP313+AP314+AP319+AP320+AP321+AP322+AP326+AP327+AP328+AP329+AP330+AP331+AP332+AP333+AP334+AP335+AP336+AP337+AP338+AP340+AP341+AP342+AP343+AP344+AP345+AP315+AP316+AP317+AP318+AP325+AP310</f>
        <v>3008.5</v>
      </c>
      <c r="AQ308" s="118">
        <f t="shared" si="94"/>
        <v>6166.7</v>
      </c>
      <c r="AR308" s="118">
        <f t="shared" si="94"/>
        <v>0</v>
      </c>
      <c r="AS308" s="118">
        <f t="shared" si="94"/>
        <v>110210.49999999999</v>
      </c>
      <c r="AT308" s="118">
        <f t="shared" ref="AT308:BH308" si="95">AT309+AT311+AT312+AT313+AT314+AT319+AT320+AT321+AT322+AT326+AT327+AT328+AT329+AT330+AT331+AT332+AT333+AT334+AT335+AT336+AT337+AT338+AT340+AT341+AT342+AT343+AT344+AT345+AT315</f>
        <v>91281.4</v>
      </c>
      <c r="AU308" s="118">
        <f t="shared" si="95"/>
        <v>0</v>
      </c>
      <c r="AV308" s="118">
        <f t="shared" si="95"/>
        <v>0</v>
      </c>
      <c r="AW308" s="118">
        <f t="shared" si="95"/>
        <v>0</v>
      </c>
      <c r="AX308" s="118">
        <f t="shared" si="95"/>
        <v>91281.4</v>
      </c>
      <c r="AY308" s="118">
        <f t="shared" si="95"/>
        <v>91281.4</v>
      </c>
      <c r="AZ308" s="118">
        <f t="shared" si="95"/>
        <v>0</v>
      </c>
      <c r="BA308" s="118">
        <f t="shared" si="95"/>
        <v>0</v>
      </c>
      <c r="BB308" s="118">
        <f t="shared" si="95"/>
        <v>0</v>
      </c>
      <c r="BC308" s="118">
        <f t="shared" si="95"/>
        <v>91281.4</v>
      </c>
      <c r="BD308" s="118">
        <f t="shared" si="95"/>
        <v>91281.4</v>
      </c>
      <c r="BE308" s="118">
        <f t="shared" si="95"/>
        <v>0</v>
      </c>
      <c r="BF308" s="118">
        <f t="shared" si="95"/>
        <v>0</v>
      </c>
      <c r="BG308" s="118">
        <f t="shared" si="95"/>
        <v>0</v>
      </c>
      <c r="BH308" s="118">
        <f t="shared" si="95"/>
        <v>91281.4</v>
      </c>
    </row>
    <row r="309" spans="1:60" ht="35.65" customHeight="1" thickBot="1">
      <c r="A309" s="27" t="s">
        <v>187</v>
      </c>
      <c r="B309" s="35"/>
      <c r="C309" s="43"/>
      <c r="D309" s="43"/>
      <c r="E309" s="43"/>
      <c r="F309" s="26"/>
      <c r="G309" s="26"/>
      <c r="H309" s="26"/>
      <c r="I309" s="26"/>
      <c r="J309" s="43"/>
      <c r="K309" s="43"/>
      <c r="L309" s="43"/>
      <c r="M309" s="43"/>
      <c r="N309" s="43"/>
      <c r="O309" s="43"/>
      <c r="P309" s="26"/>
      <c r="Q309" s="26"/>
      <c r="R309" s="26"/>
      <c r="S309" s="26"/>
      <c r="T309" s="43"/>
      <c r="U309" s="43"/>
      <c r="V309" s="43"/>
      <c r="W309" s="43"/>
      <c r="X309" s="43"/>
      <c r="Y309" s="43"/>
      <c r="Z309" s="43"/>
      <c r="AA309" s="43"/>
      <c r="AB309" s="43"/>
      <c r="AC309" s="26"/>
      <c r="AD309" s="52" t="s">
        <v>810</v>
      </c>
      <c r="AE309" s="26">
        <f t="shared" ref="AE309:AF345" si="96">AG309+AI309+AK309+AM309</f>
        <v>0</v>
      </c>
      <c r="AF309" s="26">
        <f>AH309+AJ309+AL309+AN309</f>
        <v>0</v>
      </c>
      <c r="AG309" s="26">
        <f>AI309+AK309+AM309+QD309</f>
        <v>0</v>
      </c>
      <c r="AH309" s="26"/>
      <c r="AI309" s="26">
        <f>AK309+AM309+QD309+QE309</f>
        <v>0</v>
      </c>
      <c r="AJ309" s="26"/>
      <c r="AK309" s="26">
        <f>AM309+QD309+QE309+QF309</f>
        <v>0</v>
      </c>
      <c r="AL309" s="26"/>
      <c r="AM309" s="26">
        <f>QD309+QE309+QF309+QG309</f>
        <v>0</v>
      </c>
      <c r="AN309" s="26"/>
      <c r="AO309" s="26">
        <f t="shared" ref="AO309:AO345" si="97">AP309+AQ309+AR309+AS309</f>
        <v>0</v>
      </c>
      <c r="AP309" s="26">
        <f>AQ309+AR309+AS309+FT1071</f>
        <v>0</v>
      </c>
      <c r="AQ309" s="26">
        <f>AR309+AS309+FT1071+FU1071</f>
        <v>0</v>
      </c>
      <c r="AR309" s="26">
        <f>AS309+FT1071+FU1071+FV1071</f>
        <v>0</v>
      </c>
      <c r="AS309" s="26">
        <f>FT1071+FU1071+FV1071+FW1071</f>
        <v>0</v>
      </c>
      <c r="AT309" s="26">
        <f t="shared" ref="AT309:AT314" si="98">AU309+AV309+AW309+AX309</f>
        <v>0</v>
      </c>
      <c r="AU309" s="26">
        <f>AV309+AW309+AX309+FJ1071</f>
        <v>0</v>
      </c>
      <c r="AV309" s="26">
        <f>AW309+AX309+FJ1071+FK1071</f>
        <v>0</v>
      </c>
      <c r="AW309" s="26">
        <f>AX309+FJ1071+FK1071+FL1071</f>
        <v>0</v>
      </c>
      <c r="AX309" s="26">
        <f>FJ1071+FK1071+FL1071+FM1071</f>
        <v>0</v>
      </c>
      <c r="AY309" s="26">
        <f>AZ309+BA309+BB309+BC309</f>
        <v>0</v>
      </c>
      <c r="AZ309" s="26">
        <f>BA309+BB309+BC309+EA309</f>
        <v>0</v>
      </c>
      <c r="BA309" s="26">
        <f>BB309+BC309+EA309+EB309</f>
        <v>0</v>
      </c>
      <c r="BB309" s="26">
        <f>BC309+EA309+EB309+EC309</f>
        <v>0</v>
      </c>
      <c r="BC309" s="26">
        <f>EA309+EB309+EC309+ED309</f>
        <v>0</v>
      </c>
      <c r="BD309" s="26">
        <f>BE309+BF309+BG309+BH309</f>
        <v>0</v>
      </c>
      <c r="BE309" s="26">
        <f>BF309+BG309+BH309+EF309</f>
        <v>0</v>
      </c>
      <c r="BF309" s="26">
        <f>BG309+BH309+EF309+EG309</f>
        <v>0</v>
      </c>
      <c r="BG309" s="26">
        <f>BH309+EF309+EG309+EH309</f>
        <v>0</v>
      </c>
      <c r="BH309" s="26">
        <f>EF309+EG309+EH309+EI309</f>
        <v>0</v>
      </c>
    </row>
    <row r="310" spans="1:60" ht="35.65" customHeight="1" thickBot="1">
      <c r="A310" s="27"/>
      <c r="B310" s="35"/>
      <c r="C310" s="43"/>
      <c r="D310" s="43"/>
      <c r="E310" s="43"/>
      <c r="F310" s="26"/>
      <c r="G310" s="26"/>
      <c r="H310" s="26"/>
      <c r="I310" s="26"/>
      <c r="J310" s="43"/>
      <c r="K310" s="43"/>
      <c r="L310" s="43"/>
      <c r="M310" s="43"/>
      <c r="N310" s="43"/>
      <c r="O310" s="43"/>
      <c r="P310" s="26"/>
      <c r="Q310" s="26"/>
      <c r="R310" s="26"/>
      <c r="S310" s="26"/>
      <c r="T310" s="43"/>
      <c r="U310" s="43"/>
      <c r="V310" s="43"/>
      <c r="W310" s="43"/>
      <c r="X310" s="43"/>
      <c r="Y310" s="43"/>
      <c r="Z310" s="43"/>
      <c r="AA310" s="43"/>
      <c r="AB310" s="43"/>
      <c r="AC310" s="26"/>
      <c r="AD310" s="52" t="s">
        <v>1213</v>
      </c>
      <c r="AE310" s="26"/>
      <c r="AF310" s="26"/>
      <c r="AG310" s="26"/>
      <c r="AH310" s="26"/>
      <c r="AI310" s="26"/>
      <c r="AJ310" s="26"/>
      <c r="AK310" s="26"/>
      <c r="AL310" s="26"/>
      <c r="AM310" s="26"/>
      <c r="AN310" s="26"/>
      <c r="AO310" s="26">
        <f t="shared" si="97"/>
        <v>563.79999999999995</v>
      </c>
      <c r="AP310" s="26"/>
      <c r="AQ310" s="26">
        <v>563.79999999999995</v>
      </c>
      <c r="AR310" s="26"/>
      <c r="AS310" s="26"/>
      <c r="AT310" s="26"/>
      <c r="AU310" s="26"/>
      <c r="AV310" s="26"/>
      <c r="AW310" s="26"/>
      <c r="AX310" s="26"/>
      <c r="AY310" s="26"/>
      <c r="AZ310" s="26"/>
      <c r="BA310" s="26"/>
      <c r="BB310" s="26"/>
      <c r="BC310" s="26"/>
      <c r="BD310" s="26"/>
      <c r="BE310" s="26"/>
      <c r="BF310" s="26"/>
      <c r="BG310" s="26"/>
      <c r="BH310" s="26"/>
    </row>
    <row r="311" spans="1:60" ht="35.65" customHeight="1" thickBot="1">
      <c r="A311" s="27" t="s">
        <v>217</v>
      </c>
      <c r="B311" s="35"/>
      <c r="C311" s="71" t="s">
        <v>227</v>
      </c>
      <c r="D311" s="43" t="s">
        <v>112</v>
      </c>
      <c r="E311" s="43"/>
      <c r="F311" s="26"/>
      <c r="G311" s="26"/>
      <c r="H311" s="26"/>
      <c r="I311" s="26"/>
      <c r="J311" s="71" t="s">
        <v>228</v>
      </c>
      <c r="K311" s="43" t="s">
        <v>112</v>
      </c>
      <c r="L311" s="43"/>
      <c r="M311" s="43"/>
      <c r="N311" s="43"/>
      <c r="O311" s="43"/>
      <c r="P311" s="26"/>
      <c r="Q311" s="26"/>
      <c r="R311" s="26"/>
      <c r="S311" s="26"/>
      <c r="T311" s="43"/>
      <c r="U311" s="43"/>
      <c r="V311" s="43"/>
      <c r="W311" s="43" t="s">
        <v>192</v>
      </c>
      <c r="X311" s="43" t="s">
        <v>112</v>
      </c>
      <c r="Y311" s="43"/>
      <c r="Z311" s="98" t="s">
        <v>191</v>
      </c>
      <c r="AA311" s="43" t="s">
        <v>112</v>
      </c>
      <c r="AB311" s="43"/>
      <c r="AC311" s="26"/>
      <c r="AD311" s="52" t="s">
        <v>811</v>
      </c>
      <c r="AE311" s="26">
        <f t="shared" si="96"/>
        <v>1309.0999999999999</v>
      </c>
      <c r="AF311" s="26">
        <f t="shared" si="96"/>
        <v>1309.0999999999999</v>
      </c>
      <c r="AG311" s="26"/>
      <c r="AH311" s="26"/>
      <c r="AI311" s="26"/>
      <c r="AJ311" s="26"/>
      <c r="AK311" s="26"/>
      <c r="AL311" s="26"/>
      <c r="AM311" s="26">
        <f>1267.5+41.6</f>
        <v>1309.0999999999999</v>
      </c>
      <c r="AN311" s="26">
        <v>1309.0999999999999</v>
      </c>
      <c r="AO311" s="26">
        <f t="shared" si="97"/>
        <v>1072.0999999999999</v>
      </c>
      <c r="AP311" s="26"/>
      <c r="AQ311" s="26"/>
      <c r="AR311" s="26"/>
      <c r="AS311" s="26">
        <v>1072.0999999999999</v>
      </c>
      <c r="AT311" s="26">
        <f t="shared" si="98"/>
        <v>1072.0999999999999</v>
      </c>
      <c r="AU311" s="26"/>
      <c r="AV311" s="26"/>
      <c r="AW311" s="26"/>
      <c r="AX311" s="26">
        <v>1072.0999999999999</v>
      </c>
      <c r="AY311" s="26">
        <f>AZ311+BA311+BC311</f>
        <v>1072.0999999999999</v>
      </c>
      <c r="AZ311" s="26"/>
      <c r="BA311" s="26"/>
      <c r="BB311" s="26"/>
      <c r="BC311" s="26">
        <v>1072.0999999999999</v>
      </c>
      <c r="BD311" s="26">
        <f>BE311+BF311+BH311</f>
        <v>1072.0999999999999</v>
      </c>
      <c r="BE311" s="26"/>
      <c r="BF311" s="26"/>
      <c r="BG311" s="26"/>
      <c r="BH311" s="26">
        <v>1072.0999999999999</v>
      </c>
    </row>
    <row r="312" spans="1:60" ht="35.65" customHeight="1" thickBot="1">
      <c r="A312" s="27" t="s">
        <v>217</v>
      </c>
      <c r="B312" s="35"/>
      <c r="C312" s="71" t="s">
        <v>227</v>
      </c>
      <c r="D312" s="43" t="s">
        <v>112</v>
      </c>
      <c r="E312" s="43"/>
      <c r="F312" s="26"/>
      <c r="G312" s="26"/>
      <c r="H312" s="26"/>
      <c r="I312" s="26"/>
      <c r="J312" s="71" t="s">
        <v>228</v>
      </c>
      <c r="K312" s="43" t="s">
        <v>112</v>
      </c>
      <c r="L312" s="43"/>
      <c r="M312" s="43"/>
      <c r="N312" s="43"/>
      <c r="O312" s="43"/>
      <c r="P312" s="26"/>
      <c r="Q312" s="26"/>
      <c r="R312" s="26"/>
      <c r="S312" s="26"/>
      <c r="T312" s="43"/>
      <c r="U312" s="43"/>
      <c r="V312" s="43"/>
      <c r="W312" s="43" t="s">
        <v>192</v>
      </c>
      <c r="X312" s="43" t="s">
        <v>112</v>
      </c>
      <c r="Y312" s="43"/>
      <c r="Z312" s="98" t="s">
        <v>191</v>
      </c>
      <c r="AA312" s="43" t="s">
        <v>112</v>
      </c>
      <c r="AB312" s="43"/>
      <c r="AC312" s="26"/>
      <c r="AD312" s="52" t="s">
        <v>812</v>
      </c>
      <c r="AE312" s="26">
        <f t="shared" si="96"/>
        <v>0</v>
      </c>
      <c r="AF312" s="26">
        <f t="shared" si="96"/>
        <v>0</v>
      </c>
      <c r="AG312" s="26"/>
      <c r="AH312" s="26"/>
      <c r="AI312" s="26"/>
      <c r="AJ312" s="26"/>
      <c r="AK312" s="26"/>
      <c r="AL312" s="26"/>
      <c r="AM312" s="26"/>
      <c r="AN312" s="26"/>
      <c r="AO312" s="26">
        <f t="shared" si="97"/>
        <v>0</v>
      </c>
      <c r="AP312" s="26"/>
      <c r="AQ312" s="26"/>
      <c r="AR312" s="26"/>
      <c r="AS312" s="26"/>
      <c r="AT312" s="26">
        <f t="shared" si="98"/>
        <v>0</v>
      </c>
      <c r="AU312" s="26"/>
      <c r="AV312" s="26"/>
      <c r="AW312" s="26"/>
      <c r="AX312" s="26"/>
      <c r="AY312" s="26">
        <f>AZ312+BA312+BC312</f>
        <v>0</v>
      </c>
      <c r="AZ312" s="26"/>
      <c r="BA312" s="26"/>
      <c r="BB312" s="26"/>
      <c r="BC312" s="26"/>
      <c r="BD312" s="26">
        <f>BE312+BF312+BH312</f>
        <v>0</v>
      </c>
      <c r="BE312" s="26"/>
      <c r="BF312" s="26"/>
      <c r="BG312" s="26"/>
      <c r="BH312" s="26"/>
    </row>
    <row r="313" spans="1:60" ht="35.65" customHeight="1" thickBot="1">
      <c r="A313" s="27" t="s">
        <v>217</v>
      </c>
      <c r="B313" s="35"/>
      <c r="C313" s="71" t="s">
        <v>227</v>
      </c>
      <c r="D313" s="43" t="s">
        <v>112</v>
      </c>
      <c r="E313" s="43"/>
      <c r="F313" s="26"/>
      <c r="G313" s="26"/>
      <c r="H313" s="26"/>
      <c r="I313" s="26"/>
      <c r="J313" s="71" t="s">
        <v>228</v>
      </c>
      <c r="K313" s="43" t="s">
        <v>112</v>
      </c>
      <c r="L313" s="43"/>
      <c r="M313" s="43"/>
      <c r="N313" s="43"/>
      <c r="O313" s="43"/>
      <c r="P313" s="26"/>
      <c r="Q313" s="26"/>
      <c r="R313" s="26"/>
      <c r="S313" s="26"/>
      <c r="T313" s="43"/>
      <c r="U313" s="43"/>
      <c r="V313" s="43"/>
      <c r="W313" s="43" t="s">
        <v>192</v>
      </c>
      <c r="X313" s="43" t="s">
        <v>112</v>
      </c>
      <c r="Y313" s="43"/>
      <c r="Z313" s="98" t="s">
        <v>191</v>
      </c>
      <c r="AA313" s="43" t="s">
        <v>112</v>
      </c>
      <c r="AB313" s="43"/>
      <c r="AC313" s="26"/>
      <c r="AD313" s="52" t="s">
        <v>813</v>
      </c>
      <c r="AE313" s="26">
        <f t="shared" si="96"/>
        <v>607.29999999999995</v>
      </c>
      <c r="AF313" s="26">
        <f t="shared" si="96"/>
        <v>544.70000000000005</v>
      </c>
      <c r="AG313" s="26"/>
      <c r="AH313" s="26"/>
      <c r="AI313" s="26"/>
      <c r="AJ313" s="26"/>
      <c r="AK313" s="26"/>
      <c r="AL313" s="26"/>
      <c r="AM313" s="26">
        <v>607.29999999999995</v>
      </c>
      <c r="AN313" s="26">
        <v>544.70000000000005</v>
      </c>
      <c r="AO313" s="26">
        <f t="shared" si="97"/>
        <v>569</v>
      </c>
      <c r="AP313" s="26"/>
      <c r="AQ313" s="26"/>
      <c r="AR313" s="26"/>
      <c r="AS313" s="26">
        <f>551+18</f>
        <v>569</v>
      </c>
      <c r="AT313" s="26">
        <f t="shared" si="98"/>
        <v>551</v>
      </c>
      <c r="AU313" s="26"/>
      <c r="AV313" s="26"/>
      <c r="AW313" s="26"/>
      <c r="AX313" s="26">
        <v>551</v>
      </c>
      <c r="AY313" s="26">
        <f>AZ313+BA313+BC313</f>
        <v>551</v>
      </c>
      <c r="AZ313" s="26"/>
      <c r="BA313" s="26"/>
      <c r="BB313" s="26"/>
      <c r="BC313" s="26">
        <v>551</v>
      </c>
      <c r="BD313" s="26">
        <f>BE313+BF313+BH313</f>
        <v>551</v>
      </c>
      <c r="BE313" s="26"/>
      <c r="BF313" s="26"/>
      <c r="BG313" s="26"/>
      <c r="BH313" s="26">
        <v>551</v>
      </c>
    </row>
    <row r="314" spans="1:60" ht="35.65" customHeight="1" thickBot="1">
      <c r="A314" s="27" t="s">
        <v>217</v>
      </c>
      <c r="B314" s="35"/>
      <c r="C314" s="71" t="s">
        <v>227</v>
      </c>
      <c r="D314" s="43" t="s">
        <v>112</v>
      </c>
      <c r="E314" s="43"/>
      <c r="F314" s="26"/>
      <c r="G314" s="26"/>
      <c r="H314" s="26"/>
      <c r="I314" s="26"/>
      <c r="J314" s="71" t="s">
        <v>228</v>
      </c>
      <c r="K314" s="43" t="s">
        <v>112</v>
      </c>
      <c r="L314" s="43"/>
      <c r="M314" s="43"/>
      <c r="N314" s="43"/>
      <c r="O314" s="43"/>
      <c r="P314" s="26"/>
      <c r="Q314" s="26"/>
      <c r="R314" s="26"/>
      <c r="S314" s="26"/>
      <c r="T314" s="43"/>
      <c r="U314" s="43"/>
      <c r="V314" s="43"/>
      <c r="W314" s="43" t="s">
        <v>192</v>
      </c>
      <c r="X314" s="43" t="s">
        <v>112</v>
      </c>
      <c r="Y314" s="43"/>
      <c r="Z314" s="98" t="s">
        <v>191</v>
      </c>
      <c r="AA314" s="43" t="s">
        <v>112</v>
      </c>
      <c r="AB314" s="43"/>
      <c r="AC314" s="26"/>
      <c r="AD314" s="52" t="s">
        <v>814</v>
      </c>
      <c r="AE314" s="26">
        <f t="shared" si="96"/>
        <v>13730.899999999998</v>
      </c>
      <c r="AF314" s="26">
        <f t="shared" si="96"/>
        <v>13705.3</v>
      </c>
      <c r="AG314" s="26"/>
      <c r="AH314" s="26"/>
      <c r="AI314" s="26">
        <f>723.4+1763.3</f>
        <v>2486.6999999999998</v>
      </c>
      <c r="AJ314" s="26">
        <f>723.4+1763.3</f>
        <v>2486.6999999999998</v>
      </c>
      <c r="AK314" s="26"/>
      <c r="AL314" s="26"/>
      <c r="AM314" s="26">
        <f>11171.9+723.4+460.8+72.3+1302.5-723.4-1763.3</f>
        <v>11244.199999999999</v>
      </c>
      <c r="AN314" s="26">
        <f>13705.3-723.4-1763.3</f>
        <v>11218.6</v>
      </c>
      <c r="AO314" s="26">
        <f t="shared" si="97"/>
        <v>15883.1</v>
      </c>
      <c r="AP314" s="26"/>
      <c r="AQ314" s="26">
        <v>422.5</v>
      </c>
      <c r="AR314" s="26"/>
      <c r="AS314" s="26">
        <f>13376.6+422.5-422.5+209+608+1267</f>
        <v>15460.6</v>
      </c>
      <c r="AT314" s="26">
        <f t="shared" si="98"/>
        <v>13376.6</v>
      </c>
      <c r="AU314" s="26"/>
      <c r="AV314" s="26"/>
      <c r="AW314" s="26"/>
      <c r="AX314" s="26">
        <v>13376.6</v>
      </c>
      <c r="AY314" s="26">
        <f>AZ314+BA314+BC314</f>
        <v>13376.6</v>
      </c>
      <c r="AZ314" s="26"/>
      <c r="BA314" s="26"/>
      <c r="BB314" s="26"/>
      <c r="BC314" s="26">
        <v>13376.6</v>
      </c>
      <c r="BD314" s="26">
        <f>BE314+BF314+BH314</f>
        <v>13376.6</v>
      </c>
      <c r="BE314" s="26"/>
      <c r="BF314" s="26"/>
      <c r="BG314" s="26"/>
      <c r="BH314" s="26">
        <v>13376.6</v>
      </c>
    </row>
    <row r="315" spans="1:60" ht="35.65" customHeight="1" thickBot="1">
      <c r="A315" s="27"/>
      <c r="B315" s="35"/>
      <c r="C315" s="70" t="s">
        <v>105</v>
      </c>
      <c r="D315" s="43" t="s">
        <v>106</v>
      </c>
      <c r="E315" s="43" t="s">
        <v>107</v>
      </c>
      <c r="F315" s="26"/>
      <c r="G315" s="26"/>
      <c r="H315" s="26"/>
      <c r="I315" s="26"/>
      <c r="J315" s="70" t="s">
        <v>183</v>
      </c>
      <c r="K315" s="70" t="s">
        <v>109</v>
      </c>
      <c r="L315" s="133">
        <v>44927</v>
      </c>
      <c r="M315" s="70" t="s">
        <v>120</v>
      </c>
      <c r="N315" s="43"/>
      <c r="O315" s="43"/>
      <c r="P315" s="70" t="s">
        <v>218</v>
      </c>
      <c r="Q315" s="43" t="s">
        <v>112</v>
      </c>
      <c r="R315" s="26"/>
      <c r="S315" s="26"/>
      <c r="T315" s="43" t="s">
        <v>229</v>
      </c>
      <c r="U315" s="43"/>
      <c r="V315" s="43"/>
      <c r="W315" s="43" t="s">
        <v>192</v>
      </c>
      <c r="X315" s="43" t="s">
        <v>112</v>
      </c>
      <c r="Y315" s="43"/>
      <c r="Z315" s="98" t="s">
        <v>191</v>
      </c>
      <c r="AA315" s="43" t="s">
        <v>112</v>
      </c>
      <c r="AB315" s="43"/>
      <c r="AC315" s="26"/>
      <c r="AD315" s="52" t="s">
        <v>815</v>
      </c>
      <c r="AE315" s="26"/>
      <c r="AF315" s="26"/>
      <c r="AG315" s="26"/>
      <c r="AH315" s="26"/>
      <c r="AI315" s="26"/>
      <c r="AJ315" s="26"/>
      <c r="AK315" s="26"/>
      <c r="AL315" s="26"/>
      <c r="AM315" s="26"/>
      <c r="AN315" s="26"/>
      <c r="AO315" s="26">
        <f t="shared" si="97"/>
        <v>4014.1000000000004</v>
      </c>
      <c r="AP315" s="26">
        <v>3008.5</v>
      </c>
      <c r="AQ315" s="26">
        <v>158.4</v>
      </c>
      <c r="AR315" s="26"/>
      <c r="AS315" s="26">
        <v>847.2</v>
      </c>
      <c r="AT315" s="26"/>
      <c r="AU315" s="26"/>
      <c r="AV315" s="26"/>
      <c r="AW315" s="26"/>
      <c r="AX315" s="26"/>
      <c r="AY315" s="26"/>
      <c r="AZ315" s="26"/>
      <c r="BA315" s="26"/>
      <c r="BB315" s="26"/>
      <c r="BC315" s="26"/>
      <c r="BD315" s="26"/>
      <c r="BE315" s="26"/>
      <c r="BF315" s="26"/>
      <c r="BG315" s="26"/>
      <c r="BH315" s="26"/>
    </row>
    <row r="316" spans="1:60" ht="35.65" customHeight="1" thickBot="1">
      <c r="A316" s="27"/>
      <c r="B316" s="35"/>
      <c r="C316" s="71"/>
      <c r="D316" s="43"/>
      <c r="E316" s="43"/>
      <c r="F316" s="26"/>
      <c r="G316" s="26"/>
      <c r="H316" s="26"/>
      <c r="I316" s="26"/>
      <c r="J316" s="71"/>
      <c r="K316" s="43"/>
      <c r="L316" s="43"/>
      <c r="M316" s="43"/>
      <c r="N316" s="43"/>
      <c r="O316" s="43"/>
      <c r="P316" s="26"/>
      <c r="Q316" s="26"/>
      <c r="R316" s="26"/>
      <c r="S316" s="26"/>
      <c r="T316" s="43"/>
      <c r="U316" s="43"/>
      <c r="V316" s="43"/>
      <c r="W316" s="43"/>
      <c r="X316" s="43"/>
      <c r="Y316" s="43"/>
      <c r="Z316" s="98"/>
      <c r="AA316" s="43"/>
      <c r="AB316" s="43"/>
      <c r="AC316" s="26"/>
      <c r="AD316" s="52" t="s">
        <v>816</v>
      </c>
      <c r="AE316" s="26">
        <f t="shared" si="96"/>
        <v>300</v>
      </c>
      <c r="AF316" s="26">
        <f t="shared" si="96"/>
        <v>300</v>
      </c>
      <c r="AG316" s="26"/>
      <c r="AH316" s="26"/>
      <c r="AI316" s="26">
        <v>300</v>
      </c>
      <c r="AJ316" s="26">
        <v>300</v>
      </c>
      <c r="AK316" s="26"/>
      <c r="AL316" s="26"/>
      <c r="AM316" s="26"/>
      <c r="AN316" s="26"/>
      <c r="AO316" s="26">
        <f t="shared" si="97"/>
        <v>150</v>
      </c>
      <c r="AP316" s="26"/>
      <c r="AQ316" s="26">
        <v>150</v>
      </c>
      <c r="AR316" s="26"/>
      <c r="AS316" s="26"/>
      <c r="AT316" s="26"/>
      <c r="AU316" s="26"/>
      <c r="AV316" s="26"/>
      <c r="AW316" s="26"/>
      <c r="AX316" s="26"/>
      <c r="AY316" s="26"/>
      <c r="AZ316" s="26"/>
      <c r="BA316" s="26"/>
      <c r="BB316" s="26"/>
      <c r="BC316" s="26"/>
      <c r="BD316" s="26"/>
      <c r="BE316" s="26"/>
      <c r="BF316" s="26"/>
      <c r="BG316" s="26"/>
      <c r="BH316" s="26"/>
    </row>
    <row r="317" spans="1:60" ht="35.65" customHeight="1" thickBot="1">
      <c r="A317" s="27"/>
      <c r="B317" s="35"/>
      <c r="C317" s="71"/>
      <c r="D317" s="43"/>
      <c r="E317" s="43"/>
      <c r="F317" s="26"/>
      <c r="G317" s="26"/>
      <c r="H317" s="26"/>
      <c r="I317" s="26"/>
      <c r="J317" s="71"/>
      <c r="K317" s="43"/>
      <c r="L317" s="43"/>
      <c r="M317" s="43"/>
      <c r="N317" s="43"/>
      <c r="O317" s="43"/>
      <c r="P317" s="26"/>
      <c r="Q317" s="26"/>
      <c r="R317" s="26"/>
      <c r="S317" s="26"/>
      <c r="T317" s="43"/>
      <c r="U317" s="43"/>
      <c r="V317" s="43"/>
      <c r="W317" s="43"/>
      <c r="X317" s="43"/>
      <c r="Y317" s="43"/>
      <c r="Z317" s="98"/>
      <c r="AA317" s="43"/>
      <c r="AB317" s="43"/>
      <c r="AC317" s="26"/>
      <c r="AD317" s="52" t="s">
        <v>817</v>
      </c>
      <c r="AE317" s="26">
        <f t="shared" si="96"/>
        <v>6</v>
      </c>
      <c r="AF317" s="26">
        <f t="shared" si="96"/>
        <v>6</v>
      </c>
      <c r="AG317" s="26"/>
      <c r="AH317" s="26"/>
      <c r="AI317" s="26"/>
      <c r="AJ317" s="26"/>
      <c r="AK317" s="26"/>
      <c r="AL317" s="26"/>
      <c r="AM317" s="26">
        <v>6</v>
      </c>
      <c r="AN317" s="26">
        <v>6</v>
      </c>
      <c r="AO317" s="26">
        <f t="shared" si="97"/>
        <v>3</v>
      </c>
      <c r="AP317" s="26"/>
      <c r="AQ317" s="26"/>
      <c r="AR317" s="26"/>
      <c r="AS317" s="26">
        <v>3</v>
      </c>
      <c r="AT317" s="26"/>
      <c r="AU317" s="26"/>
      <c r="AV317" s="26"/>
      <c r="AW317" s="26"/>
      <c r="AX317" s="26"/>
      <c r="AY317" s="26"/>
      <c r="AZ317" s="26"/>
      <c r="BA317" s="26"/>
      <c r="BB317" s="26"/>
      <c r="BC317" s="26"/>
      <c r="BD317" s="26"/>
      <c r="BE317" s="26"/>
      <c r="BF317" s="26"/>
      <c r="BG317" s="26"/>
      <c r="BH317" s="26"/>
    </row>
    <row r="318" spans="1:60" ht="35.65" customHeight="1" thickBot="1">
      <c r="A318" s="27"/>
      <c r="B318" s="35"/>
      <c r="C318" s="71"/>
      <c r="D318" s="43"/>
      <c r="E318" s="43"/>
      <c r="F318" s="26"/>
      <c r="G318" s="26"/>
      <c r="H318" s="26"/>
      <c r="I318" s="26"/>
      <c r="J318" s="71"/>
      <c r="K318" s="43"/>
      <c r="L318" s="43"/>
      <c r="M318" s="43"/>
      <c r="N318" s="43"/>
      <c r="O318" s="43"/>
      <c r="P318" s="26"/>
      <c r="Q318" s="26"/>
      <c r="R318" s="26"/>
      <c r="S318" s="26"/>
      <c r="T318" s="43"/>
      <c r="U318" s="43"/>
      <c r="V318" s="43"/>
      <c r="W318" s="43"/>
      <c r="X318" s="43"/>
      <c r="Y318" s="43"/>
      <c r="Z318" s="98"/>
      <c r="AA318" s="43"/>
      <c r="AB318" s="43"/>
      <c r="AC318" s="26"/>
      <c r="AD318" s="52" t="s">
        <v>818</v>
      </c>
      <c r="AE318" s="26"/>
      <c r="AF318" s="26"/>
      <c r="AG318" s="26"/>
      <c r="AH318" s="26"/>
      <c r="AI318" s="26"/>
      <c r="AJ318" s="26"/>
      <c r="AK318" s="26"/>
      <c r="AL318" s="26"/>
      <c r="AM318" s="26"/>
      <c r="AN318" s="26"/>
      <c r="AO318" s="26">
        <f t="shared" si="97"/>
        <v>1053.5</v>
      </c>
      <c r="AP318" s="26"/>
      <c r="AQ318" s="26">
        <f>1451.2-397.7</f>
        <v>1053.5</v>
      </c>
      <c r="AR318" s="26"/>
      <c r="AS318" s="26"/>
      <c r="AT318" s="26"/>
      <c r="AU318" s="26"/>
      <c r="AV318" s="26"/>
      <c r="AW318" s="26"/>
      <c r="AX318" s="26"/>
      <c r="AY318" s="26"/>
      <c r="AZ318" s="26"/>
      <c r="BA318" s="26"/>
      <c r="BB318" s="26"/>
      <c r="BC318" s="26"/>
      <c r="BD318" s="26"/>
      <c r="BE318" s="26"/>
      <c r="BF318" s="26"/>
      <c r="BG318" s="26"/>
      <c r="BH318" s="26"/>
    </row>
    <row r="319" spans="1:60" ht="35.65" customHeight="1" thickBot="1">
      <c r="A319" s="27" t="s">
        <v>217</v>
      </c>
      <c r="B319" s="35"/>
      <c r="C319" s="43"/>
      <c r="D319" s="43"/>
      <c r="E319" s="43"/>
      <c r="F319" s="26"/>
      <c r="G319" s="26"/>
      <c r="H319" s="26"/>
      <c r="I319" s="26"/>
      <c r="J319" s="43"/>
      <c r="K319" s="43"/>
      <c r="L319" s="43"/>
      <c r="M319" s="43"/>
      <c r="N319" s="43"/>
      <c r="O319" s="43"/>
      <c r="P319" s="26"/>
      <c r="Q319" s="26"/>
      <c r="R319" s="26"/>
      <c r="S319" s="26"/>
      <c r="T319" s="43"/>
      <c r="U319" s="43"/>
      <c r="V319" s="134"/>
      <c r="W319" s="43" t="s">
        <v>230</v>
      </c>
      <c r="X319" s="43"/>
      <c r="Y319" s="134"/>
      <c r="Z319" s="43"/>
      <c r="AA319" s="43"/>
      <c r="AB319" s="43"/>
      <c r="AC319" s="26"/>
      <c r="AD319" s="52" t="s">
        <v>819</v>
      </c>
      <c r="AE319" s="26">
        <f t="shared" si="96"/>
        <v>0</v>
      </c>
      <c r="AF319" s="26">
        <f t="shared" si="96"/>
        <v>0</v>
      </c>
      <c r="AG319" s="26"/>
      <c r="AH319" s="26"/>
      <c r="AI319" s="26"/>
      <c r="AJ319" s="26"/>
      <c r="AK319" s="26"/>
      <c r="AL319" s="26"/>
      <c r="AM319" s="26"/>
      <c r="AN319" s="26"/>
      <c r="AO319" s="26">
        <f t="shared" si="97"/>
        <v>0</v>
      </c>
      <c r="AP319" s="26"/>
      <c r="AQ319" s="26"/>
      <c r="AR319" s="26"/>
      <c r="AS319" s="26"/>
      <c r="AT319" s="26"/>
      <c r="AU319" s="26"/>
      <c r="AV319" s="26"/>
      <c r="AW319" s="26"/>
      <c r="AX319" s="26"/>
      <c r="AY319" s="26"/>
      <c r="AZ319" s="26"/>
      <c r="BA319" s="26"/>
      <c r="BB319" s="26"/>
      <c r="BC319" s="26"/>
      <c r="BD319" s="26"/>
      <c r="BE319" s="26"/>
      <c r="BF319" s="26"/>
      <c r="BG319" s="26"/>
      <c r="BH319" s="26"/>
    </row>
    <row r="320" spans="1:60" ht="35.65" customHeight="1" thickBot="1">
      <c r="A320" s="27" t="s">
        <v>217</v>
      </c>
      <c r="B320" s="35"/>
      <c r="C320" s="43"/>
      <c r="D320" s="43"/>
      <c r="E320" s="43"/>
      <c r="F320" s="26"/>
      <c r="G320" s="26"/>
      <c r="H320" s="26"/>
      <c r="I320" s="26"/>
      <c r="J320" s="43"/>
      <c r="K320" s="43"/>
      <c r="L320" s="43"/>
      <c r="M320" s="43"/>
      <c r="N320" s="43"/>
      <c r="O320" s="43"/>
      <c r="P320" s="26"/>
      <c r="Q320" s="26"/>
      <c r="R320" s="26"/>
      <c r="S320" s="26"/>
      <c r="T320" s="43"/>
      <c r="U320" s="43"/>
      <c r="V320" s="134"/>
      <c r="W320" s="43" t="s">
        <v>230</v>
      </c>
      <c r="X320" s="43"/>
      <c r="Y320" s="134"/>
      <c r="Z320" s="43"/>
      <c r="AA320" s="43"/>
      <c r="AB320" s="43"/>
      <c r="AC320" s="26"/>
      <c r="AD320" s="52" t="s">
        <v>820</v>
      </c>
      <c r="AE320" s="26">
        <f t="shared" si="96"/>
        <v>0</v>
      </c>
      <c r="AF320" s="26">
        <f t="shared" si="96"/>
        <v>0</v>
      </c>
      <c r="AG320" s="26"/>
      <c r="AH320" s="26"/>
      <c r="AI320" s="26"/>
      <c r="AJ320" s="26"/>
      <c r="AK320" s="26"/>
      <c r="AL320" s="26"/>
      <c r="AM320" s="26"/>
      <c r="AN320" s="26"/>
      <c r="AO320" s="26">
        <f t="shared" si="97"/>
        <v>0</v>
      </c>
      <c r="AP320" s="26"/>
      <c r="AQ320" s="26"/>
      <c r="AR320" s="26"/>
      <c r="AS320" s="26"/>
      <c r="AT320" s="26"/>
      <c r="AU320" s="26"/>
      <c r="AV320" s="26"/>
      <c r="AW320" s="26"/>
      <c r="AX320" s="26"/>
      <c r="AY320" s="26"/>
      <c r="AZ320" s="26"/>
      <c r="BA320" s="26"/>
      <c r="BB320" s="26"/>
      <c r="BC320" s="26"/>
      <c r="BD320" s="26"/>
      <c r="BE320" s="26"/>
      <c r="BF320" s="26"/>
      <c r="BG320" s="26"/>
      <c r="BH320" s="26"/>
    </row>
    <row r="321" spans="1:60" ht="35.65" customHeight="1" thickBot="1">
      <c r="A321" s="27" t="s">
        <v>217</v>
      </c>
      <c r="B321" s="35"/>
      <c r="C321" s="43" t="s">
        <v>105</v>
      </c>
      <c r="D321" s="43" t="s">
        <v>106</v>
      </c>
      <c r="E321" s="43" t="s">
        <v>107</v>
      </c>
      <c r="F321" s="26"/>
      <c r="G321" s="26"/>
      <c r="H321" s="26"/>
      <c r="I321" s="26"/>
      <c r="J321" s="43" t="s">
        <v>108</v>
      </c>
      <c r="K321" s="43" t="s">
        <v>109</v>
      </c>
      <c r="L321" s="43" t="s">
        <v>110</v>
      </c>
      <c r="M321" s="43" t="s">
        <v>231</v>
      </c>
      <c r="N321" s="43"/>
      <c r="O321" s="43"/>
      <c r="P321" s="26"/>
      <c r="Q321" s="26"/>
      <c r="R321" s="26"/>
      <c r="S321" s="26"/>
      <c r="T321" s="43" t="s">
        <v>232</v>
      </c>
      <c r="U321" s="43" t="s">
        <v>112</v>
      </c>
      <c r="V321" s="43"/>
      <c r="W321" s="43" t="s">
        <v>232</v>
      </c>
      <c r="X321" s="43" t="s">
        <v>112</v>
      </c>
      <c r="Y321" s="43"/>
      <c r="Z321" s="43"/>
      <c r="AA321" s="43"/>
      <c r="AB321" s="43"/>
      <c r="AC321" s="26"/>
      <c r="AD321" s="52" t="s">
        <v>821</v>
      </c>
      <c r="AE321" s="26">
        <f t="shared" si="96"/>
        <v>0</v>
      </c>
      <c r="AF321" s="26">
        <f t="shared" si="96"/>
        <v>0</v>
      </c>
      <c r="AG321" s="26"/>
      <c r="AH321" s="26"/>
      <c r="AI321" s="26"/>
      <c r="AJ321" s="26"/>
      <c r="AK321" s="26"/>
      <c r="AL321" s="26"/>
      <c r="AM321" s="26"/>
      <c r="AN321" s="26"/>
      <c r="AO321" s="26">
        <f t="shared" si="97"/>
        <v>0</v>
      </c>
      <c r="AP321" s="26"/>
      <c r="AQ321" s="26"/>
      <c r="AR321" s="26"/>
      <c r="AS321" s="26"/>
      <c r="AT321" s="26">
        <f t="shared" ref="AT321" si="99">AU321+AV321+AW321+AX321</f>
        <v>0</v>
      </c>
      <c r="AU321" s="26"/>
      <c r="AV321" s="26"/>
      <c r="AW321" s="26"/>
      <c r="AX321" s="26"/>
      <c r="AY321" s="26">
        <f>AZ321+BA321+BC321</f>
        <v>0</v>
      </c>
      <c r="AZ321" s="26"/>
      <c r="BA321" s="26"/>
      <c r="BB321" s="26"/>
      <c r="BC321" s="26"/>
      <c r="BD321" s="26">
        <f>BE321+BF321+BH321</f>
        <v>0</v>
      </c>
      <c r="BE321" s="26"/>
      <c r="BF321" s="26"/>
      <c r="BG321" s="26"/>
      <c r="BH321" s="26"/>
    </row>
    <row r="322" spans="1:60" ht="35.65" customHeight="1" thickBot="1">
      <c r="A322" s="27" t="s">
        <v>217</v>
      </c>
      <c r="B322" s="35"/>
      <c r="C322" s="43"/>
      <c r="D322" s="43"/>
      <c r="E322" s="43"/>
      <c r="F322" s="26"/>
      <c r="G322" s="26"/>
      <c r="H322" s="26"/>
      <c r="I322" s="26"/>
      <c r="J322" s="43"/>
      <c r="K322" s="43"/>
      <c r="L322" s="43"/>
      <c r="M322" s="43"/>
      <c r="N322" s="43"/>
      <c r="O322" s="43"/>
      <c r="P322" s="26"/>
      <c r="Q322" s="26"/>
      <c r="R322" s="26"/>
      <c r="S322" s="26"/>
      <c r="T322" s="43"/>
      <c r="U322" s="43"/>
      <c r="V322" s="43"/>
      <c r="W322" s="43"/>
      <c r="X322" s="43"/>
      <c r="Y322" s="43"/>
      <c r="Z322" s="43"/>
      <c r="AA322" s="43"/>
      <c r="AB322" s="43"/>
      <c r="AC322" s="26"/>
      <c r="AD322" s="52" t="s">
        <v>822</v>
      </c>
      <c r="AE322" s="26">
        <f t="shared" si="96"/>
        <v>0</v>
      </c>
      <c r="AF322" s="26">
        <f t="shared" si="96"/>
        <v>0</v>
      </c>
      <c r="AG322" s="26"/>
      <c r="AH322" s="26"/>
      <c r="AI322" s="26"/>
      <c r="AJ322" s="26"/>
      <c r="AK322" s="26"/>
      <c r="AL322" s="26"/>
      <c r="AM322" s="26"/>
      <c r="AN322" s="26"/>
      <c r="AO322" s="26">
        <f t="shared" si="97"/>
        <v>0</v>
      </c>
      <c r="AP322" s="26"/>
      <c r="AQ322" s="26"/>
      <c r="AR322" s="26"/>
      <c r="AS322" s="26"/>
      <c r="AT322" s="26"/>
      <c r="AU322" s="26"/>
      <c r="AV322" s="26"/>
      <c r="AW322" s="26"/>
      <c r="AX322" s="26"/>
      <c r="AY322" s="26"/>
      <c r="AZ322" s="26"/>
      <c r="BA322" s="26"/>
      <c r="BB322" s="26"/>
      <c r="BC322" s="26"/>
      <c r="BD322" s="26"/>
      <c r="BE322" s="26"/>
      <c r="BF322" s="26"/>
      <c r="BG322" s="26"/>
      <c r="BH322" s="26"/>
    </row>
    <row r="323" spans="1:60" ht="35.65" customHeight="1" thickBot="1">
      <c r="A323" s="27"/>
      <c r="B323" s="35"/>
      <c r="C323" s="43"/>
      <c r="D323" s="43"/>
      <c r="E323" s="43"/>
      <c r="F323" s="26"/>
      <c r="G323" s="26"/>
      <c r="H323" s="26"/>
      <c r="I323" s="26"/>
      <c r="J323" s="43"/>
      <c r="K323" s="43"/>
      <c r="L323" s="43"/>
      <c r="M323" s="43"/>
      <c r="N323" s="43"/>
      <c r="O323" s="43"/>
      <c r="P323" s="26"/>
      <c r="Q323" s="26"/>
      <c r="R323" s="26"/>
      <c r="S323" s="26"/>
      <c r="T323" s="43"/>
      <c r="U323" s="43"/>
      <c r="V323" s="43"/>
      <c r="W323" s="43"/>
      <c r="X323" s="43"/>
      <c r="Y323" s="43"/>
      <c r="Z323" s="43"/>
      <c r="AA323" s="43"/>
      <c r="AB323" s="43"/>
      <c r="AC323" s="26"/>
      <c r="AD323" s="52" t="s">
        <v>823</v>
      </c>
      <c r="AE323" s="26">
        <f t="shared" si="96"/>
        <v>105</v>
      </c>
      <c r="AF323" s="26">
        <f t="shared" si="96"/>
        <v>105</v>
      </c>
      <c r="AG323" s="26"/>
      <c r="AH323" s="26"/>
      <c r="AI323" s="26">
        <v>105</v>
      </c>
      <c r="AJ323" s="26">
        <v>105</v>
      </c>
      <c r="AK323" s="26"/>
      <c r="AL323" s="26"/>
      <c r="AM323" s="26"/>
      <c r="AN323" s="26"/>
      <c r="AO323" s="26">
        <f t="shared" si="97"/>
        <v>0</v>
      </c>
      <c r="AP323" s="26"/>
      <c r="AQ323" s="26"/>
      <c r="AR323" s="26"/>
      <c r="AS323" s="26"/>
      <c r="AT323" s="26"/>
      <c r="AU323" s="26"/>
      <c r="AV323" s="26"/>
      <c r="AW323" s="26"/>
      <c r="AX323" s="26"/>
      <c r="AY323" s="26"/>
      <c r="AZ323" s="26"/>
      <c r="BA323" s="26"/>
      <c r="BB323" s="26"/>
      <c r="BC323" s="26"/>
      <c r="BD323" s="26"/>
      <c r="BE323" s="26"/>
      <c r="BF323" s="26"/>
      <c r="BG323" s="26"/>
      <c r="BH323" s="26"/>
    </row>
    <row r="324" spans="1:60" ht="35.65" customHeight="1" thickBot="1">
      <c r="A324" s="27"/>
      <c r="B324" s="35"/>
      <c r="C324" s="43"/>
      <c r="D324" s="43"/>
      <c r="E324" s="43"/>
      <c r="F324" s="26"/>
      <c r="G324" s="26"/>
      <c r="H324" s="26"/>
      <c r="I324" s="26"/>
      <c r="J324" s="43"/>
      <c r="K324" s="43"/>
      <c r="L324" s="43"/>
      <c r="M324" s="43"/>
      <c r="N324" s="43"/>
      <c r="O324" s="43"/>
      <c r="P324" s="26"/>
      <c r="Q324" s="26"/>
      <c r="R324" s="26"/>
      <c r="S324" s="26"/>
      <c r="T324" s="43"/>
      <c r="U324" s="43"/>
      <c r="V324" s="43"/>
      <c r="W324" s="43"/>
      <c r="X324" s="43"/>
      <c r="Y324" s="43"/>
      <c r="Z324" s="43"/>
      <c r="AA324" s="43"/>
      <c r="AB324" s="43"/>
      <c r="AC324" s="26"/>
      <c r="AD324" s="52" t="s">
        <v>824</v>
      </c>
      <c r="AE324" s="26">
        <f t="shared" si="96"/>
        <v>2.1</v>
      </c>
      <c r="AF324" s="26">
        <f t="shared" si="96"/>
        <v>2.1</v>
      </c>
      <c r="AG324" s="26"/>
      <c r="AH324" s="26"/>
      <c r="AI324" s="26"/>
      <c r="AJ324" s="26"/>
      <c r="AK324" s="26"/>
      <c r="AL324" s="26"/>
      <c r="AM324" s="26">
        <v>2.1</v>
      </c>
      <c r="AN324" s="26">
        <v>2.1</v>
      </c>
      <c r="AO324" s="26">
        <f t="shared" si="97"/>
        <v>0</v>
      </c>
      <c r="AP324" s="26"/>
      <c r="AQ324" s="26"/>
      <c r="AR324" s="26"/>
      <c r="AS324" s="26"/>
      <c r="AT324" s="26"/>
      <c r="AU324" s="26"/>
      <c r="AV324" s="26"/>
      <c r="AW324" s="26"/>
      <c r="AX324" s="26"/>
      <c r="AY324" s="26"/>
      <c r="AZ324" s="26"/>
      <c r="BA324" s="26"/>
      <c r="BB324" s="26"/>
      <c r="BC324" s="26"/>
      <c r="BD324" s="26"/>
      <c r="BE324" s="26"/>
      <c r="BF324" s="26"/>
      <c r="BG324" s="26"/>
      <c r="BH324" s="26"/>
    </row>
    <row r="325" spans="1:60" ht="35.65" customHeight="1" thickBot="1">
      <c r="A325" s="27"/>
      <c r="B325" s="35"/>
      <c r="C325" s="43"/>
      <c r="D325" s="43"/>
      <c r="E325" s="43"/>
      <c r="F325" s="26"/>
      <c r="G325" s="26"/>
      <c r="H325" s="26"/>
      <c r="I325" s="26"/>
      <c r="J325" s="43"/>
      <c r="K325" s="43"/>
      <c r="L325" s="43"/>
      <c r="M325" s="43"/>
      <c r="N325" s="43"/>
      <c r="O325" s="43"/>
      <c r="P325" s="26"/>
      <c r="Q325" s="26"/>
      <c r="R325" s="26"/>
      <c r="S325" s="26"/>
      <c r="T325" s="43"/>
      <c r="U325" s="43"/>
      <c r="V325" s="43"/>
      <c r="W325" s="43"/>
      <c r="X325" s="43"/>
      <c r="Y325" s="43"/>
      <c r="Z325" s="43"/>
      <c r="AA325" s="43"/>
      <c r="AB325" s="43"/>
      <c r="AC325" s="26"/>
      <c r="AD325" s="52" t="s">
        <v>1212</v>
      </c>
      <c r="AE325" s="26"/>
      <c r="AF325" s="26"/>
      <c r="AG325" s="26"/>
      <c r="AH325" s="26"/>
      <c r="AI325" s="26"/>
      <c r="AJ325" s="26"/>
      <c r="AK325" s="26"/>
      <c r="AL325" s="26"/>
      <c r="AM325" s="26"/>
      <c r="AN325" s="26"/>
      <c r="AO325" s="26">
        <f t="shared" si="97"/>
        <v>1334</v>
      </c>
      <c r="AP325" s="26"/>
      <c r="AQ325" s="26">
        <v>1334</v>
      </c>
      <c r="AR325" s="26"/>
      <c r="AS325" s="26"/>
      <c r="AT325" s="26"/>
      <c r="AU325" s="26"/>
      <c r="AV325" s="26"/>
      <c r="AW325" s="26"/>
      <c r="AX325" s="26"/>
      <c r="AY325" s="26"/>
      <c r="AZ325" s="26"/>
      <c r="BA325" s="26"/>
      <c r="BB325" s="26"/>
      <c r="BC325" s="26"/>
      <c r="BD325" s="26"/>
      <c r="BE325" s="26"/>
      <c r="BF325" s="26"/>
      <c r="BG325" s="26"/>
      <c r="BH325" s="26"/>
    </row>
    <row r="326" spans="1:60" ht="35.65" customHeight="1" thickBot="1">
      <c r="A326" s="27" t="s">
        <v>217</v>
      </c>
      <c r="B326" s="35"/>
      <c r="C326" s="43" t="s">
        <v>105</v>
      </c>
      <c r="D326" s="43" t="s">
        <v>106</v>
      </c>
      <c r="E326" s="43" t="s">
        <v>107</v>
      </c>
      <c r="F326" s="26"/>
      <c r="G326" s="26"/>
      <c r="H326" s="26"/>
      <c r="I326" s="26"/>
      <c r="J326" s="43" t="s">
        <v>108</v>
      </c>
      <c r="K326" s="43" t="s">
        <v>109</v>
      </c>
      <c r="L326" s="43" t="s">
        <v>110</v>
      </c>
      <c r="M326" s="43" t="s">
        <v>231</v>
      </c>
      <c r="N326" s="43"/>
      <c r="O326" s="43"/>
      <c r="P326" s="26"/>
      <c r="Q326" s="26"/>
      <c r="R326" s="26"/>
      <c r="S326" s="26"/>
      <c r="T326" s="43" t="s">
        <v>232</v>
      </c>
      <c r="U326" s="43" t="s">
        <v>112</v>
      </c>
      <c r="V326" s="43"/>
      <c r="W326" s="43" t="s">
        <v>232</v>
      </c>
      <c r="X326" s="43" t="s">
        <v>112</v>
      </c>
      <c r="Y326" s="43"/>
      <c r="Z326" s="43"/>
      <c r="AA326" s="43"/>
      <c r="AB326" s="43"/>
      <c r="AC326" s="26"/>
      <c r="AD326" s="52" t="s">
        <v>825</v>
      </c>
      <c r="AE326" s="26">
        <f t="shared" si="96"/>
        <v>0</v>
      </c>
      <c r="AF326" s="26">
        <f t="shared" si="96"/>
        <v>0</v>
      </c>
      <c r="AG326" s="26"/>
      <c r="AH326" s="26"/>
      <c r="AI326" s="26"/>
      <c r="AJ326" s="26"/>
      <c r="AK326" s="26"/>
      <c r="AL326" s="26"/>
      <c r="AM326" s="26"/>
      <c r="AN326" s="26"/>
      <c r="AO326" s="26">
        <f t="shared" si="97"/>
        <v>0</v>
      </c>
      <c r="AP326" s="26"/>
      <c r="AQ326" s="26"/>
      <c r="AR326" s="26"/>
      <c r="AS326" s="26"/>
      <c r="AT326" s="26">
        <f t="shared" ref="AT326:AT327" si="100">AU326+AV326+AW326+AX326</f>
        <v>0</v>
      </c>
      <c r="AU326" s="26"/>
      <c r="AV326" s="26"/>
      <c r="AW326" s="26"/>
      <c r="AX326" s="26"/>
      <c r="AY326" s="26">
        <f>AZ326+BA326+BC326</f>
        <v>0</v>
      </c>
      <c r="AZ326" s="26"/>
      <c r="BA326" s="26"/>
      <c r="BB326" s="26"/>
      <c r="BC326" s="26"/>
      <c r="BD326" s="26">
        <f>BE326+BF326+BH326</f>
        <v>0</v>
      </c>
      <c r="BE326" s="26"/>
      <c r="BF326" s="26"/>
      <c r="BG326" s="26"/>
      <c r="BH326" s="26"/>
    </row>
    <row r="327" spans="1:60" ht="35.65" customHeight="1" thickBot="1">
      <c r="A327" s="27" t="s">
        <v>217</v>
      </c>
      <c r="B327" s="35"/>
      <c r="C327" s="43" t="s">
        <v>105</v>
      </c>
      <c r="D327" s="43" t="s">
        <v>117</v>
      </c>
      <c r="E327" s="43" t="s">
        <v>107</v>
      </c>
      <c r="F327" s="26"/>
      <c r="G327" s="26"/>
      <c r="H327" s="26"/>
      <c r="I327" s="26"/>
      <c r="J327" s="43" t="s">
        <v>108</v>
      </c>
      <c r="K327" s="43" t="s">
        <v>109</v>
      </c>
      <c r="L327" s="43" t="s">
        <v>110</v>
      </c>
      <c r="M327" s="43" t="s">
        <v>233</v>
      </c>
      <c r="N327" s="43" t="s">
        <v>112</v>
      </c>
      <c r="O327" s="135"/>
      <c r="P327" s="26"/>
      <c r="Q327" s="26"/>
      <c r="R327" s="26"/>
      <c r="S327" s="26"/>
      <c r="T327" s="43" t="s">
        <v>234</v>
      </c>
      <c r="U327" s="43" t="s">
        <v>112</v>
      </c>
      <c r="V327" s="43"/>
      <c r="W327" s="43" t="s">
        <v>234</v>
      </c>
      <c r="X327" s="43" t="s">
        <v>112</v>
      </c>
      <c r="Y327" s="43"/>
      <c r="Z327" s="43"/>
      <c r="AA327" s="43"/>
      <c r="AB327" s="43"/>
      <c r="AC327" s="26"/>
      <c r="AD327" s="52" t="s">
        <v>826</v>
      </c>
      <c r="AE327" s="26">
        <f t="shared" si="96"/>
        <v>0</v>
      </c>
      <c r="AF327" s="26">
        <f t="shared" si="96"/>
        <v>0</v>
      </c>
      <c r="AG327" s="26"/>
      <c r="AH327" s="26"/>
      <c r="AI327" s="26"/>
      <c r="AJ327" s="26"/>
      <c r="AK327" s="26"/>
      <c r="AL327" s="26"/>
      <c r="AM327" s="26"/>
      <c r="AN327" s="26"/>
      <c r="AO327" s="26">
        <f t="shared" si="97"/>
        <v>0</v>
      </c>
      <c r="AP327" s="26"/>
      <c r="AQ327" s="26"/>
      <c r="AR327" s="26"/>
      <c r="AS327" s="26"/>
      <c r="AT327" s="26">
        <f t="shared" si="100"/>
        <v>0</v>
      </c>
      <c r="AU327" s="26"/>
      <c r="AV327" s="26"/>
      <c r="AW327" s="26"/>
      <c r="AX327" s="26"/>
      <c r="AY327" s="26">
        <f>AZ327+BA327+BC327</f>
        <v>0</v>
      </c>
      <c r="AZ327" s="26"/>
      <c r="BA327" s="26"/>
      <c r="BB327" s="26"/>
      <c r="BC327" s="26"/>
      <c r="BD327" s="26">
        <f>BE327+BF327+BH327</f>
        <v>0</v>
      </c>
      <c r="BE327" s="26"/>
      <c r="BF327" s="26"/>
      <c r="BG327" s="26"/>
      <c r="BH327" s="26"/>
    </row>
    <row r="328" spans="1:60" ht="35.65" customHeight="1" thickBot="1">
      <c r="A328" s="27" t="s">
        <v>217</v>
      </c>
      <c r="B328" s="35"/>
      <c r="C328" s="20" t="s">
        <v>105</v>
      </c>
      <c r="D328" s="20" t="s">
        <v>106</v>
      </c>
      <c r="E328" s="20" t="s">
        <v>107</v>
      </c>
      <c r="F328" s="20"/>
      <c r="G328" s="20"/>
      <c r="H328" s="20"/>
      <c r="I328" s="20"/>
      <c r="J328" s="122" t="s">
        <v>235</v>
      </c>
      <c r="K328" s="20" t="s">
        <v>109</v>
      </c>
      <c r="L328" s="107">
        <v>43466</v>
      </c>
      <c r="M328" s="20" t="s">
        <v>236</v>
      </c>
      <c r="N328" s="20" t="s">
        <v>112</v>
      </c>
      <c r="O328" s="107" t="s">
        <v>237</v>
      </c>
      <c r="P328" s="96"/>
      <c r="Q328" s="96"/>
      <c r="R328" s="96"/>
      <c r="S328" s="96"/>
      <c r="T328" s="43" t="s">
        <v>238</v>
      </c>
      <c r="U328" s="43" t="s">
        <v>112</v>
      </c>
      <c r="V328" s="43"/>
      <c r="W328" s="43" t="s">
        <v>238</v>
      </c>
      <c r="X328" s="43" t="s">
        <v>112</v>
      </c>
      <c r="Y328" s="43"/>
      <c r="Z328" s="43"/>
      <c r="AA328" s="43"/>
      <c r="AB328" s="43"/>
      <c r="AC328" s="26"/>
      <c r="AD328" s="52" t="s">
        <v>827</v>
      </c>
      <c r="AE328" s="26">
        <f t="shared" si="96"/>
        <v>0</v>
      </c>
      <c r="AF328" s="26">
        <f t="shared" si="96"/>
        <v>0</v>
      </c>
      <c r="AG328" s="26"/>
      <c r="AH328" s="26"/>
      <c r="AI328" s="26"/>
      <c r="AJ328" s="26"/>
      <c r="AK328" s="26"/>
      <c r="AL328" s="26"/>
      <c r="AM328" s="26"/>
      <c r="AN328" s="26"/>
      <c r="AO328" s="26">
        <f t="shared" si="97"/>
        <v>122</v>
      </c>
      <c r="AP328" s="26"/>
      <c r="AQ328" s="26">
        <v>110</v>
      </c>
      <c r="AR328" s="26"/>
      <c r="AS328" s="26">
        <v>12</v>
      </c>
      <c r="AT328" s="26"/>
      <c r="AU328" s="26"/>
      <c r="AV328" s="26"/>
      <c r="AW328" s="26"/>
      <c r="AX328" s="26"/>
      <c r="AY328" s="26"/>
      <c r="AZ328" s="26"/>
      <c r="BA328" s="26"/>
      <c r="BB328" s="26"/>
      <c r="BC328" s="26"/>
      <c r="BD328" s="26"/>
      <c r="BE328" s="26"/>
      <c r="BF328" s="26"/>
      <c r="BG328" s="26"/>
      <c r="BH328" s="26"/>
    </row>
    <row r="329" spans="1:60" ht="35.65" customHeight="1" thickBot="1">
      <c r="A329" s="27" t="s">
        <v>217</v>
      </c>
      <c r="B329" s="35"/>
      <c r="C329" s="20"/>
      <c r="D329" s="20"/>
      <c r="E329" s="20"/>
      <c r="F329" s="20"/>
      <c r="G329" s="20"/>
      <c r="H329" s="20"/>
      <c r="I329" s="20"/>
      <c r="J329" s="122"/>
      <c r="K329" s="20"/>
      <c r="L329" s="107"/>
      <c r="M329" s="20"/>
      <c r="N329" s="20"/>
      <c r="O329" s="107"/>
      <c r="P329" s="96"/>
      <c r="Q329" s="96"/>
      <c r="R329" s="96"/>
      <c r="S329" s="96"/>
      <c r="T329" s="43"/>
      <c r="U329" s="43"/>
      <c r="V329" s="43"/>
      <c r="W329" s="43"/>
      <c r="X329" s="43"/>
      <c r="Y329" s="43"/>
      <c r="Z329" s="43"/>
      <c r="AA329" s="43"/>
      <c r="AB329" s="43"/>
      <c r="AC329" s="26"/>
      <c r="AD329" s="52" t="s">
        <v>828</v>
      </c>
      <c r="AE329" s="26">
        <f t="shared" si="96"/>
        <v>0</v>
      </c>
      <c r="AF329" s="26">
        <f t="shared" si="96"/>
        <v>0</v>
      </c>
      <c r="AG329" s="26">
        <v>0</v>
      </c>
      <c r="AH329" s="26"/>
      <c r="AI329" s="26"/>
      <c r="AJ329" s="26"/>
      <c r="AK329" s="26"/>
      <c r="AL329" s="26"/>
      <c r="AM329" s="26"/>
      <c r="AN329" s="26"/>
      <c r="AO329" s="26"/>
      <c r="AP329" s="26"/>
      <c r="AQ329" s="26"/>
      <c r="AR329" s="26"/>
      <c r="AS329" s="26"/>
      <c r="AT329" s="26"/>
      <c r="AU329" s="26"/>
      <c r="AV329" s="26"/>
      <c r="AW329" s="26"/>
      <c r="AX329" s="26"/>
      <c r="AY329" s="26"/>
      <c r="AZ329" s="26"/>
      <c r="BA329" s="26"/>
      <c r="BB329" s="26"/>
      <c r="BC329" s="26"/>
      <c r="BD329" s="26"/>
      <c r="BE329" s="26"/>
      <c r="BF329" s="26"/>
      <c r="BG329" s="26"/>
      <c r="BH329" s="26"/>
    </row>
    <row r="330" spans="1:60" ht="35.65" customHeight="1" thickBot="1">
      <c r="A330" s="27" t="s">
        <v>217</v>
      </c>
      <c r="B330" s="35"/>
      <c r="C330" s="20"/>
      <c r="D330" s="20"/>
      <c r="E330" s="20"/>
      <c r="F330" s="20"/>
      <c r="G330" s="20"/>
      <c r="H330" s="20"/>
      <c r="I330" s="20"/>
      <c r="J330" s="122"/>
      <c r="K330" s="20"/>
      <c r="L330" s="107"/>
      <c r="M330" s="20"/>
      <c r="N330" s="20"/>
      <c r="O330" s="107"/>
      <c r="P330" s="96"/>
      <c r="Q330" s="96"/>
      <c r="R330" s="96"/>
      <c r="S330" s="96"/>
      <c r="T330" s="43"/>
      <c r="U330" s="43"/>
      <c r="V330" s="43"/>
      <c r="W330" s="43"/>
      <c r="X330" s="43"/>
      <c r="Y330" s="43"/>
      <c r="Z330" s="43"/>
      <c r="AA330" s="43"/>
      <c r="AB330" s="43"/>
      <c r="AC330" s="26"/>
      <c r="AD330" s="52" t="s">
        <v>829</v>
      </c>
      <c r="AE330" s="26">
        <f t="shared" si="96"/>
        <v>26026.5</v>
      </c>
      <c r="AF330" s="26">
        <f>AH330+AJ330+AL330+AN330</f>
        <v>26026.5</v>
      </c>
      <c r="AG330" s="26"/>
      <c r="AH330" s="26"/>
      <c r="AI330" s="26">
        <v>15217.8</v>
      </c>
      <c r="AJ330" s="26">
        <v>15217.8</v>
      </c>
      <c r="AK330" s="26"/>
      <c r="AL330" s="26"/>
      <c r="AM330" s="26">
        <v>10808.7</v>
      </c>
      <c r="AN330" s="26">
        <v>10808.7</v>
      </c>
      <c r="AO330" s="26"/>
      <c r="AP330" s="26"/>
      <c r="AQ330" s="26"/>
      <c r="AR330" s="26"/>
      <c r="AS330" s="26"/>
      <c r="AT330" s="26"/>
      <c r="AU330" s="26"/>
      <c r="AV330" s="26"/>
      <c r="AW330" s="26"/>
      <c r="AX330" s="26"/>
      <c r="AY330" s="26"/>
      <c r="AZ330" s="26"/>
      <c r="BA330" s="26"/>
      <c r="BB330" s="26"/>
      <c r="BC330" s="26"/>
      <c r="BD330" s="26"/>
      <c r="BE330" s="26"/>
      <c r="BF330" s="26"/>
      <c r="BG330" s="26"/>
      <c r="BH330" s="26"/>
    </row>
    <row r="331" spans="1:60" ht="35.65" customHeight="1" thickBot="1">
      <c r="A331" s="27" t="s">
        <v>217</v>
      </c>
      <c r="B331" s="35"/>
      <c r="C331" s="43" t="s">
        <v>239</v>
      </c>
      <c r="D331" s="43" t="s">
        <v>117</v>
      </c>
      <c r="E331" s="43" t="s">
        <v>107</v>
      </c>
      <c r="F331" s="26"/>
      <c r="G331" s="26"/>
      <c r="H331" s="26"/>
      <c r="I331" s="26"/>
      <c r="J331" s="43"/>
      <c r="K331" s="43"/>
      <c r="L331" s="43"/>
      <c r="M331" s="43"/>
      <c r="N331" s="43"/>
      <c r="O331" s="43"/>
      <c r="P331" s="26"/>
      <c r="Q331" s="26"/>
      <c r="R331" s="26"/>
      <c r="S331" s="26"/>
      <c r="T331" s="43"/>
      <c r="U331" s="43"/>
      <c r="V331" s="43"/>
      <c r="W331" s="98" t="s">
        <v>191</v>
      </c>
      <c r="X331" s="43" t="s">
        <v>112</v>
      </c>
      <c r="Y331" s="43"/>
      <c r="Z331" s="98" t="s">
        <v>191</v>
      </c>
      <c r="AA331" s="43" t="s">
        <v>112</v>
      </c>
      <c r="AB331" s="43"/>
      <c r="AC331" s="26"/>
      <c r="AD331" s="52" t="s">
        <v>830</v>
      </c>
      <c r="AE331" s="26">
        <f t="shared" si="96"/>
        <v>5191.2999999999993</v>
      </c>
      <c r="AF331" s="26">
        <f t="shared" si="96"/>
        <v>5191.3</v>
      </c>
      <c r="AG331" s="26"/>
      <c r="AH331" s="26"/>
      <c r="AI331" s="26"/>
      <c r="AJ331" s="26"/>
      <c r="AK331" s="26"/>
      <c r="AL331" s="26"/>
      <c r="AM331" s="26">
        <f>4425.7+100+124.8+506+34.9-0.1</f>
        <v>5191.2999999999993</v>
      </c>
      <c r="AN331" s="26">
        <v>5191.3</v>
      </c>
      <c r="AO331" s="26">
        <f t="shared" si="97"/>
        <v>7801.2</v>
      </c>
      <c r="AP331" s="26"/>
      <c r="AQ331" s="26"/>
      <c r="AR331" s="26"/>
      <c r="AS331" s="26">
        <f>4956.5+254.3+1589.5+455+695.9-150</f>
        <v>7801.2</v>
      </c>
      <c r="AT331" s="26">
        <f t="shared" ref="AT331:AT335" si="101">AU331+AV331+AW331+AX331</f>
        <v>4956.5</v>
      </c>
      <c r="AU331" s="26"/>
      <c r="AV331" s="26"/>
      <c r="AW331" s="26"/>
      <c r="AX331" s="26">
        <v>4956.5</v>
      </c>
      <c r="AY331" s="26">
        <f>AZ331+BA331+BC331</f>
        <v>4956.5</v>
      </c>
      <c r="AZ331" s="26"/>
      <c r="BA331" s="26"/>
      <c r="BB331" s="26"/>
      <c r="BC331" s="26">
        <v>4956.5</v>
      </c>
      <c r="BD331" s="26">
        <f>BE331+BF331+BH331</f>
        <v>4956.5</v>
      </c>
      <c r="BE331" s="26"/>
      <c r="BF331" s="26"/>
      <c r="BG331" s="26"/>
      <c r="BH331" s="26">
        <v>4956.5</v>
      </c>
    </row>
    <row r="332" spans="1:60" ht="35.65" customHeight="1" thickBot="1">
      <c r="A332" s="27" t="s">
        <v>217</v>
      </c>
      <c r="B332" s="35"/>
      <c r="C332" s="43" t="s">
        <v>239</v>
      </c>
      <c r="D332" s="43" t="s">
        <v>117</v>
      </c>
      <c r="E332" s="43" t="s">
        <v>107</v>
      </c>
      <c r="F332" s="26"/>
      <c r="G332" s="26"/>
      <c r="H332" s="26"/>
      <c r="I332" s="26"/>
      <c r="J332" s="43"/>
      <c r="K332" s="43"/>
      <c r="L332" s="43"/>
      <c r="M332" s="43"/>
      <c r="N332" s="43"/>
      <c r="O332" s="43"/>
      <c r="P332" s="26"/>
      <c r="Q332" s="26"/>
      <c r="R332" s="26"/>
      <c r="S332" s="26"/>
      <c r="T332" s="43"/>
      <c r="U332" s="43"/>
      <c r="V332" s="43"/>
      <c r="W332" s="98" t="s">
        <v>191</v>
      </c>
      <c r="X332" s="43" t="s">
        <v>112</v>
      </c>
      <c r="Y332" s="43"/>
      <c r="Z332" s="98" t="s">
        <v>191</v>
      </c>
      <c r="AA332" s="43" t="s">
        <v>112</v>
      </c>
      <c r="AB332" s="43"/>
      <c r="AC332" s="26"/>
      <c r="AD332" s="52" t="s">
        <v>831</v>
      </c>
      <c r="AE332" s="26">
        <f t="shared" si="96"/>
        <v>1214.3</v>
      </c>
      <c r="AF332" s="26">
        <f t="shared" si="96"/>
        <v>1214.0999999999999</v>
      </c>
      <c r="AG332" s="26"/>
      <c r="AH332" s="26"/>
      <c r="AI332" s="26"/>
      <c r="AJ332" s="26"/>
      <c r="AK332" s="26"/>
      <c r="AL332" s="26"/>
      <c r="AM332" s="26">
        <f>950+264.3</f>
        <v>1214.3</v>
      </c>
      <c r="AN332" s="26">
        <v>1214.0999999999999</v>
      </c>
      <c r="AO332" s="26">
        <f t="shared" si="97"/>
        <v>5000</v>
      </c>
      <c r="AP332" s="26"/>
      <c r="AQ332" s="26"/>
      <c r="AR332" s="26"/>
      <c r="AS332" s="26">
        <v>5000</v>
      </c>
      <c r="AT332" s="26">
        <f t="shared" si="101"/>
        <v>0</v>
      </c>
      <c r="AU332" s="26"/>
      <c r="AV332" s="26"/>
      <c r="AW332" s="26"/>
      <c r="AX332" s="26"/>
      <c r="AY332" s="26">
        <f>AZ332+BA332+BC332</f>
        <v>0</v>
      </c>
      <c r="AZ332" s="26"/>
      <c r="BA332" s="26"/>
      <c r="BB332" s="26"/>
      <c r="BC332" s="26"/>
      <c r="BD332" s="26">
        <f>BE332+BF332+BH332</f>
        <v>0</v>
      </c>
      <c r="BE332" s="26"/>
      <c r="BF332" s="26"/>
      <c r="BG332" s="26"/>
      <c r="BH332" s="26"/>
    </row>
    <row r="333" spans="1:60" ht="35.65" customHeight="1" thickBot="1">
      <c r="A333" s="27" t="s">
        <v>217</v>
      </c>
      <c r="B333" s="35"/>
      <c r="C333" s="43" t="s">
        <v>239</v>
      </c>
      <c r="D333" s="43" t="s">
        <v>172</v>
      </c>
      <c r="E333" s="43" t="s">
        <v>107</v>
      </c>
      <c r="F333" s="26"/>
      <c r="G333" s="26"/>
      <c r="H333" s="26"/>
      <c r="I333" s="26"/>
      <c r="J333" s="43"/>
      <c r="K333" s="43"/>
      <c r="L333" s="43"/>
      <c r="M333" s="43"/>
      <c r="N333" s="43"/>
      <c r="O333" s="43"/>
      <c r="P333" s="26"/>
      <c r="Q333" s="26"/>
      <c r="R333" s="26"/>
      <c r="S333" s="26"/>
      <c r="T333" s="43"/>
      <c r="U333" s="43"/>
      <c r="V333" s="43"/>
      <c r="W333" s="98" t="s">
        <v>191</v>
      </c>
      <c r="X333" s="43" t="s">
        <v>112</v>
      </c>
      <c r="Y333" s="43"/>
      <c r="Z333" s="98" t="s">
        <v>191</v>
      </c>
      <c r="AA333" s="43" t="s">
        <v>112</v>
      </c>
      <c r="AB333" s="43"/>
      <c r="AC333" s="26"/>
      <c r="AD333" s="52" t="s">
        <v>832</v>
      </c>
      <c r="AE333" s="26">
        <f t="shared" si="96"/>
        <v>4652</v>
      </c>
      <c r="AF333" s="26">
        <f t="shared" si="96"/>
        <v>4321.1000000000004</v>
      </c>
      <c r="AG333" s="26"/>
      <c r="AH333" s="26"/>
      <c r="AI333" s="26"/>
      <c r="AJ333" s="26"/>
      <c r="AK333" s="26"/>
      <c r="AL333" s="26"/>
      <c r="AM333" s="26">
        <v>4652</v>
      </c>
      <c r="AN333" s="26">
        <v>4321.1000000000004</v>
      </c>
      <c r="AO333" s="26">
        <f t="shared" si="97"/>
        <v>5030</v>
      </c>
      <c r="AP333" s="26"/>
      <c r="AQ333" s="26"/>
      <c r="AR333" s="26"/>
      <c r="AS333" s="26">
        <f>4468.7+143.1+268.2+150</f>
        <v>5030</v>
      </c>
      <c r="AT333" s="26">
        <f t="shared" si="101"/>
        <v>4468.7</v>
      </c>
      <c r="AU333" s="26"/>
      <c r="AV333" s="26"/>
      <c r="AW333" s="26"/>
      <c r="AX333" s="26">
        <v>4468.7</v>
      </c>
      <c r="AY333" s="26">
        <f>AZ333+BA333+BC333</f>
        <v>4468.7</v>
      </c>
      <c r="AZ333" s="26"/>
      <c r="BA333" s="26"/>
      <c r="BB333" s="26"/>
      <c r="BC333" s="26">
        <v>4468.7</v>
      </c>
      <c r="BD333" s="26">
        <f>BE333+BF333+BH333</f>
        <v>4468.7</v>
      </c>
      <c r="BE333" s="26"/>
      <c r="BF333" s="26"/>
      <c r="BG333" s="26"/>
      <c r="BH333" s="26">
        <v>4468.7</v>
      </c>
    </row>
    <row r="334" spans="1:60" ht="35.65" customHeight="1" thickBot="1">
      <c r="A334" s="27" t="s">
        <v>217</v>
      </c>
      <c r="B334" s="35"/>
      <c r="C334" s="43" t="s">
        <v>239</v>
      </c>
      <c r="D334" s="43" t="s">
        <v>240</v>
      </c>
      <c r="E334" s="43" t="s">
        <v>107</v>
      </c>
      <c r="F334" s="26"/>
      <c r="G334" s="26"/>
      <c r="H334" s="26"/>
      <c r="I334" s="26"/>
      <c r="J334" s="43"/>
      <c r="K334" s="43"/>
      <c r="L334" s="43"/>
      <c r="M334" s="43"/>
      <c r="N334" s="43"/>
      <c r="O334" s="43"/>
      <c r="P334" s="26"/>
      <c r="Q334" s="26"/>
      <c r="R334" s="26"/>
      <c r="S334" s="26"/>
      <c r="T334" s="43"/>
      <c r="U334" s="43"/>
      <c r="V334" s="43"/>
      <c r="W334" s="98" t="s">
        <v>191</v>
      </c>
      <c r="X334" s="43" t="s">
        <v>112</v>
      </c>
      <c r="Y334" s="43"/>
      <c r="Z334" s="98" t="s">
        <v>191</v>
      </c>
      <c r="AA334" s="43" t="s">
        <v>112</v>
      </c>
      <c r="AB334" s="43"/>
      <c r="AC334" s="26"/>
      <c r="AD334" s="52" t="s">
        <v>833</v>
      </c>
      <c r="AE334" s="26">
        <f t="shared" si="96"/>
        <v>33801.300000000003</v>
      </c>
      <c r="AF334" s="26">
        <f t="shared" si="96"/>
        <v>33713.199999999997</v>
      </c>
      <c r="AG334" s="26"/>
      <c r="AH334" s="26"/>
      <c r="AI334" s="26">
        <v>5571.1</v>
      </c>
      <c r="AJ334" s="26">
        <v>5571.1</v>
      </c>
      <c r="AK334" s="26"/>
      <c r="AL334" s="26"/>
      <c r="AM334" s="26">
        <f>28230.2+1819.1+1174.5+2577.5-5571.1</f>
        <v>28230.200000000004</v>
      </c>
      <c r="AN334" s="26">
        <f>33713.2-5571.1</f>
        <v>28142.1</v>
      </c>
      <c r="AO334" s="26">
        <f t="shared" si="97"/>
        <v>38459.399999999994</v>
      </c>
      <c r="AP334" s="26"/>
      <c r="AQ334" s="26">
        <v>954.7</v>
      </c>
      <c r="AR334" s="26"/>
      <c r="AS334" s="26">
        <f>33028+954.7-954.7+477.4+1357.1+2642.2</f>
        <v>37504.699999999997</v>
      </c>
      <c r="AT334" s="26">
        <f t="shared" si="101"/>
        <v>33028</v>
      </c>
      <c r="AU334" s="26"/>
      <c r="AV334" s="26"/>
      <c r="AW334" s="26"/>
      <c r="AX334" s="26">
        <v>33028</v>
      </c>
      <c r="AY334" s="26">
        <f>AZ334+BA334+BC334</f>
        <v>33028</v>
      </c>
      <c r="AZ334" s="26"/>
      <c r="BA334" s="26"/>
      <c r="BB334" s="26"/>
      <c r="BC334" s="26">
        <v>33028</v>
      </c>
      <c r="BD334" s="26">
        <f>BE334+BF334+BH334</f>
        <v>33028</v>
      </c>
      <c r="BE334" s="26"/>
      <c r="BF334" s="26"/>
      <c r="BG334" s="26"/>
      <c r="BH334" s="26">
        <v>33028</v>
      </c>
    </row>
    <row r="335" spans="1:60" ht="35.65" customHeight="1" thickBot="1">
      <c r="A335" s="27" t="s">
        <v>217</v>
      </c>
      <c r="B335" s="35"/>
      <c r="C335" s="43" t="s">
        <v>181</v>
      </c>
      <c r="D335" s="43" t="s">
        <v>153</v>
      </c>
      <c r="E335" s="43" t="s">
        <v>182</v>
      </c>
      <c r="F335" s="26"/>
      <c r="G335" s="26"/>
      <c r="H335" s="26"/>
      <c r="I335" s="26"/>
      <c r="J335" s="43" t="s">
        <v>183</v>
      </c>
      <c r="K335" s="43" t="s">
        <v>109</v>
      </c>
      <c r="L335" s="43" t="s">
        <v>125</v>
      </c>
      <c r="M335" s="43" t="s">
        <v>241</v>
      </c>
      <c r="N335" s="43" t="s">
        <v>112</v>
      </c>
      <c r="O335" s="43"/>
      <c r="P335" s="26"/>
      <c r="Q335" s="26"/>
      <c r="R335" s="26"/>
      <c r="S335" s="26"/>
      <c r="T335" s="43" t="s">
        <v>242</v>
      </c>
      <c r="U335" s="43" t="s">
        <v>112</v>
      </c>
      <c r="V335" s="43"/>
      <c r="W335" s="43" t="s">
        <v>242</v>
      </c>
      <c r="X335" s="43" t="s">
        <v>112</v>
      </c>
      <c r="Y335" s="43"/>
      <c r="Z335" s="43" t="s">
        <v>243</v>
      </c>
      <c r="AA335" s="43" t="s">
        <v>112</v>
      </c>
      <c r="AB335" s="43"/>
      <c r="AC335" s="26"/>
      <c r="AD335" s="52" t="s">
        <v>834</v>
      </c>
      <c r="AE335" s="26">
        <f t="shared" si="96"/>
        <v>920</v>
      </c>
      <c r="AF335" s="26">
        <f t="shared" si="96"/>
        <v>920</v>
      </c>
      <c r="AG335" s="26">
        <f>617.8-0.1</f>
        <v>617.69999999999993</v>
      </c>
      <c r="AH335" s="26">
        <f>617.8-0.1</f>
        <v>617.69999999999993</v>
      </c>
      <c r="AI335" s="26">
        <v>252.3</v>
      </c>
      <c r="AJ335" s="26">
        <v>252.3</v>
      </c>
      <c r="AK335" s="26"/>
      <c r="AL335" s="26"/>
      <c r="AM335" s="26">
        <v>50</v>
      </c>
      <c r="AN335" s="26">
        <v>50</v>
      </c>
      <c r="AO335" s="26">
        <f t="shared" si="97"/>
        <v>0</v>
      </c>
      <c r="AP335" s="26"/>
      <c r="AQ335" s="26"/>
      <c r="AR335" s="26"/>
      <c r="AS335" s="26"/>
      <c r="AT335" s="26">
        <f t="shared" si="101"/>
        <v>0</v>
      </c>
      <c r="AU335" s="26"/>
      <c r="AV335" s="26"/>
      <c r="AW335" s="26"/>
      <c r="AX335" s="26"/>
      <c r="AY335" s="26">
        <f>AZ335+BA335+BC335</f>
        <v>0</v>
      </c>
      <c r="AZ335" s="26"/>
      <c r="BA335" s="26"/>
      <c r="BB335" s="26"/>
      <c r="BC335" s="26"/>
      <c r="BD335" s="26">
        <f>BE335+BF335+BH335</f>
        <v>0</v>
      </c>
      <c r="BE335" s="26"/>
      <c r="BF335" s="26"/>
      <c r="BG335" s="26"/>
      <c r="BH335" s="26"/>
    </row>
    <row r="336" spans="1:60" ht="35.65" customHeight="1" thickBot="1">
      <c r="A336" s="27" t="s">
        <v>217</v>
      </c>
      <c r="B336" s="35"/>
      <c r="C336" s="20" t="s">
        <v>105</v>
      </c>
      <c r="D336" s="20" t="s">
        <v>106</v>
      </c>
      <c r="E336" s="20" t="s">
        <v>107</v>
      </c>
      <c r="F336" s="20"/>
      <c r="G336" s="20"/>
      <c r="H336" s="20"/>
      <c r="I336" s="20"/>
      <c r="J336" s="122" t="s">
        <v>235</v>
      </c>
      <c r="K336" s="20" t="s">
        <v>109</v>
      </c>
      <c r="L336" s="107">
        <v>43466</v>
      </c>
      <c r="M336" s="20" t="s">
        <v>244</v>
      </c>
      <c r="N336" s="20" t="s">
        <v>112</v>
      </c>
      <c r="O336" s="107" t="s">
        <v>245</v>
      </c>
      <c r="P336" s="96"/>
      <c r="Q336" s="96"/>
      <c r="R336" s="96"/>
      <c r="S336" s="96"/>
      <c r="T336" s="43" t="s">
        <v>246</v>
      </c>
      <c r="U336" s="43" t="s">
        <v>112</v>
      </c>
      <c r="V336" s="43"/>
      <c r="W336" s="43" t="s">
        <v>246</v>
      </c>
      <c r="X336" s="43" t="s">
        <v>112</v>
      </c>
      <c r="Y336" s="43"/>
      <c r="Z336" s="43"/>
      <c r="AA336" s="43"/>
      <c r="AB336" s="43"/>
      <c r="AC336" s="26"/>
      <c r="AD336" s="52" t="s">
        <v>835</v>
      </c>
      <c r="AE336" s="26">
        <f t="shared" si="96"/>
        <v>0</v>
      </c>
      <c r="AF336" s="26">
        <f t="shared" si="96"/>
        <v>0</v>
      </c>
      <c r="AG336" s="26"/>
      <c r="AH336" s="26"/>
      <c r="AI336" s="26"/>
      <c r="AJ336" s="26"/>
      <c r="AK336" s="26"/>
      <c r="AL336" s="26"/>
      <c r="AM336" s="26"/>
      <c r="AN336" s="26"/>
      <c r="AO336" s="26"/>
      <c r="AP336" s="26"/>
      <c r="AQ336" s="26"/>
      <c r="AR336" s="26"/>
      <c r="AS336" s="26"/>
      <c r="AT336" s="26"/>
      <c r="AU336" s="26"/>
      <c r="AV336" s="26"/>
      <c r="AW336" s="26"/>
      <c r="AX336" s="26"/>
      <c r="AY336" s="26"/>
      <c r="AZ336" s="26"/>
      <c r="BA336" s="26"/>
      <c r="BB336" s="26"/>
      <c r="BC336" s="26"/>
      <c r="BD336" s="26"/>
      <c r="BE336" s="26"/>
      <c r="BF336" s="26"/>
      <c r="BG336" s="26"/>
      <c r="BH336" s="26"/>
    </row>
    <row r="337" spans="1:60" ht="35.65" customHeight="1" thickBot="1">
      <c r="A337" s="27" t="s">
        <v>217</v>
      </c>
      <c r="B337" s="35"/>
      <c r="C337" s="20" t="s">
        <v>105</v>
      </c>
      <c r="D337" s="20" t="s">
        <v>106</v>
      </c>
      <c r="E337" s="20" t="s">
        <v>107</v>
      </c>
      <c r="F337" s="20"/>
      <c r="G337" s="20"/>
      <c r="H337" s="20"/>
      <c r="I337" s="20"/>
      <c r="J337" s="122" t="s">
        <v>235</v>
      </c>
      <c r="K337" s="20" t="s">
        <v>109</v>
      </c>
      <c r="L337" s="107">
        <v>43466</v>
      </c>
      <c r="M337" s="20" t="s">
        <v>244</v>
      </c>
      <c r="N337" s="20" t="s">
        <v>112</v>
      </c>
      <c r="O337" s="107" t="s">
        <v>245</v>
      </c>
      <c r="P337" s="96"/>
      <c r="Q337" s="96"/>
      <c r="R337" s="96"/>
      <c r="S337" s="96"/>
      <c r="T337" s="43" t="s">
        <v>246</v>
      </c>
      <c r="U337" s="43" t="s">
        <v>112</v>
      </c>
      <c r="V337" s="43"/>
      <c r="W337" s="43" t="s">
        <v>246</v>
      </c>
      <c r="X337" s="43" t="s">
        <v>112</v>
      </c>
      <c r="Y337" s="43"/>
      <c r="Z337" s="43"/>
      <c r="AA337" s="43"/>
      <c r="AB337" s="43"/>
      <c r="AC337" s="26"/>
      <c r="AD337" s="52" t="s">
        <v>836</v>
      </c>
      <c r="AE337" s="26">
        <f t="shared" si="96"/>
        <v>0</v>
      </c>
      <c r="AF337" s="26">
        <f t="shared" si="96"/>
        <v>0</v>
      </c>
      <c r="AG337" s="26"/>
      <c r="AH337" s="26"/>
      <c r="AI337" s="26"/>
      <c r="AJ337" s="26"/>
      <c r="AK337" s="26"/>
      <c r="AL337" s="26"/>
      <c r="AM337" s="26"/>
      <c r="AN337" s="26"/>
      <c r="AO337" s="26"/>
      <c r="AP337" s="26"/>
      <c r="AQ337" s="26"/>
      <c r="AR337" s="26"/>
      <c r="AS337" s="26"/>
      <c r="AT337" s="26"/>
      <c r="AU337" s="26"/>
      <c r="AV337" s="26"/>
      <c r="AW337" s="26"/>
      <c r="AX337" s="26"/>
      <c r="AY337" s="26"/>
      <c r="AZ337" s="26"/>
      <c r="BA337" s="26"/>
      <c r="BB337" s="26"/>
      <c r="BC337" s="26"/>
      <c r="BD337" s="26"/>
      <c r="BE337" s="26"/>
      <c r="BF337" s="26"/>
      <c r="BG337" s="26"/>
      <c r="BH337" s="26"/>
    </row>
    <row r="338" spans="1:60" ht="35.65" customHeight="1" thickBot="1">
      <c r="A338" s="27" t="s">
        <v>217</v>
      </c>
      <c r="B338" s="35"/>
      <c r="C338" s="20"/>
      <c r="D338" s="20"/>
      <c r="E338" s="20"/>
      <c r="F338" s="20"/>
      <c r="G338" s="20"/>
      <c r="H338" s="20"/>
      <c r="I338" s="20"/>
      <c r="J338" s="122"/>
      <c r="K338" s="20"/>
      <c r="L338" s="107"/>
      <c r="M338" s="20"/>
      <c r="N338" s="20"/>
      <c r="O338" s="107"/>
      <c r="P338" s="96"/>
      <c r="Q338" s="96"/>
      <c r="R338" s="96"/>
      <c r="S338" s="96"/>
      <c r="T338" s="43"/>
      <c r="U338" s="43"/>
      <c r="V338" s="43"/>
      <c r="W338" s="43"/>
      <c r="X338" s="43"/>
      <c r="Y338" s="43"/>
      <c r="Z338" s="43"/>
      <c r="AA338" s="43"/>
      <c r="AB338" s="43"/>
      <c r="AC338" s="26"/>
      <c r="AD338" s="52" t="s">
        <v>837</v>
      </c>
      <c r="AE338" s="26">
        <f t="shared" si="96"/>
        <v>0</v>
      </c>
      <c r="AF338" s="26">
        <f t="shared" si="96"/>
        <v>0</v>
      </c>
      <c r="AG338" s="26"/>
      <c r="AH338" s="26"/>
      <c r="AI338" s="26"/>
      <c r="AJ338" s="26"/>
      <c r="AK338" s="26"/>
      <c r="AL338" s="26"/>
      <c r="AM338" s="26"/>
      <c r="AN338" s="26"/>
      <c r="AO338" s="26"/>
      <c r="AP338" s="26"/>
      <c r="AQ338" s="26"/>
      <c r="AR338" s="26"/>
      <c r="AS338" s="26"/>
      <c r="AT338" s="26"/>
      <c r="AU338" s="26"/>
      <c r="AV338" s="26"/>
      <c r="AW338" s="26"/>
      <c r="AX338" s="26"/>
      <c r="AY338" s="26"/>
      <c r="AZ338" s="26"/>
      <c r="BA338" s="26"/>
      <c r="BB338" s="26"/>
      <c r="BC338" s="26"/>
      <c r="BD338" s="26"/>
      <c r="BE338" s="26"/>
      <c r="BF338" s="26"/>
      <c r="BG338" s="26"/>
      <c r="BH338" s="26"/>
    </row>
    <row r="339" spans="1:60" ht="35.65" customHeight="1" thickBot="1">
      <c r="A339" s="27" t="s">
        <v>217</v>
      </c>
      <c r="B339" s="35"/>
      <c r="C339" s="20"/>
      <c r="D339" s="20"/>
      <c r="E339" s="20"/>
      <c r="F339" s="20"/>
      <c r="G339" s="20"/>
      <c r="H339" s="20"/>
      <c r="I339" s="20"/>
      <c r="J339" s="122"/>
      <c r="K339" s="20"/>
      <c r="L339" s="107"/>
      <c r="M339" s="20"/>
      <c r="N339" s="20"/>
      <c r="O339" s="107"/>
      <c r="P339" s="96"/>
      <c r="Q339" s="96"/>
      <c r="R339" s="96"/>
      <c r="S339" s="96"/>
      <c r="T339" s="43"/>
      <c r="U339" s="43"/>
      <c r="V339" s="43"/>
      <c r="W339" s="43"/>
      <c r="X339" s="43"/>
      <c r="Y339" s="43"/>
      <c r="Z339" s="43"/>
      <c r="AA339" s="43"/>
      <c r="AB339" s="43"/>
      <c r="AC339" s="26"/>
      <c r="AD339" s="52" t="s">
        <v>838</v>
      </c>
      <c r="AE339" s="26">
        <f t="shared" si="96"/>
        <v>1256.0999999999999</v>
      </c>
      <c r="AF339" s="26">
        <f t="shared" si="96"/>
        <v>1256.0999999999999</v>
      </c>
      <c r="AG339" s="26"/>
      <c r="AH339" s="26"/>
      <c r="AI339" s="26">
        <v>1256.0999999999999</v>
      </c>
      <c r="AJ339" s="26">
        <v>1256.0999999999999</v>
      </c>
      <c r="AK339" s="26"/>
      <c r="AL339" s="26"/>
      <c r="AM339" s="26"/>
      <c r="AN339" s="26"/>
      <c r="AO339" s="26"/>
      <c r="AP339" s="26"/>
      <c r="AQ339" s="26"/>
      <c r="AR339" s="26"/>
      <c r="AS339" s="26"/>
      <c r="AT339" s="26"/>
      <c r="AU339" s="26"/>
      <c r="AV339" s="26"/>
      <c r="AW339" s="26"/>
      <c r="AX339" s="26"/>
      <c r="AY339" s="26"/>
      <c r="AZ339" s="26"/>
      <c r="BA339" s="26"/>
      <c r="BB339" s="26"/>
      <c r="BC339" s="26"/>
      <c r="BD339" s="26"/>
      <c r="BE339" s="26"/>
      <c r="BF339" s="26"/>
      <c r="BG339" s="26"/>
      <c r="BH339" s="26"/>
    </row>
    <row r="340" spans="1:60" ht="35.65" customHeight="1" thickBot="1">
      <c r="A340" s="27" t="s">
        <v>217</v>
      </c>
      <c r="B340" s="35"/>
      <c r="C340" s="43" t="s">
        <v>105</v>
      </c>
      <c r="D340" s="43" t="s">
        <v>106</v>
      </c>
      <c r="E340" s="43" t="s">
        <v>107</v>
      </c>
      <c r="F340" s="26"/>
      <c r="G340" s="26"/>
      <c r="H340" s="26"/>
      <c r="I340" s="26"/>
      <c r="J340" s="43"/>
      <c r="K340" s="43"/>
      <c r="L340" s="43"/>
      <c r="M340" s="43"/>
      <c r="N340" s="43"/>
      <c r="O340" s="43"/>
      <c r="P340" s="26"/>
      <c r="Q340" s="26"/>
      <c r="R340" s="26"/>
      <c r="S340" s="26"/>
      <c r="T340" s="43"/>
      <c r="U340" s="43"/>
      <c r="V340" s="43"/>
      <c r="W340" s="43" t="s">
        <v>247</v>
      </c>
      <c r="X340" s="43" t="s">
        <v>112</v>
      </c>
      <c r="Y340" s="43"/>
      <c r="Z340" s="43" t="s">
        <v>247</v>
      </c>
      <c r="AA340" s="43" t="s">
        <v>112</v>
      </c>
      <c r="AB340" s="43"/>
      <c r="AC340" s="26"/>
      <c r="AD340" s="52" t="s">
        <v>839</v>
      </c>
      <c r="AE340" s="26">
        <f t="shared" si="96"/>
        <v>29954.6</v>
      </c>
      <c r="AF340" s="26">
        <f>AH340+AJ340+AL340+AN340</f>
        <v>29666.3</v>
      </c>
      <c r="AG340" s="26"/>
      <c r="AH340" s="26"/>
      <c r="AI340" s="26">
        <v>2531.9</v>
      </c>
      <c r="AJ340" s="26">
        <v>2531.9</v>
      </c>
      <c r="AK340" s="26"/>
      <c r="AL340" s="26"/>
      <c r="AM340" s="26">
        <f>27700.5+959.3+1138+313-156.2-2531.9</f>
        <v>27422.699999999997</v>
      </c>
      <c r="AN340" s="26">
        <f>29666.3-2531.9</f>
        <v>27134.399999999998</v>
      </c>
      <c r="AO340" s="26">
        <f>AP340+AQ340+AR340+AS340</f>
        <v>36776.1</v>
      </c>
      <c r="AP340" s="26"/>
      <c r="AQ340" s="26">
        <v>1419.8</v>
      </c>
      <c r="AR340" s="26"/>
      <c r="AS340" s="26">
        <f>32285.8+1419.8-1419.8+325.9+1322.5+1422.1</f>
        <v>35356.299999999996</v>
      </c>
      <c r="AT340" s="26">
        <f>AU340+AV340+AW340+AX340</f>
        <v>32285.8</v>
      </c>
      <c r="AU340" s="26"/>
      <c r="AV340" s="26"/>
      <c r="AW340" s="26"/>
      <c r="AX340" s="26">
        <v>32285.8</v>
      </c>
      <c r="AY340" s="26">
        <f>AZ340+BA340+BC340</f>
        <v>32285.8</v>
      </c>
      <c r="AZ340" s="26"/>
      <c r="BA340" s="26"/>
      <c r="BB340" s="26"/>
      <c r="BC340" s="26">
        <v>32285.8</v>
      </c>
      <c r="BD340" s="26">
        <f>BE340+BF340+BH340</f>
        <v>32285.8</v>
      </c>
      <c r="BE340" s="26"/>
      <c r="BF340" s="26"/>
      <c r="BG340" s="26"/>
      <c r="BH340" s="26">
        <v>32285.8</v>
      </c>
    </row>
    <row r="341" spans="1:60" ht="35.65" customHeight="1" thickBot="1">
      <c r="A341" s="27" t="s">
        <v>217</v>
      </c>
      <c r="B341" s="35"/>
      <c r="C341" s="43" t="s">
        <v>105</v>
      </c>
      <c r="D341" s="43" t="s">
        <v>106</v>
      </c>
      <c r="E341" s="43" t="s">
        <v>107</v>
      </c>
      <c r="F341" s="26"/>
      <c r="G341" s="26"/>
      <c r="H341" s="26"/>
      <c r="I341" s="26"/>
      <c r="J341" s="43" t="s">
        <v>183</v>
      </c>
      <c r="K341" s="43" t="s">
        <v>109</v>
      </c>
      <c r="L341" s="43" t="s">
        <v>125</v>
      </c>
      <c r="M341" s="43"/>
      <c r="N341" s="43"/>
      <c r="O341" s="43"/>
      <c r="P341" s="26"/>
      <c r="Q341" s="26"/>
      <c r="R341" s="26"/>
      <c r="S341" s="26"/>
      <c r="T341" s="43"/>
      <c r="U341" s="43"/>
      <c r="V341" s="43"/>
      <c r="W341" s="43" t="s">
        <v>192</v>
      </c>
      <c r="X341" s="43" t="s">
        <v>112</v>
      </c>
      <c r="Y341" s="43"/>
      <c r="Z341" s="43" t="s">
        <v>192</v>
      </c>
      <c r="AA341" s="43" t="s">
        <v>112</v>
      </c>
      <c r="AB341" s="43"/>
      <c r="AC341" s="26"/>
      <c r="AD341" s="52" t="s">
        <v>840</v>
      </c>
      <c r="AE341" s="26">
        <f t="shared" si="96"/>
        <v>1383.3000000000002</v>
      </c>
      <c r="AF341" s="26">
        <f t="shared" si="96"/>
        <v>1378.8</v>
      </c>
      <c r="AG341" s="26"/>
      <c r="AH341" s="26"/>
      <c r="AI341" s="26"/>
      <c r="AJ341" s="26"/>
      <c r="AK341" s="26"/>
      <c r="AL341" s="26"/>
      <c r="AM341" s="26">
        <f>1083.9+299.4</f>
        <v>1383.3000000000002</v>
      </c>
      <c r="AN341" s="26">
        <v>1378.8</v>
      </c>
      <c r="AO341" s="26">
        <f t="shared" si="97"/>
        <v>1462</v>
      </c>
      <c r="AP341" s="26"/>
      <c r="AQ341" s="26"/>
      <c r="AR341" s="26"/>
      <c r="AS341" s="26">
        <v>1462</v>
      </c>
      <c r="AT341" s="26">
        <f t="shared" ref="AT341:AT342" si="102">AU341+AV341+AW341+AX341</f>
        <v>1462</v>
      </c>
      <c r="AU341" s="26"/>
      <c r="AV341" s="26"/>
      <c r="AW341" s="26"/>
      <c r="AX341" s="26">
        <v>1462</v>
      </c>
      <c r="AY341" s="26">
        <f>AZ341+BA341+BC341</f>
        <v>1462</v>
      </c>
      <c r="AZ341" s="26"/>
      <c r="BA341" s="26"/>
      <c r="BB341" s="26"/>
      <c r="BC341" s="26">
        <v>1462</v>
      </c>
      <c r="BD341" s="26">
        <f>BE341+BF341+BH341</f>
        <v>1462</v>
      </c>
      <c r="BE341" s="26"/>
      <c r="BF341" s="26"/>
      <c r="BG341" s="26"/>
      <c r="BH341" s="26">
        <v>1462</v>
      </c>
    </row>
    <row r="342" spans="1:60" ht="35.65" customHeight="1" thickBot="1">
      <c r="A342" s="27" t="s">
        <v>217</v>
      </c>
      <c r="B342" s="35"/>
      <c r="C342" s="43" t="s">
        <v>105</v>
      </c>
      <c r="D342" s="43" t="s">
        <v>159</v>
      </c>
      <c r="E342" s="43" t="s">
        <v>107</v>
      </c>
      <c r="F342" s="26"/>
      <c r="G342" s="26"/>
      <c r="H342" s="26"/>
      <c r="I342" s="26"/>
      <c r="J342" s="43" t="s">
        <v>183</v>
      </c>
      <c r="K342" s="43" t="s">
        <v>160</v>
      </c>
      <c r="L342" s="43" t="s">
        <v>161</v>
      </c>
      <c r="M342" s="43"/>
      <c r="N342" s="43"/>
      <c r="O342" s="43"/>
      <c r="P342" s="26"/>
      <c r="Q342" s="26"/>
      <c r="R342" s="26"/>
      <c r="S342" s="26"/>
      <c r="T342" s="43"/>
      <c r="U342" s="43"/>
      <c r="V342" s="43"/>
      <c r="W342" s="43" t="s">
        <v>192</v>
      </c>
      <c r="X342" s="43" t="s">
        <v>112</v>
      </c>
      <c r="Y342" s="43"/>
      <c r="Z342" s="43" t="s">
        <v>192</v>
      </c>
      <c r="AA342" s="43" t="s">
        <v>112</v>
      </c>
      <c r="AB342" s="43"/>
      <c r="AC342" s="26"/>
      <c r="AD342" s="52" t="s">
        <v>841</v>
      </c>
      <c r="AE342" s="26">
        <f t="shared" si="96"/>
        <v>90.5</v>
      </c>
      <c r="AF342" s="26">
        <f t="shared" si="96"/>
        <v>75.8</v>
      </c>
      <c r="AG342" s="26"/>
      <c r="AH342" s="26"/>
      <c r="AI342" s="26"/>
      <c r="AJ342" s="26"/>
      <c r="AK342" s="26"/>
      <c r="AL342" s="26"/>
      <c r="AM342" s="26">
        <v>90.5</v>
      </c>
      <c r="AN342" s="26">
        <f>75.7+0.1</f>
        <v>75.8</v>
      </c>
      <c r="AO342" s="26">
        <f t="shared" si="97"/>
        <v>92.4</v>
      </c>
      <c r="AP342" s="26"/>
      <c r="AQ342" s="26"/>
      <c r="AR342" s="26"/>
      <c r="AS342" s="26">
        <f>80.7+11.7</f>
        <v>92.4</v>
      </c>
      <c r="AT342" s="26">
        <f t="shared" si="102"/>
        <v>80.7</v>
      </c>
      <c r="AU342" s="26"/>
      <c r="AV342" s="26"/>
      <c r="AW342" s="26"/>
      <c r="AX342" s="26">
        <v>80.7</v>
      </c>
      <c r="AY342" s="26">
        <f>AZ342+BA342+BC342</f>
        <v>80.7</v>
      </c>
      <c r="AZ342" s="26"/>
      <c r="BA342" s="26"/>
      <c r="BB342" s="26"/>
      <c r="BC342" s="26">
        <v>80.7</v>
      </c>
      <c r="BD342" s="26">
        <f>BE342+BF342+BH342</f>
        <v>80.7</v>
      </c>
      <c r="BE342" s="26"/>
      <c r="BF342" s="26"/>
      <c r="BG342" s="26"/>
      <c r="BH342" s="26">
        <v>80.7</v>
      </c>
    </row>
    <row r="343" spans="1:60" ht="35.65" customHeight="1" thickBot="1">
      <c r="A343" s="27" t="s">
        <v>217</v>
      </c>
      <c r="B343" s="35"/>
      <c r="C343" s="43" t="s">
        <v>105</v>
      </c>
      <c r="D343" s="43" t="s">
        <v>106</v>
      </c>
      <c r="E343" s="43" t="s">
        <v>107</v>
      </c>
      <c r="F343" s="26"/>
      <c r="G343" s="26"/>
      <c r="H343" s="26"/>
      <c r="I343" s="26"/>
      <c r="J343" s="43" t="s">
        <v>183</v>
      </c>
      <c r="K343" s="43" t="s">
        <v>109</v>
      </c>
      <c r="L343" s="43" t="s">
        <v>125</v>
      </c>
      <c r="M343" s="43"/>
      <c r="N343" s="43"/>
      <c r="O343" s="43"/>
      <c r="P343" s="26"/>
      <c r="Q343" s="26"/>
      <c r="R343" s="26"/>
      <c r="S343" s="26"/>
      <c r="T343" s="43"/>
      <c r="U343" s="43"/>
      <c r="V343" s="43"/>
      <c r="W343" s="43" t="s">
        <v>192</v>
      </c>
      <c r="X343" s="43" t="s">
        <v>112</v>
      </c>
      <c r="Y343" s="43"/>
      <c r="Z343" s="43" t="s">
        <v>192</v>
      </c>
      <c r="AA343" s="43" t="s">
        <v>112</v>
      </c>
      <c r="AB343" s="43"/>
      <c r="AC343" s="26"/>
      <c r="AD343" s="52" t="s">
        <v>842</v>
      </c>
      <c r="AE343" s="26">
        <f t="shared" si="96"/>
        <v>0</v>
      </c>
      <c r="AF343" s="26">
        <f t="shared" si="96"/>
        <v>0</v>
      </c>
      <c r="AG343" s="26"/>
      <c r="AH343" s="26"/>
      <c r="AI343" s="26"/>
      <c r="AJ343" s="26"/>
      <c r="AK343" s="26"/>
      <c r="AL343" s="26"/>
      <c r="AM343" s="26"/>
      <c r="AN343" s="26"/>
      <c r="AO343" s="26"/>
      <c r="AP343" s="26"/>
      <c r="AQ343" s="26"/>
      <c r="AR343" s="26"/>
      <c r="AS343" s="26"/>
      <c r="AT343" s="26"/>
      <c r="AU343" s="26"/>
      <c r="AV343" s="26"/>
      <c r="AW343" s="26"/>
      <c r="AX343" s="26"/>
      <c r="AY343" s="26"/>
      <c r="AZ343" s="26"/>
      <c r="BA343" s="26"/>
      <c r="BB343" s="26"/>
      <c r="BC343" s="26"/>
      <c r="BD343" s="26"/>
      <c r="BE343" s="26"/>
      <c r="BF343" s="26"/>
      <c r="BG343" s="26"/>
      <c r="BH343" s="26"/>
    </row>
    <row r="344" spans="1:60" ht="35.65" customHeight="1" thickBot="1">
      <c r="A344" s="27" t="s">
        <v>217</v>
      </c>
      <c r="B344" s="35"/>
      <c r="C344" s="43"/>
      <c r="D344" s="43"/>
      <c r="E344" s="43"/>
      <c r="F344" s="26"/>
      <c r="G344" s="26"/>
      <c r="H344" s="26"/>
      <c r="I344" s="26"/>
      <c r="J344" s="43" t="s">
        <v>183</v>
      </c>
      <c r="K344" s="43" t="s">
        <v>109</v>
      </c>
      <c r="L344" s="43" t="s">
        <v>125</v>
      </c>
      <c r="M344" s="43"/>
      <c r="N344" s="43"/>
      <c r="O344" s="43"/>
      <c r="P344" s="26"/>
      <c r="Q344" s="26"/>
      <c r="R344" s="26"/>
      <c r="S344" s="26"/>
      <c r="T344" s="43"/>
      <c r="U344" s="43"/>
      <c r="V344" s="43"/>
      <c r="W344" s="43" t="s">
        <v>192</v>
      </c>
      <c r="X344" s="43" t="s">
        <v>112</v>
      </c>
      <c r="Y344" s="43"/>
      <c r="Z344" s="43" t="s">
        <v>192</v>
      </c>
      <c r="AA344" s="43" t="s">
        <v>112</v>
      </c>
      <c r="AB344" s="43"/>
      <c r="AC344" s="26"/>
      <c r="AD344" s="52" t="s">
        <v>843</v>
      </c>
      <c r="AE344" s="26">
        <f t="shared" si="96"/>
        <v>0</v>
      </c>
      <c r="AF344" s="26">
        <f t="shared" si="96"/>
        <v>0</v>
      </c>
      <c r="AG344" s="26"/>
      <c r="AH344" s="26"/>
      <c r="AI344" s="26"/>
      <c r="AJ344" s="26"/>
      <c r="AK344" s="26"/>
      <c r="AL344" s="26"/>
      <c r="AM344" s="26"/>
      <c r="AN344" s="26"/>
      <c r="AO344" s="26"/>
      <c r="AP344" s="26"/>
      <c r="AQ344" s="26"/>
      <c r="AR344" s="26"/>
      <c r="AS344" s="26"/>
      <c r="AT344" s="26"/>
      <c r="AU344" s="26"/>
      <c r="AV344" s="26"/>
      <c r="AW344" s="26"/>
      <c r="AX344" s="26"/>
      <c r="AY344" s="26"/>
      <c r="AZ344" s="26"/>
      <c r="BA344" s="26"/>
      <c r="BB344" s="26"/>
      <c r="BC344" s="26"/>
      <c r="BD344" s="26"/>
      <c r="BE344" s="26"/>
      <c r="BF344" s="26"/>
      <c r="BG344" s="26"/>
      <c r="BH344" s="26"/>
    </row>
    <row r="345" spans="1:60" ht="35.65" customHeight="1" thickBot="1">
      <c r="A345" s="27" t="s">
        <v>217</v>
      </c>
      <c r="B345" s="35"/>
      <c r="C345" s="43" t="s">
        <v>105</v>
      </c>
      <c r="D345" s="43" t="s">
        <v>106</v>
      </c>
      <c r="E345" s="43" t="s">
        <v>107</v>
      </c>
      <c r="F345" s="26"/>
      <c r="G345" s="26"/>
      <c r="H345" s="26"/>
      <c r="I345" s="26"/>
      <c r="J345" s="43" t="s">
        <v>183</v>
      </c>
      <c r="K345" s="43" t="s">
        <v>109</v>
      </c>
      <c r="L345" s="43" t="s">
        <v>125</v>
      </c>
      <c r="M345" s="43"/>
      <c r="N345" s="43"/>
      <c r="O345" s="43"/>
      <c r="P345" s="26"/>
      <c r="Q345" s="26"/>
      <c r="R345" s="26"/>
      <c r="S345" s="26"/>
      <c r="T345" s="43"/>
      <c r="U345" s="43"/>
      <c r="V345" s="43"/>
      <c r="W345" s="43" t="s">
        <v>192</v>
      </c>
      <c r="X345" s="43" t="s">
        <v>112</v>
      </c>
      <c r="Y345" s="43"/>
      <c r="Z345" s="43" t="s">
        <v>192</v>
      </c>
      <c r="AA345" s="43" t="s">
        <v>112</v>
      </c>
      <c r="AB345" s="43"/>
      <c r="AC345" s="26"/>
      <c r="AD345" s="52" t="s">
        <v>844</v>
      </c>
      <c r="AE345" s="26">
        <f t="shared" si="96"/>
        <v>1.7999999999999998</v>
      </c>
      <c r="AF345" s="26">
        <f t="shared" si="96"/>
        <v>1.8</v>
      </c>
      <c r="AG345" s="26"/>
      <c r="AH345" s="26"/>
      <c r="AI345" s="26"/>
      <c r="AJ345" s="26"/>
      <c r="AK345" s="26"/>
      <c r="AL345" s="26"/>
      <c r="AM345" s="26">
        <f>5-3.2</f>
        <v>1.7999999999999998</v>
      </c>
      <c r="AN345" s="26">
        <v>1.8</v>
      </c>
      <c r="AO345" s="26">
        <f t="shared" si="97"/>
        <v>0</v>
      </c>
      <c r="AP345" s="26"/>
      <c r="AQ345" s="26"/>
      <c r="AR345" s="26"/>
      <c r="AS345" s="26"/>
      <c r="AT345" s="26">
        <f t="shared" ref="AT345" si="103">AU345+AV345+AW345+AX345</f>
        <v>0</v>
      </c>
      <c r="AU345" s="26"/>
      <c r="AV345" s="26"/>
      <c r="AW345" s="26"/>
      <c r="AX345" s="26"/>
      <c r="AY345" s="26">
        <f>AZ345+BA345+BC345</f>
        <v>0</v>
      </c>
      <c r="AZ345" s="26"/>
      <c r="BA345" s="26"/>
      <c r="BB345" s="26"/>
      <c r="BC345" s="26"/>
      <c r="BD345" s="26">
        <f>BE345+BF345+BH345</f>
        <v>0</v>
      </c>
      <c r="BE345" s="26"/>
      <c r="BF345" s="26"/>
      <c r="BG345" s="26"/>
      <c r="BH345" s="26"/>
    </row>
    <row r="346" spans="1:60" ht="35.65" customHeight="1" thickBot="1">
      <c r="A346" s="31" t="s">
        <v>248</v>
      </c>
      <c r="B346" s="106">
        <v>2534</v>
      </c>
      <c r="C346" s="33"/>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v>11</v>
      </c>
      <c r="AD346" s="260"/>
      <c r="AE346" s="118">
        <f>AE347+AE350+AE351+AE352+AE353+AE355+AE356+AE358+AE360+AE361+AE363+AE364+AE365+AE367+AE369+AE376+AE377+AE378+AE379+AE381+AE382+AE383+AE386+AE387+AE388+AE389+AE373+AE390+AE375+AE362+AE359+AE372+AE366</f>
        <v>50387.9</v>
      </c>
      <c r="AF346" s="118">
        <f>AH346+AJ346+AL346+AN346</f>
        <v>49866.899999999994</v>
      </c>
      <c r="AG346" s="118">
        <f>AG347+AG350+AG351+AG352+AG353+AG355+AG356+AG358+AG360+AG361+AG363+AG364+AG365+AG367+AG369+AG376+AG377+AG378+AG379+AG381+AG382+AG383+AG386+AG387+AG388+AG389+AG373+AG390+AG375+AG362+AG359+AG372+AG366</f>
        <v>0</v>
      </c>
      <c r="AH346" s="118">
        <f>AH347+AH350+AH351+AH352+AH353+AH355+AH356+AH358+AH360+AH361+AH363+AH364+AH365+AH367+AH369+AH376+AH377+AH378+AH379+AH381+AH382+AH383+AH386+AH387+AH388+AH389+AH373+AH390+AH375+AH362+AH359+AH372+AH366</f>
        <v>0</v>
      </c>
      <c r="AI346" s="118">
        <f>AI347+AI350+AI351+AI352+AI353+AI355+AI356+AI358+AI360+AI361+AI363+AI364+AI365+AI367+AI369+AI376+AI377+AI378+AI379+AI381+AI382+AI383+AI386+AI387+AI388+AI389+AI373+AI390+AI375+AI362+AI359+AI372+AI366</f>
        <v>18716.399999999998</v>
      </c>
      <c r="AJ346" s="118">
        <f>AJ347+AJ350+AJ351+AJ352+AJ353+AJ355+AJ356+AJ358+AJ360+AJ361+AJ363+AJ364+AJ365+AJ367+AJ369+AJ376+AJ377+AJ378+AJ379+AJ381+AJ382+AJ383+AJ386+AJ387+AJ388+AJ389+AJ373+AJ390+AJ375+AJ362+AJ359+AJ372+AJ366</f>
        <v>18694.599999999999</v>
      </c>
      <c r="AK346" s="118">
        <f>AK347+AK350+AK351+AK352+AK353+AK355+AK356+AK358+AK360+AK361+AK363+AK364+AK365+AK367+AK369+AK376+AK377+AK378+AK379+AK381+AK382+AK383+AK386+AK387+AK388+AK389+AK373+AK390+AK375+AK362+AK359+AK372+AK366</f>
        <v>0</v>
      </c>
      <c r="AL346" s="118"/>
      <c r="AM346" s="118">
        <f>AM347+AM350+AM351+AM352+AM353+AM355+AM356+AM358+AM360+AM361+AM363+AM364+AM365+AM367+AM369+AM376+AM377+AM378+AM379+AM381+AM382+AM383+AM386+AM387+AM388+AM389+AM373+AM390+AM375+AM362+AM359+AM372+AM366</f>
        <v>31671.499999999996</v>
      </c>
      <c r="AN346" s="118">
        <f>AN347+AN350+AN351+AN352+AN353+AN355+AN356+AN358+AN360+AN361+AN363+AN364+AN365+AN367+AN369+AN376+AN377+AN378+AN379+AN381+AN382+AN383+AN386+AN387+AN388+AN389+AN373+AN390+AN375+AN362+AN359+AN372+AN366</f>
        <v>31172.299999999996</v>
      </c>
      <c r="AO346" s="118">
        <f>AO347+AO350+AO351+AO352+AO353+AO355+AO356+AO358+AO360+AO361+AO363+AO364+AO365+AO367+AO369+AO376+AO377+AO378+AO379+AO381+AO382+AO383+AO386+AO387+AO388+AO389+AO384+AO348+AO354+AO357+AO370+AO368+AO373+AO374+AO385+AO391+AO371+AO390+AO380+AO349</f>
        <v>100768.70000000001</v>
      </c>
      <c r="AP346" s="118">
        <f t="shared" ref="AP346:AS346" si="104">AP347+AP350+AP351+AP352+AP353+AP355+AP356+AP358+AP360+AP361+AP363+AP364+AP365+AP367+AP369+AP376+AP377+AP378+AP379+AP381+AP382+AP383+AP386+AP387+AP388+AP389+AP384+AP348+AP354+AP357+AP370+AP368+AP373+AP374+AP385+AP391+AP371+AP390+AP380+AP349</f>
        <v>0</v>
      </c>
      <c r="AQ346" s="118">
        <f t="shared" si="104"/>
        <v>54317.7</v>
      </c>
      <c r="AR346" s="118">
        <f t="shared" si="104"/>
        <v>0</v>
      </c>
      <c r="AS346" s="118">
        <f t="shared" si="104"/>
        <v>46450.999999999993</v>
      </c>
      <c r="AT346" s="118">
        <f t="shared" ref="AT346:BH346" si="105">AT347+AT350+AT351+AT352+AT353+AT355+AT356+AT358+AT360+AT361+AT363+AT364+AT365+AT367+AT369+AT376+AT377+AT378+AT379+AT381+AT382+AT383+AT386+AT387+AT388+AT389+AT384+AT348+AT354+AT357+AT370+AT368+AT373+AT374+AT385+AT391</f>
        <v>30080.800000000003</v>
      </c>
      <c r="AU346" s="118">
        <f t="shared" si="105"/>
        <v>0</v>
      </c>
      <c r="AV346" s="118">
        <f t="shared" si="105"/>
        <v>0</v>
      </c>
      <c r="AW346" s="118">
        <f t="shared" si="105"/>
        <v>0</v>
      </c>
      <c r="AX346" s="118">
        <f t="shared" si="105"/>
        <v>30080.800000000003</v>
      </c>
      <c r="AY346" s="118">
        <f t="shared" si="105"/>
        <v>30080.800000000003</v>
      </c>
      <c r="AZ346" s="118">
        <f t="shared" si="105"/>
        <v>0</v>
      </c>
      <c r="BA346" s="118">
        <f t="shared" si="105"/>
        <v>0</v>
      </c>
      <c r="BB346" s="118">
        <f t="shared" si="105"/>
        <v>0</v>
      </c>
      <c r="BC346" s="118">
        <f t="shared" si="105"/>
        <v>30080.800000000003</v>
      </c>
      <c r="BD346" s="118">
        <f t="shared" si="105"/>
        <v>30080.800000000003</v>
      </c>
      <c r="BE346" s="118">
        <f t="shared" si="105"/>
        <v>0</v>
      </c>
      <c r="BF346" s="118">
        <f t="shared" si="105"/>
        <v>0</v>
      </c>
      <c r="BG346" s="118">
        <f t="shared" si="105"/>
        <v>0</v>
      </c>
      <c r="BH346" s="118">
        <f t="shared" si="105"/>
        <v>30080.800000000003</v>
      </c>
    </row>
    <row r="347" spans="1:60" ht="35.65" customHeight="1" thickBot="1">
      <c r="A347" s="27" t="s">
        <v>249</v>
      </c>
      <c r="B347" s="35"/>
      <c r="C347" s="20" t="s">
        <v>181</v>
      </c>
      <c r="D347" s="20" t="s">
        <v>153</v>
      </c>
      <c r="E347" s="20" t="s">
        <v>182</v>
      </c>
      <c r="F347" s="20"/>
      <c r="G347" s="20"/>
      <c r="H347" s="20"/>
      <c r="I347" s="20"/>
      <c r="J347" s="20"/>
      <c r="K347" s="20"/>
      <c r="L347" s="20"/>
      <c r="M347" s="20"/>
      <c r="N347" s="20"/>
      <c r="O347" s="20"/>
      <c r="P347" s="20" t="s">
        <v>250</v>
      </c>
      <c r="Q347" s="20" t="s">
        <v>112</v>
      </c>
      <c r="R347" s="20"/>
      <c r="S347" s="20"/>
      <c r="T347" s="20"/>
      <c r="U347" s="20"/>
      <c r="V347" s="10"/>
      <c r="W347" s="20" t="s">
        <v>251</v>
      </c>
      <c r="X347" s="20" t="s">
        <v>112</v>
      </c>
      <c r="Y347" s="10"/>
      <c r="Z347" s="20" t="s">
        <v>251</v>
      </c>
      <c r="AA347" s="20" t="s">
        <v>112</v>
      </c>
      <c r="AB347" s="20"/>
      <c r="AC347" s="20"/>
      <c r="AD347" s="52" t="s">
        <v>845</v>
      </c>
      <c r="AE347" s="26">
        <f t="shared" ref="AE347:AF390" si="106">AG347+AI347+AK347+AM347</f>
        <v>2815.2000000000003</v>
      </c>
      <c r="AF347" s="26">
        <f>AH347+AJ347+AL347+AN347</f>
        <v>2815.2</v>
      </c>
      <c r="AG347" s="26"/>
      <c r="AH347" s="26"/>
      <c r="AI347" s="26"/>
      <c r="AJ347" s="26"/>
      <c r="AK347" s="26"/>
      <c r="AL347" s="26"/>
      <c r="AM347" s="26">
        <f>2524.9+602.6-450+61.3+44.4+32</f>
        <v>2815.2000000000003</v>
      </c>
      <c r="AN347" s="26">
        <v>2815.2</v>
      </c>
      <c r="AO347" s="26">
        <f>AP347+AQ347+AR347+AS347</f>
        <v>0</v>
      </c>
      <c r="AP347" s="26"/>
      <c r="AQ347" s="26"/>
      <c r="AR347" s="26"/>
      <c r="AS347" s="26">
        <f>3496.7+1093.7+120-4710.4</f>
        <v>0</v>
      </c>
      <c r="AT347" s="26">
        <f t="shared" ref="AT347:AT354" si="107">AU347+AV347+AW347+AX347</f>
        <v>0</v>
      </c>
      <c r="AU347" s="26"/>
      <c r="AV347" s="26"/>
      <c r="AW347" s="26"/>
      <c r="AX347" s="26">
        <f>3496.7-3496.7</f>
        <v>0</v>
      </c>
      <c r="AY347" s="26">
        <f t="shared" ref="AY347:AY358" si="108">AZ347+BA347+BB347+BC347</f>
        <v>0</v>
      </c>
      <c r="AZ347" s="26"/>
      <c r="BA347" s="26"/>
      <c r="BB347" s="26"/>
      <c r="BC347" s="26">
        <f>3496.7-3496.7</f>
        <v>0</v>
      </c>
      <c r="BD347" s="26">
        <f t="shared" ref="BD347:BD354" si="109">BE347+BF347+BG347+BH347</f>
        <v>0</v>
      </c>
      <c r="BE347" s="26"/>
      <c r="BF347" s="26"/>
      <c r="BG347" s="26"/>
      <c r="BH347" s="26">
        <f>3496.7-3496.7</f>
        <v>0</v>
      </c>
    </row>
    <row r="348" spans="1:60" ht="35.65" customHeight="1" thickBot="1">
      <c r="A348" s="27"/>
      <c r="B348" s="35"/>
      <c r="C348" s="20" t="s">
        <v>181</v>
      </c>
      <c r="D348" s="20" t="s">
        <v>153</v>
      </c>
      <c r="E348" s="20" t="s">
        <v>182</v>
      </c>
      <c r="F348" s="20"/>
      <c r="G348" s="20"/>
      <c r="H348" s="20"/>
      <c r="I348" s="20"/>
      <c r="J348" s="20"/>
      <c r="K348" s="20"/>
      <c r="L348" s="20"/>
      <c r="M348" s="20"/>
      <c r="N348" s="20"/>
      <c r="O348" s="20"/>
      <c r="P348" s="20" t="s">
        <v>250</v>
      </c>
      <c r="Q348" s="20" t="s">
        <v>112</v>
      </c>
      <c r="R348" s="20"/>
      <c r="S348" s="20"/>
      <c r="T348" s="20"/>
      <c r="U348" s="20"/>
      <c r="V348" s="10"/>
      <c r="W348" s="20" t="s">
        <v>251</v>
      </c>
      <c r="X348" s="20" t="s">
        <v>112</v>
      </c>
      <c r="Y348" s="10"/>
      <c r="Z348" s="20" t="s">
        <v>251</v>
      </c>
      <c r="AA348" s="20" t="s">
        <v>112</v>
      </c>
      <c r="AB348" s="20"/>
      <c r="AC348" s="20"/>
      <c r="AD348" s="20" t="s">
        <v>846</v>
      </c>
      <c r="AE348" s="26"/>
      <c r="AF348" s="26"/>
      <c r="AG348" s="26"/>
      <c r="AH348" s="26"/>
      <c r="AI348" s="26"/>
      <c r="AJ348" s="26"/>
      <c r="AK348" s="26"/>
      <c r="AL348" s="26"/>
      <c r="AM348" s="26"/>
      <c r="AN348" s="26"/>
      <c r="AO348" s="26">
        <f t="shared" ref="AO348:AO354" si="110">AP348+AQ348+AR348+AS348</f>
        <v>5376.4</v>
      </c>
      <c r="AP348" s="26"/>
      <c r="AQ348" s="26"/>
      <c r="AR348" s="26"/>
      <c r="AS348" s="26">
        <f>4922.6-215.3+385.7+283.4</f>
        <v>5376.4</v>
      </c>
      <c r="AT348" s="26">
        <f t="shared" si="107"/>
        <v>4590.3999999999996</v>
      </c>
      <c r="AU348" s="26"/>
      <c r="AV348" s="26"/>
      <c r="AW348" s="26"/>
      <c r="AX348" s="26">
        <v>4590.3999999999996</v>
      </c>
      <c r="AY348" s="26">
        <f t="shared" si="108"/>
        <v>4590.3999999999996</v>
      </c>
      <c r="AZ348" s="26"/>
      <c r="BA348" s="26"/>
      <c r="BB348" s="26"/>
      <c r="BC348" s="26">
        <v>4590.3999999999996</v>
      </c>
      <c r="BD348" s="26">
        <f t="shared" si="109"/>
        <v>4590.3999999999996</v>
      </c>
      <c r="BE348" s="26"/>
      <c r="BF348" s="26"/>
      <c r="BG348" s="26"/>
      <c r="BH348" s="26">
        <v>4590.3999999999996</v>
      </c>
    </row>
    <row r="349" spans="1:60" ht="35.65" customHeight="1" thickBot="1">
      <c r="A349" s="27"/>
      <c r="B349" s="35"/>
      <c r="C349" s="20"/>
      <c r="D349" s="20"/>
      <c r="E349" s="20"/>
      <c r="F349" s="20"/>
      <c r="G349" s="20"/>
      <c r="H349" s="20"/>
      <c r="I349" s="20"/>
      <c r="J349" s="20"/>
      <c r="K349" s="20"/>
      <c r="L349" s="20"/>
      <c r="M349" s="20"/>
      <c r="N349" s="20"/>
      <c r="O349" s="20"/>
      <c r="P349" s="20"/>
      <c r="Q349" s="20"/>
      <c r="R349" s="20"/>
      <c r="S349" s="20"/>
      <c r="T349" s="20"/>
      <c r="U349" s="20"/>
      <c r="V349" s="10"/>
      <c r="W349" s="20"/>
      <c r="X349" s="20"/>
      <c r="Y349" s="10"/>
      <c r="Z349" s="20"/>
      <c r="AA349" s="20"/>
      <c r="AB349" s="20"/>
      <c r="AC349" s="20"/>
      <c r="AD349" s="20" t="s">
        <v>847</v>
      </c>
      <c r="AE349" s="26"/>
      <c r="AF349" s="26"/>
      <c r="AG349" s="26"/>
      <c r="AH349" s="26"/>
      <c r="AI349" s="26"/>
      <c r="AJ349" s="26"/>
      <c r="AK349" s="26"/>
      <c r="AL349" s="26"/>
      <c r="AM349" s="26"/>
      <c r="AN349" s="26"/>
      <c r="AO349" s="26">
        <f t="shared" si="110"/>
        <v>4602.5999999999995</v>
      </c>
      <c r="AP349" s="26"/>
      <c r="AQ349" s="26"/>
      <c r="AR349" s="26"/>
      <c r="AS349" s="26">
        <f>4635.4-32.8</f>
        <v>4602.5999999999995</v>
      </c>
      <c r="AT349" s="26"/>
      <c r="AU349" s="26"/>
      <c r="AV349" s="26"/>
      <c r="AW349" s="26"/>
      <c r="AX349" s="26"/>
      <c r="AY349" s="26"/>
      <c r="AZ349" s="26"/>
      <c r="BA349" s="26"/>
      <c r="BB349" s="26"/>
      <c r="BC349" s="26"/>
      <c r="BD349" s="26"/>
      <c r="BE349" s="26"/>
      <c r="BF349" s="26"/>
      <c r="BG349" s="26"/>
      <c r="BH349" s="26"/>
    </row>
    <row r="350" spans="1:60" ht="35.65" customHeight="1" thickBot="1">
      <c r="A350" s="27" t="s">
        <v>249</v>
      </c>
      <c r="B350" s="35"/>
      <c r="C350" s="20" t="s">
        <v>181</v>
      </c>
      <c r="D350" s="20" t="s">
        <v>193</v>
      </c>
      <c r="E350" s="20" t="s">
        <v>182</v>
      </c>
      <c r="F350" s="20"/>
      <c r="G350" s="20"/>
      <c r="H350" s="20"/>
      <c r="I350" s="20"/>
      <c r="J350" s="20"/>
      <c r="K350" s="20"/>
      <c r="L350" s="20"/>
      <c r="M350" s="20"/>
      <c r="N350" s="20"/>
      <c r="O350" s="20"/>
      <c r="P350" s="20" t="s">
        <v>250</v>
      </c>
      <c r="Q350" s="20" t="s">
        <v>112</v>
      </c>
      <c r="R350" s="20"/>
      <c r="S350" s="20"/>
      <c r="T350" s="20"/>
      <c r="U350" s="20"/>
      <c r="V350" s="10"/>
      <c r="W350" s="20" t="s">
        <v>251</v>
      </c>
      <c r="X350" s="20" t="s">
        <v>112</v>
      </c>
      <c r="Y350" s="10"/>
      <c r="Z350" s="20" t="s">
        <v>251</v>
      </c>
      <c r="AA350" s="20" t="s">
        <v>112</v>
      </c>
      <c r="AB350" s="20"/>
      <c r="AC350" s="20"/>
      <c r="AD350" s="52" t="s">
        <v>848</v>
      </c>
      <c r="AE350" s="26">
        <f t="shared" si="106"/>
        <v>683.5</v>
      </c>
      <c r="AF350" s="26">
        <f t="shared" si="106"/>
        <v>683.5</v>
      </c>
      <c r="AG350" s="26"/>
      <c r="AH350" s="26"/>
      <c r="AI350" s="26">
        <f>23.5+55.5</f>
        <v>79</v>
      </c>
      <c r="AJ350" s="26">
        <v>79</v>
      </c>
      <c r="AK350" s="26"/>
      <c r="AL350" s="26"/>
      <c r="AM350" s="26">
        <f>554.9+55.5+23.5+49.6-23.5-55.5</f>
        <v>604.5</v>
      </c>
      <c r="AN350" s="26">
        <f>683.5-79</f>
        <v>604.5</v>
      </c>
      <c r="AO350" s="26">
        <f t="shared" si="110"/>
        <v>670.4</v>
      </c>
      <c r="AP350" s="26"/>
      <c r="AQ350" s="26"/>
      <c r="AR350" s="26"/>
      <c r="AS350" s="26">
        <f>607.7+20.9+41.8</f>
        <v>670.4</v>
      </c>
      <c r="AT350" s="26">
        <f t="shared" si="107"/>
        <v>607.70000000000005</v>
      </c>
      <c r="AU350" s="26"/>
      <c r="AV350" s="26"/>
      <c r="AW350" s="26"/>
      <c r="AX350" s="26">
        <v>607.70000000000005</v>
      </c>
      <c r="AY350" s="26">
        <f t="shared" si="108"/>
        <v>607.70000000000005</v>
      </c>
      <c r="AZ350" s="26"/>
      <c r="BA350" s="26"/>
      <c r="BB350" s="26"/>
      <c r="BC350" s="26">
        <v>607.70000000000005</v>
      </c>
      <c r="BD350" s="26">
        <f t="shared" si="109"/>
        <v>607.70000000000005</v>
      </c>
      <c r="BE350" s="26"/>
      <c r="BF350" s="26"/>
      <c r="BG350" s="26"/>
      <c r="BH350" s="26">
        <v>607.70000000000005</v>
      </c>
    </row>
    <row r="351" spans="1:60" ht="35.65" customHeight="1" thickBot="1">
      <c r="A351" s="27" t="s">
        <v>249</v>
      </c>
      <c r="B351" s="35"/>
      <c r="C351" s="121" t="s">
        <v>105</v>
      </c>
      <c r="D351" s="121" t="s">
        <v>117</v>
      </c>
      <c r="E351" s="121" t="s">
        <v>252</v>
      </c>
      <c r="F351" s="121"/>
      <c r="G351" s="121"/>
      <c r="H351" s="121"/>
      <c r="I351" s="121"/>
      <c r="J351" s="136" t="s">
        <v>118</v>
      </c>
      <c r="K351" s="121" t="s">
        <v>109</v>
      </c>
      <c r="L351" s="121" t="s">
        <v>119</v>
      </c>
      <c r="M351" s="137" t="s">
        <v>253</v>
      </c>
      <c r="N351" s="136" t="s">
        <v>112</v>
      </c>
      <c r="O351" s="136" t="s">
        <v>121</v>
      </c>
      <c r="P351" s="136" t="s">
        <v>254</v>
      </c>
      <c r="Q351" s="136" t="s">
        <v>112</v>
      </c>
      <c r="R351" s="121"/>
      <c r="S351" s="121"/>
      <c r="T351" s="136" t="s">
        <v>255</v>
      </c>
      <c r="U351" s="136" t="s">
        <v>112</v>
      </c>
      <c r="V351" s="138"/>
      <c r="W351" s="136" t="s">
        <v>255</v>
      </c>
      <c r="X351" s="136" t="s">
        <v>112</v>
      </c>
      <c r="Y351" s="10"/>
      <c r="Z351" s="20"/>
      <c r="AA351" s="20"/>
      <c r="AB351" s="20"/>
      <c r="AC351" s="20"/>
      <c r="AD351" s="52" t="s">
        <v>849</v>
      </c>
      <c r="AE351" s="26">
        <f t="shared" si="106"/>
        <v>0</v>
      </c>
      <c r="AF351" s="26">
        <f t="shared" si="106"/>
        <v>0</v>
      </c>
      <c r="AG351" s="26"/>
      <c r="AH351" s="26"/>
      <c r="AI351" s="26">
        <f>73.7-73.7</f>
        <v>0</v>
      </c>
      <c r="AJ351" s="26"/>
      <c r="AK351" s="26"/>
      <c r="AL351" s="26"/>
      <c r="AM351" s="26"/>
      <c r="AN351" s="26"/>
      <c r="AO351" s="26">
        <f t="shared" si="110"/>
        <v>0</v>
      </c>
      <c r="AP351" s="26"/>
      <c r="AQ351" s="26"/>
      <c r="AR351" s="26"/>
      <c r="AS351" s="26"/>
      <c r="AT351" s="26">
        <f t="shared" si="107"/>
        <v>0</v>
      </c>
      <c r="AU351" s="26"/>
      <c r="AV351" s="26"/>
      <c r="AW351" s="26"/>
      <c r="AX351" s="26"/>
      <c r="AY351" s="26">
        <f t="shared" si="108"/>
        <v>0</v>
      </c>
      <c r="AZ351" s="26"/>
      <c r="BA351" s="26"/>
      <c r="BB351" s="26"/>
      <c r="BC351" s="26"/>
      <c r="BD351" s="26">
        <f t="shared" si="109"/>
        <v>0</v>
      </c>
      <c r="BE351" s="26"/>
      <c r="BF351" s="26"/>
      <c r="BG351" s="26"/>
      <c r="BH351" s="26"/>
    </row>
    <row r="352" spans="1:60" ht="35.65" customHeight="1" thickBot="1">
      <c r="A352" s="27" t="s">
        <v>249</v>
      </c>
      <c r="B352" s="35"/>
      <c r="C352" s="20" t="s">
        <v>181</v>
      </c>
      <c r="D352" s="20" t="s">
        <v>153</v>
      </c>
      <c r="E352" s="20" t="s">
        <v>182</v>
      </c>
      <c r="F352" s="20"/>
      <c r="G352" s="20"/>
      <c r="H352" s="20"/>
      <c r="I352" s="20"/>
      <c r="J352" s="20" t="s">
        <v>256</v>
      </c>
      <c r="K352" s="20" t="s">
        <v>145</v>
      </c>
      <c r="L352" s="20" t="s">
        <v>146</v>
      </c>
      <c r="M352" s="20"/>
      <c r="N352" s="20"/>
      <c r="O352" s="20"/>
      <c r="P352" s="20"/>
      <c r="Q352" s="20"/>
      <c r="R352" s="20"/>
      <c r="S352" s="20"/>
      <c r="T352" s="20" t="s">
        <v>257</v>
      </c>
      <c r="U352" s="20" t="s">
        <v>112</v>
      </c>
      <c r="V352" s="10"/>
      <c r="W352" s="20" t="s">
        <v>257</v>
      </c>
      <c r="X352" s="20" t="s">
        <v>112</v>
      </c>
      <c r="Y352" s="10"/>
      <c r="Z352" s="20"/>
      <c r="AA352" s="20"/>
      <c r="AB352" s="20"/>
      <c r="AC352" s="20"/>
      <c r="AD352" s="52" t="s">
        <v>850</v>
      </c>
      <c r="AE352" s="26">
        <f t="shared" si="106"/>
        <v>1606.3000000000002</v>
      </c>
      <c r="AF352" s="26">
        <f t="shared" si="106"/>
        <v>1606.3</v>
      </c>
      <c r="AG352" s="26"/>
      <c r="AH352" s="26"/>
      <c r="AI352" s="26"/>
      <c r="AJ352" s="26"/>
      <c r="AK352" s="26"/>
      <c r="AL352" s="26"/>
      <c r="AM352" s="26">
        <f>632.7+450+100-43.8-0.6+500-32</f>
        <v>1606.3000000000002</v>
      </c>
      <c r="AN352" s="26">
        <v>1606.3</v>
      </c>
      <c r="AO352" s="26">
        <f t="shared" si="110"/>
        <v>0</v>
      </c>
      <c r="AP352" s="26"/>
      <c r="AQ352" s="26"/>
      <c r="AR352" s="26"/>
      <c r="AS352" s="26">
        <v>0</v>
      </c>
      <c r="AT352" s="26">
        <f t="shared" si="107"/>
        <v>0</v>
      </c>
      <c r="AU352" s="26"/>
      <c r="AV352" s="26"/>
      <c r="AW352" s="26"/>
      <c r="AX352" s="26">
        <v>0</v>
      </c>
      <c r="AY352" s="26">
        <f t="shared" si="108"/>
        <v>0</v>
      </c>
      <c r="AZ352" s="26"/>
      <c r="BA352" s="26"/>
      <c r="BB352" s="26"/>
      <c r="BC352" s="26">
        <v>0</v>
      </c>
      <c r="BD352" s="26">
        <f t="shared" si="109"/>
        <v>0</v>
      </c>
      <c r="BE352" s="26"/>
      <c r="BF352" s="26"/>
      <c r="BG352" s="26"/>
      <c r="BH352" s="26">
        <v>0</v>
      </c>
    </row>
    <row r="353" spans="1:60" ht="35.65" customHeight="1" thickBot="1">
      <c r="A353" s="27" t="s">
        <v>249</v>
      </c>
      <c r="B353" s="35"/>
      <c r="C353" s="20" t="s">
        <v>181</v>
      </c>
      <c r="D353" s="20" t="s">
        <v>193</v>
      </c>
      <c r="E353" s="20" t="s">
        <v>182</v>
      </c>
      <c r="F353" s="20"/>
      <c r="G353" s="20"/>
      <c r="H353" s="20"/>
      <c r="I353" s="20"/>
      <c r="J353" s="20" t="s">
        <v>256</v>
      </c>
      <c r="K353" s="20" t="s">
        <v>180</v>
      </c>
      <c r="L353" s="20" t="s">
        <v>146</v>
      </c>
      <c r="M353" s="20"/>
      <c r="N353" s="20"/>
      <c r="O353" s="20"/>
      <c r="P353" s="20"/>
      <c r="Q353" s="20"/>
      <c r="R353" s="20"/>
      <c r="S353" s="20"/>
      <c r="T353" s="20" t="s">
        <v>258</v>
      </c>
      <c r="U353" s="20" t="s">
        <v>112</v>
      </c>
      <c r="V353" s="10"/>
      <c r="W353" s="20" t="s">
        <v>258</v>
      </c>
      <c r="X353" s="20" t="s">
        <v>112</v>
      </c>
      <c r="Y353" s="10"/>
      <c r="Z353" s="20"/>
      <c r="AA353" s="20"/>
      <c r="AB353" s="20"/>
      <c r="AC353" s="20"/>
      <c r="AD353" s="52" t="s">
        <v>851</v>
      </c>
      <c r="AE353" s="26">
        <f t="shared" si="106"/>
        <v>1389.7</v>
      </c>
      <c r="AF353" s="26">
        <f t="shared" si="106"/>
        <v>1219.7</v>
      </c>
      <c r="AG353" s="26"/>
      <c r="AH353" s="26"/>
      <c r="AI353" s="26"/>
      <c r="AJ353" s="26"/>
      <c r="AK353" s="26"/>
      <c r="AL353" s="26"/>
      <c r="AM353" s="26">
        <v>1389.7</v>
      </c>
      <c r="AN353" s="26">
        <v>1219.7</v>
      </c>
      <c r="AO353" s="26">
        <f t="shared" si="110"/>
        <v>0</v>
      </c>
      <c r="AP353" s="26"/>
      <c r="AQ353" s="26"/>
      <c r="AR353" s="26"/>
      <c r="AS353" s="26">
        <f>2442.8-1093.7-1349.1</f>
        <v>0</v>
      </c>
      <c r="AT353" s="26">
        <f t="shared" si="107"/>
        <v>0</v>
      </c>
      <c r="AU353" s="26"/>
      <c r="AV353" s="26"/>
      <c r="AW353" s="26"/>
      <c r="AX353" s="26"/>
      <c r="AY353" s="26">
        <f t="shared" si="108"/>
        <v>0</v>
      </c>
      <c r="AZ353" s="26"/>
      <c r="BA353" s="26"/>
      <c r="BB353" s="26"/>
      <c r="BC353" s="26"/>
      <c r="BD353" s="26">
        <f t="shared" si="109"/>
        <v>0</v>
      </c>
      <c r="BE353" s="26"/>
      <c r="BF353" s="26"/>
      <c r="BG353" s="26"/>
      <c r="BH353" s="26"/>
    </row>
    <row r="354" spans="1:60" ht="35.65" customHeight="1" thickBot="1">
      <c r="A354" s="27"/>
      <c r="B354" s="35"/>
      <c r="C354" s="20" t="s">
        <v>181</v>
      </c>
      <c r="D354" s="20" t="s">
        <v>153</v>
      </c>
      <c r="E354" s="20" t="s">
        <v>182</v>
      </c>
      <c r="F354" s="20"/>
      <c r="G354" s="20"/>
      <c r="H354" s="20"/>
      <c r="I354" s="20"/>
      <c r="J354" s="43" t="s">
        <v>183</v>
      </c>
      <c r="K354" s="20" t="s">
        <v>109</v>
      </c>
      <c r="L354" s="20" t="s">
        <v>161</v>
      </c>
      <c r="M354" s="43" t="s">
        <v>259</v>
      </c>
      <c r="N354" s="20" t="s">
        <v>112</v>
      </c>
      <c r="O354" s="20" t="s">
        <v>121</v>
      </c>
      <c r="P354" s="20" t="s">
        <v>250</v>
      </c>
      <c r="Q354" s="20" t="s">
        <v>112</v>
      </c>
      <c r="R354" s="20"/>
      <c r="S354" s="20"/>
      <c r="T354" s="20"/>
      <c r="U354" s="20"/>
      <c r="V354" s="10"/>
      <c r="W354" s="20" t="s">
        <v>251</v>
      </c>
      <c r="X354" s="20" t="s">
        <v>112</v>
      </c>
      <c r="Y354" s="10"/>
      <c r="Z354" s="20" t="s">
        <v>251</v>
      </c>
      <c r="AA354" s="20" t="s">
        <v>112</v>
      </c>
      <c r="AB354" s="20"/>
      <c r="AC354" s="20"/>
      <c r="AD354" s="52" t="s">
        <v>852</v>
      </c>
      <c r="AE354" s="26"/>
      <c r="AF354" s="26"/>
      <c r="AG354" s="26"/>
      <c r="AH354" s="26"/>
      <c r="AI354" s="26"/>
      <c r="AJ354" s="26"/>
      <c r="AK354" s="26"/>
      <c r="AL354" s="26"/>
      <c r="AM354" s="26"/>
      <c r="AN354" s="26"/>
      <c r="AO354" s="26">
        <f t="shared" si="110"/>
        <v>1513.9999999999998</v>
      </c>
      <c r="AP354" s="26"/>
      <c r="AQ354" s="26"/>
      <c r="AR354" s="26"/>
      <c r="AS354" s="26">
        <f>1349.1+181.5+32.8-49.4</f>
        <v>1513.9999999999998</v>
      </c>
      <c r="AT354" s="26">
        <f t="shared" si="107"/>
        <v>1349.1</v>
      </c>
      <c r="AU354" s="26"/>
      <c r="AV354" s="26"/>
      <c r="AW354" s="26"/>
      <c r="AX354" s="26">
        <v>1349.1</v>
      </c>
      <c r="AY354" s="26">
        <f t="shared" si="108"/>
        <v>1349.1</v>
      </c>
      <c r="AZ354" s="26"/>
      <c r="BA354" s="26"/>
      <c r="BB354" s="26"/>
      <c r="BC354" s="26">
        <v>1349.1</v>
      </c>
      <c r="BD354" s="26">
        <f t="shared" si="109"/>
        <v>1349.1</v>
      </c>
      <c r="BE354" s="26"/>
      <c r="BF354" s="26"/>
      <c r="BG354" s="26"/>
      <c r="BH354" s="26">
        <v>1349.1</v>
      </c>
    </row>
    <row r="355" spans="1:60" ht="35.65" customHeight="1" thickBot="1">
      <c r="A355" s="27" t="s">
        <v>249</v>
      </c>
      <c r="B355" s="35"/>
      <c r="C355" s="20" t="s">
        <v>181</v>
      </c>
      <c r="D355" s="20" t="s">
        <v>195</v>
      </c>
      <c r="E355" s="20" t="s">
        <v>182</v>
      </c>
      <c r="F355" s="20"/>
      <c r="G355" s="20"/>
      <c r="H355" s="20"/>
      <c r="I355" s="20"/>
      <c r="J355" s="20" t="s">
        <v>256</v>
      </c>
      <c r="K355" s="20" t="s">
        <v>260</v>
      </c>
      <c r="L355" s="20" t="s">
        <v>146</v>
      </c>
      <c r="M355" s="20"/>
      <c r="N355" s="20"/>
      <c r="O355" s="20"/>
      <c r="P355" s="20"/>
      <c r="Q355" s="20"/>
      <c r="R355" s="20"/>
      <c r="S355" s="20"/>
      <c r="T355" s="20" t="s">
        <v>261</v>
      </c>
      <c r="U355" s="20" t="s">
        <v>112</v>
      </c>
      <c r="V355" s="10"/>
      <c r="W355" s="20" t="s">
        <v>261</v>
      </c>
      <c r="X355" s="20" t="s">
        <v>112</v>
      </c>
      <c r="Y355" s="10"/>
      <c r="Z355" s="20"/>
      <c r="AA355" s="20"/>
      <c r="AB355" s="20"/>
      <c r="AC355" s="20"/>
      <c r="AD355" s="52" t="s">
        <v>853</v>
      </c>
      <c r="AE355" s="26">
        <f t="shared" si="106"/>
        <v>0</v>
      </c>
      <c r="AF355" s="26">
        <f t="shared" si="106"/>
        <v>0</v>
      </c>
      <c r="AG355" s="26"/>
      <c r="AH355" s="26"/>
      <c r="AI355" s="26"/>
      <c r="AJ355" s="26"/>
      <c r="AK355" s="26"/>
      <c r="AL355" s="26"/>
      <c r="AM355" s="26"/>
      <c r="AN355" s="26"/>
      <c r="AO355" s="26"/>
      <c r="AP355" s="26"/>
      <c r="AQ355" s="26"/>
      <c r="AR355" s="26"/>
      <c r="AS355" s="26"/>
      <c r="AT355" s="26"/>
      <c r="AU355" s="26"/>
      <c r="AV355" s="26"/>
      <c r="AW355" s="26"/>
      <c r="AX355" s="26"/>
      <c r="AY355" s="26"/>
      <c r="AZ355" s="26"/>
      <c r="BA355" s="26"/>
      <c r="BB355" s="26"/>
      <c r="BC355" s="26"/>
      <c r="BD355" s="26"/>
      <c r="BE355" s="26"/>
      <c r="BF355" s="26"/>
      <c r="BG355" s="26"/>
      <c r="BH355" s="26"/>
    </row>
    <row r="356" spans="1:60" ht="35.65" customHeight="1" thickBot="1">
      <c r="A356" s="27" t="s">
        <v>262</v>
      </c>
      <c r="B356" s="35"/>
      <c r="C356" s="20" t="s">
        <v>181</v>
      </c>
      <c r="D356" s="20" t="s">
        <v>195</v>
      </c>
      <c r="E356" s="20" t="s">
        <v>182</v>
      </c>
      <c r="F356" s="20"/>
      <c r="G356" s="20"/>
      <c r="H356" s="20"/>
      <c r="I356" s="20"/>
      <c r="J356" s="20" t="s">
        <v>256</v>
      </c>
      <c r="K356" s="20" t="s">
        <v>260</v>
      </c>
      <c r="L356" s="20" t="s">
        <v>146</v>
      </c>
      <c r="M356" s="20"/>
      <c r="N356" s="20"/>
      <c r="O356" s="20"/>
      <c r="P356" s="20"/>
      <c r="Q356" s="20"/>
      <c r="R356" s="20"/>
      <c r="S356" s="20"/>
      <c r="T356" s="20" t="s">
        <v>261</v>
      </c>
      <c r="U356" s="20" t="s">
        <v>112</v>
      </c>
      <c r="V356" s="10"/>
      <c r="W356" s="20" t="s">
        <v>261</v>
      </c>
      <c r="X356" s="20" t="s">
        <v>112</v>
      </c>
      <c r="Y356" s="10"/>
      <c r="Z356" s="20"/>
      <c r="AA356" s="20"/>
      <c r="AB356" s="20"/>
      <c r="AC356" s="20"/>
      <c r="AD356" s="52" t="s">
        <v>854</v>
      </c>
      <c r="AE356" s="26">
        <f t="shared" si="106"/>
        <v>17533</v>
      </c>
      <c r="AF356" s="26">
        <f t="shared" si="106"/>
        <v>17483.8</v>
      </c>
      <c r="AG356" s="26"/>
      <c r="AH356" s="26"/>
      <c r="AI356" s="26">
        <v>1346.9</v>
      </c>
      <c r="AJ356" s="26">
        <v>1346.9</v>
      </c>
      <c r="AK356" s="26"/>
      <c r="AL356" s="26"/>
      <c r="AM356" s="26">
        <f>16202.9+797.7+126.9+549.1-143.6-1346.9</f>
        <v>16186.1</v>
      </c>
      <c r="AN356" s="26">
        <f>17483.8-1346.9</f>
        <v>16136.9</v>
      </c>
      <c r="AO356" s="26">
        <f>AP356+AQ356+AR356+AS356</f>
        <v>0</v>
      </c>
      <c r="AP356" s="26"/>
      <c r="AQ356" s="26"/>
      <c r="AR356" s="26"/>
      <c r="AS356" s="26">
        <f>19344.4+533.8-19878.2</f>
        <v>0</v>
      </c>
      <c r="AT356" s="26">
        <f>AU356+AV356+AW356+AX356</f>
        <v>0</v>
      </c>
      <c r="AU356" s="26"/>
      <c r="AV356" s="26"/>
      <c r="AW356" s="26"/>
      <c r="AX356" s="26">
        <f>19344.4-19344.4</f>
        <v>0</v>
      </c>
      <c r="AY356" s="26">
        <f t="shared" si="108"/>
        <v>0</v>
      </c>
      <c r="AZ356" s="26"/>
      <c r="BA356" s="26"/>
      <c r="BB356" s="26"/>
      <c r="BC356" s="26">
        <f>19344.4-19344.4</f>
        <v>0</v>
      </c>
      <c r="BD356" s="26">
        <f>BE356+BF356+BG356+BH356</f>
        <v>0</v>
      </c>
      <c r="BE356" s="26"/>
      <c r="BF356" s="26"/>
      <c r="BG356" s="26"/>
      <c r="BH356" s="26">
        <f>19344.4-19344.4</f>
        <v>0</v>
      </c>
    </row>
    <row r="357" spans="1:60" ht="35.65" customHeight="1" thickBot="1">
      <c r="A357" s="27"/>
      <c r="B357" s="35"/>
      <c r="C357" s="20" t="s">
        <v>181</v>
      </c>
      <c r="D357" s="20" t="s">
        <v>153</v>
      </c>
      <c r="E357" s="20" t="s">
        <v>182</v>
      </c>
      <c r="F357" s="20"/>
      <c r="G357" s="20"/>
      <c r="H357" s="20"/>
      <c r="I357" s="20"/>
      <c r="J357" s="43" t="s">
        <v>183</v>
      </c>
      <c r="K357" s="20" t="s">
        <v>109</v>
      </c>
      <c r="L357" s="20" t="s">
        <v>164</v>
      </c>
      <c r="M357" s="43" t="s">
        <v>259</v>
      </c>
      <c r="N357" s="20" t="s">
        <v>112</v>
      </c>
      <c r="O357" s="20" t="s">
        <v>121</v>
      </c>
      <c r="P357" s="20" t="s">
        <v>250</v>
      </c>
      <c r="Q357" s="20" t="s">
        <v>112</v>
      </c>
      <c r="R357" s="20"/>
      <c r="S357" s="20"/>
      <c r="T357" s="20"/>
      <c r="U357" s="20"/>
      <c r="V357" s="10"/>
      <c r="W357" s="20" t="s">
        <v>251</v>
      </c>
      <c r="X357" s="20" t="s">
        <v>112</v>
      </c>
      <c r="Y357" s="10"/>
      <c r="Z357" s="20" t="s">
        <v>251</v>
      </c>
      <c r="AA357" s="20" t="s">
        <v>112</v>
      </c>
      <c r="AB357" s="20"/>
      <c r="AC357" s="20"/>
      <c r="AD357" s="52" t="s">
        <v>855</v>
      </c>
      <c r="AE357" s="26"/>
      <c r="AF357" s="26"/>
      <c r="AG357" s="26"/>
      <c r="AH357" s="26"/>
      <c r="AI357" s="26"/>
      <c r="AJ357" s="26"/>
      <c r="AK357" s="26"/>
      <c r="AL357" s="26"/>
      <c r="AM357" s="26"/>
      <c r="AN357" s="26"/>
      <c r="AO357" s="26">
        <f>AP357+AQ357+AR357+AS357</f>
        <v>21323.599999999999</v>
      </c>
      <c r="AP357" s="26"/>
      <c r="AQ357" s="26">
        <v>533.9</v>
      </c>
      <c r="AR357" s="26"/>
      <c r="AS357" s="26">
        <f>19878.2-533.9-20+307.4+1328.1-533.9+363.8</f>
        <v>20789.699999999997</v>
      </c>
      <c r="AT357" s="26">
        <f>AU357+AV357+AW357+AX357</f>
        <v>19344.400000000001</v>
      </c>
      <c r="AU357" s="26"/>
      <c r="AV357" s="26"/>
      <c r="AW357" s="26"/>
      <c r="AX357" s="26">
        <v>19344.400000000001</v>
      </c>
      <c r="AY357" s="26">
        <f t="shared" si="108"/>
        <v>19344.400000000001</v>
      </c>
      <c r="AZ357" s="26"/>
      <c r="BA357" s="26"/>
      <c r="BB357" s="26"/>
      <c r="BC357" s="26">
        <v>19344.400000000001</v>
      </c>
      <c r="BD357" s="26">
        <f>BE357+BF357+BG357+BH357</f>
        <v>19344.400000000001</v>
      </c>
      <c r="BE357" s="26"/>
      <c r="BF357" s="26"/>
      <c r="BG357" s="26"/>
      <c r="BH357" s="26">
        <v>19344.400000000001</v>
      </c>
    </row>
    <row r="358" spans="1:60" ht="35.65" customHeight="1" thickBot="1">
      <c r="A358" s="27" t="s">
        <v>249</v>
      </c>
      <c r="B358" s="35"/>
      <c r="C358" s="20" t="s">
        <v>105</v>
      </c>
      <c r="D358" s="20" t="s">
        <v>117</v>
      </c>
      <c r="E358" s="20" t="s">
        <v>107</v>
      </c>
      <c r="F358" s="20"/>
      <c r="G358" s="20"/>
      <c r="H358" s="20"/>
      <c r="I358" s="20"/>
      <c r="J358" s="20"/>
      <c r="K358" s="20"/>
      <c r="L358" s="20"/>
      <c r="M358" s="20"/>
      <c r="N358" s="20"/>
      <c r="O358" s="20"/>
      <c r="P358" s="20"/>
      <c r="Q358" s="20"/>
      <c r="R358" s="20"/>
      <c r="S358" s="20"/>
      <c r="T358" s="20"/>
      <c r="U358" s="20"/>
      <c r="V358" s="10"/>
      <c r="W358" s="20" t="s">
        <v>126</v>
      </c>
      <c r="X358" s="20" t="s">
        <v>112</v>
      </c>
      <c r="Y358" s="10"/>
      <c r="Z358" s="20" t="s">
        <v>263</v>
      </c>
      <c r="AA358" s="20" t="s">
        <v>112</v>
      </c>
      <c r="AB358" s="20"/>
      <c r="AC358" s="20"/>
      <c r="AD358" s="52" t="s">
        <v>856</v>
      </c>
      <c r="AE358" s="26">
        <f t="shared" si="106"/>
        <v>331.4</v>
      </c>
      <c r="AF358" s="26">
        <f t="shared" si="106"/>
        <v>331.4</v>
      </c>
      <c r="AG358" s="26"/>
      <c r="AH358" s="26"/>
      <c r="AI358" s="26"/>
      <c r="AJ358" s="26"/>
      <c r="AK358" s="26"/>
      <c r="AL358" s="26"/>
      <c r="AM358" s="26">
        <v>331.4</v>
      </c>
      <c r="AN358" s="26">
        <v>331.4</v>
      </c>
      <c r="AO358" s="26">
        <f t="shared" ref="AO358:AO368" si="111">AP358+AQ358+AR358+AS358</f>
        <v>0</v>
      </c>
      <c r="AP358" s="26"/>
      <c r="AQ358" s="26"/>
      <c r="AR358" s="26"/>
      <c r="AS358" s="26"/>
      <c r="AT358" s="26">
        <f>AU358+AV358+AW358+AX358</f>
        <v>0</v>
      </c>
      <c r="AU358" s="26"/>
      <c r="AV358" s="26"/>
      <c r="AW358" s="26"/>
      <c r="AX358" s="26"/>
      <c r="AY358" s="26">
        <f t="shared" si="108"/>
        <v>0</v>
      </c>
      <c r="AZ358" s="26"/>
      <c r="BA358" s="26"/>
      <c r="BB358" s="26"/>
      <c r="BC358" s="26"/>
      <c r="BD358" s="26">
        <f>BE358+BF358+BG358+BH358</f>
        <v>0</v>
      </c>
      <c r="BE358" s="26"/>
      <c r="BF358" s="26"/>
      <c r="BG358" s="26"/>
      <c r="BH358" s="26"/>
    </row>
    <row r="359" spans="1:60" ht="35.65" customHeight="1" thickBot="1">
      <c r="A359" s="27" t="s">
        <v>249</v>
      </c>
      <c r="B359" s="35"/>
      <c r="C359" s="20"/>
      <c r="D359" s="20"/>
      <c r="E359" s="20"/>
      <c r="F359" s="20"/>
      <c r="G359" s="20"/>
      <c r="H359" s="20"/>
      <c r="I359" s="20"/>
      <c r="J359" s="20"/>
      <c r="K359" s="20"/>
      <c r="L359" s="20"/>
      <c r="M359" s="20"/>
      <c r="N359" s="20"/>
      <c r="O359" s="20"/>
      <c r="P359" s="20"/>
      <c r="Q359" s="20"/>
      <c r="R359" s="20"/>
      <c r="S359" s="20"/>
      <c r="T359" s="20"/>
      <c r="U359" s="20"/>
      <c r="V359" s="10"/>
      <c r="W359" s="20"/>
      <c r="X359" s="20"/>
      <c r="Y359" s="10"/>
      <c r="Z359" s="20"/>
      <c r="AA359" s="20"/>
      <c r="AB359" s="20"/>
      <c r="AC359" s="20"/>
      <c r="AD359" s="52" t="s">
        <v>857</v>
      </c>
      <c r="AE359" s="26">
        <f t="shared" si="106"/>
        <v>0</v>
      </c>
      <c r="AF359" s="26">
        <f t="shared" si="106"/>
        <v>0</v>
      </c>
      <c r="AG359" s="26"/>
      <c r="AH359" s="26"/>
      <c r="AI359" s="26">
        <f>4750-4750</f>
        <v>0</v>
      </c>
      <c r="AJ359" s="26"/>
      <c r="AK359" s="26"/>
      <c r="AL359" s="26"/>
      <c r="AM359" s="26"/>
      <c r="AN359" s="26"/>
      <c r="AO359" s="26">
        <f t="shared" si="111"/>
        <v>0</v>
      </c>
      <c r="AP359" s="26"/>
      <c r="AQ359" s="26"/>
      <c r="AR359" s="26"/>
      <c r="AS359" s="26"/>
      <c r="AT359" s="26"/>
      <c r="AU359" s="26"/>
      <c r="AV359" s="26"/>
      <c r="AW359" s="26"/>
      <c r="AX359" s="26"/>
      <c r="AY359" s="26"/>
      <c r="AZ359" s="26"/>
      <c r="BA359" s="26"/>
      <c r="BB359" s="26"/>
      <c r="BC359" s="26"/>
      <c r="BD359" s="26"/>
      <c r="BE359" s="26"/>
      <c r="BF359" s="26"/>
      <c r="BG359" s="26"/>
      <c r="BH359" s="26"/>
    </row>
    <row r="360" spans="1:60" ht="35.65" customHeight="1" thickBot="1">
      <c r="A360" s="27" t="s">
        <v>249</v>
      </c>
      <c r="B360" s="35"/>
      <c r="C360" s="20"/>
      <c r="D360" s="20"/>
      <c r="E360" s="20"/>
      <c r="F360" s="20"/>
      <c r="G360" s="20"/>
      <c r="H360" s="20"/>
      <c r="I360" s="20"/>
      <c r="J360" s="20"/>
      <c r="K360" s="20"/>
      <c r="L360" s="20"/>
      <c r="M360" s="20"/>
      <c r="N360" s="20"/>
      <c r="O360" s="20"/>
      <c r="P360" s="20"/>
      <c r="Q360" s="20"/>
      <c r="R360" s="20"/>
      <c r="S360" s="20"/>
      <c r="T360" s="20"/>
      <c r="U360" s="20"/>
      <c r="V360" s="10"/>
      <c r="W360" s="20"/>
      <c r="X360" s="20"/>
      <c r="Y360" s="10"/>
      <c r="Z360" s="20"/>
      <c r="AA360" s="20"/>
      <c r="AB360" s="20"/>
      <c r="AC360" s="20"/>
      <c r="AD360" s="52" t="s">
        <v>858</v>
      </c>
      <c r="AE360" s="26">
        <f t="shared" si="106"/>
        <v>0</v>
      </c>
      <c r="AF360" s="26">
        <f t="shared" si="106"/>
        <v>0</v>
      </c>
      <c r="AG360" s="26"/>
      <c r="AH360" s="26"/>
      <c r="AI360" s="26"/>
      <c r="AJ360" s="26"/>
      <c r="AK360" s="26"/>
      <c r="AL360" s="26"/>
      <c r="AM360" s="26"/>
      <c r="AN360" s="26"/>
      <c r="AO360" s="26">
        <f t="shared" si="111"/>
        <v>0</v>
      </c>
      <c r="AP360" s="26"/>
      <c r="AQ360" s="26"/>
      <c r="AR360" s="26"/>
      <c r="AS360" s="26"/>
      <c r="AT360" s="26"/>
      <c r="AU360" s="26"/>
      <c r="AV360" s="26"/>
      <c r="AW360" s="26"/>
      <c r="AX360" s="26"/>
      <c r="AY360" s="26"/>
      <c r="AZ360" s="26"/>
      <c r="BA360" s="26"/>
      <c r="BB360" s="26"/>
      <c r="BC360" s="26"/>
      <c r="BD360" s="26"/>
      <c r="BE360" s="26"/>
      <c r="BF360" s="26"/>
      <c r="BG360" s="26"/>
      <c r="BH360" s="26"/>
    </row>
    <row r="361" spans="1:60" ht="35.65" customHeight="1" thickBot="1">
      <c r="A361" s="27" t="s">
        <v>249</v>
      </c>
      <c r="B361" s="35"/>
      <c r="C361" s="20"/>
      <c r="D361" s="20"/>
      <c r="E361" s="20"/>
      <c r="F361" s="20"/>
      <c r="G361" s="20"/>
      <c r="H361" s="20"/>
      <c r="I361" s="20"/>
      <c r="J361" s="20"/>
      <c r="K361" s="20"/>
      <c r="L361" s="20"/>
      <c r="M361" s="20"/>
      <c r="N361" s="20"/>
      <c r="O361" s="20"/>
      <c r="P361" s="20"/>
      <c r="Q361" s="20"/>
      <c r="R361" s="20"/>
      <c r="S361" s="20"/>
      <c r="T361" s="20"/>
      <c r="U361" s="20"/>
      <c r="V361" s="10"/>
      <c r="W361" s="20"/>
      <c r="X361" s="20"/>
      <c r="Y361" s="10"/>
      <c r="Z361" s="20"/>
      <c r="AA361" s="20"/>
      <c r="AB361" s="20"/>
      <c r="AC361" s="20"/>
      <c r="AD361" s="52" t="s">
        <v>859</v>
      </c>
      <c r="AE361" s="26">
        <f t="shared" si="106"/>
        <v>0</v>
      </c>
      <c r="AF361" s="26">
        <f t="shared" si="106"/>
        <v>0</v>
      </c>
      <c r="AG361" s="26"/>
      <c r="AH361" s="26"/>
      <c r="AI361" s="26"/>
      <c r="AJ361" s="26"/>
      <c r="AK361" s="26"/>
      <c r="AL361" s="26"/>
      <c r="AM361" s="26">
        <f>500-500</f>
        <v>0</v>
      </c>
      <c r="AN361" s="26"/>
      <c r="AO361" s="26">
        <f t="shared" si="111"/>
        <v>0</v>
      </c>
      <c r="AP361" s="26"/>
      <c r="AQ361" s="26"/>
      <c r="AR361" s="26"/>
      <c r="AS361" s="26"/>
      <c r="AT361" s="26"/>
      <c r="AU361" s="26"/>
      <c r="AV361" s="26"/>
      <c r="AW361" s="26"/>
      <c r="AX361" s="26"/>
      <c r="AY361" s="26"/>
      <c r="AZ361" s="26"/>
      <c r="BA361" s="26"/>
      <c r="BB361" s="26"/>
      <c r="BC361" s="26"/>
      <c r="BD361" s="26"/>
      <c r="BE361" s="26"/>
      <c r="BF361" s="26"/>
      <c r="BG361" s="26"/>
      <c r="BH361" s="26"/>
    </row>
    <row r="362" spans="1:60" ht="35.65" customHeight="1" thickBot="1">
      <c r="A362" s="27" t="s">
        <v>249</v>
      </c>
      <c r="B362" s="35"/>
      <c r="C362" s="20"/>
      <c r="D362" s="20"/>
      <c r="E362" s="20"/>
      <c r="F362" s="20"/>
      <c r="G362" s="20"/>
      <c r="H362" s="20"/>
      <c r="I362" s="20"/>
      <c r="J362" s="20"/>
      <c r="K362" s="20"/>
      <c r="L362" s="20"/>
      <c r="M362" s="20"/>
      <c r="N362" s="20"/>
      <c r="O362" s="20"/>
      <c r="P362" s="20"/>
      <c r="Q362" s="20"/>
      <c r="R362" s="20"/>
      <c r="S362" s="20"/>
      <c r="T362" s="20"/>
      <c r="U362" s="20"/>
      <c r="V362" s="10"/>
      <c r="W362" s="20"/>
      <c r="X362" s="20"/>
      <c r="Y362" s="10"/>
      <c r="Z362" s="20"/>
      <c r="AA362" s="20"/>
      <c r="AB362" s="20"/>
      <c r="AC362" s="20"/>
      <c r="AD362" s="52" t="s">
        <v>860</v>
      </c>
      <c r="AE362" s="26">
        <f t="shared" si="106"/>
        <v>5000</v>
      </c>
      <c r="AF362" s="26">
        <f t="shared" si="106"/>
        <v>5000</v>
      </c>
      <c r="AG362" s="26"/>
      <c r="AH362" s="26"/>
      <c r="AI362" s="26">
        <v>4750</v>
      </c>
      <c r="AJ362" s="26">
        <v>4750</v>
      </c>
      <c r="AK362" s="26"/>
      <c r="AL362" s="26"/>
      <c r="AM362" s="26">
        <v>250</v>
      </c>
      <c r="AN362" s="26">
        <v>250</v>
      </c>
      <c r="AO362" s="26">
        <f t="shared" si="111"/>
        <v>0</v>
      </c>
      <c r="AP362" s="26"/>
      <c r="AQ362" s="26"/>
      <c r="AR362" s="26"/>
      <c r="AS362" s="26"/>
      <c r="AT362" s="26"/>
      <c r="AU362" s="26"/>
      <c r="AV362" s="26"/>
      <c r="AW362" s="26"/>
      <c r="AX362" s="26"/>
      <c r="AY362" s="26"/>
      <c r="AZ362" s="26"/>
      <c r="BA362" s="26"/>
      <c r="BB362" s="26"/>
      <c r="BC362" s="26"/>
      <c r="BD362" s="26"/>
      <c r="BE362" s="26"/>
      <c r="BF362" s="26"/>
      <c r="BG362" s="26"/>
      <c r="BH362" s="26"/>
    </row>
    <row r="363" spans="1:60" ht="35.65" customHeight="1" thickBot="1">
      <c r="A363" s="27" t="s">
        <v>249</v>
      </c>
      <c r="B363" s="35"/>
      <c r="C363" s="20" t="s">
        <v>105</v>
      </c>
      <c r="D363" s="20" t="s">
        <v>106</v>
      </c>
      <c r="E363" s="20" t="s">
        <v>107</v>
      </c>
      <c r="F363" s="20"/>
      <c r="G363" s="20"/>
      <c r="H363" s="20"/>
      <c r="I363" s="20"/>
      <c r="J363" s="122" t="s">
        <v>235</v>
      </c>
      <c r="K363" s="20" t="s">
        <v>109</v>
      </c>
      <c r="L363" s="107">
        <v>43466</v>
      </c>
      <c r="M363" s="20" t="s">
        <v>264</v>
      </c>
      <c r="N363" s="20" t="s">
        <v>112</v>
      </c>
      <c r="O363" s="107" t="s">
        <v>265</v>
      </c>
      <c r="P363" s="20"/>
      <c r="Q363" s="20"/>
      <c r="R363" s="20"/>
      <c r="S363" s="20"/>
      <c r="T363" s="20" t="s">
        <v>266</v>
      </c>
      <c r="U363" s="20" t="s">
        <v>112</v>
      </c>
      <c r="V363" s="101"/>
      <c r="W363" s="101"/>
      <c r="X363" s="20"/>
      <c r="Y363" s="101"/>
      <c r="Z363" s="101"/>
      <c r="AA363" s="20"/>
      <c r="AB363" s="20"/>
      <c r="AC363" s="20"/>
      <c r="AD363" s="52" t="s">
        <v>861</v>
      </c>
      <c r="AE363" s="26">
        <f t="shared" si="106"/>
        <v>1231.3</v>
      </c>
      <c r="AF363" s="26">
        <f>AH363+AJ363+AL363+AN363</f>
        <v>1220.2</v>
      </c>
      <c r="AG363" s="26"/>
      <c r="AH363" s="26"/>
      <c r="AI363" s="26">
        <v>1120.5</v>
      </c>
      <c r="AJ363" s="26">
        <v>1109.4000000000001</v>
      </c>
      <c r="AK363" s="26"/>
      <c r="AL363" s="26"/>
      <c r="AM363" s="26">
        <v>110.8</v>
      </c>
      <c r="AN363" s="26">
        <v>110.8</v>
      </c>
      <c r="AO363" s="26">
        <f t="shared" si="111"/>
        <v>788.5</v>
      </c>
      <c r="AP363" s="26"/>
      <c r="AQ363" s="26">
        <v>740.5</v>
      </c>
      <c r="AR363" s="26"/>
      <c r="AS363" s="26">
        <v>48</v>
      </c>
      <c r="AT363" s="26"/>
      <c r="AU363" s="26"/>
      <c r="AV363" s="26"/>
      <c r="AW363" s="26"/>
      <c r="AX363" s="26"/>
      <c r="AY363" s="26"/>
      <c r="AZ363" s="26"/>
      <c r="BA363" s="26"/>
      <c r="BB363" s="26"/>
      <c r="BC363" s="26"/>
      <c r="BD363" s="26"/>
      <c r="BE363" s="26"/>
      <c r="BF363" s="26"/>
      <c r="BG363" s="26"/>
      <c r="BH363" s="26"/>
    </row>
    <row r="364" spans="1:60" ht="35.65" customHeight="1" thickBot="1">
      <c r="A364" s="27" t="s">
        <v>249</v>
      </c>
      <c r="B364" s="35"/>
      <c r="C364" s="20" t="s">
        <v>105</v>
      </c>
      <c r="D364" s="20" t="s">
        <v>117</v>
      </c>
      <c r="E364" s="20" t="s">
        <v>252</v>
      </c>
      <c r="F364" s="20"/>
      <c r="G364" s="20"/>
      <c r="H364" s="20"/>
      <c r="I364" s="20"/>
      <c r="J364" s="18" t="s">
        <v>118</v>
      </c>
      <c r="K364" s="20" t="s">
        <v>109</v>
      </c>
      <c r="L364" s="20" t="s">
        <v>119</v>
      </c>
      <c r="M364" s="36" t="s">
        <v>253</v>
      </c>
      <c r="N364" s="18" t="s">
        <v>112</v>
      </c>
      <c r="O364" s="18" t="s">
        <v>121</v>
      </c>
      <c r="P364" s="18" t="s">
        <v>254</v>
      </c>
      <c r="Q364" s="18" t="s">
        <v>112</v>
      </c>
      <c r="R364" s="20"/>
      <c r="S364" s="20"/>
      <c r="T364" s="18" t="s">
        <v>255</v>
      </c>
      <c r="U364" s="18" t="s">
        <v>112</v>
      </c>
      <c r="V364" s="10"/>
      <c r="W364" s="18" t="s">
        <v>255</v>
      </c>
      <c r="X364" s="18" t="s">
        <v>112</v>
      </c>
      <c r="Y364" s="10"/>
      <c r="Z364" s="20"/>
      <c r="AA364" s="20"/>
      <c r="AB364" s="20"/>
      <c r="AC364" s="20"/>
      <c r="AD364" s="52" t="s">
        <v>862</v>
      </c>
      <c r="AE364" s="26">
        <f t="shared" si="106"/>
        <v>76.8</v>
      </c>
      <c r="AF364" s="26">
        <f t="shared" si="106"/>
        <v>76.099999999999994</v>
      </c>
      <c r="AG364" s="26"/>
      <c r="AH364" s="26"/>
      <c r="AI364" s="26">
        <v>73.7</v>
      </c>
      <c r="AJ364" s="26">
        <v>73</v>
      </c>
      <c r="AK364" s="26"/>
      <c r="AL364" s="26"/>
      <c r="AM364" s="26">
        <v>3.1</v>
      </c>
      <c r="AN364" s="26">
        <v>3.1</v>
      </c>
      <c r="AO364" s="26">
        <f t="shared" si="111"/>
        <v>163.79999999999998</v>
      </c>
      <c r="AP364" s="26"/>
      <c r="AQ364" s="26">
        <v>162.1</v>
      </c>
      <c r="AR364" s="26"/>
      <c r="AS364" s="26">
        <v>1.7</v>
      </c>
      <c r="AT364" s="26"/>
      <c r="AU364" s="26"/>
      <c r="AV364" s="26"/>
      <c r="AW364" s="26"/>
      <c r="AX364" s="26"/>
      <c r="AY364" s="26"/>
      <c r="AZ364" s="26"/>
      <c r="BA364" s="26"/>
      <c r="BB364" s="26"/>
      <c r="BC364" s="26"/>
      <c r="BD364" s="26"/>
      <c r="BE364" s="26"/>
      <c r="BF364" s="26"/>
      <c r="BG364" s="26"/>
      <c r="BH364" s="26"/>
    </row>
    <row r="365" spans="1:60" ht="35.65" customHeight="1" thickBot="1">
      <c r="A365" s="27" t="s">
        <v>249</v>
      </c>
      <c r="B365" s="35"/>
      <c r="C365" s="20" t="s">
        <v>105</v>
      </c>
      <c r="D365" s="20" t="s">
        <v>106</v>
      </c>
      <c r="E365" s="20" t="s">
        <v>107</v>
      </c>
      <c r="F365" s="20"/>
      <c r="G365" s="20"/>
      <c r="H365" s="20"/>
      <c r="I365" s="20"/>
      <c r="J365" s="122" t="s">
        <v>235</v>
      </c>
      <c r="K365" s="20" t="s">
        <v>109</v>
      </c>
      <c r="L365" s="107">
        <v>43466</v>
      </c>
      <c r="M365" s="20" t="s">
        <v>264</v>
      </c>
      <c r="N365" s="20" t="s">
        <v>112</v>
      </c>
      <c r="O365" s="107" t="s">
        <v>265</v>
      </c>
      <c r="P365" s="20"/>
      <c r="Q365" s="20"/>
      <c r="R365" s="20"/>
      <c r="S365" s="20"/>
      <c r="T365" s="20" t="s">
        <v>266</v>
      </c>
      <c r="U365" s="20" t="s">
        <v>112</v>
      </c>
      <c r="V365" s="101"/>
      <c r="W365" s="101"/>
      <c r="X365" s="20"/>
      <c r="Y365" s="101"/>
      <c r="Z365" s="101"/>
      <c r="AA365" s="20"/>
      <c r="AB365" s="20"/>
      <c r="AC365" s="20"/>
      <c r="AD365" s="52" t="s">
        <v>863</v>
      </c>
      <c r="AE365" s="26">
        <f t="shared" si="106"/>
        <v>0</v>
      </c>
      <c r="AF365" s="26">
        <f t="shared" si="106"/>
        <v>0</v>
      </c>
      <c r="AG365" s="26"/>
      <c r="AH365" s="26"/>
      <c r="AI365" s="26">
        <f>1120.5-1120.5</f>
        <v>0</v>
      </c>
      <c r="AJ365" s="26"/>
      <c r="AK365" s="26"/>
      <c r="AL365" s="26"/>
      <c r="AM365" s="26"/>
      <c r="AN365" s="26"/>
      <c r="AO365" s="26">
        <f t="shared" si="111"/>
        <v>0</v>
      </c>
      <c r="AP365" s="26"/>
      <c r="AQ365" s="26"/>
      <c r="AR365" s="26"/>
      <c r="AS365" s="26"/>
      <c r="AT365" s="26"/>
      <c r="AU365" s="26"/>
      <c r="AV365" s="26"/>
      <c r="AW365" s="26"/>
      <c r="AX365" s="26"/>
      <c r="AY365" s="26"/>
      <c r="AZ365" s="26"/>
      <c r="BA365" s="26"/>
      <c r="BB365" s="26"/>
      <c r="BC365" s="26"/>
      <c r="BD365" s="26"/>
      <c r="BE365" s="26"/>
      <c r="BF365" s="26"/>
      <c r="BG365" s="26"/>
      <c r="BH365" s="26"/>
    </row>
    <row r="366" spans="1:60" ht="35.65" customHeight="1" thickBot="1">
      <c r="A366" s="27" t="s">
        <v>249</v>
      </c>
      <c r="B366" s="35"/>
      <c r="C366" s="20"/>
      <c r="D366" s="20"/>
      <c r="E366" s="20"/>
      <c r="F366" s="20"/>
      <c r="G366" s="20"/>
      <c r="H366" s="20"/>
      <c r="I366" s="20"/>
      <c r="J366" s="79"/>
      <c r="K366" s="20"/>
      <c r="L366" s="107"/>
      <c r="M366" s="18"/>
      <c r="N366" s="18"/>
      <c r="O366" s="139"/>
      <c r="P366" s="18"/>
      <c r="Q366" s="18"/>
      <c r="R366" s="20"/>
      <c r="S366" s="20"/>
      <c r="T366" s="18"/>
      <c r="U366" s="18"/>
      <c r="V366" s="101"/>
      <c r="W366" s="120"/>
      <c r="X366" s="18"/>
      <c r="Y366" s="101"/>
      <c r="Z366" s="101"/>
      <c r="AA366" s="20"/>
      <c r="AB366" s="20"/>
      <c r="AC366" s="20"/>
      <c r="AD366" s="52" t="s">
        <v>864</v>
      </c>
      <c r="AE366" s="26">
        <f t="shared" si="106"/>
        <v>182.3</v>
      </c>
      <c r="AF366" s="26">
        <f t="shared" si="106"/>
        <v>182.3</v>
      </c>
      <c r="AG366" s="26"/>
      <c r="AH366" s="26"/>
      <c r="AI366" s="26">
        <v>182.3</v>
      </c>
      <c r="AJ366" s="26">
        <v>182.3</v>
      </c>
      <c r="AK366" s="26"/>
      <c r="AL366" s="26"/>
      <c r="AM366" s="26"/>
      <c r="AN366" s="26"/>
      <c r="AO366" s="26">
        <f t="shared" si="111"/>
        <v>0</v>
      </c>
      <c r="AP366" s="26"/>
      <c r="AQ366" s="26"/>
      <c r="AR366" s="26"/>
      <c r="AS366" s="26"/>
      <c r="AT366" s="26"/>
      <c r="AU366" s="26"/>
      <c r="AV366" s="26"/>
      <c r="AW366" s="26"/>
      <c r="AX366" s="26"/>
      <c r="AY366" s="26"/>
      <c r="AZ366" s="26"/>
      <c r="BA366" s="26"/>
      <c r="BB366" s="26"/>
      <c r="BC366" s="26"/>
      <c r="BD366" s="26"/>
      <c r="BE366" s="26"/>
      <c r="BF366" s="26"/>
      <c r="BG366" s="26"/>
      <c r="BH366" s="26"/>
    </row>
    <row r="367" spans="1:60" ht="35.65" customHeight="1" thickBot="1">
      <c r="A367" s="27" t="s">
        <v>249</v>
      </c>
      <c r="B367" s="35"/>
      <c r="C367" s="121" t="s">
        <v>105</v>
      </c>
      <c r="D367" s="121" t="s">
        <v>117</v>
      </c>
      <c r="E367" s="121" t="s">
        <v>252</v>
      </c>
      <c r="F367" s="121"/>
      <c r="G367" s="121"/>
      <c r="H367" s="121"/>
      <c r="I367" s="121"/>
      <c r="J367" s="136" t="s">
        <v>118</v>
      </c>
      <c r="K367" s="121" t="s">
        <v>109</v>
      </c>
      <c r="L367" s="121" t="s">
        <v>119</v>
      </c>
      <c r="M367" s="137" t="s">
        <v>120</v>
      </c>
      <c r="N367" s="136" t="s">
        <v>112</v>
      </c>
      <c r="O367" s="136" t="s">
        <v>121</v>
      </c>
      <c r="P367" s="136" t="s">
        <v>254</v>
      </c>
      <c r="Q367" s="136" t="s">
        <v>112</v>
      </c>
      <c r="R367" s="121"/>
      <c r="S367" s="121"/>
      <c r="T367" s="136" t="s">
        <v>255</v>
      </c>
      <c r="U367" s="136" t="s">
        <v>112</v>
      </c>
      <c r="V367" s="138"/>
      <c r="W367" s="136" t="s">
        <v>255</v>
      </c>
      <c r="X367" s="136" t="s">
        <v>112</v>
      </c>
      <c r="Y367" s="10"/>
      <c r="Z367" s="20"/>
      <c r="AA367" s="20"/>
      <c r="AB367" s="20"/>
      <c r="AC367" s="20"/>
      <c r="AD367" s="52" t="s">
        <v>849</v>
      </c>
      <c r="AE367" s="26">
        <f t="shared" si="106"/>
        <v>0</v>
      </c>
      <c r="AF367" s="26">
        <f t="shared" si="106"/>
        <v>0</v>
      </c>
      <c r="AG367" s="26"/>
      <c r="AH367" s="26"/>
      <c r="AI367" s="26">
        <v>0</v>
      </c>
      <c r="AJ367" s="26"/>
      <c r="AK367" s="26"/>
      <c r="AL367" s="26"/>
      <c r="AM367" s="26"/>
      <c r="AN367" s="26"/>
      <c r="AO367" s="26">
        <f t="shared" si="111"/>
        <v>0</v>
      </c>
      <c r="AP367" s="26"/>
      <c r="AQ367" s="26"/>
      <c r="AR367" s="26"/>
      <c r="AS367" s="26"/>
      <c r="AT367" s="26"/>
      <c r="AU367" s="26"/>
      <c r="AV367" s="26"/>
      <c r="AW367" s="26"/>
      <c r="AX367" s="26"/>
      <c r="AY367" s="26"/>
      <c r="AZ367" s="26"/>
      <c r="BA367" s="26"/>
      <c r="BB367" s="26"/>
      <c r="BC367" s="26"/>
      <c r="BD367" s="26"/>
      <c r="BE367" s="26"/>
      <c r="BF367" s="26"/>
      <c r="BG367" s="26"/>
      <c r="BH367" s="26"/>
    </row>
    <row r="368" spans="1:60" ht="35.65" customHeight="1" thickBot="1">
      <c r="A368" s="27" t="s">
        <v>249</v>
      </c>
      <c r="B368" s="35"/>
      <c r="C368" s="121" t="s">
        <v>105</v>
      </c>
      <c r="D368" s="140"/>
      <c r="E368" s="26"/>
      <c r="F368" s="26"/>
      <c r="G368" s="26"/>
      <c r="H368" s="26"/>
      <c r="I368" s="26"/>
      <c r="J368" s="136" t="s">
        <v>267</v>
      </c>
      <c r="K368" s="26"/>
      <c r="L368" s="43" t="s">
        <v>268</v>
      </c>
      <c r="M368" s="137" t="s">
        <v>120</v>
      </c>
      <c r="N368" s="136" t="s">
        <v>112</v>
      </c>
      <c r="O368" s="26"/>
      <c r="P368" s="20" t="s">
        <v>269</v>
      </c>
      <c r="Q368" s="141" t="s">
        <v>112</v>
      </c>
      <c r="R368" s="26"/>
      <c r="S368" s="26"/>
      <c r="T368" s="20" t="s">
        <v>270</v>
      </c>
      <c r="U368" s="26" t="s">
        <v>112</v>
      </c>
      <c r="V368" s="142">
        <v>45019</v>
      </c>
      <c r="W368" s="20" t="s">
        <v>270</v>
      </c>
      <c r="X368" s="26" t="s">
        <v>112</v>
      </c>
      <c r="Y368" s="142">
        <v>45019</v>
      </c>
      <c r="Z368" s="26"/>
      <c r="AA368" s="26"/>
      <c r="AB368" s="26"/>
      <c r="AC368" s="20"/>
      <c r="AD368" s="52" t="s">
        <v>865</v>
      </c>
      <c r="AE368" s="26"/>
      <c r="AF368" s="26"/>
      <c r="AG368" s="26"/>
      <c r="AH368" s="26"/>
      <c r="AI368" s="26"/>
      <c r="AJ368" s="26"/>
      <c r="AK368" s="26"/>
      <c r="AL368" s="26"/>
      <c r="AM368" s="26"/>
      <c r="AN368" s="26"/>
      <c r="AO368" s="26">
        <f t="shared" si="111"/>
        <v>35000</v>
      </c>
      <c r="AP368" s="26"/>
      <c r="AQ368" s="26">
        <v>35000</v>
      </c>
      <c r="AR368" s="26"/>
      <c r="AS368" s="26"/>
      <c r="AT368" s="26"/>
      <c r="AU368" s="26"/>
      <c r="AV368" s="26"/>
      <c r="AW368" s="26"/>
      <c r="AX368" s="26"/>
      <c r="AY368" s="26"/>
      <c r="AZ368" s="26"/>
      <c r="BA368" s="26"/>
      <c r="BB368" s="26"/>
      <c r="BC368" s="26"/>
      <c r="BD368" s="26"/>
      <c r="BE368" s="26"/>
      <c r="BF368" s="26"/>
      <c r="BG368" s="26"/>
      <c r="BH368" s="26"/>
    </row>
    <row r="369" spans="1:60" ht="35.65" customHeight="1" thickBot="1">
      <c r="A369" s="27" t="s">
        <v>249</v>
      </c>
      <c r="B369" s="35"/>
      <c r="C369" s="20" t="s">
        <v>181</v>
      </c>
      <c r="D369" s="20" t="s">
        <v>153</v>
      </c>
      <c r="E369" s="20" t="s">
        <v>182</v>
      </c>
      <c r="F369" s="20"/>
      <c r="G369" s="20"/>
      <c r="H369" s="20"/>
      <c r="I369" s="20"/>
      <c r="J369" s="20" t="s">
        <v>271</v>
      </c>
      <c r="K369" s="20" t="s">
        <v>109</v>
      </c>
      <c r="L369" s="20" t="s">
        <v>125</v>
      </c>
      <c r="M369" s="20" t="s">
        <v>259</v>
      </c>
      <c r="N369" s="20" t="s">
        <v>112</v>
      </c>
      <c r="O369" s="20" t="s">
        <v>121</v>
      </c>
      <c r="P369" s="20" t="s">
        <v>254</v>
      </c>
      <c r="Q369" s="20" t="s">
        <v>112</v>
      </c>
      <c r="R369" s="20" t="s">
        <v>272</v>
      </c>
      <c r="S369" s="20"/>
      <c r="T369" s="20" t="s">
        <v>273</v>
      </c>
      <c r="U369" s="20" t="s">
        <v>112</v>
      </c>
      <c r="V369" s="10" t="s">
        <v>274</v>
      </c>
      <c r="W369" s="20" t="s">
        <v>273</v>
      </c>
      <c r="X369" s="20" t="s">
        <v>112</v>
      </c>
      <c r="Y369" s="10" t="s">
        <v>274</v>
      </c>
      <c r="Z369" s="20"/>
      <c r="AA369" s="20"/>
      <c r="AB369" s="20"/>
      <c r="AC369" s="20"/>
      <c r="AD369" s="52" t="s">
        <v>866</v>
      </c>
      <c r="AE369" s="26">
        <f t="shared" si="106"/>
        <v>1373</v>
      </c>
      <c r="AF369" s="26">
        <f t="shared" si="106"/>
        <v>1373</v>
      </c>
      <c r="AG369" s="26"/>
      <c r="AH369" s="26"/>
      <c r="AI369" s="26">
        <f>411.9+961.1</f>
        <v>1373</v>
      </c>
      <c r="AJ369" s="26">
        <v>1373</v>
      </c>
      <c r="AK369" s="26"/>
      <c r="AL369" s="26"/>
      <c r="AM369" s="26"/>
      <c r="AN369" s="26"/>
      <c r="AO369" s="26">
        <f>AP369+AQ369+AR369+AS369</f>
        <v>0</v>
      </c>
      <c r="AP369" s="26"/>
      <c r="AQ369" s="26"/>
      <c r="AR369" s="26"/>
      <c r="AS369" s="26"/>
      <c r="AT369" s="26">
        <f>AU369+AV369+AW369+AX369</f>
        <v>0</v>
      </c>
      <c r="AU369" s="26"/>
      <c r="AV369" s="26"/>
      <c r="AW369" s="26"/>
      <c r="AX369" s="26"/>
      <c r="AY369" s="26">
        <f>AZ369+BA369+BB369+BC369</f>
        <v>0</v>
      </c>
      <c r="AZ369" s="26"/>
      <c r="BA369" s="26"/>
      <c r="BB369" s="26"/>
      <c r="BC369" s="26"/>
      <c r="BD369" s="26">
        <f>BE369+BF369+BG369+BH369</f>
        <v>0</v>
      </c>
      <c r="BE369" s="26"/>
      <c r="BF369" s="26"/>
      <c r="BG369" s="26"/>
      <c r="BH369" s="26"/>
    </row>
    <row r="370" spans="1:60" ht="35.65" customHeight="1" thickBot="1">
      <c r="A370" s="27"/>
      <c r="B370" s="35"/>
      <c r="C370" s="20" t="s">
        <v>105</v>
      </c>
      <c r="D370" s="20"/>
      <c r="E370" s="20"/>
      <c r="F370" s="20"/>
      <c r="G370" s="20"/>
      <c r="H370" s="20"/>
      <c r="I370" s="20"/>
      <c r="J370" s="136" t="s">
        <v>267</v>
      </c>
      <c r="K370" s="20"/>
      <c r="L370" s="43" t="s">
        <v>268</v>
      </c>
      <c r="M370" s="20" t="s">
        <v>275</v>
      </c>
      <c r="N370" s="20" t="s">
        <v>112</v>
      </c>
      <c r="O370" s="20"/>
      <c r="P370" s="20" t="s">
        <v>276</v>
      </c>
      <c r="Q370" s="20" t="s">
        <v>112</v>
      </c>
      <c r="R370" s="20"/>
      <c r="S370" s="20"/>
      <c r="T370" s="20" t="s">
        <v>277</v>
      </c>
      <c r="U370" s="20" t="s">
        <v>112</v>
      </c>
      <c r="V370" s="10" t="s">
        <v>278</v>
      </c>
      <c r="W370" s="20" t="s">
        <v>277</v>
      </c>
      <c r="X370" s="20" t="s">
        <v>112</v>
      </c>
      <c r="Y370" s="10" t="s">
        <v>278</v>
      </c>
      <c r="Z370" s="20"/>
      <c r="AA370" s="20"/>
      <c r="AB370" s="20"/>
      <c r="AC370" s="20"/>
      <c r="AD370" s="52" t="s">
        <v>867</v>
      </c>
      <c r="AE370" s="26"/>
      <c r="AF370" s="26"/>
      <c r="AG370" s="26"/>
      <c r="AH370" s="26"/>
      <c r="AI370" s="26"/>
      <c r="AJ370" s="26"/>
      <c r="AK370" s="26"/>
      <c r="AL370" s="26"/>
      <c r="AM370" s="26"/>
      <c r="AN370" s="26"/>
      <c r="AO370" s="26">
        <f>AP370+AQ370+AR370+AS370</f>
        <v>674.1</v>
      </c>
      <c r="AP370" s="26"/>
      <c r="AQ370" s="26">
        <v>674.1</v>
      </c>
      <c r="AR370" s="26"/>
      <c r="AS370" s="26">
        <v>0</v>
      </c>
      <c r="AT370" s="26"/>
      <c r="AU370" s="26"/>
      <c r="AV370" s="26"/>
      <c r="AW370" s="26"/>
      <c r="AX370" s="26"/>
      <c r="AY370" s="26"/>
      <c r="AZ370" s="26"/>
      <c r="BA370" s="26"/>
      <c r="BB370" s="26"/>
      <c r="BC370" s="26"/>
      <c r="BD370" s="26"/>
      <c r="BE370" s="26"/>
      <c r="BF370" s="26"/>
      <c r="BG370" s="26"/>
      <c r="BH370" s="26"/>
    </row>
    <row r="371" spans="1:60" ht="35.65" customHeight="1" thickBot="1">
      <c r="A371" s="27"/>
      <c r="B371" s="35"/>
      <c r="C371" s="20"/>
      <c r="D371" s="20"/>
      <c r="E371" s="20"/>
      <c r="F371" s="20"/>
      <c r="G371" s="20"/>
      <c r="H371" s="20"/>
      <c r="I371" s="20"/>
      <c r="J371" s="20"/>
      <c r="K371" s="20"/>
      <c r="L371" s="20"/>
      <c r="M371" s="20"/>
      <c r="N371" s="20"/>
      <c r="O371" s="20"/>
      <c r="P371" s="20"/>
      <c r="Q371" s="20"/>
      <c r="R371" s="20"/>
      <c r="S371" s="20"/>
      <c r="T371" s="20"/>
      <c r="U371" s="20"/>
      <c r="V371" s="10"/>
      <c r="W371" s="20"/>
      <c r="X371" s="20"/>
      <c r="Y371" s="10"/>
      <c r="Z371" s="20"/>
      <c r="AA371" s="20"/>
      <c r="AB371" s="20"/>
      <c r="AC371" s="20"/>
      <c r="AD371" s="52" t="s">
        <v>868</v>
      </c>
      <c r="AE371" s="26"/>
      <c r="AF371" s="26"/>
      <c r="AG371" s="26"/>
      <c r="AH371" s="26"/>
      <c r="AI371" s="26"/>
      <c r="AJ371" s="26"/>
      <c r="AK371" s="26"/>
      <c r="AL371" s="26"/>
      <c r="AM371" s="26"/>
      <c r="AN371" s="26"/>
      <c r="AO371" s="26">
        <f>AP371+AQ371+AR371+AS371</f>
        <v>9850</v>
      </c>
      <c r="AP371" s="26"/>
      <c r="AQ371" s="26">
        <v>9450</v>
      </c>
      <c r="AR371" s="26"/>
      <c r="AS371" s="26">
        <v>400</v>
      </c>
      <c r="AT371" s="26"/>
      <c r="AU371" s="26"/>
      <c r="AV371" s="26"/>
      <c r="AW371" s="26"/>
      <c r="AX371" s="26"/>
      <c r="AY371" s="26"/>
      <c r="AZ371" s="26"/>
      <c r="BA371" s="26"/>
      <c r="BB371" s="26"/>
      <c r="BC371" s="26"/>
      <c r="BD371" s="26"/>
      <c r="BE371" s="26"/>
      <c r="BF371" s="26"/>
      <c r="BG371" s="26"/>
      <c r="BH371" s="26"/>
    </row>
    <row r="372" spans="1:60" ht="35.65" customHeight="1" thickBot="1">
      <c r="A372" s="27" t="s">
        <v>249</v>
      </c>
      <c r="B372" s="35"/>
      <c r="C372" s="20"/>
      <c r="D372" s="20"/>
      <c r="E372" s="20"/>
      <c r="F372" s="20"/>
      <c r="G372" s="20"/>
      <c r="H372" s="20"/>
      <c r="I372" s="20"/>
      <c r="J372" s="20"/>
      <c r="K372" s="20"/>
      <c r="L372" s="20"/>
      <c r="M372" s="20"/>
      <c r="N372" s="20"/>
      <c r="O372" s="20"/>
      <c r="P372" s="20"/>
      <c r="Q372" s="20"/>
      <c r="R372" s="20"/>
      <c r="S372" s="20"/>
      <c r="T372" s="20"/>
      <c r="U372" s="20"/>
      <c r="V372" s="10"/>
      <c r="W372" s="20"/>
      <c r="X372" s="20"/>
      <c r="Y372" s="10"/>
      <c r="Z372" s="20"/>
      <c r="AA372" s="20"/>
      <c r="AB372" s="20"/>
      <c r="AC372" s="20"/>
      <c r="AD372" s="52" t="s">
        <v>869</v>
      </c>
      <c r="AE372" s="26">
        <f t="shared" si="106"/>
        <v>202.6</v>
      </c>
      <c r="AF372" s="26">
        <f t="shared" si="106"/>
        <v>192.6</v>
      </c>
      <c r="AG372" s="26"/>
      <c r="AH372" s="26"/>
      <c r="AI372" s="26">
        <v>202.6</v>
      </c>
      <c r="AJ372" s="26">
        <v>192.6</v>
      </c>
      <c r="AK372" s="26"/>
      <c r="AL372" s="26"/>
      <c r="AM372" s="26"/>
      <c r="AN372" s="26"/>
      <c r="AO372" s="26">
        <f t="shared" ref="AO372:AO374" si="112">AP372+AQ372+AR372+AS372</f>
        <v>0</v>
      </c>
      <c r="AP372" s="26"/>
      <c r="AQ372" s="26"/>
      <c r="AR372" s="26"/>
      <c r="AS372" s="26"/>
      <c r="AT372" s="26"/>
      <c r="AU372" s="26"/>
      <c r="AV372" s="26"/>
      <c r="AW372" s="26"/>
      <c r="AX372" s="26"/>
      <c r="AY372" s="26"/>
      <c r="AZ372" s="26"/>
      <c r="BA372" s="26"/>
      <c r="BB372" s="26"/>
      <c r="BC372" s="26"/>
      <c r="BD372" s="26"/>
      <c r="BE372" s="26"/>
      <c r="BF372" s="26"/>
      <c r="BG372" s="26"/>
      <c r="BH372" s="26"/>
    </row>
    <row r="373" spans="1:60" ht="35.65" customHeight="1" thickBot="1">
      <c r="A373" s="27" t="s">
        <v>249</v>
      </c>
      <c r="B373" s="35"/>
      <c r="C373" s="20" t="s">
        <v>105</v>
      </c>
      <c r="D373" s="20"/>
      <c r="E373" s="20"/>
      <c r="F373" s="20"/>
      <c r="G373" s="20"/>
      <c r="H373" s="20"/>
      <c r="I373" s="20"/>
      <c r="J373" s="20" t="s">
        <v>279</v>
      </c>
      <c r="K373" s="20"/>
      <c r="L373" s="20" t="s">
        <v>220</v>
      </c>
      <c r="M373" s="20" t="s">
        <v>280</v>
      </c>
      <c r="N373" s="20" t="s">
        <v>112</v>
      </c>
      <c r="O373" s="20"/>
      <c r="P373" s="20" t="s">
        <v>281</v>
      </c>
      <c r="Q373" s="20" t="s">
        <v>112</v>
      </c>
      <c r="R373" s="20"/>
      <c r="S373" s="20"/>
      <c r="T373" s="20" t="s">
        <v>282</v>
      </c>
      <c r="U373" s="20" t="s">
        <v>112</v>
      </c>
      <c r="V373" s="107">
        <v>44971</v>
      </c>
      <c r="W373" s="20" t="s">
        <v>282</v>
      </c>
      <c r="X373" s="20" t="s">
        <v>112</v>
      </c>
      <c r="Y373" s="10" t="s">
        <v>283</v>
      </c>
      <c r="Z373" s="20"/>
      <c r="AA373" s="20"/>
      <c r="AB373" s="20"/>
      <c r="AC373" s="20"/>
      <c r="AD373" s="52" t="s">
        <v>870</v>
      </c>
      <c r="AE373" s="26">
        <f t="shared" si="106"/>
        <v>4000</v>
      </c>
      <c r="AF373" s="26">
        <f t="shared" si="106"/>
        <v>4000</v>
      </c>
      <c r="AG373" s="26"/>
      <c r="AH373" s="26"/>
      <c r="AI373" s="26">
        <v>4000</v>
      </c>
      <c r="AJ373" s="26">
        <v>4000</v>
      </c>
      <c r="AK373" s="26"/>
      <c r="AL373" s="26"/>
      <c r="AM373" s="26"/>
      <c r="AN373" s="26"/>
      <c r="AO373" s="26">
        <f t="shared" si="112"/>
        <v>7700</v>
      </c>
      <c r="AP373" s="26"/>
      <c r="AQ373" s="26">
        <v>7700</v>
      </c>
      <c r="AR373" s="26"/>
      <c r="AS373" s="26"/>
      <c r="AT373" s="26"/>
      <c r="AU373" s="26"/>
      <c r="AV373" s="26"/>
      <c r="AW373" s="26"/>
      <c r="AX373" s="26"/>
      <c r="AY373" s="26"/>
      <c r="AZ373" s="26"/>
      <c r="BA373" s="26"/>
      <c r="BB373" s="26"/>
      <c r="BC373" s="26"/>
      <c r="BD373" s="26"/>
      <c r="BE373" s="26"/>
      <c r="BF373" s="26"/>
      <c r="BG373" s="26"/>
      <c r="BH373" s="26"/>
    </row>
    <row r="374" spans="1:60" ht="35.65" customHeight="1" thickBot="1">
      <c r="A374" s="27" t="s">
        <v>249</v>
      </c>
      <c r="B374" s="35"/>
      <c r="C374" s="20"/>
      <c r="D374" s="20"/>
      <c r="E374" s="20"/>
      <c r="F374" s="20"/>
      <c r="G374" s="20"/>
      <c r="H374" s="20"/>
      <c r="I374" s="20"/>
      <c r="J374" s="20"/>
      <c r="K374" s="20"/>
      <c r="L374" s="20"/>
      <c r="M374" s="20"/>
      <c r="N374" s="20"/>
      <c r="O374" s="20"/>
      <c r="P374" s="20"/>
      <c r="Q374" s="20"/>
      <c r="R374" s="20"/>
      <c r="S374" s="20"/>
      <c r="T374" s="143"/>
      <c r="U374" s="20"/>
      <c r="V374" s="20"/>
      <c r="W374" s="20"/>
      <c r="X374" s="20"/>
      <c r="Y374" s="10"/>
      <c r="Z374" s="20"/>
      <c r="AA374" s="20"/>
      <c r="AB374" s="20"/>
      <c r="AC374" s="20"/>
      <c r="AD374" s="52" t="s">
        <v>871</v>
      </c>
      <c r="AE374" s="26"/>
      <c r="AF374" s="26"/>
      <c r="AG374" s="26"/>
      <c r="AH374" s="26"/>
      <c r="AI374" s="26"/>
      <c r="AJ374" s="26"/>
      <c r="AK374" s="26"/>
      <c r="AL374" s="26"/>
      <c r="AM374" s="26"/>
      <c r="AN374" s="26"/>
      <c r="AO374" s="26">
        <f t="shared" si="112"/>
        <v>0</v>
      </c>
      <c r="AP374" s="26"/>
      <c r="AQ374" s="26">
        <f>3850-3850</f>
        <v>0</v>
      </c>
      <c r="AR374" s="26"/>
      <c r="AS374" s="26"/>
      <c r="AT374" s="26"/>
      <c r="AU374" s="26"/>
      <c r="AV374" s="26"/>
      <c r="AW374" s="26"/>
      <c r="AX374" s="26"/>
      <c r="AY374" s="26"/>
      <c r="AZ374" s="26"/>
      <c r="BA374" s="26"/>
      <c r="BB374" s="26"/>
      <c r="BC374" s="26"/>
      <c r="BD374" s="26"/>
      <c r="BE374" s="26"/>
      <c r="BF374" s="26"/>
      <c r="BG374" s="26"/>
      <c r="BH374" s="26"/>
    </row>
    <row r="375" spans="1:60" ht="35.65" customHeight="1" thickBot="1">
      <c r="A375" s="27" t="s">
        <v>249</v>
      </c>
      <c r="B375" s="35"/>
      <c r="C375" s="20"/>
      <c r="D375" s="20"/>
      <c r="E375" s="20"/>
      <c r="F375" s="20"/>
      <c r="G375" s="20"/>
      <c r="H375" s="20"/>
      <c r="I375" s="20"/>
      <c r="J375" s="20"/>
      <c r="K375" s="20"/>
      <c r="L375" s="20"/>
      <c r="M375" s="20"/>
      <c r="N375" s="20"/>
      <c r="O375" s="20"/>
      <c r="P375" s="20"/>
      <c r="Q375" s="20"/>
      <c r="R375" s="20"/>
      <c r="S375" s="20"/>
      <c r="T375" s="20"/>
      <c r="U375" s="20"/>
      <c r="V375" s="20"/>
      <c r="W375" s="20"/>
      <c r="X375" s="20"/>
      <c r="Y375" s="10"/>
      <c r="Z375" s="20"/>
      <c r="AA375" s="20"/>
      <c r="AB375" s="20"/>
      <c r="AC375" s="20"/>
      <c r="AD375" s="52" t="s">
        <v>872</v>
      </c>
      <c r="AE375" s="26">
        <f t="shared" si="106"/>
        <v>0</v>
      </c>
      <c r="AF375" s="26">
        <f t="shared" si="106"/>
        <v>0</v>
      </c>
      <c r="AG375" s="26"/>
      <c r="AH375" s="26"/>
      <c r="AI375" s="26">
        <f>5000-5000</f>
        <v>0</v>
      </c>
      <c r="AJ375" s="26"/>
      <c r="AK375" s="26"/>
      <c r="AL375" s="26"/>
      <c r="AM375" s="26"/>
      <c r="AN375" s="26"/>
      <c r="AO375" s="26"/>
      <c r="AP375" s="26"/>
      <c r="AQ375" s="26"/>
      <c r="AR375" s="26"/>
      <c r="AS375" s="26"/>
      <c r="AT375" s="26"/>
      <c r="AU375" s="26"/>
      <c r="AV375" s="26"/>
      <c r="AW375" s="26"/>
      <c r="AX375" s="26"/>
      <c r="AY375" s="26"/>
      <c r="AZ375" s="26"/>
      <c r="BA375" s="26"/>
      <c r="BB375" s="26"/>
      <c r="BC375" s="26"/>
      <c r="BD375" s="26"/>
      <c r="BE375" s="26"/>
      <c r="BF375" s="26"/>
      <c r="BG375" s="26"/>
      <c r="BH375" s="26"/>
    </row>
    <row r="376" spans="1:60" ht="35.65" customHeight="1" thickBot="1">
      <c r="A376" s="27" t="s">
        <v>249</v>
      </c>
      <c r="B376" s="35"/>
      <c r="C376" s="20" t="s">
        <v>181</v>
      </c>
      <c r="D376" s="20" t="s">
        <v>153</v>
      </c>
      <c r="E376" s="20" t="s">
        <v>182</v>
      </c>
      <c r="F376" s="20"/>
      <c r="G376" s="20"/>
      <c r="H376" s="20"/>
      <c r="I376" s="20"/>
      <c r="J376" s="20" t="s">
        <v>183</v>
      </c>
      <c r="K376" s="20" t="s">
        <v>109</v>
      </c>
      <c r="L376" s="20" t="s">
        <v>125</v>
      </c>
      <c r="M376" s="20" t="s">
        <v>259</v>
      </c>
      <c r="N376" s="20" t="s">
        <v>112</v>
      </c>
      <c r="O376" s="20" t="s">
        <v>121</v>
      </c>
      <c r="P376" s="20" t="s">
        <v>254</v>
      </c>
      <c r="Q376" s="20" t="s">
        <v>112</v>
      </c>
      <c r="R376" s="20" t="s">
        <v>272</v>
      </c>
      <c r="S376" s="20"/>
      <c r="T376" s="20" t="s">
        <v>284</v>
      </c>
      <c r="U376" s="20" t="s">
        <v>112</v>
      </c>
      <c r="V376" s="10" t="s">
        <v>285</v>
      </c>
      <c r="W376" s="20" t="s">
        <v>284</v>
      </c>
      <c r="X376" s="20" t="s">
        <v>112</v>
      </c>
      <c r="Y376" s="10" t="s">
        <v>285</v>
      </c>
      <c r="Z376" s="20"/>
      <c r="AA376" s="20"/>
      <c r="AB376" s="20"/>
      <c r="AC376" s="20"/>
      <c r="AD376" s="52" t="s">
        <v>873</v>
      </c>
      <c r="AE376" s="26">
        <f t="shared" si="106"/>
        <v>0</v>
      </c>
      <c r="AF376" s="26">
        <f t="shared" si="106"/>
        <v>0</v>
      </c>
      <c r="AG376" s="26"/>
      <c r="AH376" s="26"/>
      <c r="AI376" s="26"/>
      <c r="AJ376" s="26"/>
      <c r="AK376" s="26"/>
      <c r="AL376" s="26"/>
      <c r="AM376" s="26"/>
      <c r="AN376" s="26"/>
      <c r="AO376" s="26">
        <f>AP376+AQ376+AR376+AS376</f>
        <v>0</v>
      </c>
      <c r="AP376" s="26"/>
      <c r="AQ376" s="26"/>
      <c r="AR376" s="26"/>
      <c r="AS376" s="26"/>
      <c r="AT376" s="26">
        <f>AU376+AV376+AW376+AX376</f>
        <v>0</v>
      </c>
      <c r="AU376" s="26"/>
      <c r="AV376" s="26"/>
      <c r="AW376" s="26"/>
      <c r="AX376" s="26"/>
      <c r="AY376" s="26">
        <f>AZ376+BA376+BB376+BC376</f>
        <v>0</v>
      </c>
      <c r="AZ376" s="26"/>
      <c r="BA376" s="26"/>
      <c r="BB376" s="26"/>
      <c r="BC376" s="26"/>
      <c r="BD376" s="26">
        <f>BE376+BF376+BG376+BH376</f>
        <v>0</v>
      </c>
      <c r="BE376" s="26"/>
      <c r="BF376" s="26"/>
      <c r="BG376" s="26"/>
      <c r="BH376" s="26"/>
    </row>
    <row r="377" spans="1:60" ht="35.65" customHeight="1" thickBot="1">
      <c r="A377" s="27" t="s">
        <v>249</v>
      </c>
      <c r="B377" s="35"/>
      <c r="C377" s="20" t="s">
        <v>286</v>
      </c>
      <c r="D377" s="20" t="s">
        <v>142</v>
      </c>
      <c r="E377" s="20" t="s">
        <v>143</v>
      </c>
      <c r="F377" s="20"/>
      <c r="G377" s="20"/>
      <c r="H377" s="20"/>
      <c r="I377" s="20"/>
      <c r="J377" s="20" t="s">
        <v>287</v>
      </c>
      <c r="K377" s="20"/>
      <c r="L377" s="20" t="s">
        <v>119</v>
      </c>
      <c r="M377" s="20" t="s">
        <v>288</v>
      </c>
      <c r="N377" s="20" t="s">
        <v>112</v>
      </c>
      <c r="O377" s="20" t="s">
        <v>121</v>
      </c>
      <c r="P377" s="20" t="s">
        <v>289</v>
      </c>
      <c r="Q377" s="20" t="s">
        <v>112</v>
      </c>
      <c r="R377" s="20" t="s">
        <v>290</v>
      </c>
      <c r="S377" s="20"/>
      <c r="T377" s="20" t="s">
        <v>291</v>
      </c>
      <c r="U377" s="20" t="s">
        <v>112</v>
      </c>
      <c r="V377" s="10" t="s">
        <v>292</v>
      </c>
      <c r="W377" s="20"/>
      <c r="X377" s="20"/>
      <c r="Y377" s="10"/>
      <c r="Z377" s="20"/>
      <c r="AA377" s="20"/>
      <c r="AB377" s="20"/>
      <c r="AC377" s="20"/>
      <c r="AD377" s="52" t="s">
        <v>874</v>
      </c>
      <c r="AE377" s="26">
        <f t="shared" si="106"/>
        <v>0</v>
      </c>
      <c r="AF377" s="26">
        <f>AH377+AJ377+AL377+AN377</f>
        <v>0</v>
      </c>
      <c r="AG377" s="26"/>
      <c r="AH377" s="26"/>
      <c r="AI377" s="26">
        <f>5500-5500</f>
        <v>0</v>
      </c>
      <c r="AJ377" s="26"/>
      <c r="AK377" s="26"/>
      <c r="AL377" s="26"/>
      <c r="AM377" s="26"/>
      <c r="AN377" s="26"/>
      <c r="AO377" s="26"/>
      <c r="AP377" s="26"/>
      <c r="AQ377" s="26"/>
      <c r="AR377" s="26"/>
      <c r="AS377" s="26"/>
      <c r="AT377" s="26"/>
      <c r="AU377" s="26"/>
      <c r="AV377" s="26"/>
      <c r="AW377" s="26"/>
      <c r="AX377" s="26"/>
      <c r="AY377" s="26"/>
      <c r="AZ377" s="26"/>
      <c r="BA377" s="26"/>
      <c r="BB377" s="26"/>
      <c r="BC377" s="26"/>
      <c r="BD377" s="26"/>
      <c r="BE377" s="26"/>
      <c r="BF377" s="26"/>
      <c r="BG377" s="26"/>
      <c r="BH377" s="26"/>
    </row>
    <row r="378" spans="1:60" ht="35.65" customHeight="1" thickBot="1">
      <c r="A378" s="27" t="s">
        <v>249</v>
      </c>
      <c r="B378" s="35"/>
      <c r="C378" s="20" t="s">
        <v>105</v>
      </c>
      <c r="D378" s="20" t="s">
        <v>117</v>
      </c>
      <c r="E378" s="20" t="s">
        <v>252</v>
      </c>
      <c r="F378" s="20"/>
      <c r="G378" s="20"/>
      <c r="H378" s="20"/>
      <c r="I378" s="20"/>
      <c r="J378" s="18" t="s">
        <v>118</v>
      </c>
      <c r="K378" s="20" t="s">
        <v>109</v>
      </c>
      <c r="L378" s="20" t="s">
        <v>119</v>
      </c>
      <c r="M378" s="36" t="s">
        <v>253</v>
      </c>
      <c r="N378" s="18" t="s">
        <v>112</v>
      </c>
      <c r="O378" s="18" t="s">
        <v>121</v>
      </c>
      <c r="P378" s="18" t="s">
        <v>254</v>
      </c>
      <c r="Q378" s="18" t="s">
        <v>112</v>
      </c>
      <c r="R378" s="20"/>
      <c r="S378" s="20"/>
      <c r="T378" s="18" t="s">
        <v>255</v>
      </c>
      <c r="U378" s="18" t="s">
        <v>112</v>
      </c>
      <c r="V378" s="10"/>
      <c r="W378" s="18" t="s">
        <v>255</v>
      </c>
      <c r="X378" s="18" t="s">
        <v>112</v>
      </c>
      <c r="Y378" s="10"/>
      <c r="Z378" s="20"/>
      <c r="AA378" s="20"/>
      <c r="AB378" s="20"/>
      <c r="AC378" s="20"/>
      <c r="AD378" s="52" t="s">
        <v>849</v>
      </c>
      <c r="AE378" s="26">
        <f t="shared" si="106"/>
        <v>0</v>
      </c>
      <c r="AF378" s="26">
        <f t="shared" si="106"/>
        <v>0</v>
      </c>
      <c r="AG378" s="26"/>
      <c r="AH378" s="26"/>
      <c r="AI378" s="26"/>
      <c r="AJ378" s="26"/>
      <c r="AK378" s="26"/>
      <c r="AL378" s="26"/>
      <c r="AM378" s="26"/>
      <c r="AN378" s="26"/>
      <c r="AO378" s="26"/>
      <c r="AP378" s="26"/>
      <c r="AQ378" s="26"/>
      <c r="AR378" s="26"/>
      <c r="AS378" s="26"/>
      <c r="AT378" s="26"/>
      <c r="AU378" s="26"/>
      <c r="AV378" s="26"/>
      <c r="AW378" s="26"/>
      <c r="AX378" s="26"/>
      <c r="AY378" s="26"/>
      <c r="AZ378" s="26"/>
      <c r="BA378" s="26"/>
      <c r="BB378" s="26"/>
      <c r="BC378" s="26"/>
      <c r="BD378" s="26"/>
      <c r="BE378" s="26"/>
      <c r="BF378" s="26"/>
      <c r="BG378" s="26"/>
      <c r="BH378" s="26"/>
    </row>
    <row r="379" spans="1:60" ht="35.65" customHeight="1" thickBot="1">
      <c r="A379" s="27" t="s">
        <v>249</v>
      </c>
      <c r="B379" s="35"/>
      <c r="C379" s="20" t="s">
        <v>181</v>
      </c>
      <c r="D379" s="20" t="s">
        <v>153</v>
      </c>
      <c r="E379" s="20" t="s">
        <v>182</v>
      </c>
      <c r="F379" s="20"/>
      <c r="G379" s="20"/>
      <c r="H379" s="20"/>
      <c r="I379" s="20"/>
      <c r="J379" s="43" t="s">
        <v>183</v>
      </c>
      <c r="K379" s="20" t="s">
        <v>109</v>
      </c>
      <c r="L379" s="20" t="s">
        <v>125</v>
      </c>
      <c r="M379" s="43" t="s">
        <v>259</v>
      </c>
      <c r="N379" s="20" t="s">
        <v>112</v>
      </c>
      <c r="O379" s="20" t="s">
        <v>121</v>
      </c>
      <c r="P379" s="20" t="s">
        <v>250</v>
      </c>
      <c r="Q379" s="20" t="s">
        <v>112</v>
      </c>
      <c r="R379" s="20"/>
      <c r="S379" s="20"/>
      <c r="T379" s="20"/>
      <c r="U379" s="20"/>
      <c r="V379" s="10"/>
      <c r="W379" s="20" t="s">
        <v>251</v>
      </c>
      <c r="X379" s="20" t="s">
        <v>112</v>
      </c>
      <c r="Y379" s="10"/>
      <c r="Z379" s="20" t="s">
        <v>251</v>
      </c>
      <c r="AA379" s="20" t="s">
        <v>112</v>
      </c>
      <c r="AB379" s="20"/>
      <c r="AC379" s="20"/>
      <c r="AD379" s="52" t="s">
        <v>875</v>
      </c>
      <c r="AE379" s="26">
        <f t="shared" si="106"/>
        <v>0</v>
      </c>
      <c r="AF379" s="26">
        <f t="shared" si="106"/>
        <v>0</v>
      </c>
      <c r="AG379" s="26"/>
      <c r="AH379" s="26"/>
      <c r="AI379" s="26"/>
      <c r="AJ379" s="26"/>
      <c r="AK379" s="26"/>
      <c r="AL379" s="26"/>
      <c r="AM379" s="26"/>
      <c r="AN379" s="26"/>
      <c r="AO379" s="26">
        <f t="shared" ref="AO379:AO385" si="113">AP379+AQ379+AR379+AS379</f>
        <v>0</v>
      </c>
      <c r="AP379" s="26"/>
      <c r="AQ379" s="26"/>
      <c r="AR379" s="26"/>
      <c r="AS379" s="26"/>
      <c r="AT379" s="26">
        <f>AU379+AV379+AW379+AX379</f>
        <v>0</v>
      </c>
      <c r="AU379" s="26"/>
      <c r="AV379" s="26"/>
      <c r="AW379" s="26"/>
      <c r="AX379" s="26"/>
      <c r="AY379" s="26">
        <f>AZ379+BA379+BB379+BC379</f>
        <v>0</v>
      </c>
      <c r="AZ379" s="26"/>
      <c r="BA379" s="26"/>
      <c r="BB379" s="26"/>
      <c r="BC379" s="26"/>
      <c r="BD379" s="26">
        <f>BE379+BF379+BG379+BH379</f>
        <v>0</v>
      </c>
      <c r="BE379" s="26"/>
      <c r="BF379" s="26"/>
      <c r="BG379" s="26"/>
      <c r="BH379" s="26"/>
    </row>
    <row r="380" spans="1:60" ht="35.65" customHeight="1" thickBot="1">
      <c r="A380" s="27"/>
      <c r="B380" s="35"/>
      <c r="C380" s="20"/>
      <c r="D380" s="20"/>
      <c r="E380" s="20"/>
      <c r="F380" s="20"/>
      <c r="G380" s="20"/>
      <c r="H380" s="20"/>
      <c r="I380" s="20"/>
      <c r="J380" s="43"/>
      <c r="K380" s="20"/>
      <c r="L380" s="20"/>
      <c r="M380" s="43"/>
      <c r="N380" s="20"/>
      <c r="O380" s="20"/>
      <c r="P380" s="20"/>
      <c r="Q380" s="20"/>
      <c r="R380" s="20"/>
      <c r="S380" s="20"/>
      <c r="T380" s="20"/>
      <c r="U380" s="20"/>
      <c r="V380" s="10"/>
      <c r="W380" s="20"/>
      <c r="X380" s="20"/>
      <c r="Y380" s="10"/>
      <c r="Z380" s="20"/>
      <c r="AA380" s="20"/>
      <c r="AB380" s="20"/>
      <c r="AC380" s="20"/>
      <c r="AD380" s="52" t="s">
        <v>876</v>
      </c>
      <c r="AE380" s="26"/>
      <c r="AF380" s="26"/>
      <c r="AG380" s="26"/>
      <c r="AH380" s="26"/>
      <c r="AI380" s="26"/>
      <c r="AJ380" s="26"/>
      <c r="AK380" s="26"/>
      <c r="AL380" s="26"/>
      <c r="AM380" s="26"/>
      <c r="AN380" s="26"/>
      <c r="AO380" s="26">
        <f t="shared" si="113"/>
        <v>6600</v>
      </c>
      <c r="AP380" s="26"/>
      <c r="AQ380" s="26"/>
      <c r="AR380" s="26"/>
      <c r="AS380" s="26">
        <v>6600</v>
      </c>
      <c r="AT380" s="26"/>
      <c r="AU380" s="26"/>
      <c r="AV380" s="26"/>
      <c r="AW380" s="26"/>
      <c r="AX380" s="26"/>
      <c r="AY380" s="26"/>
      <c r="AZ380" s="26"/>
      <c r="BA380" s="26"/>
      <c r="BB380" s="26"/>
      <c r="BC380" s="26"/>
      <c r="BD380" s="26"/>
      <c r="BE380" s="26"/>
      <c r="BF380" s="26"/>
      <c r="BG380" s="26"/>
      <c r="BH380" s="26"/>
    </row>
    <row r="381" spans="1:60" ht="35.65" customHeight="1" thickBot="1">
      <c r="A381" s="27" t="s">
        <v>249</v>
      </c>
      <c r="B381" s="35"/>
      <c r="C381" s="20" t="s">
        <v>181</v>
      </c>
      <c r="D381" s="20" t="s">
        <v>153</v>
      </c>
      <c r="E381" s="20" t="s">
        <v>182</v>
      </c>
      <c r="F381" s="20"/>
      <c r="G381" s="20"/>
      <c r="H381" s="20"/>
      <c r="I381" s="20"/>
      <c r="J381" s="43" t="s">
        <v>183</v>
      </c>
      <c r="K381" s="20" t="s">
        <v>109</v>
      </c>
      <c r="L381" s="20" t="s">
        <v>125</v>
      </c>
      <c r="M381" s="43" t="s">
        <v>259</v>
      </c>
      <c r="N381" s="20" t="s">
        <v>112</v>
      </c>
      <c r="O381" s="20" t="s">
        <v>121</v>
      </c>
      <c r="P381" s="20" t="s">
        <v>250</v>
      </c>
      <c r="Q381" s="20" t="s">
        <v>112</v>
      </c>
      <c r="R381" s="20"/>
      <c r="S381" s="20"/>
      <c r="T381" s="20"/>
      <c r="U381" s="20"/>
      <c r="V381" s="10"/>
      <c r="W381" s="20" t="s">
        <v>251</v>
      </c>
      <c r="X381" s="20" t="s">
        <v>112</v>
      </c>
      <c r="Y381" s="10"/>
      <c r="Z381" s="20" t="s">
        <v>251</v>
      </c>
      <c r="AA381" s="20" t="s">
        <v>112</v>
      </c>
      <c r="AB381" s="20"/>
      <c r="AC381" s="20"/>
      <c r="AD381" s="52" t="s">
        <v>877</v>
      </c>
      <c r="AE381" s="26">
        <f t="shared" si="106"/>
        <v>1742.3</v>
      </c>
      <c r="AF381" s="26">
        <f t="shared" si="106"/>
        <v>1740.6</v>
      </c>
      <c r="AG381" s="26"/>
      <c r="AH381" s="26"/>
      <c r="AI381" s="26"/>
      <c r="AJ381" s="26"/>
      <c r="AK381" s="26"/>
      <c r="AL381" s="26"/>
      <c r="AM381" s="26">
        <f>438.2+856.3+100+77+341.1-76.8+6.5</f>
        <v>1742.3</v>
      </c>
      <c r="AN381" s="26">
        <v>1740.6</v>
      </c>
      <c r="AO381" s="26">
        <f t="shared" si="113"/>
        <v>0</v>
      </c>
      <c r="AP381" s="26"/>
      <c r="AQ381" s="26"/>
      <c r="AR381" s="26"/>
      <c r="AS381" s="26"/>
      <c r="AT381" s="26">
        <f>AU381+AV381+AW381+AX381</f>
        <v>0</v>
      </c>
      <c r="AU381" s="26"/>
      <c r="AV381" s="26"/>
      <c r="AW381" s="26"/>
      <c r="AX381" s="26"/>
      <c r="AY381" s="26">
        <f>AZ381+BA381+BB381+BC381</f>
        <v>0</v>
      </c>
      <c r="AZ381" s="26"/>
      <c r="BA381" s="26"/>
      <c r="BB381" s="26"/>
      <c r="BC381" s="26"/>
      <c r="BD381" s="26">
        <f>BE381+BF381+BG381+BH381</f>
        <v>0</v>
      </c>
      <c r="BE381" s="26"/>
      <c r="BF381" s="26"/>
      <c r="BG381" s="26"/>
      <c r="BH381" s="26"/>
    </row>
    <row r="382" spans="1:60" ht="35.65" customHeight="1" thickBot="1">
      <c r="A382" s="27" t="s">
        <v>249</v>
      </c>
      <c r="B382" s="35"/>
      <c r="C382" s="20" t="s">
        <v>181</v>
      </c>
      <c r="D382" s="20" t="s">
        <v>193</v>
      </c>
      <c r="E382" s="20" t="s">
        <v>182</v>
      </c>
      <c r="F382" s="20"/>
      <c r="G382" s="20"/>
      <c r="H382" s="20"/>
      <c r="I382" s="20"/>
      <c r="J382" s="43" t="s">
        <v>183</v>
      </c>
      <c r="K382" s="20" t="s">
        <v>160</v>
      </c>
      <c r="L382" s="20" t="s">
        <v>161</v>
      </c>
      <c r="M382" s="43" t="s">
        <v>259</v>
      </c>
      <c r="N382" s="20" t="s">
        <v>112</v>
      </c>
      <c r="O382" s="20" t="s">
        <v>121</v>
      </c>
      <c r="P382" s="20" t="s">
        <v>250</v>
      </c>
      <c r="Q382" s="20" t="s">
        <v>112</v>
      </c>
      <c r="R382" s="20"/>
      <c r="S382" s="20"/>
      <c r="T382" s="20"/>
      <c r="U382" s="20"/>
      <c r="V382" s="10"/>
      <c r="W382" s="20" t="s">
        <v>251</v>
      </c>
      <c r="X382" s="20" t="s">
        <v>112</v>
      </c>
      <c r="Y382" s="10"/>
      <c r="Z382" s="20" t="s">
        <v>251</v>
      </c>
      <c r="AA382" s="20" t="s">
        <v>112</v>
      </c>
      <c r="AB382" s="20"/>
      <c r="AC382" s="20"/>
      <c r="AD382" s="52" t="s">
        <v>878</v>
      </c>
      <c r="AE382" s="26">
        <f t="shared" si="106"/>
        <v>576.6</v>
      </c>
      <c r="AF382" s="26">
        <f t="shared" si="106"/>
        <v>523.20000000000005</v>
      </c>
      <c r="AG382" s="26"/>
      <c r="AH382" s="26"/>
      <c r="AI382" s="26"/>
      <c r="AJ382" s="26"/>
      <c r="AK382" s="26"/>
      <c r="AL382" s="26"/>
      <c r="AM382" s="26">
        <v>576.6</v>
      </c>
      <c r="AN382" s="26">
        <v>523.20000000000005</v>
      </c>
      <c r="AO382" s="26">
        <f t="shared" si="113"/>
        <v>0</v>
      </c>
      <c r="AP382" s="26"/>
      <c r="AQ382" s="26"/>
      <c r="AR382" s="26"/>
      <c r="AS382" s="26"/>
      <c r="AT382" s="26">
        <f>AU382+AV382+AW382+AX382</f>
        <v>0</v>
      </c>
      <c r="AU382" s="26"/>
      <c r="AV382" s="26"/>
      <c r="AW382" s="26"/>
      <c r="AX382" s="26"/>
      <c r="AY382" s="26">
        <f>AZ382+BA382+BB382+BC382</f>
        <v>0</v>
      </c>
      <c r="AZ382" s="26"/>
      <c r="BA382" s="26"/>
      <c r="BB382" s="26"/>
      <c r="BC382" s="26"/>
      <c r="BD382" s="26">
        <f>BE382+BF382+BG382+BH382</f>
        <v>0</v>
      </c>
      <c r="BE382" s="26"/>
      <c r="BF382" s="26"/>
      <c r="BG382" s="26"/>
      <c r="BH382" s="26"/>
    </row>
    <row r="383" spans="1:60" ht="35.65" customHeight="1" thickBot="1">
      <c r="A383" s="27" t="s">
        <v>249</v>
      </c>
      <c r="B383" s="35"/>
      <c r="C383" s="20" t="s">
        <v>181</v>
      </c>
      <c r="D383" s="20" t="s">
        <v>195</v>
      </c>
      <c r="E383" s="20" t="s">
        <v>182</v>
      </c>
      <c r="F383" s="20"/>
      <c r="G383" s="20"/>
      <c r="H383" s="20"/>
      <c r="I383" s="20"/>
      <c r="J383" s="43" t="s">
        <v>183</v>
      </c>
      <c r="K383" s="20" t="s">
        <v>163</v>
      </c>
      <c r="L383" s="20" t="s">
        <v>164</v>
      </c>
      <c r="M383" s="43" t="s">
        <v>259</v>
      </c>
      <c r="N383" s="20" t="s">
        <v>112</v>
      </c>
      <c r="O383" s="20" t="s">
        <v>121</v>
      </c>
      <c r="P383" s="20" t="s">
        <v>250</v>
      </c>
      <c r="Q383" s="20" t="s">
        <v>112</v>
      </c>
      <c r="R383" s="20"/>
      <c r="S383" s="20"/>
      <c r="T383" s="20"/>
      <c r="U383" s="20"/>
      <c r="V383" s="10"/>
      <c r="W383" s="20" t="s">
        <v>251</v>
      </c>
      <c r="X383" s="20" t="s">
        <v>112</v>
      </c>
      <c r="Y383" s="10"/>
      <c r="Z383" s="20" t="s">
        <v>251</v>
      </c>
      <c r="AA383" s="20" t="s">
        <v>112</v>
      </c>
      <c r="AB383" s="20"/>
      <c r="AC383" s="20"/>
      <c r="AD383" s="52" t="s">
        <v>879</v>
      </c>
      <c r="AE383" s="26">
        <f t="shared" si="106"/>
        <v>5973.9</v>
      </c>
      <c r="AF383" s="26">
        <f t="shared" si="106"/>
        <v>5749</v>
      </c>
      <c r="AG383" s="26"/>
      <c r="AH383" s="26"/>
      <c r="AI383" s="26">
        <f>127.9+460.5</f>
        <v>588.4</v>
      </c>
      <c r="AJ383" s="26">
        <f>127.9+460.5</f>
        <v>588.4</v>
      </c>
      <c r="AK383" s="26"/>
      <c r="AL383" s="26"/>
      <c r="AM383" s="26">
        <f>5630.8+460.5-243.3-2+127.9-127.9-460.5</f>
        <v>5385.5</v>
      </c>
      <c r="AN383" s="26">
        <f>5749-127.9-460.5</f>
        <v>5160.6000000000004</v>
      </c>
      <c r="AO383" s="26">
        <f t="shared" si="113"/>
        <v>0</v>
      </c>
      <c r="AP383" s="26"/>
      <c r="AQ383" s="26"/>
      <c r="AR383" s="26"/>
      <c r="AS383" s="26"/>
      <c r="AT383" s="26">
        <f>AU383+AV383+AW383+AX383</f>
        <v>0</v>
      </c>
      <c r="AU383" s="26"/>
      <c r="AV383" s="26"/>
      <c r="AW383" s="26"/>
      <c r="AX383" s="26"/>
      <c r="AY383" s="26">
        <f>AZ383+BA383+BB383+BC383</f>
        <v>0</v>
      </c>
      <c r="AZ383" s="26"/>
      <c r="BA383" s="26"/>
      <c r="BB383" s="26"/>
      <c r="BC383" s="26"/>
      <c r="BD383" s="26">
        <f>BE383+BF383+BG383+BH383</f>
        <v>0</v>
      </c>
      <c r="BE383" s="26"/>
      <c r="BF383" s="26"/>
      <c r="BG383" s="26"/>
      <c r="BH383" s="26"/>
    </row>
    <row r="384" spans="1:60" ht="35.65" customHeight="1" thickBot="1">
      <c r="A384" s="27" t="s">
        <v>249</v>
      </c>
      <c r="B384" s="35"/>
      <c r="C384" s="20" t="s">
        <v>181</v>
      </c>
      <c r="D384" s="20" t="s">
        <v>293</v>
      </c>
      <c r="E384" s="20" t="s">
        <v>182</v>
      </c>
      <c r="F384" s="20"/>
      <c r="G384" s="20"/>
      <c r="H384" s="20"/>
      <c r="I384" s="20"/>
      <c r="J384" s="43" t="s">
        <v>183</v>
      </c>
      <c r="K384" s="20" t="s">
        <v>166</v>
      </c>
      <c r="L384" s="20" t="s">
        <v>167</v>
      </c>
      <c r="M384" s="43" t="s">
        <v>259</v>
      </c>
      <c r="N384" s="20" t="s">
        <v>112</v>
      </c>
      <c r="O384" s="20" t="s">
        <v>121</v>
      </c>
      <c r="P384" s="20" t="s">
        <v>250</v>
      </c>
      <c r="Q384" s="20" t="s">
        <v>112</v>
      </c>
      <c r="R384" s="20"/>
      <c r="S384" s="20"/>
      <c r="T384" s="20"/>
      <c r="U384" s="20"/>
      <c r="V384" s="10"/>
      <c r="W384" s="20" t="s">
        <v>251</v>
      </c>
      <c r="X384" s="20" t="s">
        <v>112</v>
      </c>
      <c r="Y384" s="10"/>
      <c r="Z384" s="20" t="s">
        <v>251</v>
      </c>
      <c r="AA384" s="20" t="s">
        <v>112</v>
      </c>
      <c r="AB384" s="20"/>
      <c r="AC384" s="20"/>
      <c r="AD384" s="52" t="s">
        <v>880</v>
      </c>
      <c r="AE384" s="26"/>
      <c r="AF384" s="26"/>
      <c r="AG384" s="26"/>
      <c r="AH384" s="26"/>
      <c r="AI384" s="26"/>
      <c r="AJ384" s="26"/>
      <c r="AK384" s="26"/>
      <c r="AL384" s="26"/>
      <c r="AM384" s="26"/>
      <c r="AN384" s="26"/>
      <c r="AO384" s="26">
        <f t="shared" si="113"/>
        <v>4705.2999999999993</v>
      </c>
      <c r="AP384" s="26"/>
      <c r="AQ384" s="26">
        <v>57.1</v>
      </c>
      <c r="AR384" s="26"/>
      <c r="AS384" s="26">
        <f>4189.2+57.1-57.1+85.9+235.7+137.4</f>
        <v>4648.1999999999989</v>
      </c>
      <c r="AT384" s="26">
        <f>AU384+AV384+AW384+AX384</f>
        <v>4189.2</v>
      </c>
      <c r="AU384" s="26"/>
      <c r="AV384" s="26"/>
      <c r="AW384" s="26"/>
      <c r="AX384" s="26">
        <v>4189.2</v>
      </c>
      <c r="AY384" s="26">
        <f>AZ384+BA384+BB384+BC384</f>
        <v>4189.2</v>
      </c>
      <c r="AZ384" s="26"/>
      <c r="BA384" s="26"/>
      <c r="BB384" s="26"/>
      <c r="BC384" s="26">
        <v>4189.2</v>
      </c>
      <c r="BD384" s="26">
        <f>BE384+BF384+BG384+BH384</f>
        <v>4189.2</v>
      </c>
      <c r="BE384" s="26"/>
      <c r="BF384" s="26"/>
      <c r="BG384" s="26"/>
      <c r="BH384" s="26">
        <v>4189.2</v>
      </c>
    </row>
    <row r="385" spans="1:60" ht="35.65" customHeight="1" thickBot="1">
      <c r="A385" s="27" t="s">
        <v>249</v>
      </c>
      <c r="B385" s="35"/>
      <c r="C385" s="121" t="s">
        <v>105</v>
      </c>
      <c r="D385" s="140"/>
      <c r="E385" s="26"/>
      <c r="F385" s="26"/>
      <c r="G385" s="26"/>
      <c r="H385" s="26"/>
      <c r="I385" s="26"/>
      <c r="J385" s="136" t="s">
        <v>267</v>
      </c>
      <c r="K385" s="26"/>
      <c r="L385" s="43" t="s">
        <v>268</v>
      </c>
      <c r="M385" s="137" t="s">
        <v>120</v>
      </c>
      <c r="N385" s="136" t="s">
        <v>112</v>
      </c>
      <c r="O385" s="26"/>
      <c r="P385" s="20" t="s">
        <v>269</v>
      </c>
      <c r="Q385" s="141" t="s">
        <v>112</v>
      </c>
      <c r="R385" s="26"/>
      <c r="S385" s="26"/>
      <c r="T385" s="20" t="s">
        <v>270</v>
      </c>
      <c r="U385" s="26" t="s">
        <v>112</v>
      </c>
      <c r="V385" s="142">
        <v>45019</v>
      </c>
      <c r="W385" s="20" t="s">
        <v>270</v>
      </c>
      <c r="X385" s="26" t="s">
        <v>112</v>
      </c>
      <c r="Y385" s="142">
        <v>45019</v>
      </c>
      <c r="Z385" s="20"/>
      <c r="AA385" s="20"/>
      <c r="AB385" s="20"/>
      <c r="AC385" s="20"/>
      <c r="AD385" s="52" t="s">
        <v>881</v>
      </c>
      <c r="AE385" s="26"/>
      <c r="AF385" s="26"/>
      <c r="AG385" s="26"/>
      <c r="AH385" s="26"/>
      <c r="AI385" s="26"/>
      <c r="AJ385" s="26"/>
      <c r="AK385" s="26"/>
      <c r="AL385" s="26"/>
      <c r="AM385" s="26"/>
      <c r="AN385" s="26"/>
      <c r="AO385" s="26">
        <f t="shared" si="113"/>
        <v>1400</v>
      </c>
      <c r="AP385" s="26"/>
      <c r="AQ385" s="26"/>
      <c r="AR385" s="26"/>
      <c r="AS385" s="26">
        <v>1400</v>
      </c>
      <c r="AT385" s="26"/>
      <c r="AU385" s="26"/>
      <c r="AV385" s="26"/>
      <c r="AW385" s="26"/>
      <c r="AX385" s="26"/>
      <c r="AY385" s="26"/>
      <c r="AZ385" s="26"/>
      <c r="BA385" s="26"/>
      <c r="BB385" s="26"/>
      <c r="BC385" s="26"/>
      <c r="BD385" s="26"/>
      <c r="BE385" s="26"/>
      <c r="BF385" s="26"/>
      <c r="BG385" s="26"/>
      <c r="BH385" s="26"/>
    </row>
    <row r="386" spans="1:60" ht="35.65" customHeight="1" thickBot="1">
      <c r="A386" s="27" t="s">
        <v>249</v>
      </c>
      <c r="B386" s="35"/>
      <c r="C386" s="20" t="s">
        <v>181</v>
      </c>
      <c r="D386" s="20" t="s">
        <v>153</v>
      </c>
      <c r="E386" s="20" t="s">
        <v>182</v>
      </c>
      <c r="F386" s="20"/>
      <c r="G386" s="20"/>
      <c r="H386" s="20"/>
      <c r="I386" s="20"/>
      <c r="J386" s="20" t="s">
        <v>183</v>
      </c>
      <c r="K386" s="20" t="s">
        <v>109</v>
      </c>
      <c r="L386" s="20" t="s">
        <v>125</v>
      </c>
      <c r="M386" s="20" t="s">
        <v>259</v>
      </c>
      <c r="N386" s="20" t="s">
        <v>112</v>
      </c>
      <c r="O386" s="20" t="s">
        <v>121</v>
      </c>
      <c r="P386" s="20" t="s">
        <v>254</v>
      </c>
      <c r="Q386" s="20" t="s">
        <v>112</v>
      </c>
      <c r="R386" s="20" t="s">
        <v>272</v>
      </c>
      <c r="S386" s="20"/>
      <c r="T386" s="20" t="s">
        <v>273</v>
      </c>
      <c r="U386" s="20" t="s">
        <v>112</v>
      </c>
      <c r="V386" s="10" t="s">
        <v>274</v>
      </c>
      <c r="W386" s="20" t="s">
        <v>273</v>
      </c>
      <c r="X386" s="20" t="s">
        <v>112</v>
      </c>
      <c r="Y386" s="10" t="s">
        <v>274</v>
      </c>
      <c r="Z386" s="20"/>
      <c r="AA386" s="20"/>
      <c r="AB386" s="20"/>
      <c r="AC386" s="30"/>
      <c r="AD386" s="52" t="s">
        <v>882</v>
      </c>
      <c r="AE386" s="26">
        <f t="shared" si="106"/>
        <v>0</v>
      </c>
      <c r="AF386" s="26">
        <f t="shared" si="106"/>
        <v>0</v>
      </c>
      <c r="AG386" s="26"/>
      <c r="AH386" s="26"/>
      <c r="AI386" s="26"/>
      <c r="AJ386" s="26"/>
      <c r="AK386" s="26"/>
      <c r="AL386" s="26"/>
      <c r="AM386" s="26"/>
      <c r="AN386" s="26"/>
      <c r="AO386" s="26"/>
      <c r="AP386" s="26"/>
      <c r="AQ386" s="26"/>
      <c r="AR386" s="26"/>
      <c r="AS386" s="26"/>
      <c r="AT386" s="26"/>
      <c r="AU386" s="26"/>
      <c r="AV386" s="26"/>
      <c r="AW386" s="26"/>
      <c r="AX386" s="26"/>
      <c r="AY386" s="26"/>
      <c r="AZ386" s="26"/>
      <c r="BA386" s="26"/>
      <c r="BB386" s="26"/>
      <c r="BC386" s="26"/>
      <c r="BD386" s="26"/>
      <c r="BE386" s="26"/>
      <c r="BF386" s="26"/>
      <c r="BG386" s="26"/>
      <c r="BH386" s="26"/>
    </row>
    <row r="387" spans="1:60" ht="35.65" customHeight="1" thickBot="1">
      <c r="A387" s="27" t="s">
        <v>249</v>
      </c>
      <c r="B387" s="35"/>
      <c r="C387" s="20" t="s">
        <v>181</v>
      </c>
      <c r="D387" s="20" t="s">
        <v>153</v>
      </c>
      <c r="E387" s="20" t="s">
        <v>182</v>
      </c>
      <c r="F387" s="20"/>
      <c r="G387" s="20"/>
      <c r="H387" s="20"/>
      <c r="I387" s="20"/>
      <c r="J387" s="20" t="s">
        <v>183</v>
      </c>
      <c r="K387" s="20" t="s">
        <v>109</v>
      </c>
      <c r="L387" s="20" t="s">
        <v>125</v>
      </c>
      <c r="M387" s="20" t="s">
        <v>259</v>
      </c>
      <c r="N387" s="20" t="s">
        <v>112</v>
      </c>
      <c r="O387" s="20" t="s">
        <v>121</v>
      </c>
      <c r="P387" s="20" t="s">
        <v>254</v>
      </c>
      <c r="Q387" s="20" t="s">
        <v>112</v>
      </c>
      <c r="R387" s="20" t="s">
        <v>272</v>
      </c>
      <c r="S387" s="20"/>
      <c r="T387" s="20" t="s">
        <v>284</v>
      </c>
      <c r="U387" s="20" t="s">
        <v>112</v>
      </c>
      <c r="V387" s="10" t="s">
        <v>285</v>
      </c>
      <c r="W387" s="20" t="s">
        <v>284</v>
      </c>
      <c r="X387" s="20" t="s">
        <v>112</v>
      </c>
      <c r="Y387" s="10" t="s">
        <v>285</v>
      </c>
      <c r="Z387" s="20"/>
      <c r="AA387" s="20"/>
      <c r="AB387" s="20"/>
      <c r="AC387" s="30"/>
      <c r="AD387" s="52" t="s">
        <v>883</v>
      </c>
      <c r="AE387" s="26">
        <f t="shared" si="106"/>
        <v>0</v>
      </c>
      <c r="AF387" s="26">
        <f t="shared" si="106"/>
        <v>0</v>
      </c>
      <c r="AG387" s="26"/>
      <c r="AH387" s="26"/>
      <c r="AI387" s="26"/>
      <c r="AJ387" s="26"/>
      <c r="AK387" s="26"/>
      <c r="AL387" s="26"/>
      <c r="AM387" s="26"/>
      <c r="AN387" s="26"/>
      <c r="AO387" s="26">
        <f>AP387+AQ387+AR387+AS387</f>
        <v>0</v>
      </c>
      <c r="AP387" s="26"/>
      <c r="AQ387" s="26"/>
      <c r="AR387" s="26"/>
      <c r="AS387" s="26"/>
      <c r="AT387" s="26">
        <f>AU387+AV387+AW387+AX387</f>
        <v>0</v>
      </c>
      <c r="AU387" s="26"/>
      <c r="AV387" s="26"/>
      <c r="AW387" s="26"/>
      <c r="AX387" s="26"/>
      <c r="AY387" s="26">
        <f>AZ387+BA387+BB387+BC387</f>
        <v>0</v>
      </c>
      <c r="AZ387" s="26"/>
      <c r="BA387" s="26"/>
      <c r="BB387" s="26"/>
      <c r="BC387" s="26"/>
      <c r="BD387" s="26">
        <f>BE387+BF387+BG387+BH387</f>
        <v>0</v>
      </c>
      <c r="BE387" s="26"/>
      <c r="BF387" s="26"/>
      <c r="BG387" s="26"/>
      <c r="BH387" s="26"/>
    </row>
    <row r="388" spans="1:60" ht="35.65" customHeight="1" thickBot="1">
      <c r="A388" s="27" t="s">
        <v>249</v>
      </c>
      <c r="B388" s="35"/>
      <c r="C388" s="144" t="s">
        <v>105</v>
      </c>
      <c r="D388" s="145" t="s">
        <v>142</v>
      </c>
      <c r="E388" s="144" t="s">
        <v>107</v>
      </c>
      <c r="F388" s="20"/>
      <c r="G388" s="20"/>
      <c r="H388" s="20"/>
      <c r="I388" s="20"/>
      <c r="J388" s="146" t="s">
        <v>294</v>
      </c>
      <c r="K388" s="144" t="s">
        <v>109</v>
      </c>
      <c r="L388" s="147">
        <v>44197</v>
      </c>
      <c r="M388" s="20" t="s">
        <v>295</v>
      </c>
      <c r="N388" s="20" t="s">
        <v>112</v>
      </c>
      <c r="O388" s="20" t="s">
        <v>296</v>
      </c>
      <c r="P388" s="20"/>
      <c r="Q388" s="20"/>
      <c r="R388" s="20"/>
      <c r="S388" s="20"/>
      <c r="T388" s="20"/>
      <c r="U388" s="20"/>
      <c r="V388" s="10"/>
      <c r="W388" s="20" t="s">
        <v>297</v>
      </c>
      <c r="X388" s="20"/>
      <c r="Y388" s="10"/>
      <c r="Z388" s="20"/>
      <c r="AA388" s="20"/>
      <c r="AB388" s="20"/>
      <c r="AC388" s="30"/>
      <c r="AD388" s="52" t="s">
        <v>884</v>
      </c>
      <c r="AE388" s="26">
        <f t="shared" si="106"/>
        <v>0</v>
      </c>
      <c r="AF388" s="26">
        <f t="shared" si="106"/>
        <v>0</v>
      </c>
      <c r="AG388" s="26"/>
      <c r="AH388" s="26"/>
      <c r="AI388" s="26"/>
      <c r="AJ388" s="26"/>
      <c r="AK388" s="26"/>
      <c r="AL388" s="26"/>
      <c r="AM388" s="26"/>
      <c r="AN388" s="26"/>
      <c r="AO388" s="26">
        <f t="shared" ref="AO388:AO391" si="114">AP388+AQ388+AR388+AS388</f>
        <v>0</v>
      </c>
      <c r="AP388" s="26"/>
      <c r="AQ388" s="26"/>
      <c r="AR388" s="26"/>
      <c r="AS388" s="26"/>
      <c r="AT388" s="26"/>
      <c r="AU388" s="26"/>
      <c r="AV388" s="26"/>
      <c r="AW388" s="26"/>
      <c r="AX388" s="26"/>
      <c r="AY388" s="26"/>
      <c r="AZ388" s="26"/>
      <c r="BA388" s="26"/>
      <c r="BB388" s="26"/>
      <c r="BC388" s="26"/>
      <c r="BD388" s="26"/>
      <c r="BE388" s="26"/>
      <c r="BF388" s="26"/>
      <c r="BG388" s="26"/>
      <c r="BH388" s="26"/>
    </row>
    <row r="389" spans="1:60" ht="35.65" customHeight="1" thickBot="1">
      <c r="A389" s="27" t="s">
        <v>249</v>
      </c>
      <c r="B389" s="35"/>
      <c r="C389" s="144" t="s">
        <v>105</v>
      </c>
      <c r="D389" s="145" t="s">
        <v>142</v>
      </c>
      <c r="E389" s="144" t="s">
        <v>107</v>
      </c>
      <c r="F389" s="20"/>
      <c r="G389" s="20"/>
      <c r="H389" s="20"/>
      <c r="I389" s="20"/>
      <c r="J389" s="146" t="s">
        <v>294</v>
      </c>
      <c r="K389" s="144" t="s">
        <v>109</v>
      </c>
      <c r="L389" s="147">
        <v>44197</v>
      </c>
      <c r="M389" s="20" t="s">
        <v>295</v>
      </c>
      <c r="N389" s="20" t="s">
        <v>112</v>
      </c>
      <c r="O389" s="20" t="s">
        <v>296</v>
      </c>
      <c r="P389" s="20"/>
      <c r="Q389" s="20"/>
      <c r="R389" s="20"/>
      <c r="S389" s="20"/>
      <c r="T389" s="20"/>
      <c r="U389" s="20"/>
      <c r="V389" s="10"/>
      <c r="W389" s="20" t="s">
        <v>297</v>
      </c>
      <c r="X389" s="20"/>
      <c r="Y389" s="10"/>
      <c r="Z389" s="20"/>
      <c r="AA389" s="20"/>
      <c r="AB389" s="20"/>
      <c r="AC389" s="30"/>
      <c r="AD389" s="52" t="s">
        <v>885</v>
      </c>
      <c r="AE389" s="26">
        <f t="shared" si="106"/>
        <v>5500</v>
      </c>
      <c r="AF389" s="26">
        <f t="shared" si="106"/>
        <v>5500</v>
      </c>
      <c r="AG389" s="26"/>
      <c r="AH389" s="26"/>
      <c r="AI389" s="26">
        <v>5000</v>
      </c>
      <c r="AJ389" s="26">
        <v>5000</v>
      </c>
      <c r="AK389" s="26"/>
      <c r="AL389" s="26"/>
      <c r="AM389" s="26">
        <v>500</v>
      </c>
      <c r="AN389" s="26">
        <v>500</v>
      </c>
      <c r="AO389" s="26">
        <f t="shared" si="114"/>
        <v>0</v>
      </c>
      <c r="AP389" s="26"/>
      <c r="AQ389" s="26"/>
      <c r="AR389" s="26"/>
      <c r="AS389" s="26"/>
      <c r="AT389" s="26"/>
      <c r="AU389" s="26"/>
      <c r="AV389" s="26"/>
      <c r="AW389" s="26"/>
      <c r="AX389" s="26"/>
      <c r="AY389" s="26"/>
      <c r="AZ389" s="26"/>
      <c r="BA389" s="26"/>
      <c r="BB389" s="26"/>
      <c r="BC389" s="26"/>
      <c r="BD389" s="26"/>
      <c r="BE389" s="26"/>
      <c r="BF389" s="26"/>
      <c r="BG389" s="26"/>
      <c r="BH389" s="26"/>
    </row>
    <row r="390" spans="1:60" ht="35.65" customHeight="1" thickBot="1">
      <c r="A390" s="27" t="s">
        <v>249</v>
      </c>
      <c r="B390" s="35"/>
      <c r="C390" s="20" t="s">
        <v>105</v>
      </c>
      <c r="D390" s="20"/>
      <c r="E390" s="20"/>
      <c r="F390" s="20"/>
      <c r="G390" s="20"/>
      <c r="H390" s="20"/>
      <c r="I390" s="20"/>
      <c r="J390" s="20" t="s">
        <v>279</v>
      </c>
      <c r="K390" s="20"/>
      <c r="L390" s="20" t="s">
        <v>220</v>
      </c>
      <c r="M390" s="20" t="s">
        <v>280</v>
      </c>
      <c r="N390" s="20" t="s">
        <v>112</v>
      </c>
      <c r="O390" s="20"/>
      <c r="P390" s="20" t="s">
        <v>281</v>
      </c>
      <c r="Q390" s="20" t="s">
        <v>112</v>
      </c>
      <c r="R390" s="20"/>
      <c r="S390" s="20"/>
      <c r="T390" s="20" t="s">
        <v>282</v>
      </c>
      <c r="U390" s="20" t="s">
        <v>112</v>
      </c>
      <c r="V390" s="107">
        <v>44971</v>
      </c>
      <c r="W390" s="20" t="s">
        <v>282</v>
      </c>
      <c r="X390" s="20" t="s">
        <v>112</v>
      </c>
      <c r="Y390" s="10" t="s">
        <v>283</v>
      </c>
      <c r="Z390" s="20"/>
      <c r="AA390" s="20"/>
      <c r="AB390" s="20"/>
      <c r="AC390" s="30"/>
      <c r="AD390" s="52" t="s">
        <v>886</v>
      </c>
      <c r="AE390" s="26">
        <f t="shared" si="106"/>
        <v>170</v>
      </c>
      <c r="AF390" s="26">
        <f t="shared" si="106"/>
        <v>170</v>
      </c>
      <c r="AG390" s="26"/>
      <c r="AH390" s="26"/>
      <c r="AI390" s="26"/>
      <c r="AJ390" s="26"/>
      <c r="AK390" s="26"/>
      <c r="AL390" s="26"/>
      <c r="AM390" s="26">
        <v>170</v>
      </c>
      <c r="AN390" s="26">
        <v>170</v>
      </c>
      <c r="AO390" s="26">
        <f t="shared" si="114"/>
        <v>400</v>
      </c>
      <c r="AP390" s="26"/>
      <c r="AQ390" s="26"/>
      <c r="AR390" s="26"/>
      <c r="AS390" s="26">
        <v>400</v>
      </c>
      <c r="AT390" s="26"/>
      <c r="AU390" s="26"/>
      <c r="AV390" s="26"/>
      <c r="AW390" s="26"/>
      <c r="AX390" s="26"/>
      <c r="AY390" s="26"/>
      <c r="AZ390" s="26"/>
      <c r="BA390" s="26"/>
      <c r="BB390" s="26"/>
      <c r="BC390" s="26"/>
      <c r="BD390" s="26"/>
      <c r="BE390" s="26"/>
      <c r="BF390" s="26"/>
      <c r="BG390" s="26"/>
      <c r="BH390" s="26"/>
    </row>
    <row r="391" spans="1:60" ht="35.65" customHeight="1" thickBot="1">
      <c r="A391" s="27" t="s">
        <v>249</v>
      </c>
      <c r="B391" s="35"/>
      <c r="C391" s="20"/>
      <c r="D391" s="20"/>
      <c r="E391" s="20"/>
      <c r="F391" s="20"/>
      <c r="G391" s="20"/>
      <c r="H391" s="20"/>
      <c r="I391" s="20"/>
      <c r="J391" s="20"/>
      <c r="K391" s="20"/>
      <c r="L391" s="20"/>
      <c r="M391" s="20"/>
      <c r="N391" s="20"/>
      <c r="O391" s="20"/>
      <c r="P391" s="20"/>
      <c r="Q391" s="20"/>
      <c r="R391" s="20"/>
      <c r="S391" s="20"/>
      <c r="T391" s="143"/>
      <c r="U391" s="20"/>
      <c r="V391" s="20"/>
      <c r="W391" s="20"/>
      <c r="X391" s="20"/>
      <c r="Y391" s="10"/>
      <c r="Z391" s="20"/>
      <c r="AA391" s="20"/>
      <c r="AB391" s="20"/>
      <c r="AC391" s="30"/>
      <c r="AD391" s="52" t="s">
        <v>887</v>
      </c>
      <c r="AE391" s="26"/>
      <c r="AF391" s="26"/>
      <c r="AG391" s="26"/>
      <c r="AH391" s="26"/>
      <c r="AI391" s="26"/>
      <c r="AJ391" s="26"/>
      <c r="AK391" s="26"/>
      <c r="AL391" s="26"/>
      <c r="AM391" s="26"/>
      <c r="AN391" s="26"/>
      <c r="AO391" s="26">
        <f t="shared" si="114"/>
        <v>0</v>
      </c>
      <c r="AP391" s="26"/>
      <c r="AQ391" s="26"/>
      <c r="AR391" s="26"/>
      <c r="AS391" s="26">
        <f>200-200</f>
        <v>0</v>
      </c>
      <c r="AT391" s="26"/>
      <c r="AU391" s="26"/>
      <c r="AV391" s="26"/>
      <c r="AW391" s="26"/>
      <c r="AX391" s="26"/>
      <c r="AY391" s="26"/>
      <c r="AZ391" s="26"/>
      <c r="BA391" s="26"/>
      <c r="BB391" s="26"/>
      <c r="BC391" s="26"/>
      <c r="BD391" s="26"/>
      <c r="BE391" s="26"/>
      <c r="BF391" s="26"/>
      <c r="BG391" s="26"/>
      <c r="BH391" s="26"/>
    </row>
    <row r="392" spans="1:60" ht="35.65" customHeight="1" thickBot="1">
      <c r="A392" s="31" t="s">
        <v>298</v>
      </c>
      <c r="B392" s="106">
        <v>2535</v>
      </c>
      <c r="C392" s="33"/>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v>11</v>
      </c>
      <c r="AD392" s="260"/>
      <c r="AE392" s="34">
        <f>AE393</f>
        <v>1574</v>
      </c>
      <c r="AF392" s="34">
        <f t="shared" ref="AF392:AF397" si="115">AH392+AJ392+AL392+AN392</f>
        <v>1555</v>
      </c>
      <c r="AG392" s="34">
        <f t="shared" ref="AG392:AN392" si="116">AG393</f>
        <v>0</v>
      </c>
      <c r="AH392" s="34">
        <f t="shared" si="116"/>
        <v>0</v>
      </c>
      <c r="AI392" s="34">
        <f t="shared" si="116"/>
        <v>0</v>
      </c>
      <c r="AJ392" s="34">
        <f t="shared" si="116"/>
        <v>0</v>
      </c>
      <c r="AK392" s="34">
        <f t="shared" si="116"/>
        <v>0</v>
      </c>
      <c r="AL392" s="34"/>
      <c r="AM392" s="34">
        <f t="shared" si="116"/>
        <v>1574</v>
      </c>
      <c r="AN392" s="34">
        <f t="shared" si="116"/>
        <v>1555</v>
      </c>
      <c r="AO392" s="34">
        <f>AO393+AO394</f>
        <v>1347</v>
      </c>
      <c r="AP392" s="34">
        <f t="shared" ref="AP392:BH392" si="117">AP393+AP394</f>
        <v>0</v>
      </c>
      <c r="AQ392" s="34">
        <f t="shared" si="117"/>
        <v>0</v>
      </c>
      <c r="AR392" s="34">
        <f t="shared" si="117"/>
        <v>0</v>
      </c>
      <c r="AS392" s="34">
        <f t="shared" si="117"/>
        <v>1347</v>
      </c>
      <c r="AT392" s="34">
        <f t="shared" si="117"/>
        <v>800</v>
      </c>
      <c r="AU392" s="34">
        <f t="shared" si="117"/>
        <v>0</v>
      </c>
      <c r="AV392" s="34">
        <f t="shared" si="117"/>
        <v>0</v>
      </c>
      <c r="AW392" s="34">
        <f t="shared" si="117"/>
        <v>0</v>
      </c>
      <c r="AX392" s="34">
        <f t="shared" si="117"/>
        <v>800</v>
      </c>
      <c r="AY392" s="34">
        <f t="shared" si="117"/>
        <v>800</v>
      </c>
      <c r="AZ392" s="34">
        <f t="shared" si="117"/>
        <v>0</v>
      </c>
      <c r="BA392" s="34">
        <f t="shared" si="117"/>
        <v>0</v>
      </c>
      <c r="BB392" s="34">
        <f t="shared" si="117"/>
        <v>0</v>
      </c>
      <c r="BC392" s="34">
        <f t="shared" si="117"/>
        <v>800</v>
      </c>
      <c r="BD392" s="34">
        <f t="shared" si="117"/>
        <v>800</v>
      </c>
      <c r="BE392" s="34">
        <f t="shared" si="117"/>
        <v>0</v>
      </c>
      <c r="BF392" s="34">
        <f t="shared" si="117"/>
        <v>0</v>
      </c>
      <c r="BG392" s="34">
        <f t="shared" si="117"/>
        <v>0</v>
      </c>
      <c r="BH392" s="34">
        <f t="shared" si="117"/>
        <v>800</v>
      </c>
    </row>
    <row r="393" spans="1:60" ht="35.65" customHeight="1" thickBot="1">
      <c r="A393" s="27" t="s">
        <v>299</v>
      </c>
      <c r="B393" s="35"/>
      <c r="C393" s="20" t="s">
        <v>181</v>
      </c>
      <c r="D393" s="20" t="s">
        <v>153</v>
      </c>
      <c r="E393" s="20" t="s">
        <v>182</v>
      </c>
      <c r="F393" s="20"/>
      <c r="G393" s="20"/>
      <c r="H393" s="20"/>
      <c r="I393" s="20"/>
      <c r="J393" s="20" t="s">
        <v>183</v>
      </c>
      <c r="K393" s="20" t="s">
        <v>109</v>
      </c>
      <c r="L393" s="20" t="s">
        <v>125</v>
      </c>
      <c r="M393" s="20" t="s">
        <v>300</v>
      </c>
      <c r="N393" s="20" t="s">
        <v>112</v>
      </c>
      <c r="O393" s="20" t="s">
        <v>121</v>
      </c>
      <c r="P393" s="20" t="s">
        <v>250</v>
      </c>
      <c r="Q393" s="20" t="s">
        <v>112</v>
      </c>
      <c r="R393" s="20"/>
      <c r="S393" s="20"/>
      <c r="T393" s="20"/>
      <c r="U393" s="20"/>
      <c r="V393" s="10"/>
      <c r="W393" s="20" t="s">
        <v>251</v>
      </c>
      <c r="X393" s="20" t="s">
        <v>112</v>
      </c>
      <c r="Y393" s="10"/>
      <c r="Z393" s="20" t="s">
        <v>251</v>
      </c>
      <c r="AA393" s="20" t="s">
        <v>112</v>
      </c>
      <c r="AB393" s="26"/>
      <c r="AC393" s="26"/>
      <c r="AD393" s="52" t="s">
        <v>888</v>
      </c>
      <c r="AE393" s="26">
        <f>AG393+AI393+AK393+AM393</f>
        <v>1574</v>
      </c>
      <c r="AF393" s="26">
        <f t="shared" si="115"/>
        <v>1555</v>
      </c>
      <c r="AG393" s="26"/>
      <c r="AH393" s="26"/>
      <c r="AI393" s="26"/>
      <c r="AJ393" s="26"/>
      <c r="AK393" s="26"/>
      <c r="AL393" s="26"/>
      <c r="AM393" s="26">
        <f>1290.3-100+70.2+313.5</f>
        <v>1574</v>
      </c>
      <c r="AN393" s="26">
        <v>1555</v>
      </c>
      <c r="AO393" s="26">
        <f>AP393+AQ393+AR393+AS393</f>
        <v>0</v>
      </c>
      <c r="AP393" s="26"/>
      <c r="AQ393" s="26"/>
      <c r="AR393" s="26"/>
      <c r="AS393" s="26"/>
      <c r="AT393" s="26">
        <f>AU393+AV393+AW393+AX393</f>
        <v>0</v>
      </c>
      <c r="AU393" s="26"/>
      <c r="AV393" s="26"/>
      <c r="AW393" s="26"/>
      <c r="AX393" s="26"/>
      <c r="AY393" s="26">
        <f>AZ393+BA393+BB393+BC393</f>
        <v>0</v>
      </c>
      <c r="AZ393" s="26"/>
      <c r="BA393" s="26"/>
      <c r="BB393" s="26"/>
      <c r="BC393" s="26"/>
      <c r="BD393" s="26">
        <f>BE393+BF393+BG393+BH393</f>
        <v>0</v>
      </c>
      <c r="BE393" s="26"/>
      <c r="BF393" s="26"/>
      <c r="BG393" s="26"/>
      <c r="BH393" s="26"/>
    </row>
    <row r="394" spans="1:60" ht="35.65" customHeight="1" thickBot="1">
      <c r="A394" s="27"/>
      <c r="B394" s="35"/>
      <c r="C394" s="20" t="s">
        <v>181</v>
      </c>
      <c r="D394" s="20" t="s">
        <v>153</v>
      </c>
      <c r="E394" s="20" t="s">
        <v>182</v>
      </c>
      <c r="F394" s="20"/>
      <c r="G394" s="20"/>
      <c r="H394" s="20"/>
      <c r="I394" s="20"/>
      <c r="J394" s="20" t="s">
        <v>183</v>
      </c>
      <c r="K394" s="20" t="s">
        <v>109</v>
      </c>
      <c r="L394" s="20" t="s">
        <v>125</v>
      </c>
      <c r="M394" s="20" t="s">
        <v>300</v>
      </c>
      <c r="N394" s="20" t="s">
        <v>112</v>
      </c>
      <c r="O394" s="20" t="s">
        <v>121</v>
      </c>
      <c r="P394" s="20" t="s">
        <v>250</v>
      </c>
      <c r="Q394" s="20" t="s">
        <v>112</v>
      </c>
      <c r="R394" s="20"/>
      <c r="S394" s="20"/>
      <c r="T394" s="20"/>
      <c r="U394" s="20"/>
      <c r="V394" s="10"/>
      <c r="W394" s="20" t="s">
        <v>251</v>
      </c>
      <c r="X394" s="20" t="s">
        <v>112</v>
      </c>
      <c r="Y394" s="10"/>
      <c r="Z394" s="20" t="s">
        <v>251</v>
      </c>
      <c r="AA394" s="20" t="s">
        <v>112</v>
      </c>
      <c r="AB394" s="26"/>
      <c r="AC394" s="26"/>
      <c r="AD394" s="52" t="s">
        <v>889</v>
      </c>
      <c r="AE394" s="26"/>
      <c r="AF394" s="26"/>
      <c r="AG394" s="26"/>
      <c r="AH394" s="26"/>
      <c r="AI394" s="26"/>
      <c r="AJ394" s="26"/>
      <c r="AK394" s="26"/>
      <c r="AL394" s="26"/>
      <c r="AM394" s="26"/>
      <c r="AN394" s="26"/>
      <c r="AO394" s="26">
        <f>AP394+AQ394+AR394+AS394</f>
        <v>1347</v>
      </c>
      <c r="AP394" s="26"/>
      <c r="AQ394" s="26"/>
      <c r="AR394" s="26"/>
      <c r="AS394" s="26">
        <f>800+21.7+265.4+215.3+328-283.4</f>
        <v>1347</v>
      </c>
      <c r="AT394" s="26">
        <f>AU394+AV394+AW394+AX394</f>
        <v>800</v>
      </c>
      <c r="AU394" s="26"/>
      <c r="AV394" s="26"/>
      <c r="AW394" s="26"/>
      <c r="AX394" s="26">
        <v>800</v>
      </c>
      <c r="AY394" s="26">
        <f>AZ394+BA394+BB394+BC394</f>
        <v>800</v>
      </c>
      <c r="AZ394" s="26"/>
      <c r="BA394" s="26"/>
      <c r="BB394" s="26"/>
      <c r="BC394" s="26">
        <v>800</v>
      </c>
      <c r="BD394" s="26">
        <f>BE394+BF394+BG394+BH394</f>
        <v>800</v>
      </c>
      <c r="BE394" s="26"/>
      <c r="BF394" s="26"/>
      <c r="BG394" s="26"/>
      <c r="BH394" s="26">
        <v>800</v>
      </c>
    </row>
    <row r="395" spans="1:60" ht="35.65" customHeight="1" thickBot="1">
      <c r="A395" s="31" t="s">
        <v>301</v>
      </c>
      <c r="B395" s="106">
        <v>2536</v>
      </c>
      <c r="C395" s="33"/>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v>21</v>
      </c>
      <c r="AD395" s="260"/>
      <c r="AE395" s="34">
        <f>AE396+AE397</f>
        <v>414.4</v>
      </c>
      <c r="AF395" s="34">
        <f t="shared" si="115"/>
        <v>414.4</v>
      </c>
      <c r="AG395" s="34">
        <f>AG396+AG397</f>
        <v>0</v>
      </c>
      <c r="AH395" s="34">
        <f>AH396+AH397</f>
        <v>0</v>
      </c>
      <c r="AI395" s="34">
        <f>AI396+AI397</f>
        <v>414.4</v>
      </c>
      <c r="AJ395" s="34">
        <f>AJ396+AJ397</f>
        <v>414.4</v>
      </c>
      <c r="AK395" s="34">
        <f>AK396+AK397</f>
        <v>0</v>
      </c>
      <c r="AL395" s="34"/>
      <c r="AM395" s="34">
        <f>AM396+AM397</f>
        <v>0</v>
      </c>
      <c r="AN395" s="34">
        <f>AN396+AN397</f>
        <v>0</v>
      </c>
      <c r="AO395" s="34">
        <f>AO396+AO397</f>
        <v>408.2</v>
      </c>
      <c r="AP395" s="34">
        <f t="shared" ref="AP395:AS395" si="118">AP396+AP397</f>
        <v>0</v>
      </c>
      <c r="AQ395" s="34">
        <f t="shared" si="118"/>
        <v>408.2</v>
      </c>
      <c r="AR395" s="34">
        <f t="shared" si="118"/>
        <v>0</v>
      </c>
      <c r="AS395" s="34">
        <f t="shared" si="118"/>
        <v>0</v>
      </c>
      <c r="AT395" s="34">
        <f>AU395+AV395+AW395+AX395</f>
        <v>0</v>
      </c>
      <c r="AU395" s="34">
        <f>AV395+AW395+AX395+FJ1142</f>
        <v>0</v>
      </c>
      <c r="AV395" s="34">
        <f>AW395+AX395+FJ1142+FK1142</f>
        <v>0</v>
      </c>
      <c r="AW395" s="34">
        <f>AX395+FJ1142+FK1142+FL1142</f>
        <v>0</v>
      </c>
      <c r="AX395" s="34">
        <f>FJ1142+FK1142+FL1142+FM1142</f>
        <v>0</v>
      </c>
      <c r="AY395" s="34">
        <f>AZ395+BA395+BB395+BC395</f>
        <v>0</v>
      </c>
      <c r="AZ395" s="34">
        <f>BA395+BB395+BC395+EA395</f>
        <v>0</v>
      </c>
      <c r="BA395" s="34">
        <f>BB395+BC395+EA395+EB395</f>
        <v>0</v>
      </c>
      <c r="BB395" s="34">
        <f>BC395+EA395+EB395+EC395</f>
        <v>0</v>
      </c>
      <c r="BC395" s="34">
        <f>EA395+EB395+EC395+ED395</f>
        <v>0</v>
      </c>
      <c r="BD395" s="34">
        <f>BE395+BF395+BG395+BH395</f>
        <v>0</v>
      </c>
      <c r="BE395" s="34">
        <f>BF395+BG395+BH395+EF395</f>
        <v>0</v>
      </c>
      <c r="BF395" s="34">
        <f>BG395+BH395+EF395+EG395</f>
        <v>0</v>
      </c>
      <c r="BG395" s="34">
        <f>BH395+EF395+EG395+EH395</f>
        <v>0</v>
      </c>
      <c r="BH395" s="34">
        <f>EF395+EG395+EH395+EI395</f>
        <v>0</v>
      </c>
    </row>
    <row r="396" spans="1:60" ht="35.65" customHeight="1" thickBot="1">
      <c r="A396" s="27" t="s">
        <v>95</v>
      </c>
      <c r="B396" s="35"/>
      <c r="C396" s="25"/>
      <c r="D396" s="26"/>
      <c r="E396" s="26"/>
      <c r="F396" s="26"/>
      <c r="G396" s="26"/>
      <c r="H396" s="26"/>
      <c r="I396" s="26"/>
      <c r="J396" s="26"/>
      <c r="K396" s="26"/>
      <c r="L396" s="26"/>
      <c r="M396" s="26"/>
      <c r="N396" s="26"/>
      <c r="O396" s="26"/>
      <c r="P396" s="375" t="s">
        <v>101</v>
      </c>
      <c r="Q396" s="26"/>
      <c r="R396" s="26"/>
      <c r="S396" s="26"/>
      <c r="T396" s="43" t="s">
        <v>102</v>
      </c>
      <c r="U396" s="26"/>
      <c r="V396" s="26"/>
      <c r="W396" s="375" t="s">
        <v>98</v>
      </c>
      <c r="X396" s="26"/>
      <c r="Y396" s="26"/>
      <c r="Z396" s="26"/>
      <c r="AA396" s="26"/>
      <c r="AB396" s="26"/>
      <c r="AC396" s="26"/>
      <c r="AD396" s="52" t="s">
        <v>890</v>
      </c>
      <c r="AE396" s="26">
        <f>AG396+AI396+AK396+AM396</f>
        <v>414.4</v>
      </c>
      <c r="AF396" s="26">
        <f t="shared" si="115"/>
        <v>414.4</v>
      </c>
      <c r="AG396" s="26"/>
      <c r="AH396" s="26"/>
      <c r="AI396" s="26">
        <f>421.5-7.1</f>
        <v>414.4</v>
      </c>
      <c r="AJ396" s="26">
        <v>414.4</v>
      </c>
      <c r="AK396" s="26"/>
      <c r="AL396" s="26"/>
      <c r="AM396" s="26"/>
      <c r="AN396" s="26"/>
      <c r="AO396" s="26">
        <f>AP396+AQ396+AR396+AS396</f>
        <v>408.2</v>
      </c>
      <c r="AP396" s="26"/>
      <c r="AQ396" s="26">
        <v>408.2</v>
      </c>
      <c r="AR396" s="26"/>
      <c r="AS396" s="26"/>
      <c r="AT396" s="26">
        <f>AU396+AV396+AW396+AX396</f>
        <v>0</v>
      </c>
      <c r="AU396" s="26"/>
      <c r="AV396" s="26"/>
      <c r="AW396" s="26"/>
      <c r="AX396" s="26"/>
      <c r="AY396" s="26">
        <f>AZ396+BA396+BB396+BC396</f>
        <v>0</v>
      </c>
      <c r="AZ396" s="26"/>
      <c r="BA396" s="26"/>
      <c r="BB396" s="26"/>
      <c r="BC396" s="26"/>
      <c r="BD396" s="26">
        <f>BE396+BF396+BG396+BH396</f>
        <v>0</v>
      </c>
      <c r="BE396" s="26"/>
      <c r="BF396" s="26"/>
      <c r="BG396" s="26"/>
      <c r="BH396" s="26"/>
    </row>
    <row r="397" spans="1:60" ht="35.65" customHeight="1" thickBot="1">
      <c r="A397" s="27" t="s">
        <v>95</v>
      </c>
      <c r="B397" s="35"/>
      <c r="C397" s="25"/>
      <c r="D397" s="26"/>
      <c r="E397" s="26"/>
      <c r="F397" s="26"/>
      <c r="G397" s="26"/>
      <c r="H397" s="26"/>
      <c r="I397" s="26"/>
      <c r="J397" s="26"/>
      <c r="K397" s="26"/>
      <c r="L397" s="26"/>
      <c r="M397" s="26"/>
      <c r="N397" s="26"/>
      <c r="O397" s="26"/>
      <c r="P397" s="376"/>
      <c r="Q397" s="26"/>
      <c r="R397" s="26"/>
      <c r="S397" s="26"/>
      <c r="T397" s="26"/>
      <c r="U397" s="26"/>
      <c r="V397" s="26"/>
      <c r="W397" s="376"/>
      <c r="X397" s="26"/>
      <c r="Y397" s="26"/>
      <c r="Z397" s="26"/>
      <c r="AA397" s="26"/>
      <c r="AB397" s="26"/>
      <c r="AC397" s="26"/>
      <c r="AD397" s="52" t="s">
        <v>891</v>
      </c>
      <c r="AE397" s="26">
        <f>AG397+AI397+AK397+AM397</f>
        <v>0</v>
      </c>
      <c r="AF397" s="26">
        <f t="shared" si="115"/>
        <v>0</v>
      </c>
      <c r="AG397" s="26"/>
      <c r="AH397" s="26"/>
      <c r="AI397" s="26"/>
      <c r="AJ397" s="26"/>
      <c r="AK397" s="26"/>
      <c r="AL397" s="26"/>
      <c r="AM397" s="26"/>
      <c r="AN397" s="26"/>
      <c r="AO397" s="26">
        <f>AP397+AQ397+AR397+AS397</f>
        <v>0</v>
      </c>
      <c r="AP397" s="26"/>
      <c r="AQ397" s="26"/>
      <c r="AR397" s="26"/>
      <c r="AS397" s="26"/>
      <c r="AT397" s="26">
        <f>AU397+AV397+AW397+AX397</f>
        <v>0</v>
      </c>
      <c r="AU397" s="26"/>
      <c r="AV397" s="26"/>
      <c r="AW397" s="26"/>
      <c r="AX397" s="26"/>
      <c r="AY397" s="26">
        <f>AZ397+BA397+BB397+BC397</f>
        <v>0</v>
      </c>
      <c r="AZ397" s="26"/>
      <c r="BA397" s="26"/>
      <c r="BB397" s="26"/>
      <c r="BC397" s="26"/>
      <c r="BD397" s="26">
        <f>BE397+BF397+BG397+BH397</f>
        <v>0</v>
      </c>
      <c r="BE397" s="26"/>
      <c r="BF397" s="26"/>
      <c r="BG397" s="26"/>
      <c r="BH397" s="26"/>
    </row>
    <row r="398" spans="1:60" ht="35.65" customHeight="1" thickBot="1">
      <c r="A398" s="27" t="s">
        <v>302</v>
      </c>
      <c r="B398" s="35">
        <v>2537</v>
      </c>
      <c r="C398" s="25"/>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v>1</v>
      </c>
      <c r="AD398" s="52"/>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c r="BB398" s="26"/>
      <c r="BC398" s="26"/>
      <c r="BD398" s="26"/>
      <c r="BE398" s="26"/>
      <c r="BF398" s="26"/>
      <c r="BG398" s="26"/>
      <c r="BH398" s="26"/>
    </row>
    <row r="399" spans="1:60" ht="35.65" customHeight="1" thickBot="1">
      <c r="A399" s="31" t="s">
        <v>303</v>
      </c>
      <c r="B399" s="106">
        <v>2538</v>
      </c>
      <c r="C399" s="33"/>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v>21</v>
      </c>
      <c r="AD399" s="260"/>
      <c r="AE399" s="34">
        <f>AE400</f>
        <v>2500</v>
      </c>
      <c r="AF399" s="34">
        <f>AH399+AJ399+AL399+AN399</f>
        <v>2500</v>
      </c>
      <c r="AG399" s="34">
        <f t="shared" ref="AG399:BH399" si="119">AG400</f>
        <v>0</v>
      </c>
      <c r="AH399" s="34">
        <f t="shared" si="119"/>
        <v>0</v>
      </c>
      <c r="AI399" s="34">
        <f t="shared" si="119"/>
        <v>0</v>
      </c>
      <c r="AJ399" s="34">
        <f t="shared" si="119"/>
        <v>0</v>
      </c>
      <c r="AK399" s="34">
        <f t="shared" si="119"/>
        <v>0</v>
      </c>
      <c r="AL399" s="34"/>
      <c r="AM399" s="34">
        <f t="shared" si="119"/>
        <v>2500</v>
      </c>
      <c r="AN399" s="34">
        <f t="shared" si="119"/>
        <v>2500</v>
      </c>
      <c r="AO399" s="34">
        <f t="shared" si="119"/>
        <v>3600</v>
      </c>
      <c r="AP399" s="34">
        <f t="shared" si="119"/>
        <v>0</v>
      </c>
      <c r="AQ399" s="34">
        <f t="shared" si="119"/>
        <v>0</v>
      </c>
      <c r="AR399" s="34">
        <f t="shared" si="119"/>
        <v>0</v>
      </c>
      <c r="AS399" s="34">
        <f t="shared" si="119"/>
        <v>3600</v>
      </c>
      <c r="AT399" s="34">
        <f t="shared" si="119"/>
        <v>3000</v>
      </c>
      <c r="AU399" s="34">
        <f t="shared" si="119"/>
        <v>0</v>
      </c>
      <c r="AV399" s="34">
        <f t="shared" si="119"/>
        <v>0</v>
      </c>
      <c r="AW399" s="34">
        <f t="shared" si="119"/>
        <v>0</v>
      </c>
      <c r="AX399" s="34">
        <f t="shared" si="119"/>
        <v>3000</v>
      </c>
      <c r="AY399" s="34">
        <f t="shared" si="119"/>
        <v>3000</v>
      </c>
      <c r="AZ399" s="34">
        <f t="shared" si="119"/>
        <v>0</v>
      </c>
      <c r="BA399" s="34">
        <f t="shared" si="119"/>
        <v>0</v>
      </c>
      <c r="BB399" s="34">
        <f t="shared" si="119"/>
        <v>0</v>
      </c>
      <c r="BC399" s="34">
        <f t="shared" si="119"/>
        <v>3000</v>
      </c>
      <c r="BD399" s="34">
        <f t="shared" si="119"/>
        <v>3000</v>
      </c>
      <c r="BE399" s="34">
        <f t="shared" si="119"/>
        <v>0</v>
      </c>
      <c r="BF399" s="34">
        <f t="shared" si="119"/>
        <v>0</v>
      </c>
      <c r="BG399" s="34">
        <f t="shared" si="119"/>
        <v>0</v>
      </c>
      <c r="BH399" s="34">
        <f t="shared" si="119"/>
        <v>3000</v>
      </c>
    </row>
    <row r="400" spans="1:60" ht="35.65" customHeight="1" thickBot="1">
      <c r="A400" s="27" t="s">
        <v>95</v>
      </c>
      <c r="B400" s="35"/>
      <c r="C400" s="25"/>
      <c r="D400" s="26"/>
      <c r="E400" s="26"/>
      <c r="F400" s="26"/>
      <c r="G400" s="26"/>
      <c r="H400" s="26"/>
      <c r="I400" s="26"/>
      <c r="J400" s="26"/>
      <c r="K400" s="26"/>
      <c r="L400" s="26"/>
      <c r="M400" s="26"/>
      <c r="N400" s="26"/>
      <c r="O400" s="26"/>
      <c r="P400" s="148" t="s">
        <v>101</v>
      </c>
      <c r="Q400" s="149"/>
      <c r="R400" s="149"/>
      <c r="S400" s="149"/>
      <c r="T400" s="148" t="s">
        <v>102</v>
      </c>
      <c r="U400" s="149"/>
      <c r="V400" s="149"/>
      <c r="W400" s="148" t="s">
        <v>304</v>
      </c>
      <c r="X400" s="149"/>
      <c r="Y400" s="26"/>
      <c r="Z400" s="26"/>
      <c r="AA400" s="26"/>
      <c r="AB400" s="26"/>
      <c r="AC400" s="26"/>
      <c r="AD400" s="52" t="s">
        <v>892</v>
      </c>
      <c r="AE400" s="26">
        <f>AM400</f>
        <v>2500</v>
      </c>
      <c r="AF400" s="26">
        <f>AH400+AJ400+AL400+AN400</f>
        <v>2500</v>
      </c>
      <c r="AG400" s="26"/>
      <c r="AH400" s="26"/>
      <c r="AI400" s="26"/>
      <c r="AJ400" s="26"/>
      <c r="AK400" s="26"/>
      <c r="AL400" s="26"/>
      <c r="AM400" s="26">
        <f>3800-1800+500</f>
        <v>2500</v>
      </c>
      <c r="AN400" s="26">
        <v>2500</v>
      </c>
      <c r="AO400" s="26">
        <f>AP400+AQ400++AR400+AS400</f>
        <v>3600</v>
      </c>
      <c r="AP400" s="26"/>
      <c r="AQ400" s="26"/>
      <c r="AR400" s="26"/>
      <c r="AS400" s="26">
        <f>3000+300+300</f>
        <v>3600</v>
      </c>
      <c r="AT400" s="26">
        <f>AU400+AV400++AW400+AX400</f>
        <v>3000</v>
      </c>
      <c r="AU400" s="26"/>
      <c r="AV400" s="26"/>
      <c r="AW400" s="26"/>
      <c r="AX400" s="26">
        <v>3000</v>
      </c>
      <c r="AY400" s="26">
        <f>AZ400+BA400+BB400+BC400</f>
        <v>3000</v>
      </c>
      <c r="AZ400" s="26"/>
      <c r="BA400" s="26"/>
      <c r="BB400" s="26"/>
      <c r="BC400" s="26">
        <v>3000</v>
      </c>
      <c r="BD400" s="26">
        <f>BE400+BF400+BG400+BH400</f>
        <v>3000</v>
      </c>
      <c r="BE400" s="26"/>
      <c r="BF400" s="26"/>
      <c r="BG400" s="26"/>
      <c r="BH400" s="26">
        <v>3000</v>
      </c>
    </row>
    <row r="401" spans="1:60" ht="35.65" customHeight="1" thickBot="1">
      <c r="A401" s="31" t="s">
        <v>305</v>
      </c>
      <c r="B401" s="32">
        <v>2539</v>
      </c>
      <c r="C401" s="33"/>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v>19</v>
      </c>
      <c r="AD401" s="260"/>
      <c r="AE401" s="34">
        <f t="shared" ref="AE401:BH401" si="120">AE402</f>
        <v>4757.5</v>
      </c>
      <c r="AF401" s="34">
        <f>AH401+AJ401+AL401+AN401</f>
        <v>4656.5</v>
      </c>
      <c r="AG401" s="34">
        <f t="shared" si="120"/>
        <v>0</v>
      </c>
      <c r="AH401" s="34">
        <f t="shared" si="120"/>
        <v>0</v>
      </c>
      <c r="AI401" s="34">
        <f t="shared" si="120"/>
        <v>0</v>
      </c>
      <c r="AJ401" s="34">
        <f t="shared" si="120"/>
        <v>0</v>
      </c>
      <c r="AK401" s="34">
        <f t="shared" si="120"/>
        <v>0</v>
      </c>
      <c r="AL401" s="34"/>
      <c r="AM401" s="34">
        <f t="shared" si="120"/>
        <v>4757.5</v>
      </c>
      <c r="AN401" s="34">
        <f t="shared" si="120"/>
        <v>4656.5</v>
      </c>
      <c r="AO401" s="34">
        <f t="shared" si="120"/>
        <v>3237</v>
      </c>
      <c r="AP401" s="34">
        <f t="shared" si="120"/>
        <v>0</v>
      </c>
      <c r="AQ401" s="34">
        <f t="shared" si="120"/>
        <v>0</v>
      </c>
      <c r="AR401" s="34">
        <f t="shared" si="120"/>
        <v>0</v>
      </c>
      <c r="AS401" s="34">
        <f t="shared" si="120"/>
        <v>3237</v>
      </c>
      <c r="AT401" s="34">
        <f t="shared" si="120"/>
        <v>1000</v>
      </c>
      <c r="AU401" s="34">
        <f t="shared" si="120"/>
        <v>0</v>
      </c>
      <c r="AV401" s="34">
        <f t="shared" si="120"/>
        <v>0</v>
      </c>
      <c r="AW401" s="34">
        <f t="shared" si="120"/>
        <v>0</v>
      </c>
      <c r="AX401" s="34">
        <f t="shared" si="120"/>
        <v>1000</v>
      </c>
      <c r="AY401" s="34">
        <f t="shared" si="120"/>
        <v>1000</v>
      </c>
      <c r="AZ401" s="34">
        <f t="shared" si="120"/>
        <v>0</v>
      </c>
      <c r="BA401" s="34">
        <f t="shared" si="120"/>
        <v>0</v>
      </c>
      <c r="BB401" s="34">
        <f t="shared" si="120"/>
        <v>0</v>
      </c>
      <c r="BC401" s="34">
        <f t="shared" si="120"/>
        <v>1000</v>
      </c>
      <c r="BD401" s="34">
        <f t="shared" si="120"/>
        <v>1000</v>
      </c>
      <c r="BE401" s="34">
        <f t="shared" si="120"/>
        <v>0</v>
      </c>
      <c r="BF401" s="34">
        <f t="shared" si="120"/>
        <v>0</v>
      </c>
      <c r="BG401" s="34">
        <f t="shared" si="120"/>
        <v>0</v>
      </c>
      <c r="BH401" s="34">
        <f t="shared" si="120"/>
        <v>1000</v>
      </c>
    </row>
    <row r="402" spans="1:60" ht="35.65" customHeight="1" thickBot="1">
      <c r="A402" s="27" t="s">
        <v>95</v>
      </c>
      <c r="B402" s="42"/>
      <c r="C402" s="25"/>
      <c r="D402" s="26"/>
      <c r="E402" s="26"/>
      <c r="F402" s="26"/>
      <c r="G402" s="26"/>
      <c r="H402" s="26"/>
      <c r="I402" s="26"/>
      <c r="J402" s="26"/>
      <c r="K402" s="26"/>
      <c r="L402" s="26"/>
      <c r="M402" s="26"/>
      <c r="N402" s="26"/>
      <c r="O402" s="26"/>
      <c r="P402" s="26"/>
      <c r="Q402" s="26"/>
      <c r="R402" s="26"/>
      <c r="S402" s="26"/>
      <c r="T402" s="26"/>
      <c r="U402" s="26"/>
      <c r="V402" s="26"/>
      <c r="W402" s="150" t="s">
        <v>306</v>
      </c>
      <c r="X402" s="26"/>
      <c r="Y402" s="26"/>
      <c r="Z402" s="26"/>
      <c r="AA402" s="26"/>
      <c r="AB402" s="26"/>
      <c r="AC402" s="26"/>
      <c r="AD402" s="52" t="s">
        <v>893</v>
      </c>
      <c r="AE402" s="26">
        <f>AG402+AI402+AK402+AM402</f>
        <v>4757.5</v>
      </c>
      <c r="AF402" s="26">
        <f>AH402+AJ402+AL402+AN402</f>
        <v>4656.5</v>
      </c>
      <c r="AG402" s="26"/>
      <c r="AH402" s="26"/>
      <c r="AI402" s="26"/>
      <c r="AJ402" s="26"/>
      <c r="AK402" s="26"/>
      <c r="AL402" s="26"/>
      <c r="AM402" s="26">
        <f>1000+2297.5+1000+460</f>
        <v>4757.5</v>
      </c>
      <c r="AN402" s="26">
        <v>4656.5</v>
      </c>
      <c r="AO402" s="26">
        <f>AP402+AQ402++AR402+AS402</f>
        <v>3237</v>
      </c>
      <c r="AP402" s="26"/>
      <c r="AQ402" s="26"/>
      <c r="AR402" s="26"/>
      <c r="AS402" s="26">
        <f>1000+1207+600+430</f>
        <v>3237</v>
      </c>
      <c r="AT402" s="26">
        <f>AU402+AV402++AW402+AX402</f>
        <v>1000</v>
      </c>
      <c r="AU402" s="26"/>
      <c r="AV402" s="26"/>
      <c r="AW402" s="26"/>
      <c r="AX402" s="26">
        <v>1000</v>
      </c>
      <c r="AY402" s="26">
        <f>AZ402+BA402+BB402+BC402</f>
        <v>1000</v>
      </c>
      <c r="AZ402" s="26"/>
      <c r="BA402" s="26"/>
      <c r="BB402" s="26"/>
      <c r="BC402" s="26">
        <v>1000</v>
      </c>
      <c r="BD402" s="26">
        <f>BE402+BF402+BG402+BH402</f>
        <v>1000</v>
      </c>
      <c r="BE402" s="26"/>
      <c r="BF402" s="26"/>
      <c r="BG402" s="26"/>
      <c r="BH402" s="26">
        <v>1000</v>
      </c>
    </row>
    <row r="403" spans="1:60" ht="35.65" customHeight="1" thickBot="1">
      <c r="A403" s="31" t="s">
        <v>307</v>
      </c>
      <c r="B403" s="32">
        <v>2540</v>
      </c>
      <c r="C403" s="33"/>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v>21</v>
      </c>
      <c r="AD403" s="260"/>
      <c r="AE403" s="34"/>
      <c r="AF403" s="34"/>
      <c r="AG403" s="34"/>
      <c r="AH403" s="34"/>
      <c r="AI403" s="34"/>
      <c r="AJ403" s="34"/>
      <c r="AK403" s="34"/>
      <c r="AL403" s="34"/>
      <c r="AM403" s="34"/>
      <c r="AN403" s="34"/>
      <c r="AO403" s="34"/>
      <c r="AP403" s="34"/>
      <c r="AQ403" s="34"/>
      <c r="AR403" s="34"/>
      <c r="AS403" s="34"/>
      <c r="AT403" s="34"/>
      <c r="AU403" s="34"/>
      <c r="AV403" s="34"/>
      <c r="AW403" s="34"/>
      <c r="AX403" s="34"/>
      <c r="AY403" s="34"/>
      <c r="AZ403" s="34"/>
      <c r="BA403" s="34"/>
      <c r="BB403" s="34"/>
      <c r="BC403" s="34"/>
      <c r="BD403" s="34"/>
      <c r="BE403" s="34"/>
      <c r="BF403" s="34"/>
      <c r="BG403" s="34"/>
      <c r="BH403" s="34"/>
    </row>
    <row r="404" spans="1:60" ht="35.65" customHeight="1" thickBot="1">
      <c r="A404" s="31" t="s">
        <v>308</v>
      </c>
      <c r="B404" s="32">
        <v>2541</v>
      </c>
      <c r="C404" s="33"/>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v>21</v>
      </c>
      <c r="AD404" s="260"/>
      <c r="AE404" s="118">
        <f>AE405+AE408+AE409+AE411+AE412+AE413+AE414+AE415+AE416+AE418+AE419+AE420+AE421+AE425+AE427+AE439+AE441+AE442+AE443+AE446+AE449+AE450+AE457+AE458+AE459+AE462+AE463+AE464+AE475+AE476+AE477+AE478+AE479+AE480+AE422+AE426+AE440+AE444+AE445+AE452+AE465+AE474+AE410+AE453+AE454+AE455+AE451+AE485+AE460+AE461+AE471+AE472+AE473+AE482+AE483+AE423+AE432+AE434+AE438+AE406+AE488+AE489+AE435+AE407+AE437+AE436+AE447+AE481+AE484</f>
        <v>205879.8</v>
      </c>
      <c r="AF404" s="118">
        <f>AH404+AJ404+AL404+AN404</f>
        <v>203872.2</v>
      </c>
      <c r="AG404" s="118">
        <f>AG405+AG408+AG409+AG411+AG412+AG413+AG414+AG415+AG416+AG418+AG419+AG420+AG421+AG425+AG427+AG439+AG441+AG442+AG443+AG446+AG449+AG450+AG457+AG458+AG459+AG462+AG463+AG464+AG475+AG476+AG477+AG478+AG479+AG480+AG422+AG426+AG440+AG444+AG445+AG452+AG465+AG474+AG410+AG453+AG454+AG455+AG451+AG485+AG460+AG461+AG471+AG472+AG473+AG482+AG483+AG423+AG432+AG434+AG438+AG406+AG488+AG489+AG435+AG407+AG437+AG436+AG447+AG481+AG484</f>
        <v>92506</v>
      </c>
      <c r="AH404" s="118">
        <f>AH405+AH408+AH409+AH411+AH412+AH413+AH414+AH415+AH416+AH418+AH419+AH420+AH421+AH425+AH427+AH439+AH441+AH442+AH443+AH446+AH449+AH450+AH457+AH458+AH459+AH462+AH463+AH464+AH475+AH476+AH477+AH478+AH479+AH480+AH422+AH426+AH440+AH444+AH445+AH452+AH465+AH474+AH410+AH453+AH454+AH455+AH451+AH485+AH460+AH461+AH471+AH472+AH473+AH482+AH483+AH423+AH432+AH434+AH438+AH406+AH488+AH489+AH435+AH407+AH437+AH436+AH447+AH481+AH484</f>
        <v>92506</v>
      </c>
      <c r="AI404" s="118">
        <f>AI405+AI408+AI409+AI411+AI412+AI413+AI414+AI415+AI416+AI418+AI419+AI420+AI421+AI425+AI427+AI439+AI441+AI442+AI443+AI446+AI449+AI450+AI457+AI458+AI459+AI462+AI463+AI464+AI475+AI476+AI477+AI478+AI479+AI480+AI422+AI426+AI440+AI444+AI445+AI452+AI465+AI474+AI410+AI453+AI454+AI455+AI451+AI485+AI460+AI461+AI471+AI472+AI473+AI482+AI483+AI423+AI432+AI434+AI438+AI406+AI488+AI489+AI435+AI407+AI437+AI436+AI447+AI481+AI484</f>
        <v>70826.600000000006</v>
      </c>
      <c r="AJ404" s="118">
        <f>AJ405+AJ408+AJ409+AJ411+AJ412+AJ413+AJ414+AJ415+AJ416+AJ418+AJ419+AJ420+AJ421+AJ425+AJ427+AJ439+AJ441+AJ442+AJ443+AJ446+AJ449+AJ450+AJ457+AJ458+AJ459+AJ462+AJ463+AJ464+AJ475+AJ476+AJ477+AJ478+AJ479+AJ480+AJ422+AJ426+AJ440+AJ444+AJ445+AJ452+AJ465+AJ474+AJ410+AJ453+AJ454+AJ455+AJ451+AJ485+AJ460+AJ461+AJ471+AJ472+AJ473+AJ482+AJ483+AJ423+AJ432+AJ434+AJ438+AJ406+AJ488+AJ489+AJ435+AJ407+AJ437+AJ436+AJ447+AJ481+AJ484</f>
        <v>69086.399999999994</v>
      </c>
      <c r="AK404" s="118">
        <f>AK405+AK408+AK409+AK411+AK412+AK413+AK414+AK415+AK416+AK418+AK419+AK420+AK421+AK425+AK427+AK439+AK441+AK442+AK443+AK446+AK449+AK450+AK457+AK458+AK459+AK462+AK463+AK464+AK475+AK476+AK477+AK478+AK479+AK480+AK422+AK426+AK440+AK444+AK445+AK452+AK465+AK474+AK410+AK453+AK454+AK455+AK451+AK485+AK460+AK461+AK471+AK472+AK473+AK482+AK483+AK423+AK432+AK434+AK438+AK406+AK488+AK489+AK435+AK407+AK437+AK436+AK447+AK481+AK484</f>
        <v>0</v>
      </c>
      <c r="AL404" s="118"/>
      <c r="AM404" s="118">
        <f>AM405+AM408+AM409+AM411+AM412+AM413+AM414+AM415+AM416+AM418+AM419+AM420+AM421+AM425+AM427+AM439+AM441+AM442+AM443+AM446+AM449+AM450+AM457+AM458+AM459+AM462+AM463+AM464+AM475+AM476+AM477+AM478+AM479+AM480+AM422+AM426+AM440+AM444+AM445+AM452+AM465+AM474+AM410+AM453+AM454+AM455+AM451+AM485+AM460+AM461+AM471+AM472+AM473+AM482+AM483+AM423+AM432+AM434+AM438+AM406+AM488+AM489+AM435+AM407+AM437+AM436+AM447+AM481+AM484</f>
        <v>42547.200000000004</v>
      </c>
      <c r="AN404" s="118">
        <f>AN405+AN408+AN409+AN411+AN412+AN413+AN414+AN415+AN416+AN418+AN419+AN420+AN421+AN425+AN427+AN439+AN441+AN442+AN443+AN446+AN449+AN450+AN457+AN458+AN459+AN462+AN463+AN464+AN475+AN476+AN477+AN478+AN479+AN480+AN422+AN426+AN440+AN444+AN445+AN452+AN465+AN474+AN410+AN453+AN454+AN455+AN451+AN485+AN460+AN461+AN471+AN472+AN473+AN482+AN483+AN423+AN432+AN434+AN438+AN406+AN488+AN489+AN435+AN407+AN437+AN436+AN447+AN481+AN484</f>
        <v>42279.8</v>
      </c>
      <c r="AO404" s="118">
        <f>AO405+AO408+AO409+AO411+AO412+AO413+AO414+AO415+AO416+AO418+AO419+AO420+AO421+AO425+AO427+AO439+AO441+AO442+AO443+AO446+AO449+AO450+AO457+AO458+AO459+AO462+AO463+AO464+AO475+AO476+AO477+AO478+AO479+AO480+AO422+AO426+AO440+AO444+AO445+AO452+AO465+AO474+AO410+AO453+AO454+AO455+AO451+AO485+AO460+AO461+AO471+AO472+AO473+AO482+AO483+AO486+AO481+AO487+AO406+AO434+AO447+AO466+AO456+AO428+AO430+AO431+AO424+AO429+AO467+AO468+AO433+AO469+AO470+AO448+AO417</f>
        <v>298916.8</v>
      </c>
      <c r="AP404" s="118">
        <f t="shared" ref="AP404:AS404" si="121">AP405+AP408+AP409+AP411+AP412+AP413+AP414+AP415+AP416+AP418+AP419+AP420+AP421+AP425+AP427+AP439+AP441+AP442+AP443+AP446+AP449+AP450+AP457+AP458+AP459+AP462+AP463+AP464+AP475+AP476+AP477+AP478+AP479+AP480+AP422+AP426+AP440+AP444+AP445+AP452+AP465+AP474+AP410+AP453+AP454+AP455+AP451+AP485+AP460+AP461+AP471+AP472+AP473+AP482+AP483+AP486+AP481+AP487+AP406+AP434+AP447+AP466+AP456+AP428+AP430+AP431+AP424+AP429+AP467+AP468+AP433+AP469+AP470+AP448+AP417</f>
        <v>16512.5</v>
      </c>
      <c r="AQ404" s="118">
        <f t="shared" si="121"/>
        <v>203406.90000000002</v>
      </c>
      <c r="AR404" s="118">
        <f t="shared" si="121"/>
        <v>0</v>
      </c>
      <c r="AS404" s="118">
        <f t="shared" si="121"/>
        <v>78997.399999999994</v>
      </c>
      <c r="AT404" s="118">
        <f t="shared" ref="AT404:BH404" si="122">AT405+AT408+AT409+AT411+AT412+AT413+AT414+AT415+AT416+AT418+AT419+AT420+AT421+AT425+AT427+AT439+AT441+AT442+AT443+AT446+AT449+AT450+AT457+AT458+AT459+AT462+AT463+AT464+AT475+AT476+AT477+AT478+AT479+AT480+AT422+AT426+AT440+AT444+AT445+AT452+AT465+AT474+AT410+AT453+AT454+AT455+AT451+AT485+AT460+AT461+AT471+AT472+AT473+AT482+AT483+AT486+AT481+AT487+AT406+AT434+AT447+AT466+AT456+AT428+AT430+AT431+AT424+AT429</f>
        <v>50398.400000000001</v>
      </c>
      <c r="AU404" s="118">
        <f t="shared" si="122"/>
        <v>18154.599999999999</v>
      </c>
      <c r="AV404" s="118">
        <f t="shared" si="122"/>
        <v>955.5</v>
      </c>
      <c r="AW404" s="118">
        <f t="shared" si="122"/>
        <v>0</v>
      </c>
      <c r="AX404" s="118">
        <f t="shared" si="122"/>
        <v>31288.300000000003</v>
      </c>
      <c r="AY404" s="118">
        <f t="shared" si="122"/>
        <v>32256.5</v>
      </c>
      <c r="AZ404" s="118">
        <f t="shared" si="122"/>
        <v>0</v>
      </c>
      <c r="BA404" s="118">
        <f t="shared" si="122"/>
        <v>968.2</v>
      </c>
      <c r="BB404" s="118">
        <f t="shared" si="122"/>
        <v>0</v>
      </c>
      <c r="BC404" s="118">
        <f t="shared" si="122"/>
        <v>31288.300000000003</v>
      </c>
      <c r="BD404" s="118">
        <f t="shared" si="122"/>
        <v>32256.5</v>
      </c>
      <c r="BE404" s="118">
        <f t="shared" si="122"/>
        <v>0</v>
      </c>
      <c r="BF404" s="118">
        <f t="shared" si="122"/>
        <v>968.2</v>
      </c>
      <c r="BG404" s="118">
        <f t="shared" si="122"/>
        <v>0</v>
      </c>
      <c r="BH404" s="118">
        <f t="shared" si="122"/>
        <v>31288.300000000003</v>
      </c>
    </row>
    <row r="405" spans="1:60" ht="35.65" customHeight="1" thickBot="1">
      <c r="A405" s="27" t="s">
        <v>50</v>
      </c>
      <c r="B405" s="42"/>
      <c r="C405" s="25"/>
      <c r="D405" s="26"/>
      <c r="E405" s="26"/>
      <c r="F405" s="26"/>
      <c r="G405" s="26"/>
      <c r="H405" s="26"/>
      <c r="I405" s="26"/>
      <c r="J405" s="26"/>
      <c r="K405" s="26"/>
      <c r="L405" s="26"/>
      <c r="M405" s="26"/>
      <c r="N405" s="26"/>
      <c r="O405" s="26"/>
      <c r="P405" s="43" t="s">
        <v>101</v>
      </c>
      <c r="Q405" s="26"/>
      <c r="R405" s="26"/>
      <c r="S405" s="26"/>
      <c r="T405" s="43" t="s">
        <v>102</v>
      </c>
      <c r="U405" s="26"/>
      <c r="V405" s="26"/>
      <c r="W405" s="43" t="s">
        <v>304</v>
      </c>
      <c r="X405" s="26"/>
      <c r="Y405" s="26"/>
      <c r="Z405" s="26"/>
      <c r="AA405" s="26"/>
      <c r="AB405" s="26"/>
      <c r="AC405" s="26"/>
      <c r="AD405" s="52" t="s">
        <v>894</v>
      </c>
      <c r="AE405" s="26">
        <f t="shared" ref="AE405:AF443" si="123">AG405+AI405+AK405+AM405</f>
        <v>0</v>
      </c>
      <c r="AF405" s="26">
        <f>AH405+AJ405+AL405+AN405</f>
        <v>0</v>
      </c>
      <c r="AG405" s="26">
        <f>AI405+AK405+AM405+QD405</f>
        <v>0</v>
      </c>
      <c r="AH405" s="26"/>
      <c r="AI405" s="26">
        <f>AK405+AM405+QD405+QE405</f>
        <v>0</v>
      </c>
      <c r="AJ405" s="26"/>
      <c r="AK405" s="26">
        <f>AM405+QD405+QE405+QF405</f>
        <v>0</v>
      </c>
      <c r="AL405" s="26"/>
      <c r="AM405" s="26">
        <f>QD405+QE405+QF405+QG405</f>
        <v>0</v>
      </c>
      <c r="AN405" s="26"/>
      <c r="AO405" s="26">
        <f t="shared" ref="AO405:AO482" si="124">AP405+AQ405+AR405+AS405</f>
        <v>0</v>
      </c>
      <c r="AP405" s="26">
        <f>AQ405+AR405+AS405+FT1152</f>
        <v>0</v>
      </c>
      <c r="AQ405" s="26">
        <f>AR405+AS405+FT1152+FU1152</f>
        <v>0</v>
      </c>
      <c r="AR405" s="26">
        <f>AS405+FT1152+FU1152+FV1152</f>
        <v>0</v>
      </c>
      <c r="AS405" s="26">
        <f>FT1152+FU1152+FV1152+FW1152</f>
        <v>0</v>
      </c>
      <c r="AT405" s="26">
        <f t="shared" ref="AT405:AT406" si="125">AU405+AV405+AW405+AX405</f>
        <v>0</v>
      </c>
      <c r="AU405" s="26">
        <f>AV405+AW405+AX405+FJ1152</f>
        <v>0</v>
      </c>
      <c r="AV405" s="26">
        <f>AW405+AX405+FJ1152+FK1152</f>
        <v>0</v>
      </c>
      <c r="AW405" s="26">
        <f>AX405+FJ1152+FK1152+FL1152</f>
        <v>0</v>
      </c>
      <c r="AX405" s="26">
        <f>FJ1152+FK1152+FL1152+FM1152</f>
        <v>0</v>
      </c>
      <c r="AY405" s="26">
        <f t="shared" ref="AY405:AY485" si="126">AZ405+BA405+BB405+BC405</f>
        <v>0</v>
      </c>
      <c r="AZ405" s="26">
        <f>BA405+BB405+BC405+EA405</f>
        <v>0</v>
      </c>
      <c r="BA405" s="26">
        <f>BB405+BC405+EA405+EB405</f>
        <v>0</v>
      </c>
      <c r="BB405" s="26">
        <f>BC405+EA405+EB405+EC405</f>
        <v>0</v>
      </c>
      <c r="BC405" s="26">
        <f>EA405+EB405+EC405+ED405</f>
        <v>0</v>
      </c>
      <c r="BD405" s="26">
        <f t="shared" ref="BD405:BD485" si="127">BE405+BF405+BG405+BH405</f>
        <v>0</v>
      </c>
      <c r="BE405" s="26">
        <f>BF405+BG405+BH405+EF405</f>
        <v>0</v>
      </c>
      <c r="BF405" s="26">
        <f>BG405+BH405+EF405+EG405</f>
        <v>0</v>
      </c>
      <c r="BG405" s="26">
        <f>BH405+EF405+EG405+EH405</f>
        <v>0</v>
      </c>
      <c r="BH405" s="26">
        <f>EF405+EG405+EH405+EI405</f>
        <v>0</v>
      </c>
    </row>
    <row r="406" spans="1:60" ht="35.65" customHeight="1" thickBot="1">
      <c r="A406" s="27" t="s">
        <v>50</v>
      </c>
      <c r="B406" s="42"/>
      <c r="C406" s="25"/>
      <c r="D406" s="26"/>
      <c r="E406" s="26"/>
      <c r="F406" s="26"/>
      <c r="G406" s="26"/>
      <c r="H406" s="26"/>
      <c r="I406" s="26"/>
      <c r="J406" s="26"/>
      <c r="K406" s="26"/>
      <c r="L406" s="26"/>
      <c r="M406" s="26"/>
      <c r="N406" s="26"/>
      <c r="O406" s="26"/>
      <c r="P406" s="43"/>
      <c r="Q406" s="26"/>
      <c r="R406" s="26"/>
      <c r="S406" s="26"/>
      <c r="T406" s="43"/>
      <c r="U406" s="26"/>
      <c r="V406" s="26"/>
      <c r="W406" s="43"/>
      <c r="X406" s="26"/>
      <c r="Y406" s="26"/>
      <c r="Z406" s="26"/>
      <c r="AA406" s="26"/>
      <c r="AB406" s="26"/>
      <c r="AC406" s="26"/>
      <c r="AD406" s="52" t="s">
        <v>895</v>
      </c>
      <c r="AE406" s="26">
        <f t="shared" si="123"/>
        <v>160</v>
      </c>
      <c r="AF406" s="26">
        <f t="shared" si="123"/>
        <v>160</v>
      </c>
      <c r="AG406" s="26"/>
      <c r="AH406" s="26"/>
      <c r="AI406" s="26"/>
      <c r="AJ406" s="26"/>
      <c r="AK406" s="26"/>
      <c r="AL406" s="26"/>
      <c r="AM406" s="26">
        <f>250-90</f>
        <v>160</v>
      </c>
      <c r="AN406" s="26">
        <v>160</v>
      </c>
      <c r="AO406" s="26">
        <f t="shared" si="124"/>
        <v>60</v>
      </c>
      <c r="AP406" s="26"/>
      <c r="AQ406" s="26"/>
      <c r="AR406" s="26"/>
      <c r="AS406" s="26">
        <v>60</v>
      </c>
      <c r="AT406" s="26">
        <f t="shared" si="125"/>
        <v>60</v>
      </c>
      <c r="AU406" s="26"/>
      <c r="AV406" s="26"/>
      <c r="AW406" s="26"/>
      <c r="AX406" s="26">
        <v>60</v>
      </c>
      <c r="AY406" s="26">
        <f t="shared" si="126"/>
        <v>60</v>
      </c>
      <c r="AZ406" s="26"/>
      <c r="BA406" s="26"/>
      <c r="BB406" s="26"/>
      <c r="BC406" s="26">
        <v>60</v>
      </c>
      <c r="BD406" s="26">
        <f t="shared" si="127"/>
        <v>60</v>
      </c>
      <c r="BE406" s="26"/>
      <c r="BF406" s="26"/>
      <c r="BG406" s="26"/>
      <c r="BH406" s="26">
        <v>60</v>
      </c>
    </row>
    <row r="407" spans="1:60" ht="35.65" customHeight="1" thickBot="1">
      <c r="A407" s="27" t="s">
        <v>50</v>
      </c>
      <c r="B407" s="42"/>
      <c r="C407" s="25"/>
      <c r="D407" s="26"/>
      <c r="E407" s="26"/>
      <c r="F407" s="26"/>
      <c r="G407" s="26"/>
      <c r="H407" s="26"/>
      <c r="I407" s="26"/>
      <c r="J407" s="26"/>
      <c r="K407" s="26"/>
      <c r="L407" s="26"/>
      <c r="M407" s="26"/>
      <c r="N407" s="26"/>
      <c r="O407" s="26"/>
      <c r="P407" s="43"/>
      <c r="Q407" s="26"/>
      <c r="R407" s="26"/>
      <c r="S407" s="26"/>
      <c r="T407" s="43"/>
      <c r="U407" s="26"/>
      <c r="V407" s="26"/>
      <c r="W407" s="43"/>
      <c r="X407" s="26"/>
      <c r="Y407" s="26"/>
      <c r="Z407" s="26"/>
      <c r="AA407" s="26"/>
      <c r="AB407" s="26"/>
      <c r="AC407" s="26"/>
      <c r="AD407" s="52" t="s">
        <v>896</v>
      </c>
      <c r="AE407" s="26">
        <f t="shared" si="123"/>
        <v>0</v>
      </c>
      <c r="AF407" s="26">
        <f t="shared" si="123"/>
        <v>0</v>
      </c>
      <c r="AG407" s="26"/>
      <c r="AH407" s="26"/>
      <c r="AI407" s="26"/>
      <c r="AJ407" s="26"/>
      <c r="AK407" s="26"/>
      <c r="AL407" s="26"/>
      <c r="AM407" s="26">
        <f>270-270</f>
        <v>0</v>
      </c>
      <c r="AN407" s="26"/>
      <c r="AO407" s="26"/>
      <c r="AP407" s="26"/>
      <c r="AQ407" s="26"/>
      <c r="AR407" s="26"/>
      <c r="AS407" s="26"/>
      <c r="AT407" s="26"/>
      <c r="AU407" s="26"/>
      <c r="AV407" s="26"/>
      <c r="AW407" s="26"/>
      <c r="AX407" s="26"/>
      <c r="AY407" s="26"/>
      <c r="AZ407" s="26"/>
      <c r="BA407" s="26"/>
      <c r="BB407" s="26"/>
      <c r="BC407" s="26"/>
      <c r="BD407" s="26"/>
      <c r="BE407" s="26"/>
      <c r="BF407" s="26"/>
      <c r="BG407" s="26"/>
      <c r="BH407" s="26"/>
    </row>
    <row r="408" spans="1:60" ht="35.65" customHeight="1" thickBot="1">
      <c r="A408" s="27" t="s">
        <v>50</v>
      </c>
      <c r="B408" s="42"/>
      <c r="C408" s="25"/>
      <c r="D408" s="26"/>
      <c r="E408" s="26"/>
      <c r="F408" s="26"/>
      <c r="G408" s="26"/>
      <c r="H408" s="26"/>
      <c r="I408" s="26"/>
      <c r="J408" s="26"/>
      <c r="K408" s="26"/>
      <c r="L408" s="26"/>
      <c r="M408" s="26"/>
      <c r="N408" s="26"/>
      <c r="O408" s="26"/>
      <c r="P408" s="26"/>
      <c r="Q408" s="26"/>
      <c r="R408" s="26"/>
      <c r="S408" s="26"/>
      <c r="T408" s="26"/>
      <c r="U408" s="26"/>
      <c r="V408" s="26"/>
      <c r="W408" s="43" t="s">
        <v>304</v>
      </c>
      <c r="X408" s="26"/>
      <c r="Y408" s="26"/>
      <c r="Z408" s="26"/>
      <c r="AA408" s="26"/>
      <c r="AB408" s="26"/>
      <c r="AC408" s="26"/>
      <c r="AD408" s="52" t="s">
        <v>897</v>
      </c>
      <c r="AE408" s="26">
        <f t="shared" si="123"/>
        <v>142.69999999999999</v>
      </c>
      <c r="AF408" s="26">
        <f t="shared" si="123"/>
        <v>142.69999999999999</v>
      </c>
      <c r="AG408" s="26"/>
      <c r="AH408" s="26"/>
      <c r="AI408" s="26"/>
      <c r="AJ408" s="26"/>
      <c r="AK408" s="26"/>
      <c r="AL408" s="26"/>
      <c r="AM408" s="26">
        <v>142.69999999999999</v>
      </c>
      <c r="AN408" s="26">
        <v>142.69999999999999</v>
      </c>
      <c r="AO408" s="26">
        <f t="shared" si="124"/>
        <v>0</v>
      </c>
      <c r="AP408" s="26">
        <f>AQ408+AR408+AS408+FT1155</f>
        <v>0</v>
      </c>
      <c r="AQ408" s="26">
        <f>AR408+AS408+FT1155+FU1155</f>
        <v>0</v>
      </c>
      <c r="AR408" s="26">
        <f>AS408+FT1155+FU1155+FV1155</f>
        <v>0</v>
      </c>
      <c r="AS408" s="26">
        <f>FT1155+FU1155+FV1155+FW1155</f>
        <v>0</v>
      </c>
      <c r="AT408" s="26">
        <f t="shared" ref="AT408:AT422" si="128">AU408+AV408+AW408+AX408</f>
        <v>0</v>
      </c>
      <c r="AU408" s="26">
        <f>AV408+AW408+AX408+FJ1155</f>
        <v>0</v>
      </c>
      <c r="AV408" s="26">
        <f>AW408+AX408+FJ1155+FK1155</f>
        <v>0</v>
      </c>
      <c r="AW408" s="26">
        <f>AX408+FJ1155+FK1155+FL1155</f>
        <v>0</v>
      </c>
      <c r="AX408" s="26">
        <f>FJ1155+FK1155+FL1155+FM1155</f>
        <v>0</v>
      </c>
      <c r="AY408" s="26">
        <f t="shared" si="126"/>
        <v>0</v>
      </c>
      <c r="AZ408" s="26">
        <f>BA408+BB408+BC408+EA408</f>
        <v>0</v>
      </c>
      <c r="BA408" s="26">
        <f>BB408+BC408+EA408+EB408</f>
        <v>0</v>
      </c>
      <c r="BB408" s="26">
        <f>BC408+EA408+EB408+EC408</f>
        <v>0</v>
      </c>
      <c r="BC408" s="26">
        <f>EA408+EB408+EC408+ED408</f>
        <v>0</v>
      </c>
      <c r="BD408" s="26">
        <f t="shared" si="127"/>
        <v>0</v>
      </c>
      <c r="BE408" s="26">
        <f>BF408+BG408+BH408+EF408</f>
        <v>0</v>
      </c>
      <c r="BF408" s="26">
        <f>BG408+BH408+EF408+EG408</f>
        <v>0</v>
      </c>
      <c r="BG408" s="26">
        <f>BH408+EF408+EG408+EH408</f>
        <v>0</v>
      </c>
      <c r="BH408" s="26">
        <f>EF408+EG408+EH408+EI408</f>
        <v>0</v>
      </c>
    </row>
    <row r="409" spans="1:60" ht="35.65" customHeight="1" thickBot="1">
      <c r="A409" s="27" t="s">
        <v>50</v>
      </c>
      <c r="B409" s="42"/>
      <c r="C409" s="25"/>
      <c r="D409" s="26"/>
      <c r="E409" s="26"/>
      <c r="F409" s="26"/>
      <c r="G409" s="26"/>
      <c r="H409" s="26"/>
      <c r="I409" s="26"/>
      <c r="J409" s="26"/>
      <c r="K409" s="26"/>
      <c r="L409" s="26"/>
      <c r="M409" s="26"/>
      <c r="N409" s="26"/>
      <c r="O409" s="26"/>
      <c r="P409" s="26"/>
      <c r="Q409" s="26"/>
      <c r="R409" s="26"/>
      <c r="S409" s="26"/>
      <c r="T409" s="26"/>
      <c r="U409" s="26"/>
      <c r="V409" s="26"/>
      <c r="W409" s="43" t="s">
        <v>304</v>
      </c>
      <c r="X409" s="26"/>
      <c r="Y409" s="26"/>
      <c r="Z409" s="26"/>
      <c r="AA409" s="26"/>
      <c r="AB409" s="26"/>
      <c r="AC409" s="26"/>
      <c r="AD409" s="52" t="s">
        <v>898</v>
      </c>
      <c r="AE409" s="26">
        <f t="shared" si="123"/>
        <v>0</v>
      </c>
      <c r="AF409" s="26">
        <f t="shared" si="123"/>
        <v>0</v>
      </c>
      <c r="AG409" s="26"/>
      <c r="AH409" s="26"/>
      <c r="AI409" s="26"/>
      <c r="AJ409" s="26"/>
      <c r="AK409" s="26"/>
      <c r="AL409" s="26"/>
      <c r="AM409" s="26"/>
      <c r="AN409" s="26"/>
      <c r="AO409" s="26">
        <f t="shared" si="124"/>
        <v>0</v>
      </c>
      <c r="AP409" s="26"/>
      <c r="AQ409" s="26"/>
      <c r="AR409" s="26"/>
      <c r="AS409" s="26"/>
      <c r="AT409" s="26">
        <f t="shared" si="128"/>
        <v>0</v>
      </c>
      <c r="AU409" s="26"/>
      <c r="AV409" s="26"/>
      <c r="AW409" s="26"/>
      <c r="AX409" s="26"/>
      <c r="AY409" s="26">
        <f t="shared" si="126"/>
        <v>0</v>
      </c>
      <c r="AZ409" s="26"/>
      <c r="BA409" s="26"/>
      <c r="BB409" s="26"/>
      <c r="BC409" s="26"/>
      <c r="BD409" s="26">
        <f t="shared" si="127"/>
        <v>0</v>
      </c>
      <c r="BE409" s="26"/>
      <c r="BF409" s="26"/>
      <c r="BG409" s="26"/>
      <c r="BH409" s="26"/>
    </row>
    <row r="410" spans="1:60" ht="35.65" customHeight="1" thickBot="1">
      <c r="A410" s="27" t="s">
        <v>50</v>
      </c>
      <c r="B410" s="42"/>
      <c r="C410" s="25"/>
      <c r="D410" s="26"/>
      <c r="E410" s="26"/>
      <c r="F410" s="26"/>
      <c r="G410" s="26"/>
      <c r="H410" s="26"/>
      <c r="I410" s="26"/>
      <c r="J410" s="26"/>
      <c r="K410" s="26"/>
      <c r="L410" s="26"/>
      <c r="M410" s="26"/>
      <c r="N410" s="26"/>
      <c r="O410" s="26"/>
      <c r="P410" s="26"/>
      <c r="Q410" s="26"/>
      <c r="R410" s="26"/>
      <c r="S410" s="26"/>
      <c r="T410" s="26"/>
      <c r="U410" s="26"/>
      <c r="V410" s="26"/>
      <c r="W410" s="43" t="s">
        <v>304</v>
      </c>
      <c r="X410" s="26"/>
      <c r="Y410" s="26"/>
      <c r="Z410" s="26"/>
      <c r="AA410" s="26"/>
      <c r="AB410" s="26"/>
      <c r="AC410" s="26"/>
      <c r="AD410" s="52" t="s">
        <v>899</v>
      </c>
      <c r="AE410" s="26">
        <f t="shared" si="123"/>
        <v>0</v>
      </c>
      <c r="AF410" s="26">
        <f t="shared" si="123"/>
        <v>0</v>
      </c>
      <c r="AG410" s="26"/>
      <c r="AH410" s="26"/>
      <c r="AI410" s="26"/>
      <c r="AJ410" s="26"/>
      <c r="AK410" s="26"/>
      <c r="AL410" s="26"/>
      <c r="AM410" s="26"/>
      <c r="AN410" s="26"/>
      <c r="AO410" s="26">
        <f t="shared" si="124"/>
        <v>0</v>
      </c>
      <c r="AP410" s="26"/>
      <c r="AQ410" s="26"/>
      <c r="AR410" s="26"/>
      <c r="AS410" s="26"/>
      <c r="AT410" s="26">
        <f t="shared" si="128"/>
        <v>0</v>
      </c>
      <c r="AU410" s="26"/>
      <c r="AV410" s="26"/>
      <c r="AW410" s="26"/>
      <c r="AX410" s="26"/>
      <c r="AY410" s="26">
        <f t="shared" si="126"/>
        <v>0</v>
      </c>
      <c r="AZ410" s="26"/>
      <c r="BA410" s="26"/>
      <c r="BB410" s="26"/>
      <c r="BC410" s="26"/>
      <c r="BD410" s="26">
        <f t="shared" si="127"/>
        <v>0</v>
      </c>
      <c r="BE410" s="26"/>
      <c r="BF410" s="26"/>
      <c r="BG410" s="26"/>
      <c r="BH410" s="26"/>
    </row>
    <row r="411" spans="1:60" ht="35.65" customHeight="1" thickBot="1">
      <c r="A411" s="27" t="s">
        <v>50</v>
      </c>
      <c r="B411" s="42"/>
      <c r="C411" s="25"/>
      <c r="D411" s="26"/>
      <c r="E411" s="26"/>
      <c r="F411" s="26"/>
      <c r="G411" s="26"/>
      <c r="H411" s="26"/>
      <c r="I411" s="26"/>
      <c r="J411" s="26"/>
      <c r="K411" s="26"/>
      <c r="L411" s="26"/>
      <c r="M411" s="26"/>
      <c r="N411" s="26"/>
      <c r="O411" s="26"/>
      <c r="P411" s="26"/>
      <c r="Q411" s="26"/>
      <c r="R411" s="26"/>
      <c r="S411" s="26"/>
      <c r="T411" s="26"/>
      <c r="U411" s="26"/>
      <c r="V411" s="26"/>
      <c r="W411" s="95" t="s">
        <v>304</v>
      </c>
      <c r="X411" s="26"/>
      <c r="Y411" s="26"/>
      <c r="Z411" s="26"/>
      <c r="AA411" s="26"/>
      <c r="AB411" s="26"/>
      <c r="AC411" s="26"/>
      <c r="AD411" s="52" t="s">
        <v>900</v>
      </c>
      <c r="AE411" s="26">
        <f t="shared" si="123"/>
        <v>0</v>
      </c>
      <c r="AF411" s="26">
        <f t="shared" si="123"/>
        <v>0</v>
      </c>
      <c r="AG411" s="26"/>
      <c r="AH411" s="26"/>
      <c r="AI411" s="26"/>
      <c r="AJ411" s="26"/>
      <c r="AK411" s="26"/>
      <c r="AL411" s="26"/>
      <c r="AM411" s="26"/>
      <c r="AN411" s="26"/>
      <c r="AO411" s="26">
        <f t="shared" si="124"/>
        <v>0</v>
      </c>
      <c r="AP411" s="26"/>
      <c r="AQ411" s="26"/>
      <c r="AR411" s="26"/>
      <c r="AS411" s="26"/>
      <c r="AT411" s="26">
        <f t="shared" si="128"/>
        <v>0</v>
      </c>
      <c r="AU411" s="26"/>
      <c r="AV411" s="26"/>
      <c r="AW411" s="26"/>
      <c r="AX411" s="26"/>
      <c r="AY411" s="26">
        <f t="shared" si="126"/>
        <v>0</v>
      </c>
      <c r="AZ411" s="26"/>
      <c r="BA411" s="26"/>
      <c r="BB411" s="26"/>
      <c r="BC411" s="26"/>
      <c r="BD411" s="26">
        <f t="shared" si="127"/>
        <v>0</v>
      </c>
      <c r="BE411" s="26"/>
      <c r="BF411" s="26"/>
      <c r="BG411" s="26"/>
      <c r="BH411" s="26"/>
    </row>
    <row r="412" spans="1:60" ht="35.65" customHeight="1" thickBot="1">
      <c r="A412" s="27" t="s">
        <v>50</v>
      </c>
      <c r="B412" s="42"/>
      <c r="C412" s="25"/>
      <c r="D412" s="26"/>
      <c r="E412" s="26"/>
      <c r="F412" s="26"/>
      <c r="G412" s="26"/>
      <c r="H412" s="26"/>
      <c r="I412" s="26"/>
      <c r="J412" s="26"/>
      <c r="K412" s="26"/>
      <c r="L412" s="26"/>
      <c r="M412" s="26"/>
      <c r="N412" s="26"/>
      <c r="O412" s="26"/>
      <c r="P412" s="26"/>
      <c r="Q412" s="26"/>
      <c r="R412" s="26"/>
      <c r="S412" s="26"/>
      <c r="T412" s="26"/>
      <c r="U412" s="26"/>
      <c r="V412" s="26"/>
      <c r="W412" s="95" t="s">
        <v>304</v>
      </c>
      <c r="X412" s="26"/>
      <c r="Y412" s="26"/>
      <c r="Z412" s="26"/>
      <c r="AA412" s="26"/>
      <c r="AB412" s="26"/>
      <c r="AC412" s="26"/>
      <c r="AD412" s="52" t="s">
        <v>901</v>
      </c>
      <c r="AE412" s="26">
        <f t="shared" si="123"/>
        <v>0</v>
      </c>
      <c r="AF412" s="26">
        <f t="shared" si="123"/>
        <v>0</v>
      </c>
      <c r="AG412" s="26"/>
      <c r="AH412" s="26"/>
      <c r="AI412" s="26"/>
      <c r="AJ412" s="26"/>
      <c r="AK412" s="26"/>
      <c r="AL412" s="26"/>
      <c r="AM412" s="26"/>
      <c r="AN412" s="26"/>
      <c r="AO412" s="26">
        <f t="shared" si="124"/>
        <v>0</v>
      </c>
      <c r="AP412" s="26"/>
      <c r="AQ412" s="26"/>
      <c r="AR412" s="26"/>
      <c r="AS412" s="26"/>
      <c r="AT412" s="26">
        <f t="shared" si="128"/>
        <v>0</v>
      </c>
      <c r="AU412" s="26"/>
      <c r="AV412" s="26"/>
      <c r="AW412" s="26"/>
      <c r="AX412" s="26"/>
      <c r="AY412" s="26">
        <f t="shared" si="126"/>
        <v>0</v>
      </c>
      <c r="AZ412" s="26"/>
      <c r="BA412" s="26"/>
      <c r="BB412" s="26"/>
      <c r="BC412" s="26"/>
      <c r="BD412" s="26">
        <f t="shared" si="127"/>
        <v>0</v>
      </c>
      <c r="BE412" s="26"/>
      <c r="BF412" s="26"/>
      <c r="BG412" s="26"/>
      <c r="BH412" s="26"/>
    </row>
    <row r="413" spans="1:60" ht="35.65" customHeight="1" thickBot="1">
      <c r="A413" s="27" t="s">
        <v>50</v>
      </c>
      <c r="B413" s="42"/>
      <c r="C413" s="25"/>
      <c r="D413" s="26"/>
      <c r="E413" s="26"/>
      <c r="F413" s="26"/>
      <c r="G413" s="26"/>
      <c r="H413" s="26"/>
      <c r="I413" s="26"/>
      <c r="J413" s="26"/>
      <c r="K413" s="26"/>
      <c r="L413" s="26"/>
      <c r="M413" s="26"/>
      <c r="N413" s="26"/>
      <c r="O413" s="26"/>
      <c r="P413" s="26"/>
      <c r="Q413" s="26"/>
      <c r="R413" s="26"/>
      <c r="S413" s="26"/>
      <c r="T413" s="26"/>
      <c r="U413" s="26"/>
      <c r="V413" s="26"/>
      <c r="W413" s="43" t="s">
        <v>304</v>
      </c>
      <c r="X413" s="26"/>
      <c r="Y413" s="26"/>
      <c r="Z413" s="26"/>
      <c r="AA413" s="26"/>
      <c r="AB413" s="26"/>
      <c r="AC413" s="26"/>
      <c r="AD413" s="52" t="s">
        <v>902</v>
      </c>
      <c r="AE413" s="26">
        <f t="shared" si="123"/>
        <v>0</v>
      </c>
      <c r="AF413" s="26">
        <f t="shared" si="123"/>
        <v>0</v>
      </c>
      <c r="AG413" s="26"/>
      <c r="AH413" s="26"/>
      <c r="AI413" s="26"/>
      <c r="AJ413" s="26"/>
      <c r="AK413" s="26"/>
      <c r="AL413" s="26"/>
      <c r="AM413" s="26"/>
      <c r="AN413" s="26"/>
      <c r="AO413" s="26">
        <f t="shared" si="124"/>
        <v>0</v>
      </c>
      <c r="AP413" s="26"/>
      <c r="AQ413" s="26"/>
      <c r="AR413" s="26"/>
      <c r="AS413" s="26"/>
      <c r="AT413" s="26">
        <f t="shared" si="128"/>
        <v>0</v>
      </c>
      <c r="AU413" s="26"/>
      <c r="AV413" s="26"/>
      <c r="AW413" s="26"/>
      <c r="AX413" s="26"/>
      <c r="AY413" s="26">
        <f t="shared" si="126"/>
        <v>0</v>
      </c>
      <c r="AZ413" s="26"/>
      <c r="BA413" s="26"/>
      <c r="BB413" s="26"/>
      <c r="BC413" s="26"/>
      <c r="BD413" s="26">
        <f t="shared" si="127"/>
        <v>0</v>
      </c>
      <c r="BE413" s="26"/>
      <c r="BF413" s="26"/>
      <c r="BG413" s="26"/>
      <c r="BH413" s="26"/>
    </row>
    <row r="414" spans="1:60" ht="35.65" customHeight="1" thickBot="1">
      <c r="A414" s="27" t="s">
        <v>50</v>
      </c>
      <c r="B414" s="42"/>
      <c r="C414" s="25"/>
      <c r="D414" s="26"/>
      <c r="E414" s="26"/>
      <c r="F414" s="26"/>
      <c r="G414" s="26"/>
      <c r="H414" s="26"/>
      <c r="I414" s="26"/>
      <c r="J414" s="26"/>
      <c r="K414" s="26"/>
      <c r="L414" s="26"/>
      <c r="M414" s="26"/>
      <c r="N414" s="26"/>
      <c r="O414" s="26"/>
      <c r="P414" s="26"/>
      <c r="Q414" s="26"/>
      <c r="R414" s="26"/>
      <c r="S414" s="26"/>
      <c r="T414" s="26"/>
      <c r="U414" s="26"/>
      <c r="V414" s="26"/>
      <c r="W414" s="43" t="s">
        <v>304</v>
      </c>
      <c r="X414" s="26"/>
      <c r="Y414" s="26"/>
      <c r="Z414" s="26"/>
      <c r="AA414" s="26"/>
      <c r="AB414" s="26"/>
      <c r="AC414" s="26"/>
      <c r="AD414" s="52" t="s">
        <v>897</v>
      </c>
      <c r="AE414" s="26">
        <f t="shared" si="123"/>
        <v>0</v>
      </c>
      <c r="AF414" s="26">
        <f t="shared" si="123"/>
        <v>0</v>
      </c>
      <c r="AG414" s="26"/>
      <c r="AH414" s="26"/>
      <c r="AI414" s="26"/>
      <c r="AJ414" s="26"/>
      <c r="AK414" s="26"/>
      <c r="AL414" s="26"/>
      <c r="AM414" s="26"/>
      <c r="AN414" s="26"/>
      <c r="AO414" s="26">
        <f t="shared" si="124"/>
        <v>0</v>
      </c>
      <c r="AP414" s="26"/>
      <c r="AQ414" s="26"/>
      <c r="AR414" s="26"/>
      <c r="AS414" s="26"/>
      <c r="AT414" s="26">
        <f t="shared" si="128"/>
        <v>0</v>
      </c>
      <c r="AU414" s="26"/>
      <c r="AV414" s="26"/>
      <c r="AW414" s="26"/>
      <c r="AX414" s="26"/>
      <c r="AY414" s="26">
        <f t="shared" si="126"/>
        <v>0</v>
      </c>
      <c r="AZ414" s="26"/>
      <c r="BA414" s="26"/>
      <c r="BB414" s="26"/>
      <c r="BC414" s="26"/>
      <c r="BD414" s="26">
        <f t="shared" si="127"/>
        <v>0</v>
      </c>
      <c r="BE414" s="26"/>
      <c r="BF414" s="26"/>
      <c r="BG414" s="26"/>
      <c r="BH414" s="26"/>
    </row>
    <row r="415" spans="1:60" ht="35.65" customHeight="1" thickBot="1">
      <c r="A415" s="27" t="s">
        <v>50</v>
      </c>
      <c r="B415" s="42"/>
      <c r="C415" s="25"/>
      <c r="D415" s="26"/>
      <c r="E415" s="26"/>
      <c r="F415" s="26"/>
      <c r="G415" s="26"/>
      <c r="H415" s="26"/>
      <c r="I415" s="26"/>
      <c r="J415" s="26"/>
      <c r="K415" s="26"/>
      <c r="L415" s="26"/>
      <c r="M415" s="26"/>
      <c r="N415" s="26"/>
      <c r="O415" s="26"/>
      <c r="P415" s="26"/>
      <c r="Q415" s="26"/>
      <c r="R415" s="26"/>
      <c r="S415" s="26"/>
      <c r="T415" s="26"/>
      <c r="U415" s="26"/>
      <c r="V415" s="26"/>
      <c r="W415" s="43" t="s">
        <v>304</v>
      </c>
      <c r="X415" s="26"/>
      <c r="Y415" s="26"/>
      <c r="Z415" s="26"/>
      <c r="AA415" s="26"/>
      <c r="AB415" s="26"/>
      <c r="AC415" s="26"/>
      <c r="AD415" s="52" t="s">
        <v>903</v>
      </c>
      <c r="AE415" s="26">
        <f t="shared" si="123"/>
        <v>0</v>
      </c>
      <c r="AF415" s="26">
        <f>AH415+AJ415+AL415+AN415</f>
        <v>0</v>
      </c>
      <c r="AG415" s="26"/>
      <c r="AH415" s="26"/>
      <c r="AI415" s="26"/>
      <c r="AJ415" s="26"/>
      <c r="AK415" s="26"/>
      <c r="AL415" s="26"/>
      <c r="AM415" s="26"/>
      <c r="AN415" s="26"/>
      <c r="AO415" s="26">
        <f t="shared" si="124"/>
        <v>0</v>
      </c>
      <c r="AP415" s="26"/>
      <c r="AQ415" s="26"/>
      <c r="AR415" s="26"/>
      <c r="AS415" s="26"/>
      <c r="AT415" s="26">
        <f t="shared" si="128"/>
        <v>0</v>
      </c>
      <c r="AU415" s="26"/>
      <c r="AV415" s="26"/>
      <c r="AW415" s="26"/>
      <c r="AX415" s="26"/>
      <c r="AY415" s="26">
        <f t="shared" si="126"/>
        <v>0</v>
      </c>
      <c r="AZ415" s="26"/>
      <c r="BA415" s="26"/>
      <c r="BB415" s="26"/>
      <c r="BC415" s="26"/>
      <c r="BD415" s="26">
        <f t="shared" si="127"/>
        <v>0</v>
      </c>
      <c r="BE415" s="26"/>
      <c r="BF415" s="26"/>
      <c r="BG415" s="26"/>
      <c r="BH415" s="26"/>
    </row>
    <row r="416" spans="1:60" ht="35.65" customHeight="1" thickBot="1">
      <c r="A416" s="27" t="s">
        <v>50</v>
      </c>
      <c r="B416" s="42"/>
      <c r="C416" s="25"/>
      <c r="D416" s="26"/>
      <c r="E416" s="26"/>
      <c r="F416" s="26"/>
      <c r="G416" s="26"/>
      <c r="H416" s="26"/>
      <c r="I416" s="26"/>
      <c r="J416" s="26"/>
      <c r="K416" s="26"/>
      <c r="L416" s="26"/>
      <c r="M416" s="26"/>
      <c r="N416" s="26"/>
      <c r="O416" s="26"/>
      <c r="P416" s="26"/>
      <c r="Q416" s="26"/>
      <c r="R416" s="26"/>
      <c r="S416" s="26"/>
      <c r="T416" s="26"/>
      <c r="U416" s="26"/>
      <c r="V416" s="26"/>
      <c r="W416" s="43" t="s">
        <v>304</v>
      </c>
      <c r="X416" s="26"/>
      <c r="Y416" s="26"/>
      <c r="Z416" s="26"/>
      <c r="AA416" s="26"/>
      <c r="AB416" s="26"/>
      <c r="AC416" s="26"/>
      <c r="AD416" s="52" t="s">
        <v>904</v>
      </c>
      <c r="AE416" s="26">
        <f t="shared" si="123"/>
        <v>5500</v>
      </c>
      <c r="AF416" s="26">
        <f t="shared" si="123"/>
        <v>5500</v>
      </c>
      <c r="AG416" s="26"/>
      <c r="AH416" s="26"/>
      <c r="AI416" s="26"/>
      <c r="AJ416" s="26"/>
      <c r="AK416" s="26"/>
      <c r="AL416" s="26"/>
      <c r="AM416" s="26">
        <f>9415.5-3915.5</f>
        <v>5500</v>
      </c>
      <c r="AN416" s="26">
        <v>5500</v>
      </c>
      <c r="AO416" s="26">
        <f t="shared" si="124"/>
        <v>6575.6</v>
      </c>
      <c r="AP416" s="26"/>
      <c r="AQ416" s="26"/>
      <c r="AR416" s="26"/>
      <c r="AS416" s="26">
        <f>9520.6-200+200+35-1207+39-1752-60</f>
        <v>6575.6</v>
      </c>
      <c r="AT416" s="26">
        <f t="shared" si="128"/>
        <v>9520.6</v>
      </c>
      <c r="AU416" s="26"/>
      <c r="AV416" s="26"/>
      <c r="AW416" s="26"/>
      <c r="AX416" s="26">
        <v>9520.6</v>
      </c>
      <c r="AY416" s="26">
        <f t="shared" si="126"/>
        <v>9520.6</v>
      </c>
      <c r="AZ416" s="26"/>
      <c r="BA416" s="26"/>
      <c r="BB416" s="26"/>
      <c r="BC416" s="26">
        <v>9520.6</v>
      </c>
      <c r="BD416" s="26">
        <f t="shared" si="127"/>
        <v>9520.6</v>
      </c>
      <c r="BE416" s="26"/>
      <c r="BF416" s="26"/>
      <c r="BG416" s="26"/>
      <c r="BH416" s="26">
        <v>9520.6</v>
      </c>
    </row>
    <row r="417" spans="1:60" ht="35.65" customHeight="1" thickBot="1">
      <c r="A417" s="27"/>
      <c r="B417" s="42"/>
      <c r="C417" s="25"/>
      <c r="D417" s="26"/>
      <c r="E417" s="26"/>
      <c r="F417" s="26"/>
      <c r="G417" s="26"/>
      <c r="H417" s="26"/>
      <c r="I417" s="26"/>
      <c r="J417" s="26"/>
      <c r="K417" s="26"/>
      <c r="L417" s="26"/>
      <c r="M417" s="26"/>
      <c r="N417" s="26"/>
      <c r="O417" s="26"/>
      <c r="P417" s="26"/>
      <c r="Q417" s="26"/>
      <c r="R417" s="26"/>
      <c r="S417" s="26"/>
      <c r="T417" s="26"/>
      <c r="U417" s="26"/>
      <c r="V417" s="26"/>
      <c r="W417" s="43"/>
      <c r="X417" s="26"/>
      <c r="Y417" s="26"/>
      <c r="Z417" s="26"/>
      <c r="AA417" s="26"/>
      <c r="AB417" s="26"/>
      <c r="AC417" s="26"/>
      <c r="AD417" s="52" t="s">
        <v>905</v>
      </c>
      <c r="AE417" s="26"/>
      <c r="AF417" s="26"/>
      <c r="AG417" s="26"/>
      <c r="AH417" s="26"/>
      <c r="AI417" s="26"/>
      <c r="AJ417" s="26"/>
      <c r="AK417" s="26"/>
      <c r="AL417" s="26"/>
      <c r="AM417" s="26"/>
      <c r="AN417" s="26"/>
      <c r="AO417" s="26">
        <f t="shared" si="124"/>
        <v>1752</v>
      </c>
      <c r="AP417" s="26"/>
      <c r="AQ417" s="26"/>
      <c r="AR417" s="26"/>
      <c r="AS417" s="26">
        <v>1752</v>
      </c>
      <c r="AT417" s="26"/>
      <c r="AU417" s="26"/>
      <c r="AV417" s="26"/>
      <c r="AW417" s="26"/>
      <c r="AX417" s="26"/>
      <c r="AY417" s="26"/>
      <c r="AZ417" s="26"/>
      <c r="BA417" s="26"/>
      <c r="BB417" s="26"/>
      <c r="BC417" s="26"/>
      <c r="BD417" s="26"/>
      <c r="BE417" s="26"/>
      <c r="BF417" s="26"/>
      <c r="BG417" s="26"/>
      <c r="BH417" s="26"/>
    </row>
    <row r="418" spans="1:60" ht="35.65" customHeight="1" thickBot="1">
      <c r="A418" s="27" t="s">
        <v>50</v>
      </c>
      <c r="B418" s="42"/>
      <c r="C418" s="25"/>
      <c r="D418" s="26"/>
      <c r="E418" s="26"/>
      <c r="F418" s="26"/>
      <c r="G418" s="26"/>
      <c r="H418" s="26"/>
      <c r="I418" s="26"/>
      <c r="J418" s="26"/>
      <c r="K418" s="26"/>
      <c r="L418" s="26"/>
      <c r="M418" s="26"/>
      <c r="N418" s="26"/>
      <c r="O418" s="26"/>
      <c r="P418" s="26"/>
      <c r="Q418" s="26"/>
      <c r="R418" s="26"/>
      <c r="S418" s="26"/>
      <c r="T418" s="26"/>
      <c r="U418" s="26"/>
      <c r="V418" s="26"/>
      <c r="W418" s="43" t="s">
        <v>304</v>
      </c>
      <c r="X418" s="26"/>
      <c r="Y418" s="26"/>
      <c r="Z418" s="26"/>
      <c r="AA418" s="26"/>
      <c r="AB418" s="26"/>
      <c r="AC418" s="26"/>
      <c r="AD418" s="52" t="s">
        <v>906</v>
      </c>
      <c r="AE418" s="26">
        <f t="shared" si="123"/>
        <v>0</v>
      </c>
      <c r="AF418" s="26">
        <f t="shared" si="123"/>
        <v>0</v>
      </c>
      <c r="AG418" s="26"/>
      <c r="AH418" s="26"/>
      <c r="AI418" s="26"/>
      <c r="AJ418" s="26"/>
      <c r="AK418" s="26"/>
      <c r="AL418" s="26"/>
      <c r="AM418" s="26"/>
      <c r="AN418" s="26"/>
      <c r="AO418" s="26">
        <f t="shared" si="124"/>
        <v>0</v>
      </c>
      <c r="AP418" s="26"/>
      <c r="AQ418" s="26"/>
      <c r="AR418" s="26"/>
      <c r="AS418" s="26"/>
      <c r="AT418" s="26">
        <f t="shared" si="128"/>
        <v>0</v>
      </c>
      <c r="AU418" s="26"/>
      <c r="AV418" s="26"/>
      <c r="AW418" s="26"/>
      <c r="AX418" s="26"/>
      <c r="AY418" s="26">
        <f t="shared" si="126"/>
        <v>0</v>
      </c>
      <c r="AZ418" s="26"/>
      <c r="BA418" s="26"/>
      <c r="BB418" s="26"/>
      <c r="BC418" s="26"/>
      <c r="BD418" s="26">
        <f t="shared" si="127"/>
        <v>0</v>
      </c>
      <c r="BE418" s="26"/>
      <c r="BF418" s="26"/>
      <c r="BG418" s="26"/>
      <c r="BH418" s="26"/>
    </row>
    <row r="419" spans="1:60" ht="35.65" customHeight="1" thickBot="1">
      <c r="A419" s="27" t="s">
        <v>50</v>
      </c>
      <c r="B419" s="42"/>
      <c r="C419" s="25"/>
      <c r="D419" s="26"/>
      <c r="E419" s="26"/>
      <c r="F419" s="26"/>
      <c r="G419" s="26"/>
      <c r="H419" s="26"/>
      <c r="I419" s="26"/>
      <c r="J419" s="26"/>
      <c r="K419" s="26"/>
      <c r="L419" s="26"/>
      <c r="M419" s="26"/>
      <c r="N419" s="26"/>
      <c r="O419" s="26"/>
      <c r="P419" s="26"/>
      <c r="Q419" s="26"/>
      <c r="R419" s="26"/>
      <c r="S419" s="26"/>
      <c r="T419" s="26"/>
      <c r="U419" s="26"/>
      <c r="V419" s="26"/>
      <c r="W419" s="43"/>
      <c r="X419" s="26"/>
      <c r="Y419" s="26"/>
      <c r="Z419" s="26"/>
      <c r="AA419" s="26"/>
      <c r="AB419" s="26"/>
      <c r="AC419" s="26"/>
      <c r="AD419" s="52" t="s">
        <v>907</v>
      </c>
      <c r="AE419" s="26">
        <f t="shared" si="123"/>
        <v>0</v>
      </c>
      <c r="AF419" s="26">
        <f t="shared" si="123"/>
        <v>0</v>
      </c>
      <c r="AG419" s="26"/>
      <c r="AH419" s="26"/>
      <c r="AI419" s="26"/>
      <c r="AJ419" s="26"/>
      <c r="AK419" s="26"/>
      <c r="AL419" s="26"/>
      <c r="AM419" s="26"/>
      <c r="AN419" s="26"/>
      <c r="AO419" s="26">
        <f t="shared" si="124"/>
        <v>0</v>
      </c>
      <c r="AP419" s="26"/>
      <c r="AQ419" s="26"/>
      <c r="AR419" s="26"/>
      <c r="AS419" s="26"/>
      <c r="AT419" s="26">
        <f t="shared" si="128"/>
        <v>0</v>
      </c>
      <c r="AU419" s="26"/>
      <c r="AV419" s="26"/>
      <c r="AW419" s="26"/>
      <c r="AX419" s="26"/>
      <c r="AY419" s="26">
        <f t="shared" si="126"/>
        <v>0</v>
      </c>
      <c r="AZ419" s="26"/>
      <c r="BA419" s="26"/>
      <c r="BB419" s="26"/>
      <c r="BC419" s="26"/>
      <c r="BD419" s="26">
        <f t="shared" si="127"/>
        <v>0</v>
      </c>
      <c r="BE419" s="26"/>
      <c r="BF419" s="26"/>
      <c r="BG419" s="26"/>
      <c r="BH419" s="26"/>
    </row>
    <row r="420" spans="1:60" ht="35.65" customHeight="1" thickBot="1">
      <c r="A420" s="27" t="s">
        <v>50</v>
      </c>
      <c r="B420" s="42"/>
      <c r="C420" s="25"/>
      <c r="D420" s="26"/>
      <c r="E420" s="26"/>
      <c r="F420" s="26"/>
      <c r="G420" s="26"/>
      <c r="H420" s="26"/>
      <c r="I420" s="26"/>
      <c r="J420" s="26"/>
      <c r="K420" s="26"/>
      <c r="L420" s="26"/>
      <c r="M420" s="26"/>
      <c r="N420" s="26"/>
      <c r="O420" s="26"/>
      <c r="P420" s="26"/>
      <c r="Q420" s="26"/>
      <c r="R420" s="26"/>
      <c r="S420" s="26"/>
      <c r="T420" s="26"/>
      <c r="U420" s="26"/>
      <c r="V420" s="26"/>
      <c r="W420" s="43"/>
      <c r="X420" s="26"/>
      <c r="Y420" s="26"/>
      <c r="Z420" s="26"/>
      <c r="AA420" s="26"/>
      <c r="AB420" s="26"/>
      <c r="AC420" s="26"/>
      <c r="AD420" s="52" t="s">
        <v>908</v>
      </c>
      <c r="AE420" s="26">
        <f t="shared" si="123"/>
        <v>0</v>
      </c>
      <c r="AF420" s="26">
        <f t="shared" si="123"/>
        <v>0</v>
      </c>
      <c r="AG420" s="26"/>
      <c r="AH420" s="26"/>
      <c r="AI420" s="26"/>
      <c r="AJ420" s="26"/>
      <c r="AK420" s="26"/>
      <c r="AL420" s="26"/>
      <c r="AM420" s="26">
        <v>0</v>
      </c>
      <c r="AN420" s="26"/>
      <c r="AO420" s="26">
        <f t="shared" si="124"/>
        <v>0</v>
      </c>
      <c r="AP420" s="26"/>
      <c r="AQ420" s="26"/>
      <c r="AR420" s="26"/>
      <c r="AS420" s="26">
        <v>0</v>
      </c>
      <c r="AT420" s="26">
        <f t="shared" si="128"/>
        <v>0</v>
      </c>
      <c r="AU420" s="26"/>
      <c r="AV420" s="26"/>
      <c r="AW420" s="26"/>
      <c r="AX420" s="26">
        <v>0</v>
      </c>
      <c r="AY420" s="26">
        <f t="shared" si="126"/>
        <v>0</v>
      </c>
      <c r="AZ420" s="26"/>
      <c r="BA420" s="26"/>
      <c r="BB420" s="26"/>
      <c r="BC420" s="26">
        <v>0</v>
      </c>
      <c r="BD420" s="26">
        <f t="shared" si="127"/>
        <v>0</v>
      </c>
      <c r="BE420" s="26"/>
      <c r="BF420" s="26"/>
      <c r="BG420" s="26"/>
      <c r="BH420" s="26">
        <v>0</v>
      </c>
    </row>
    <row r="421" spans="1:60" ht="35.65" customHeight="1" thickBot="1">
      <c r="A421" s="27" t="s">
        <v>50</v>
      </c>
      <c r="B421" s="42"/>
      <c r="C421" s="25"/>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52" t="s">
        <v>909</v>
      </c>
      <c r="AE421" s="26">
        <f t="shared" si="123"/>
        <v>0</v>
      </c>
      <c r="AF421" s="26">
        <f t="shared" si="123"/>
        <v>0</v>
      </c>
      <c r="AG421" s="26"/>
      <c r="AH421" s="26"/>
      <c r="AI421" s="26"/>
      <c r="AJ421" s="26"/>
      <c r="AK421" s="26"/>
      <c r="AL421" s="26"/>
      <c r="AM421" s="26"/>
      <c r="AN421" s="26"/>
      <c r="AO421" s="26">
        <f t="shared" si="124"/>
        <v>0</v>
      </c>
      <c r="AP421" s="26"/>
      <c r="AQ421" s="26"/>
      <c r="AR421" s="26"/>
      <c r="AS421" s="26"/>
      <c r="AT421" s="26">
        <f t="shared" si="128"/>
        <v>0</v>
      </c>
      <c r="AU421" s="26"/>
      <c r="AV421" s="26"/>
      <c r="AW421" s="26"/>
      <c r="AX421" s="26"/>
      <c r="AY421" s="26">
        <f t="shared" si="126"/>
        <v>0</v>
      </c>
      <c r="AZ421" s="26"/>
      <c r="BA421" s="26"/>
      <c r="BB421" s="26"/>
      <c r="BC421" s="26"/>
      <c r="BD421" s="26">
        <f t="shared" si="127"/>
        <v>0</v>
      </c>
      <c r="BE421" s="26"/>
      <c r="BF421" s="26"/>
      <c r="BG421" s="26"/>
      <c r="BH421" s="26"/>
    </row>
    <row r="422" spans="1:60" ht="35.65" customHeight="1" thickBot="1">
      <c r="A422" s="27" t="s">
        <v>50</v>
      </c>
      <c r="B422" s="42"/>
      <c r="C422" s="25"/>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52" t="s">
        <v>910</v>
      </c>
      <c r="AE422" s="26">
        <f t="shared" si="123"/>
        <v>0</v>
      </c>
      <c r="AF422" s="26">
        <f t="shared" si="123"/>
        <v>0</v>
      </c>
      <c r="AG422" s="26"/>
      <c r="AH422" s="26"/>
      <c r="AI422" s="26"/>
      <c r="AJ422" s="26"/>
      <c r="AK422" s="26"/>
      <c r="AL422" s="26"/>
      <c r="AM422" s="26"/>
      <c r="AN422" s="26"/>
      <c r="AO422" s="26">
        <f t="shared" si="124"/>
        <v>0</v>
      </c>
      <c r="AP422" s="26"/>
      <c r="AQ422" s="26"/>
      <c r="AR422" s="26"/>
      <c r="AS422" s="26"/>
      <c r="AT422" s="26">
        <f t="shared" si="128"/>
        <v>0</v>
      </c>
      <c r="AU422" s="26"/>
      <c r="AV422" s="26"/>
      <c r="AW422" s="26"/>
      <c r="AX422" s="26"/>
      <c r="AY422" s="26">
        <f t="shared" si="126"/>
        <v>0</v>
      </c>
      <c r="AZ422" s="26"/>
      <c r="BA422" s="26"/>
      <c r="BB422" s="26"/>
      <c r="BC422" s="26"/>
      <c r="BD422" s="26">
        <f t="shared" si="127"/>
        <v>0</v>
      </c>
      <c r="BE422" s="26"/>
      <c r="BF422" s="26"/>
      <c r="BG422" s="26"/>
      <c r="BH422" s="26"/>
    </row>
    <row r="423" spans="1:60" ht="35.65" customHeight="1" thickBot="1">
      <c r="A423" s="27" t="s">
        <v>50</v>
      </c>
      <c r="B423" s="42"/>
      <c r="C423" s="25"/>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52" t="s">
        <v>911</v>
      </c>
      <c r="AE423" s="26">
        <f t="shared" si="123"/>
        <v>284</v>
      </c>
      <c r="AF423" s="26">
        <f t="shared" si="123"/>
        <v>284</v>
      </c>
      <c r="AG423" s="26"/>
      <c r="AH423" s="26"/>
      <c r="AI423" s="26"/>
      <c r="AJ423" s="26"/>
      <c r="AK423" s="26"/>
      <c r="AL423" s="26"/>
      <c r="AM423" s="26">
        <v>284</v>
      </c>
      <c r="AN423" s="26">
        <v>284</v>
      </c>
      <c r="AO423" s="26">
        <f t="shared" si="124"/>
        <v>0</v>
      </c>
      <c r="AP423" s="26"/>
      <c r="AQ423" s="26"/>
      <c r="AR423" s="26"/>
      <c r="AS423" s="26"/>
      <c r="AT423" s="26"/>
      <c r="AU423" s="26"/>
      <c r="AV423" s="26"/>
      <c r="AW423" s="26"/>
      <c r="AX423" s="26"/>
      <c r="AY423" s="26"/>
      <c r="AZ423" s="26"/>
      <c r="BA423" s="26"/>
      <c r="BB423" s="26"/>
      <c r="BC423" s="26"/>
      <c r="BD423" s="26"/>
      <c r="BE423" s="26"/>
      <c r="BF423" s="26"/>
      <c r="BG423" s="26"/>
      <c r="BH423" s="26"/>
    </row>
    <row r="424" spans="1:60" ht="35.65" customHeight="1" thickBot="1">
      <c r="A424" s="27"/>
      <c r="B424" s="42"/>
      <c r="C424" s="25"/>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52" t="s">
        <v>912</v>
      </c>
      <c r="AE424" s="26"/>
      <c r="AF424" s="26"/>
      <c r="AG424" s="26"/>
      <c r="AH424" s="26"/>
      <c r="AI424" s="26"/>
      <c r="AJ424" s="26"/>
      <c r="AK424" s="26"/>
      <c r="AL424" s="26"/>
      <c r="AM424" s="26"/>
      <c r="AN424" s="26"/>
      <c r="AO424" s="26">
        <f t="shared" si="124"/>
        <v>30</v>
      </c>
      <c r="AP424" s="26"/>
      <c r="AQ424" s="26"/>
      <c r="AR424" s="26"/>
      <c r="AS424" s="26">
        <v>30</v>
      </c>
      <c r="AT424" s="26"/>
      <c r="AU424" s="26"/>
      <c r="AV424" s="26"/>
      <c r="AW424" s="26"/>
      <c r="AX424" s="26"/>
      <c r="AY424" s="26"/>
      <c r="AZ424" s="26"/>
      <c r="BA424" s="26"/>
      <c r="BB424" s="26"/>
      <c r="BC424" s="26"/>
      <c r="BD424" s="26"/>
      <c r="BE424" s="26"/>
      <c r="BF424" s="26"/>
      <c r="BG424" s="26"/>
      <c r="BH424" s="26"/>
    </row>
    <row r="425" spans="1:60" ht="35.65" customHeight="1" thickBot="1">
      <c r="A425" s="27" t="s">
        <v>50</v>
      </c>
      <c r="B425" s="42"/>
      <c r="C425" s="25"/>
      <c r="D425" s="26"/>
      <c r="E425" s="26"/>
      <c r="F425" s="26"/>
      <c r="G425" s="26"/>
      <c r="H425" s="26"/>
      <c r="I425" s="26"/>
      <c r="J425" s="26"/>
      <c r="K425" s="26"/>
      <c r="L425" s="26"/>
      <c r="M425" s="26"/>
      <c r="N425" s="26"/>
      <c r="O425" s="26"/>
      <c r="P425" s="26"/>
      <c r="Q425" s="26"/>
      <c r="R425" s="26"/>
      <c r="S425" s="26"/>
      <c r="T425" s="26"/>
      <c r="U425" s="26"/>
      <c r="V425" s="26"/>
      <c r="W425" s="20" t="s">
        <v>309</v>
      </c>
      <c r="X425" s="26"/>
      <c r="Y425" s="26"/>
      <c r="Z425" s="26"/>
      <c r="AA425" s="26"/>
      <c r="AB425" s="26"/>
      <c r="AC425" s="26"/>
      <c r="AD425" s="52" t="s">
        <v>913</v>
      </c>
      <c r="AE425" s="26">
        <f t="shared" si="123"/>
        <v>180</v>
      </c>
      <c r="AF425" s="26">
        <f t="shared" si="123"/>
        <v>180</v>
      </c>
      <c r="AG425" s="26"/>
      <c r="AH425" s="26"/>
      <c r="AI425" s="26"/>
      <c r="AJ425" s="26"/>
      <c r="AK425" s="26"/>
      <c r="AL425" s="26"/>
      <c r="AM425" s="26">
        <f>160+20</f>
        <v>180</v>
      </c>
      <c r="AN425" s="26">
        <v>180</v>
      </c>
      <c r="AO425" s="26">
        <f t="shared" si="124"/>
        <v>495.6</v>
      </c>
      <c r="AP425" s="26"/>
      <c r="AQ425" s="26"/>
      <c r="AR425" s="26"/>
      <c r="AS425" s="26">
        <f>280+215.6</f>
        <v>495.6</v>
      </c>
      <c r="AT425" s="26">
        <f t="shared" ref="AT425:AT434" si="129">AU425+AV425+AW425+AX425</f>
        <v>0</v>
      </c>
      <c r="AU425" s="26"/>
      <c r="AV425" s="26"/>
      <c r="AW425" s="26"/>
      <c r="AX425" s="26"/>
      <c r="AY425" s="26">
        <f t="shared" si="126"/>
        <v>0</v>
      </c>
      <c r="AZ425" s="26"/>
      <c r="BA425" s="26"/>
      <c r="BB425" s="26"/>
      <c r="BC425" s="26"/>
      <c r="BD425" s="26">
        <f t="shared" si="127"/>
        <v>0</v>
      </c>
      <c r="BE425" s="26"/>
      <c r="BF425" s="26"/>
      <c r="BG425" s="26"/>
      <c r="BH425" s="26"/>
    </row>
    <row r="426" spans="1:60" ht="35.65" customHeight="1" thickBot="1">
      <c r="A426" s="27" t="s">
        <v>50</v>
      </c>
      <c r="B426" s="42"/>
      <c r="C426" s="25"/>
      <c r="D426" s="26"/>
      <c r="E426" s="26"/>
      <c r="F426" s="26"/>
      <c r="G426" s="26"/>
      <c r="H426" s="26"/>
      <c r="I426" s="26"/>
      <c r="J426" s="26"/>
      <c r="K426" s="26"/>
      <c r="L426" s="26"/>
      <c r="M426" s="26"/>
      <c r="N426" s="26"/>
      <c r="O426" s="26"/>
      <c r="P426" s="26"/>
      <c r="Q426" s="26"/>
      <c r="R426" s="26"/>
      <c r="S426" s="26"/>
      <c r="T426" s="26"/>
      <c r="U426" s="26"/>
      <c r="V426" s="26"/>
      <c r="W426" s="20" t="s">
        <v>309</v>
      </c>
      <c r="X426" s="26"/>
      <c r="Y426" s="26"/>
      <c r="Z426" s="26"/>
      <c r="AA426" s="26"/>
      <c r="AB426" s="26"/>
      <c r="AC426" s="26"/>
      <c r="AD426" s="52" t="s">
        <v>914</v>
      </c>
      <c r="AE426" s="26">
        <f t="shared" si="123"/>
        <v>200</v>
      </c>
      <c r="AF426" s="26">
        <f t="shared" si="123"/>
        <v>184.8</v>
      </c>
      <c r="AG426" s="26"/>
      <c r="AH426" s="26"/>
      <c r="AI426" s="26"/>
      <c r="AJ426" s="26"/>
      <c r="AK426" s="26"/>
      <c r="AL426" s="26"/>
      <c r="AM426" s="26">
        <f>100+100</f>
        <v>200</v>
      </c>
      <c r="AN426" s="26">
        <v>184.8</v>
      </c>
      <c r="AO426" s="26">
        <f t="shared" si="124"/>
        <v>0</v>
      </c>
      <c r="AP426" s="26"/>
      <c r="AQ426" s="26"/>
      <c r="AR426" s="26"/>
      <c r="AS426" s="26"/>
      <c r="AT426" s="26">
        <f t="shared" si="129"/>
        <v>0</v>
      </c>
      <c r="AU426" s="26"/>
      <c r="AV426" s="26"/>
      <c r="AW426" s="26"/>
      <c r="AX426" s="26"/>
      <c r="AY426" s="26">
        <f t="shared" si="126"/>
        <v>0</v>
      </c>
      <c r="AZ426" s="26"/>
      <c r="BA426" s="26"/>
      <c r="BB426" s="26"/>
      <c r="BC426" s="26"/>
      <c r="BD426" s="26">
        <f t="shared" si="127"/>
        <v>0</v>
      </c>
      <c r="BE426" s="26"/>
      <c r="BF426" s="26"/>
      <c r="BG426" s="26"/>
      <c r="BH426" s="26"/>
    </row>
    <row r="427" spans="1:60" ht="35.65" customHeight="1" thickBot="1">
      <c r="A427" s="27" t="s">
        <v>50</v>
      </c>
      <c r="B427" s="42"/>
      <c r="C427" s="25"/>
      <c r="D427" s="26"/>
      <c r="E427" s="26"/>
      <c r="F427" s="26"/>
      <c r="G427" s="26"/>
      <c r="H427" s="26"/>
      <c r="I427" s="26"/>
      <c r="J427" s="26"/>
      <c r="K427" s="26"/>
      <c r="L427" s="26"/>
      <c r="M427" s="26"/>
      <c r="N427" s="26"/>
      <c r="O427" s="26"/>
      <c r="P427" s="26"/>
      <c r="Q427" s="26"/>
      <c r="R427" s="26"/>
      <c r="S427" s="26"/>
      <c r="T427" s="26"/>
      <c r="U427" s="26"/>
      <c r="V427" s="26"/>
      <c r="W427" s="43" t="s">
        <v>304</v>
      </c>
      <c r="X427" s="26"/>
      <c r="Y427" s="26"/>
      <c r="Z427" s="26"/>
      <c r="AA427" s="26"/>
      <c r="AB427" s="26"/>
      <c r="AC427" s="26"/>
      <c r="AD427" s="52" t="s">
        <v>915</v>
      </c>
      <c r="AE427" s="26">
        <f t="shared" si="123"/>
        <v>0</v>
      </c>
      <c r="AF427" s="26">
        <f>AH427+AJ427+AL427+AN427</f>
        <v>0</v>
      </c>
      <c r="AG427" s="26"/>
      <c r="AH427" s="26"/>
      <c r="AI427" s="26"/>
      <c r="AJ427" s="26"/>
      <c r="AK427" s="26"/>
      <c r="AL427" s="26"/>
      <c r="AM427" s="26"/>
      <c r="AN427" s="26"/>
      <c r="AO427" s="26">
        <f t="shared" si="124"/>
        <v>0</v>
      </c>
      <c r="AP427" s="26"/>
      <c r="AQ427" s="26"/>
      <c r="AR427" s="26"/>
      <c r="AS427" s="26"/>
      <c r="AT427" s="26">
        <f t="shared" si="129"/>
        <v>0</v>
      </c>
      <c r="AU427" s="26"/>
      <c r="AV427" s="26"/>
      <c r="AW427" s="26"/>
      <c r="AX427" s="26"/>
      <c r="AY427" s="26">
        <f t="shared" si="126"/>
        <v>0</v>
      </c>
      <c r="AZ427" s="26"/>
      <c r="BA427" s="26"/>
      <c r="BB427" s="26"/>
      <c r="BC427" s="26"/>
      <c r="BD427" s="26">
        <f t="shared" si="127"/>
        <v>0</v>
      </c>
      <c r="BE427" s="26"/>
      <c r="BF427" s="26"/>
      <c r="BG427" s="26"/>
      <c r="BH427" s="26"/>
    </row>
    <row r="428" spans="1:60" ht="35.65" customHeight="1" thickBot="1">
      <c r="A428" s="27" t="s">
        <v>50</v>
      </c>
      <c r="B428" s="42"/>
      <c r="C428" s="25"/>
      <c r="D428" s="26"/>
      <c r="E428" s="26"/>
      <c r="F428" s="26"/>
      <c r="G428" s="26"/>
      <c r="H428" s="26"/>
      <c r="I428" s="26"/>
      <c r="J428" s="26"/>
      <c r="K428" s="26"/>
      <c r="L428" s="26"/>
      <c r="M428" s="26"/>
      <c r="N428" s="26"/>
      <c r="O428" s="26"/>
      <c r="P428" s="26"/>
      <c r="Q428" s="26"/>
      <c r="R428" s="26"/>
      <c r="S428" s="26"/>
      <c r="T428" s="26"/>
      <c r="U428" s="26"/>
      <c r="V428" s="26"/>
      <c r="W428" s="70"/>
      <c r="X428" s="56"/>
      <c r="Y428" s="56"/>
      <c r="Z428" s="56"/>
      <c r="AA428" s="26"/>
      <c r="AB428" s="26"/>
      <c r="AC428" s="26"/>
      <c r="AD428" s="52" t="s">
        <v>916</v>
      </c>
      <c r="AE428" s="26"/>
      <c r="AF428" s="26"/>
      <c r="AG428" s="26"/>
      <c r="AH428" s="26"/>
      <c r="AI428" s="26"/>
      <c r="AJ428" s="26"/>
      <c r="AK428" s="26"/>
      <c r="AL428" s="26"/>
      <c r="AM428" s="26"/>
      <c r="AN428" s="26"/>
      <c r="AO428" s="26">
        <f t="shared" si="124"/>
        <v>20000</v>
      </c>
      <c r="AP428" s="26"/>
      <c r="AQ428" s="26">
        <v>20000</v>
      </c>
      <c r="AR428" s="26"/>
      <c r="AS428" s="26"/>
      <c r="AT428" s="26"/>
      <c r="AU428" s="26"/>
      <c r="AV428" s="26"/>
      <c r="AW428" s="26"/>
      <c r="AX428" s="26"/>
      <c r="AY428" s="26"/>
      <c r="AZ428" s="26"/>
      <c r="BA428" s="26"/>
      <c r="BB428" s="26"/>
      <c r="BC428" s="26"/>
      <c r="BD428" s="26"/>
      <c r="BE428" s="26"/>
      <c r="BF428" s="26"/>
      <c r="BG428" s="26"/>
      <c r="BH428" s="26"/>
    </row>
    <row r="429" spans="1:60" ht="35.65" customHeight="1" thickBot="1">
      <c r="A429" s="27" t="s">
        <v>50</v>
      </c>
      <c r="B429" s="42"/>
      <c r="C429" s="25"/>
      <c r="D429" s="26"/>
      <c r="E429" s="26"/>
      <c r="F429" s="26"/>
      <c r="G429" s="26"/>
      <c r="H429" s="26"/>
      <c r="I429" s="26"/>
      <c r="J429" s="26"/>
      <c r="K429" s="26"/>
      <c r="L429" s="26"/>
      <c r="M429" s="26"/>
      <c r="N429" s="26"/>
      <c r="O429" s="26"/>
      <c r="P429" s="26"/>
      <c r="Q429" s="26"/>
      <c r="R429" s="26"/>
      <c r="S429" s="26"/>
      <c r="T429" s="26"/>
      <c r="U429" s="26"/>
      <c r="V429" s="26"/>
      <c r="W429" s="70"/>
      <c r="X429" s="56"/>
      <c r="Y429" s="56"/>
      <c r="Z429" s="56"/>
      <c r="AA429" s="26"/>
      <c r="AB429" s="26"/>
      <c r="AC429" s="26"/>
      <c r="AD429" s="52" t="s">
        <v>917</v>
      </c>
      <c r="AE429" s="26"/>
      <c r="AF429" s="26"/>
      <c r="AG429" s="26"/>
      <c r="AH429" s="26"/>
      <c r="AI429" s="26"/>
      <c r="AJ429" s="26"/>
      <c r="AK429" s="26"/>
      <c r="AL429" s="26"/>
      <c r="AM429" s="26"/>
      <c r="AN429" s="26"/>
      <c r="AO429" s="26">
        <f t="shared" si="124"/>
        <v>202</v>
      </c>
      <c r="AP429" s="26"/>
      <c r="AQ429" s="26"/>
      <c r="AR429" s="26"/>
      <c r="AS429" s="26">
        <v>202</v>
      </c>
      <c r="AT429" s="26"/>
      <c r="AU429" s="26"/>
      <c r="AV429" s="26"/>
      <c r="AW429" s="26"/>
      <c r="AX429" s="26"/>
      <c r="AY429" s="26"/>
      <c r="AZ429" s="26"/>
      <c r="BA429" s="26"/>
      <c r="BB429" s="26"/>
      <c r="BC429" s="26"/>
      <c r="BD429" s="26"/>
      <c r="BE429" s="26"/>
      <c r="BF429" s="26"/>
      <c r="BG429" s="26"/>
      <c r="BH429" s="26"/>
    </row>
    <row r="430" spans="1:60" ht="35.65" customHeight="1" thickBot="1">
      <c r="A430" s="27" t="s">
        <v>310</v>
      </c>
      <c r="B430" s="42"/>
      <c r="C430" s="25"/>
      <c r="D430" s="26"/>
      <c r="E430" s="26"/>
      <c r="F430" s="26"/>
      <c r="G430" s="26"/>
      <c r="H430" s="26"/>
      <c r="I430" s="26"/>
      <c r="J430" s="26"/>
      <c r="K430" s="26"/>
      <c r="L430" s="26"/>
      <c r="M430" s="26"/>
      <c r="N430" s="26"/>
      <c r="O430" s="26"/>
      <c r="P430" s="26"/>
      <c r="Q430" s="26"/>
      <c r="R430" s="26"/>
      <c r="S430" s="26"/>
      <c r="T430" s="26"/>
      <c r="U430" s="26"/>
      <c r="V430" s="26"/>
      <c r="W430" s="70"/>
      <c r="X430" s="56"/>
      <c r="Y430" s="56"/>
      <c r="Z430" s="56"/>
      <c r="AA430" s="26"/>
      <c r="AB430" s="26"/>
      <c r="AC430" s="26"/>
      <c r="AD430" s="52" t="s">
        <v>918</v>
      </c>
      <c r="AE430" s="26"/>
      <c r="AF430" s="26"/>
      <c r="AG430" s="26"/>
      <c r="AH430" s="26"/>
      <c r="AI430" s="26"/>
      <c r="AJ430" s="26"/>
      <c r="AK430" s="26"/>
      <c r="AL430" s="26"/>
      <c r="AM430" s="26"/>
      <c r="AN430" s="26"/>
      <c r="AO430" s="26">
        <f t="shared" si="124"/>
        <v>20000</v>
      </c>
      <c r="AP430" s="26"/>
      <c r="AQ430" s="26">
        <v>20000</v>
      </c>
      <c r="AR430" s="26"/>
      <c r="AS430" s="26"/>
      <c r="AT430" s="26"/>
      <c r="AU430" s="26"/>
      <c r="AV430" s="26"/>
      <c r="AW430" s="26"/>
      <c r="AX430" s="26"/>
      <c r="AY430" s="26"/>
      <c r="AZ430" s="26"/>
      <c r="BA430" s="26"/>
      <c r="BB430" s="26"/>
      <c r="BC430" s="26"/>
      <c r="BD430" s="26"/>
      <c r="BE430" s="26"/>
      <c r="BF430" s="26"/>
      <c r="BG430" s="26"/>
      <c r="BH430" s="26"/>
    </row>
    <row r="431" spans="1:60" ht="35.65" customHeight="1" thickBot="1">
      <c r="A431" s="27" t="s">
        <v>310</v>
      </c>
      <c r="B431" s="42"/>
      <c r="C431" s="25"/>
      <c r="D431" s="26"/>
      <c r="E431" s="26"/>
      <c r="F431" s="26"/>
      <c r="G431" s="26"/>
      <c r="H431" s="26"/>
      <c r="I431" s="26"/>
      <c r="J431" s="26"/>
      <c r="K431" s="26"/>
      <c r="L431" s="26"/>
      <c r="M431" s="26"/>
      <c r="N431" s="26"/>
      <c r="O431" s="26"/>
      <c r="P431" s="26"/>
      <c r="Q431" s="26"/>
      <c r="R431" s="26"/>
      <c r="S431" s="26"/>
      <c r="T431" s="26"/>
      <c r="U431" s="26"/>
      <c r="V431" s="26"/>
      <c r="W431" s="70"/>
      <c r="X431" s="56"/>
      <c r="Y431" s="56"/>
      <c r="Z431" s="56"/>
      <c r="AA431" s="26"/>
      <c r="AB431" s="26"/>
      <c r="AC431" s="26"/>
      <c r="AD431" s="52" t="s">
        <v>919</v>
      </c>
      <c r="AE431" s="26"/>
      <c r="AF431" s="26"/>
      <c r="AG431" s="26"/>
      <c r="AH431" s="26"/>
      <c r="AI431" s="26"/>
      <c r="AJ431" s="26"/>
      <c r="AK431" s="26"/>
      <c r="AL431" s="26"/>
      <c r="AM431" s="26"/>
      <c r="AN431" s="26"/>
      <c r="AO431" s="26">
        <f t="shared" si="124"/>
        <v>202</v>
      </c>
      <c r="AP431" s="26"/>
      <c r="AQ431" s="26"/>
      <c r="AR431" s="26"/>
      <c r="AS431" s="26">
        <v>202</v>
      </c>
      <c r="AT431" s="26"/>
      <c r="AU431" s="26"/>
      <c r="AV431" s="26"/>
      <c r="AW431" s="26"/>
      <c r="AX431" s="26"/>
      <c r="AY431" s="26"/>
      <c r="AZ431" s="26"/>
      <c r="BA431" s="26"/>
      <c r="BB431" s="26"/>
      <c r="BC431" s="26"/>
      <c r="BD431" s="26"/>
      <c r="BE431" s="26"/>
      <c r="BF431" s="26"/>
      <c r="BG431" s="26"/>
      <c r="BH431" s="26"/>
    </row>
    <row r="432" spans="1:60" ht="35.65" customHeight="1" thickBot="1">
      <c r="A432" s="27" t="s">
        <v>58</v>
      </c>
      <c r="B432" s="42"/>
      <c r="C432" s="25"/>
      <c r="D432" s="26"/>
      <c r="E432" s="26"/>
      <c r="F432" s="26"/>
      <c r="G432" s="26"/>
      <c r="H432" s="26"/>
      <c r="I432" s="26"/>
      <c r="J432" s="26"/>
      <c r="K432" s="26"/>
      <c r="L432" s="26"/>
      <c r="M432" s="26"/>
      <c r="N432" s="26"/>
      <c r="O432" s="26"/>
      <c r="P432" s="26"/>
      <c r="Q432" s="26"/>
      <c r="R432" s="26"/>
      <c r="S432" s="26"/>
      <c r="T432" s="26"/>
      <c r="U432" s="26"/>
      <c r="V432" s="26"/>
      <c r="W432" s="375" t="s">
        <v>311</v>
      </c>
      <c r="X432" s="402" t="s">
        <v>36</v>
      </c>
      <c r="Y432" s="405">
        <v>43040</v>
      </c>
      <c r="Z432" s="407" t="s">
        <v>311</v>
      </c>
      <c r="AA432" s="26"/>
      <c r="AB432" s="26"/>
      <c r="AC432" s="26"/>
      <c r="AD432" s="52" t="s">
        <v>920</v>
      </c>
      <c r="AE432" s="26">
        <f t="shared" si="123"/>
        <v>7647.5</v>
      </c>
      <c r="AF432" s="26">
        <f t="shared" si="123"/>
        <v>7647.5</v>
      </c>
      <c r="AG432" s="26"/>
      <c r="AH432" s="26"/>
      <c r="AI432" s="26"/>
      <c r="AJ432" s="26"/>
      <c r="AK432" s="26"/>
      <c r="AL432" s="26"/>
      <c r="AM432" s="26">
        <f>9500-599-1253.5</f>
        <v>7647.5</v>
      </c>
      <c r="AN432" s="26">
        <v>7647.5</v>
      </c>
      <c r="AO432" s="26">
        <f t="shared" si="124"/>
        <v>0</v>
      </c>
      <c r="AP432" s="26"/>
      <c r="AQ432" s="26"/>
      <c r="AR432" s="26"/>
      <c r="AS432" s="26"/>
      <c r="AT432" s="26">
        <f t="shared" si="129"/>
        <v>0</v>
      </c>
      <c r="AU432" s="26"/>
      <c r="AV432" s="26"/>
      <c r="AW432" s="26"/>
      <c r="AX432" s="26"/>
      <c r="AY432" s="26">
        <f t="shared" si="126"/>
        <v>0</v>
      </c>
      <c r="AZ432" s="26"/>
      <c r="BA432" s="26"/>
      <c r="BB432" s="26"/>
      <c r="BC432" s="26"/>
      <c r="BD432" s="26">
        <f t="shared" si="127"/>
        <v>0</v>
      </c>
      <c r="BE432" s="26"/>
      <c r="BF432" s="26"/>
      <c r="BG432" s="26"/>
      <c r="BH432" s="26"/>
    </row>
    <row r="433" spans="1:60" ht="35.65" customHeight="1" thickBot="1">
      <c r="A433" s="27" t="s">
        <v>58</v>
      </c>
      <c r="B433" s="42"/>
      <c r="C433" s="25"/>
      <c r="D433" s="26"/>
      <c r="E433" s="26"/>
      <c r="F433" s="26"/>
      <c r="G433" s="26"/>
      <c r="H433" s="26"/>
      <c r="I433" s="26"/>
      <c r="J433" s="26"/>
      <c r="K433" s="26"/>
      <c r="L433" s="26"/>
      <c r="M433" s="26"/>
      <c r="N433" s="26"/>
      <c r="O433" s="26"/>
      <c r="P433" s="26"/>
      <c r="Q433" s="26"/>
      <c r="R433" s="26"/>
      <c r="S433" s="26"/>
      <c r="T433" s="26"/>
      <c r="U433" s="26"/>
      <c r="V433" s="26"/>
      <c r="W433" s="388"/>
      <c r="X433" s="403"/>
      <c r="Y433" s="406"/>
      <c r="Z433" s="408"/>
      <c r="AA433" s="26"/>
      <c r="AB433" s="26"/>
      <c r="AC433" s="26"/>
      <c r="AD433" s="52" t="s">
        <v>921</v>
      </c>
      <c r="AE433" s="26"/>
      <c r="AF433" s="26"/>
      <c r="AG433" s="26"/>
      <c r="AH433" s="26"/>
      <c r="AI433" s="26"/>
      <c r="AJ433" s="26"/>
      <c r="AK433" s="26"/>
      <c r="AL433" s="26"/>
      <c r="AM433" s="26"/>
      <c r="AN433" s="26"/>
      <c r="AO433" s="26">
        <f t="shared" si="124"/>
        <v>1021</v>
      </c>
      <c r="AP433" s="26"/>
      <c r="AQ433" s="26"/>
      <c r="AR433" s="26"/>
      <c r="AS433" s="26">
        <f>981+40</f>
        <v>1021</v>
      </c>
      <c r="AT433" s="26"/>
      <c r="AU433" s="26"/>
      <c r="AV433" s="26"/>
      <c r="AW433" s="26"/>
      <c r="AX433" s="26"/>
      <c r="AY433" s="26"/>
      <c r="AZ433" s="26"/>
      <c r="BA433" s="26"/>
      <c r="BB433" s="26"/>
      <c r="BC433" s="26"/>
      <c r="BD433" s="26"/>
      <c r="BE433" s="26"/>
      <c r="BF433" s="26"/>
      <c r="BG433" s="26"/>
      <c r="BH433" s="26"/>
    </row>
    <row r="434" spans="1:60" ht="35.65" customHeight="1" thickBot="1">
      <c r="A434" s="27" t="s">
        <v>58</v>
      </c>
      <c r="B434" s="42"/>
      <c r="C434" s="25"/>
      <c r="D434" s="26"/>
      <c r="E434" s="26"/>
      <c r="F434" s="26"/>
      <c r="G434" s="26"/>
      <c r="H434" s="26"/>
      <c r="I434" s="26"/>
      <c r="J434" s="26"/>
      <c r="K434" s="26"/>
      <c r="L434" s="26"/>
      <c r="M434" s="26"/>
      <c r="N434" s="26"/>
      <c r="O434" s="26"/>
      <c r="P434" s="26"/>
      <c r="Q434" s="26"/>
      <c r="R434" s="26"/>
      <c r="S434" s="26"/>
      <c r="T434" s="26"/>
      <c r="U434" s="26"/>
      <c r="V434" s="26"/>
      <c r="W434" s="401"/>
      <c r="X434" s="404"/>
      <c r="Y434" s="404"/>
      <c r="Z434" s="409"/>
      <c r="AA434" s="26"/>
      <c r="AB434" s="26"/>
      <c r="AC434" s="26"/>
      <c r="AD434" s="52" t="s">
        <v>922</v>
      </c>
      <c r="AE434" s="26">
        <f t="shared" si="123"/>
        <v>250</v>
      </c>
      <c r="AF434" s="26">
        <f t="shared" si="123"/>
        <v>162</v>
      </c>
      <c r="AG434" s="26"/>
      <c r="AH434" s="26"/>
      <c r="AI434" s="26"/>
      <c r="AJ434" s="26"/>
      <c r="AK434" s="26"/>
      <c r="AL434" s="26"/>
      <c r="AM434" s="26">
        <f>500-250</f>
        <v>250</v>
      </c>
      <c r="AN434" s="26">
        <v>162</v>
      </c>
      <c r="AO434" s="26">
        <f t="shared" si="124"/>
        <v>100</v>
      </c>
      <c r="AP434" s="26"/>
      <c r="AQ434" s="26"/>
      <c r="AR434" s="26"/>
      <c r="AS434" s="26">
        <v>100</v>
      </c>
      <c r="AT434" s="26">
        <f t="shared" si="129"/>
        <v>100</v>
      </c>
      <c r="AU434" s="26"/>
      <c r="AV434" s="26"/>
      <c r="AW434" s="26"/>
      <c r="AX434" s="26">
        <v>100</v>
      </c>
      <c r="AY434" s="26">
        <f t="shared" si="126"/>
        <v>100</v>
      </c>
      <c r="AZ434" s="26"/>
      <c r="BA434" s="26"/>
      <c r="BB434" s="26"/>
      <c r="BC434" s="26">
        <v>100</v>
      </c>
      <c r="BD434" s="26">
        <f t="shared" si="127"/>
        <v>100</v>
      </c>
      <c r="BE434" s="26"/>
      <c r="BF434" s="26"/>
      <c r="BG434" s="26"/>
      <c r="BH434" s="26">
        <v>100</v>
      </c>
    </row>
    <row r="435" spans="1:60" ht="35.65" customHeight="1" thickBot="1">
      <c r="A435" s="151" t="s">
        <v>312</v>
      </c>
      <c r="B435" s="42"/>
      <c r="C435" s="25"/>
      <c r="D435" s="26"/>
      <c r="E435" s="26"/>
      <c r="F435" s="26"/>
      <c r="G435" s="26"/>
      <c r="H435" s="26"/>
      <c r="I435" s="26"/>
      <c r="J435" s="26"/>
      <c r="K435" s="26"/>
      <c r="L435" s="26"/>
      <c r="M435" s="26"/>
      <c r="N435" s="26"/>
      <c r="O435" s="26"/>
      <c r="P435" s="26"/>
      <c r="Q435" s="26"/>
      <c r="R435" s="26"/>
      <c r="S435" s="26"/>
      <c r="T435" s="26"/>
      <c r="U435" s="26"/>
      <c r="V435" s="26"/>
      <c r="W435" s="401"/>
      <c r="X435" s="404"/>
      <c r="Y435" s="404"/>
      <c r="Z435" s="409"/>
      <c r="AA435" s="26"/>
      <c r="AB435" s="26"/>
      <c r="AC435" s="26"/>
      <c r="AD435" s="52" t="s">
        <v>923</v>
      </c>
      <c r="AE435" s="26">
        <f t="shared" si="123"/>
        <v>599</v>
      </c>
      <c r="AF435" s="26">
        <f t="shared" si="123"/>
        <v>599</v>
      </c>
      <c r="AG435" s="26"/>
      <c r="AH435" s="26"/>
      <c r="AI435" s="26"/>
      <c r="AJ435" s="26"/>
      <c r="AK435" s="26"/>
      <c r="AL435" s="26"/>
      <c r="AM435" s="26">
        <v>599</v>
      </c>
      <c r="AN435" s="26">
        <v>599</v>
      </c>
      <c r="AO435" s="26"/>
      <c r="AP435" s="26"/>
      <c r="AQ435" s="26"/>
      <c r="AR435" s="26"/>
      <c r="AS435" s="26"/>
      <c r="AT435" s="26"/>
      <c r="AU435" s="26"/>
      <c r="AV435" s="26"/>
      <c r="AW435" s="26"/>
      <c r="AX435" s="26"/>
      <c r="AY435" s="26"/>
      <c r="AZ435" s="26"/>
      <c r="BA435" s="26"/>
      <c r="BB435" s="26"/>
      <c r="BC435" s="26"/>
      <c r="BD435" s="26"/>
      <c r="BE435" s="26"/>
      <c r="BF435" s="26"/>
      <c r="BG435" s="26"/>
      <c r="BH435" s="26"/>
    </row>
    <row r="436" spans="1:60" ht="35.65" customHeight="1" thickBot="1">
      <c r="A436" s="151" t="s">
        <v>312</v>
      </c>
      <c r="B436" s="42"/>
      <c r="C436" s="25"/>
      <c r="D436" s="26"/>
      <c r="E436" s="26"/>
      <c r="F436" s="26"/>
      <c r="G436" s="26"/>
      <c r="H436" s="26"/>
      <c r="I436" s="26"/>
      <c r="J436" s="26"/>
      <c r="K436" s="26"/>
      <c r="L436" s="26"/>
      <c r="M436" s="26"/>
      <c r="N436" s="26"/>
      <c r="O436" s="26"/>
      <c r="P436" s="26"/>
      <c r="Q436" s="26"/>
      <c r="R436" s="26"/>
      <c r="S436" s="26"/>
      <c r="T436" s="26"/>
      <c r="U436" s="26"/>
      <c r="V436" s="26"/>
      <c r="W436" s="401"/>
      <c r="X436" s="404"/>
      <c r="Y436" s="404"/>
      <c r="Z436" s="409"/>
      <c r="AA436" s="26"/>
      <c r="AB436" s="26"/>
      <c r="AC436" s="26"/>
      <c r="AD436" s="52" t="s">
        <v>924</v>
      </c>
      <c r="AE436" s="26">
        <f t="shared" si="123"/>
        <v>250</v>
      </c>
      <c r="AF436" s="26">
        <f t="shared" si="123"/>
        <v>250</v>
      </c>
      <c r="AG436" s="26"/>
      <c r="AH436" s="26"/>
      <c r="AI436" s="26"/>
      <c r="AJ436" s="26"/>
      <c r="AK436" s="26"/>
      <c r="AL436" s="26"/>
      <c r="AM436" s="26">
        <v>250</v>
      </c>
      <c r="AN436" s="26">
        <v>250</v>
      </c>
      <c r="AO436" s="26"/>
      <c r="AP436" s="26"/>
      <c r="AQ436" s="26"/>
      <c r="AR436" s="26"/>
      <c r="AS436" s="26"/>
      <c r="AT436" s="26"/>
      <c r="AU436" s="26"/>
      <c r="AV436" s="26"/>
      <c r="AW436" s="26"/>
      <c r="AX436" s="26"/>
      <c r="AY436" s="26"/>
      <c r="AZ436" s="26"/>
      <c r="BA436" s="26"/>
      <c r="BB436" s="26"/>
      <c r="BC436" s="26"/>
      <c r="BD436" s="26"/>
      <c r="BE436" s="26"/>
      <c r="BF436" s="26"/>
      <c r="BG436" s="26"/>
      <c r="BH436" s="26"/>
    </row>
    <row r="437" spans="1:60" ht="35.65" customHeight="1" thickBot="1">
      <c r="A437" s="151" t="s">
        <v>312</v>
      </c>
      <c r="B437" s="42"/>
      <c r="C437" s="25"/>
      <c r="D437" s="26"/>
      <c r="E437" s="26"/>
      <c r="F437" s="26"/>
      <c r="G437" s="26"/>
      <c r="H437" s="26"/>
      <c r="I437" s="26"/>
      <c r="J437" s="26"/>
      <c r="K437" s="26"/>
      <c r="L437" s="26"/>
      <c r="M437" s="26"/>
      <c r="N437" s="26"/>
      <c r="O437" s="26"/>
      <c r="P437" s="26"/>
      <c r="Q437" s="26"/>
      <c r="R437" s="26"/>
      <c r="S437" s="26"/>
      <c r="T437" s="26"/>
      <c r="U437" s="26"/>
      <c r="V437" s="26"/>
      <c r="W437" s="401"/>
      <c r="X437" s="404"/>
      <c r="Y437" s="404"/>
      <c r="Z437" s="409"/>
      <c r="AA437" s="26"/>
      <c r="AB437" s="26"/>
      <c r="AC437" s="26"/>
      <c r="AD437" s="52" t="s">
        <v>925</v>
      </c>
      <c r="AE437" s="26">
        <f t="shared" si="123"/>
        <v>840</v>
      </c>
      <c r="AF437" s="26">
        <f t="shared" si="123"/>
        <v>838.8</v>
      </c>
      <c r="AG437" s="26"/>
      <c r="AH437" s="26"/>
      <c r="AI437" s="26"/>
      <c r="AJ437" s="26"/>
      <c r="AK437" s="26"/>
      <c r="AL437" s="26"/>
      <c r="AM437" s="26">
        <f>600+240</f>
        <v>840</v>
      </c>
      <c r="AN437" s="26">
        <v>838.8</v>
      </c>
      <c r="AO437" s="26"/>
      <c r="AP437" s="26"/>
      <c r="AQ437" s="26"/>
      <c r="AR437" s="26"/>
      <c r="AS437" s="26"/>
      <c r="AT437" s="26"/>
      <c r="AU437" s="26"/>
      <c r="AV437" s="26"/>
      <c r="AW437" s="26"/>
      <c r="AX437" s="26"/>
      <c r="AY437" s="26"/>
      <c r="AZ437" s="26"/>
      <c r="BA437" s="26"/>
      <c r="BB437" s="26"/>
      <c r="BC437" s="26"/>
      <c r="BD437" s="26"/>
      <c r="BE437" s="26"/>
      <c r="BF437" s="26"/>
      <c r="BG437" s="26"/>
      <c r="BH437" s="26"/>
    </row>
    <row r="438" spans="1:60" ht="35.65" customHeight="1" thickBot="1">
      <c r="A438" s="27" t="s">
        <v>58</v>
      </c>
      <c r="B438" s="42"/>
      <c r="C438" s="25"/>
      <c r="D438" s="26"/>
      <c r="E438" s="26"/>
      <c r="F438" s="26"/>
      <c r="G438" s="26"/>
      <c r="H438" s="26"/>
      <c r="I438" s="26"/>
      <c r="J438" s="26"/>
      <c r="K438" s="26"/>
      <c r="L438" s="26"/>
      <c r="M438" s="26"/>
      <c r="N438" s="26"/>
      <c r="O438" s="26"/>
      <c r="P438" s="26"/>
      <c r="Q438" s="26"/>
      <c r="R438" s="26"/>
      <c r="S438" s="26"/>
      <c r="T438" s="26"/>
      <c r="U438" s="26"/>
      <c r="V438" s="26"/>
      <c r="W438" s="401"/>
      <c r="X438" s="404"/>
      <c r="Y438" s="404"/>
      <c r="Z438" s="409"/>
      <c r="AA438" s="26"/>
      <c r="AB438" s="26"/>
      <c r="AC438" s="26"/>
      <c r="AD438" s="52" t="s">
        <v>926</v>
      </c>
      <c r="AE438" s="26">
        <f t="shared" si="123"/>
        <v>0</v>
      </c>
      <c r="AF438" s="26">
        <f t="shared" si="123"/>
        <v>0</v>
      </c>
      <c r="AG438" s="26"/>
      <c r="AH438" s="26"/>
      <c r="AI438" s="26"/>
      <c r="AJ438" s="26"/>
      <c r="AK438" s="26"/>
      <c r="AL438" s="26"/>
      <c r="AM438" s="26"/>
      <c r="AN438" s="26"/>
      <c r="AO438" s="26">
        <f t="shared" si="124"/>
        <v>0</v>
      </c>
      <c r="AP438" s="26"/>
      <c r="AQ438" s="26"/>
      <c r="AR438" s="26"/>
      <c r="AS438" s="26"/>
      <c r="AT438" s="26">
        <f t="shared" ref="AT438:AT482" si="130">AU438+AV438+AW438+AX438</f>
        <v>0</v>
      </c>
      <c r="AU438" s="26"/>
      <c r="AV438" s="26"/>
      <c r="AW438" s="26"/>
      <c r="AX438" s="26"/>
      <c r="AY438" s="26">
        <f t="shared" si="126"/>
        <v>0</v>
      </c>
      <c r="AZ438" s="26"/>
      <c r="BA438" s="26"/>
      <c r="BB438" s="26"/>
      <c r="BC438" s="26"/>
      <c r="BD438" s="26">
        <f t="shared" si="127"/>
        <v>0</v>
      </c>
      <c r="BE438" s="26"/>
      <c r="BF438" s="26"/>
      <c r="BG438" s="26"/>
      <c r="BH438" s="26"/>
    </row>
    <row r="439" spans="1:60" ht="35.65" customHeight="1" thickBot="1">
      <c r="A439" s="27" t="s">
        <v>50</v>
      </c>
      <c r="B439" s="42"/>
      <c r="C439" s="25"/>
      <c r="D439" s="26"/>
      <c r="E439" s="26"/>
      <c r="F439" s="26"/>
      <c r="G439" s="26"/>
      <c r="H439" s="26"/>
      <c r="I439" s="26"/>
      <c r="J439" s="26"/>
      <c r="K439" s="26"/>
      <c r="L439" s="26"/>
      <c r="M439" s="26"/>
      <c r="N439" s="26"/>
      <c r="O439" s="26"/>
      <c r="P439" s="26"/>
      <c r="Q439" s="26"/>
      <c r="R439" s="26"/>
      <c r="S439" s="26"/>
      <c r="T439" s="26"/>
      <c r="U439" s="26"/>
      <c r="V439" s="26"/>
      <c r="W439" s="43" t="s">
        <v>304</v>
      </c>
      <c r="X439" s="26"/>
      <c r="Y439" s="26"/>
      <c r="Z439" s="26"/>
      <c r="AA439" s="26"/>
      <c r="AB439" s="26"/>
      <c r="AC439" s="26"/>
      <c r="AD439" s="52" t="s">
        <v>927</v>
      </c>
      <c r="AE439" s="26">
        <f t="shared" si="123"/>
        <v>17323.5</v>
      </c>
      <c r="AF439" s="26">
        <f t="shared" si="123"/>
        <v>17323.5</v>
      </c>
      <c r="AG439" s="26">
        <v>15706</v>
      </c>
      <c r="AH439" s="26">
        <v>15706</v>
      </c>
      <c r="AI439" s="26">
        <v>826.6</v>
      </c>
      <c r="AJ439" s="26">
        <v>826.6</v>
      </c>
      <c r="AK439" s="26"/>
      <c r="AL439" s="26"/>
      <c r="AM439" s="26">
        <f>839.2-48.3</f>
        <v>790.90000000000009</v>
      </c>
      <c r="AN439" s="26">
        <v>790.9</v>
      </c>
      <c r="AO439" s="26">
        <f t="shared" si="124"/>
        <v>18072.2</v>
      </c>
      <c r="AP439" s="26">
        <v>16388.400000000001</v>
      </c>
      <c r="AQ439" s="26">
        <v>862.5</v>
      </c>
      <c r="AR439" s="26"/>
      <c r="AS439" s="26">
        <v>821.3</v>
      </c>
      <c r="AT439" s="26">
        <f t="shared" si="130"/>
        <v>20022.599999999999</v>
      </c>
      <c r="AU439" s="26">
        <v>18154.599999999999</v>
      </c>
      <c r="AV439" s="26">
        <v>955.5</v>
      </c>
      <c r="AW439" s="26"/>
      <c r="AX439" s="26">
        <v>912.5</v>
      </c>
      <c r="AY439" s="26">
        <f t="shared" si="126"/>
        <v>1880.7</v>
      </c>
      <c r="AZ439" s="26">
        <v>0</v>
      </c>
      <c r="BA439" s="26">
        <v>968.2</v>
      </c>
      <c r="BB439" s="26"/>
      <c r="BC439" s="26">
        <v>912.5</v>
      </c>
      <c r="BD439" s="26">
        <f t="shared" si="127"/>
        <v>1880.7</v>
      </c>
      <c r="BE439" s="26">
        <v>0</v>
      </c>
      <c r="BF439" s="26">
        <v>968.2</v>
      </c>
      <c r="BG439" s="26"/>
      <c r="BH439" s="26">
        <v>912.5</v>
      </c>
    </row>
    <row r="440" spans="1:60" ht="35.65" customHeight="1" thickBot="1">
      <c r="A440" s="27" t="s">
        <v>50</v>
      </c>
      <c r="B440" s="42"/>
      <c r="C440" s="25"/>
      <c r="D440" s="26"/>
      <c r="E440" s="26"/>
      <c r="F440" s="26"/>
      <c r="G440" s="26"/>
      <c r="H440" s="26"/>
      <c r="I440" s="26"/>
      <c r="J440" s="26"/>
      <c r="K440" s="26"/>
      <c r="L440" s="26"/>
      <c r="M440" s="26"/>
      <c r="N440" s="26"/>
      <c r="O440" s="26"/>
      <c r="P440" s="26"/>
      <c r="Q440" s="26"/>
      <c r="R440" s="26"/>
      <c r="S440" s="26"/>
      <c r="T440" s="26"/>
      <c r="U440" s="26"/>
      <c r="V440" s="26"/>
      <c r="W440" s="43"/>
      <c r="X440" s="26"/>
      <c r="Y440" s="26"/>
      <c r="Z440" s="26"/>
      <c r="AA440" s="26"/>
      <c r="AB440" s="26"/>
      <c r="AC440" s="26"/>
      <c r="AD440" s="52" t="s">
        <v>928</v>
      </c>
      <c r="AE440" s="26">
        <f t="shared" si="123"/>
        <v>0</v>
      </c>
      <c r="AF440" s="26">
        <f t="shared" si="123"/>
        <v>0</v>
      </c>
      <c r="AG440" s="26"/>
      <c r="AH440" s="26"/>
      <c r="AI440" s="26"/>
      <c r="AJ440" s="26"/>
      <c r="AK440" s="26"/>
      <c r="AL440" s="26"/>
      <c r="AM440" s="26"/>
      <c r="AN440" s="26"/>
      <c r="AO440" s="26">
        <f t="shared" si="124"/>
        <v>0</v>
      </c>
      <c r="AP440" s="26"/>
      <c r="AQ440" s="26"/>
      <c r="AR440" s="26"/>
      <c r="AS440" s="26"/>
      <c r="AT440" s="26">
        <f t="shared" si="130"/>
        <v>0</v>
      </c>
      <c r="AU440" s="26"/>
      <c r="AV440" s="26"/>
      <c r="AW440" s="26"/>
      <c r="AX440" s="26"/>
      <c r="AY440" s="26">
        <f t="shared" si="126"/>
        <v>0</v>
      </c>
      <c r="AZ440" s="26"/>
      <c r="BA440" s="26"/>
      <c r="BB440" s="26"/>
      <c r="BC440" s="26"/>
      <c r="BD440" s="26">
        <f t="shared" si="127"/>
        <v>0</v>
      </c>
      <c r="BE440" s="26"/>
      <c r="BF440" s="26"/>
      <c r="BG440" s="26"/>
      <c r="BH440" s="26"/>
    </row>
    <row r="441" spans="1:60" ht="35.65" customHeight="1" thickBot="1">
      <c r="A441" s="27" t="s">
        <v>50</v>
      </c>
      <c r="B441" s="42"/>
      <c r="C441" s="25"/>
      <c r="D441" s="26"/>
      <c r="E441" s="26"/>
      <c r="F441" s="26"/>
      <c r="G441" s="26"/>
      <c r="H441" s="26"/>
      <c r="I441" s="26"/>
      <c r="J441" s="26"/>
      <c r="K441" s="26"/>
      <c r="L441" s="26"/>
      <c r="M441" s="26"/>
      <c r="N441" s="26"/>
      <c r="O441" s="26"/>
      <c r="P441" s="26"/>
      <c r="Q441" s="26"/>
      <c r="R441" s="26"/>
      <c r="S441" s="26"/>
      <c r="T441" s="26"/>
      <c r="U441" s="26"/>
      <c r="V441" s="26"/>
      <c r="W441" s="43" t="s">
        <v>304</v>
      </c>
      <c r="X441" s="26"/>
      <c r="Y441" s="26"/>
      <c r="Z441" s="26"/>
      <c r="AA441" s="26"/>
      <c r="AB441" s="26"/>
      <c r="AC441" s="26"/>
      <c r="AD441" s="52" t="s">
        <v>929</v>
      </c>
      <c r="AE441" s="26">
        <f t="shared" si="123"/>
        <v>0</v>
      </c>
      <c r="AF441" s="26">
        <f t="shared" si="123"/>
        <v>0</v>
      </c>
      <c r="AG441" s="26"/>
      <c r="AH441" s="26"/>
      <c r="AI441" s="26"/>
      <c r="AJ441" s="26"/>
      <c r="AK441" s="26"/>
      <c r="AL441" s="26"/>
      <c r="AM441" s="26"/>
      <c r="AN441" s="26"/>
      <c r="AO441" s="26">
        <f t="shared" si="124"/>
        <v>0</v>
      </c>
      <c r="AP441" s="26"/>
      <c r="AQ441" s="26"/>
      <c r="AR441" s="26"/>
      <c r="AS441" s="26"/>
      <c r="AT441" s="26">
        <f t="shared" si="130"/>
        <v>0</v>
      </c>
      <c r="AU441" s="26"/>
      <c r="AV441" s="26"/>
      <c r="AW441" s="26"/>
      <c r="AX441" s="26"/>
      <c r="AY441" s="26">
        <f t="shared" si="126"/>
        <v>0</v>
      </c>
      <c r="AZ441" s="26"/>
      <c r="BA441" s="26"/>
      <c r="BB441" s="26"/>
      <c r="BC441" s="26"/>
      <c r="BD441" s="26">
        <f t="shared" si="127"/>
        <v>0</v>
      </c>
      <c r="BE441" s="26"/>
      <c r="BF441" s="26"/>
      <c r="BG441" s="26"/>
      <c r="BH441" s="26"/>
    </row>
    <row r="442" spans="1:60" ht="35.65" customHeight="1" thickBot="1">
      <c r="A442" s="27" t="s">
        <v>50</v>
      </c>
      <c r="B442" s="42"/>
      <c r="C442" s="25"/>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52" t="s">
        <v>930</v>
      </c>
      <c r="AE442" s="26">
        <f t="shared" si="123"/>
        <v>0</v>
      </c>
      <c r="AF442" s="26">
        <f>AH442+AJ442+AL442+AN442</f>
        <v>0</v>
      </c>
      <c r="AG442" s="26"/>
      <c r="AH442" s="26"/>
      <c r="AI442" s="26"/>
      <c r="AJ442" s="26"/>
      <c r="AK442" s="26"/>
      <c r="AL442" s="26"/>
      <c r="AM442" s="26"/>
      <c r="AN442" s="26"/>
      <c r="AO442" s="26">
        <f t="shared" si="124"/>
        <v>0</v>
      </c>
      <c r="AP442" s="26"/>
      <c r="AQ442" s="26"/>
      <c r="AR442" s="26"/>
      <c r="AS442" s="26"/>
      <c r="AT442" s="26">
        <f t="shared" si="130"/>
        <v>0</v>
      </c>
      <c r="AU442" s="26"/>
      <c r="AV442" s="26"/>
      <c r="AW442" s="26"/>
      <c r="AX442" s="26"/>
      <c r="AY442" s="26">
        <f t="shared" si="126"/>
        <v>0</v>
      </c>
      <c r="AZ442" s="26"/>
      <c r="BA442" s="26"/>
      <c r="BB442" s="26"/>
      <c r="BC442" s="26"/>
      <c r="BD442" s="26">
        <f t="shared" si="127"/>
        <v>0</v>
      </c>
      <c r="BE442" s="26"/>
      <c r="BF442" s="26"/>
      <c r="BG442" s="26"/>
      <c r="BH442" s="26"/>
    </row>
    <row r="443" spans="1:60" ht="35.65" customHeight="1" thickBot="1">
      <c r="A443" s="27" t="s">
        <v>50</v>
      </c>
      <c r="B443" s="42"/>
      <c r="C443" s="25"/>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52" t="s">
        <v>931</v>
      </c>
      <c r="AE443" s="26">
        <f t="shared" si="123"/>
        <v>0</v>
      </c>
      <c r="AF443" s="26">
        <f t="shared" si="123"/>
        <v>0</v>
      </c>
      <c r="AG443" s="26"/>
      <c r="AH443" s="26"/>
      <c r="AI443" s="26"/>
      <c r="AJ443" s="26"/>
      <c r="AK443" s="26"/>
      <c r="AL443" s="26"/>
      <c r="AM443" s="26"/>
      <c r="AN443" s="26"/>
      <c r="AO443" s="26">
        <f t="shared" si="124"/>
        <v>0</v>
      </c>
      <c r="AP443" s="26"/>
      <c r="AQ443" s="26"/>
      <c r="AR443" s="26"/>
      <c r="AS443" s="26"/>
      <c r="AT443" s="26">
        <f t="shared" si="130"/>
        <v>0</v>
      </c>
      <c r="AU443" s="26"/>
      <c r="AV443" s="26"/>
      <c r="AW443" s="26"/>
      <c r="AX443" s="26"/>
      <c r="AY443" s="26">
        <f t="shared" si="126"/>
        <v>0</v>
      </c>
      <c r="AZ443" s="26"/>
      <c r="BA443" s="26"/>
      <c r="BB443" s="26"/>
      <c r="BC443" s="26"/>
      <c r="BD443" s="26">
        <f t="shared" si="127"/>
        <v>0</v>
      </c>
      <c r="BE443" s="26"/>
      <c r="BF443" s="26"/>
      <c r="BG443" s="26"/>
      <c r="BH443" s="26"/>
    </row>
    <row r="444" spans="1:60" ht="35.65" customHeight="1" thickBot="1">
      <c r="A444" s="27" t="s">
        <v>50</v>
      </c>
      <c r="B444" s="42"/>
      <c r="C444" s="25"/>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52" t="s">
        <v>932</v>
      </c>
      <c r="AE444" s="26">
        <f t="shared" ref="AE444:AF485" si="131">AG444+AI444+AK444+AM444</f>
        <v>74.3</v>
      </c>
      <c r="AF444" s="26">
        <f t="shared" si="131"/>
        <v>0</v>
      </c>
      <c r="AG444" s="26"/>
      <c r="AH444" s="26"/>
      <c r="AI444" s="26"/>
      <c r="AJ444" s="26"/>
      <c r="AK444" s="26"/>
      <c r="AL444" s="26"/>
      <c r="AM444" s="26">
        <v>74.3</v>
      </c>
      <c r="AN444" s="26">
        <v>0</v>
      </c>
      <c r="AO444" s="26">
        <f t="shared" si="124"/>
        <v>249.10000000000002</v>
      </c>
      <c r="AP444" s="26">
        <v>124.1</v>
      </c>
      <c r="AQ444" s="26">
        <v>50.7</v>
      </c>
      <c r="AR444" s="26"/>
      <c r="AS444" s="26">
        <v>74.3</v>
      </c>
      <c r="AT444" s="26">
        <f t="shared" si="130"/>
        <v>74.3</v>
      </c>
      <c r="AU444" s="26"/>
      <c r="AV444" s="26"/>
      <c r="AW444" s="26"/>
      <c r="AX444" s="26">
        <v>74.3</v>
      </c>
      <c r="AY444" s="26">
        <f t="shared" si="126"/>
        <v>74.3</v>
      </c>
      <c r="AZ444" s="26"/>
      <c r="BA444" s="26"/>
      <c r="BB444" s="26"/>
      <c r="BC444" s="26">
        <v>74.3</v>
      </c>
      <c r="BD444" s="26">
        <f t="shared" si="127"/>
        <v>74.3</v>
      </c>
      <c r="BE444" s="26"/>
      <c r="BF444" s="26"/>
      <c r="BG444" s="26"/>
      <c r="BH444" s="26">
        <v>74.3</v>
      </c>
    </row>
    <row r="445" spans="1:60" ht="35.65" customHeight="1" thickBot="1">
      <c r="A445" s="27" t="s">
        <v>50</v>
      </c>
      <c r="B445" s="42"/>
      <c r="C445" s="25"/>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52" t="s">
        <v>933</v>
      </c>
      <c r="AE445" s="26">
        <f t="shared" si="131"/>
        <v>0</v>
      </c>
      <c r="AF445" s="26">
        <f t="shared" si="131"/>
        <v>0</v>
      </c>
      <c r="AG445" s="26">
        <v>0</v>
      </c>
      <c r="AH445" s="26"/>
      <c r="AI445" s="26">
        <v>0</v>
      </c>
      <c r="AJ445" s="26"/>
      <c r="AK445" s="26"/>
      <c r="AL445" s="26"/>
      <c r="AM445" s="26">
        <v>0</v>
      </c>
      <c r="AN445" s="26"/>
      <c r="AO445" s="26">
        <f t="shared" si="124"/>
        <v>0</v>
      </c>
      <c r="AP445" s="26"/>
      <c r="AQ445" s="26"/>
      <c r="AR445" s="26"/>
      <c r="AS445" s="26">
        <v>0</v>
      </c>
      <c r="AT445" s="26">
        <f t="shared" si="130"/>
        <v>0</v>
      </c>
      <c r="AU445" s="26"/>
      <c r="AV445" s="26"/>
      <c r="AW445" s="26"/>
      <c r="AX445" s="26">
        <v>0</v>
      </c>
      <c r="AY445" s="26">
        <f t="shared" si="126"/>
        <v>0</v>
      </c>
      <c r="AZ445" s="26"/>
      <c r="BA445" s="26"/>
      <c r="BB445" s="26"/>
      <c r="BC445" s="26">
        <v>0</v>
      </c>
      <c r="BD445" s="26">
        <f t="shared" si="127"/>
        <v>0</v>
      </c>
      <c r="BE445" s="26"/>
      <c r="BF445" s="26"/>
      <c r="BG445" s="26"/>
      <c r="BH445" s="26">
        <v>0</v>
      </c>
    </row>
    <row r="446" spans="1:60" ht="35.65" customHeight="1" thickBot="1">
      <c r="A446" s="27" t="s">
        <v>50</v>
      </c>
      <c r="B446" s="42"/>
      <c r="C446" s="25"/>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52" t="s">
        <v>934</v>
      </c>
      <c r="AE446" s="26">
        <f t="shared" si="131"/>
        <v>0</v>
      </c>
      <c r="AF446" s="26">
        <f t="shared" si="131"/>
        <v>0</v>
      </c>
      <c r="AG446" s="26"/>
      <c r="AH446" s="26"/>
      <c r="AI446" s="26"/>
      <c r="AJ446" s="26"/>
      <c r="AK446" s="26"/>
      <c r="AL446" s="26"/>
      <c r="AM446" s="26"/>
      <c r="AN446" s="26"/>
      <c r="AO446" s="26">
        <f t="shared" si="124"/>
        <v>0</v>
      </c>
      <c r="AP446" s="26"/>
      <c r="AQ446" s="26"/>
      <c r="AR446" s="26"/>
      <c r="AS446" s="26"/>
      <c r="AT446" s="26">
        <f t="shared" si="130"/>
        <v>0</v>
      </c>
      <c r="AU446" s="26"/>
      <c r="AV446" s="26"/>
      <c r="AW446" s="26"/>
      <c r="AX446" s="26"/>
      <c r="AY446" s="26">
        <f t="shared" si="126"/>
        <v>0</v>
      </c>
      <c r="AZ446" s="26"/>
      <c r="BA446" s="26"/>
      <c r="BB446" s="26"/>
      <c r="BC446" s="26"/>
      <c r="BD446" s="26">
        <f t="shared" si="127"/>
        <v>0</v>
      </c>
      <c r="BE446" s="26"/>
      <c r="BF446" s="26"/>
      <c r="BG446" s="26"/>
      <c r="BH446" s="26"/>
    </row>
    <row r="447" spans="1:60" ht="35.65" customHeight="1" thickBot="1">
      <c r="A447" s="27" t="s">
        <v>50</v>
      </c>
      <c r="B447" s="42"/>
      <c r="C447" s="25"/>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52" t="s">
        <v>935</v>
      </c>
      <c r="AE447" s="26">
        <f t="shared" si="131"/>
        <v>30000</v>
      </c>
      <c r="AF447" s="26">
        <f t="shared" si="131"/>
        <v>28259.8</v>
      </c>
      <c r="AG447" s="26"/>
      <c r="AH447" s="26"/>
      <c r="AI447" s="26">
        <v>30000</v>
      </c>
      <c r="AJ447" s="26">
        <v>28259.8</v>
      </c>
      <c r="AK447" s="26"/>
      <c r="AL447" s="26"/>
      <c r="AM447" s="26"/>
      <c r="AN447" s="26"/>
      <c r="AO447" s="26">
        <f t="shared" si="124"/>
        <v>110000</v>
      </c>
      <c r="AP447" s="26"/>
      <c r="AQ447" s="26">
        <v>110000</v>
      </c>
      <c r="AR447" s="26"/>
      <c r="AS447" s="26"/>
      <c r="AT447" s="26">
        <f t="shared" si="130"/>
        <v>0</v>
      </c>
      <c r="AU447" s="26"/>
      <c r="AV447" s="26">
        <v>0</v>
      </c>
      <c r="AW447" s="26"/>
      <c r="AX447" s="26"/>
      <c r="AY447" s="26">
        <f t="shared" si="126"/>
        <v>0</v>
      </c>
      <c r="AZ447" s="26"/>
      <c r="BA447" s="26">
        <v>0</v>
      </c>
      <c r="BB447" s="26"/>
      <c r="BC447" s="26"/>
      <c r="BD447" s="26">
        <f t="shared" si="127"/>
        <v>0</v>
      </c>
      <c r="BE447" s="26"/>
      <c r="BF447" s="26">
        <v>0</v>
      </c>
      <c r="BG447" s="26"/>
      <c r="BH447" s="26"/>
    </row>
    <row r="448" spans="1:60" ht="35.65" customHeight="1" thickBot="1">
      <c r="A448" s="27"/>
      <c r="B448" s="42"/>
      <c r="C448" s="25"/>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52" t="s">
        <v>936</v>
      </c>
      <c r="AE448" s="26"/>
      <c r="AF448" s="26"/>
      <c r="AG448" s="26"/>
      <c r="AH448" s="26"/>
      <c r="AI448" s="26"/>
      <c r="AJ448" s="26"/>
      <c r="AK448" s="26"/>
      <c r="AL448" s="26"/>
      <c r="AM448" s="26"/>
      <c r="AN448" s="26"/>
      <c r="AO448" s="26">
        <f t="shared" si="124"/>
        <v>30000</v>
      </c>
      <c r="AP448" s="26"/>
      <c r="AQ448" s="26"/>
      <c r="AR448" s="26"/>
      <c r="AS448" s="26">
        <v>30000</v>
      </c>
      <c r="AT448" s="26"/>
      <c r="AU448" s="26"/>
      <c r="AV448" s="26"/>
      <c r="AW448" s="26"/>
      <c r="AX448" s="26"/>
      <c r="AY448" s="26"/>
      <c r="AZ448" s="26"/>
      <c r="BA448" s="26"/>
      <c r="BB448" s="26"/>
      <c r="BC448" s="26"/>
      <c r="BD448" s="26"/>
      <c r="BE448" s="26"/>
      <c r="BF448" s="26"/>
      <c r="BG448" s="26"/>
      <c r="BH448" s="26"/>
    </row>
    <row r="449" spans="1:60" ht="35.65" customHeight="1" thickBot="1">
      <c r="A449" s="27" t="s">
        <v>50</v>
      </c>
      <c r="B449" s="42"/>
      <c r="C449" s="25"/>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52" t="s">
        <v>937</v>
      </c>
      <c r="AE449" s="26">
        <f t="shared" si="131"/>
        <v>0</v>
      </c>
      <c r="AF449" s="26">
        <f t="shared" si="131"/>
        <v>0</v>
      </c>
      <c r="AG449" s="26"/>
      <c r="AH449" s="26"/>
      <c r="AI449" s="26"/>
      <c r="AJ449" s="26"/>
      <c r="AK449" s="26"/>
      <c r="AL449" s="26"/>
      <c r="AM449" s="26"/>
      <c r="AN449" s="26"/>
      <c r="AO449" s="26">
        <f t="shared" si="124"/>
        <v>0</v>
      </c>
      <c r="AP449" s="26"/>
      <c r="AQ449" s="26"/>
      <c r="AR449" s="26"/>
      <c r="AS449" s="26"/>
      <c r="AT449" s="26">
        <f t="shared" si="130"/>
        <v>0</v>
      </c>
      <c r="AU449" s="26"/>
      <c r="AV449" s="26"/>
      <c r="AW449" s="26"/>
      <c r="AX449" s="26"/>
      <c r="AY449" s="26">
        <f t="shared" si="126"/>
        <v>0</v>
      </c>
      <c r="AZ449" s="26"/>
      <c r="BA449" s="26"/>
      <c r="BB449" s="26"/>
      <c r="BC449" s="26"/>
      <c r="BD449" s="26">
        <f t="shared" si="127"/>
        <v>0</v>
      </c>
      <c r="BE449" s="26"/>
      <c r="BF449" s="26"/>
      <c r="BG449" s="26"/>
      <c r="BH449" s="26"/>
    </row>
    <row r="450" spans="1:60" ht="35.65" customHeight="1" thickBot="1">
      <c r="A450" s="27" t="s">
        <v>50</v>
      </c>
      <c r="B450" s="42"/>
      <c r="C450" s="25"/>
      <c r="D450" s="26"/>
      <c r="E450" s="26"/>
      <c r="F450" s="26"/>
      <c r="G450" s="26"/>
      <c r="H450" s="26"/>
      <c r="I450" s="26"/>
      <c r="J450" s="26"/>
      <c r="K450" s="26"/>
      <c r="L450" s="26"/>
      <c r="M450" s="26"/>
      <c r="N450" s="26"/>
      <c r="O450" s="26"/>
      <c r="P450" s="26"/>
      <c r="Q450" s="26"/>
      <c r="R450" s="26"/>
      <c r="S450" s="26"/>
      <c r="T450" s="26"/>
      <c r="U450" s="26"/>
      <c r="V450" s="26"/>
      <c r="W450" s="43" t="s">
        <v>304</v>
      </c>
      <c r="X450" s="26"/>
      <c r="Y450" s="26"/>
      <c r="Z450" s="26"/>
      <c r="AA450" s="26"/>
      <c r="AB450" s="26"/>
      <c r="AC450" s="26"/>
      <c r="AD450" s="52" t="s">
        <v>938</v>
      </c>
      <c r="AE450" s="26">
        <f t="shared" si="131"/>
        <v>800</v>
      </c>
      <c r="AF450" s="26">
        <f t="shared" si="131"/>
        <v>729.6</v>
      </c>
      <c r="AG450" s="26"/>
      <c r="AH450" s="26"/>
      <c r="AI450" s="26"/>
      <c r="AJ450" s="26"/>
      <c r="AK450" s="26"/>
      <c r="AL450" s="26"/>
      <c r="AM450" s="26">
        <v>800</v>
      </c>
      <c r="AN450" s="26">
        <v>729.6</v>
      </c>
      <c r="AO450" s="26">
        <f t="shared" si="124"/>
        <v>1224.3</v>
      </c>
      <c r="AP450" s="26"/>
      <c r="AQ450" s="26"/>
      <c r="AR450" s="26"/>
      <c r="AS450" s="26">
        <f>800+500-75.7</f>
        <v>1224.3</v>
      </c>
      <c r="AT450" s="26">
        <f t="shared" si="130"/>
        <v>800</v>
      </c>
      <c r="AU450" s="26"/>
      <c r="AV450" s="26"/>
      <c r="AW450" s="26"/>
      <c r="AX450" s="26">
        <v>800</v>
      </c>
      <c r="AY450" s="26">
        <f t="shared" si="126"/>
        <v>800</v>
      </c>
      <c r="AZ450" s="26"/>
      <c r="BA450" s="26"/>
      <c r="BB450" s="26"/>
      <c r="BC450" s="26">
        <v>800</v>
      </c>
      <c r="BD450" s="26">
        <f t="shared" si="127"/>
        <v>800</v>
      </c>
      <c r="BE450" s="26"/>
      <c r="BF450" s="26"/>
      <c r="BG450" s="26"/>
      <c r="BH450" s="26">
        <v>800</v>
      </c>
    </row>
    <row r="451" spans="1:60" ht="35.65" customHeight="1" thickBot="1">
      <c r="A451" s="27" t="s">
        <v>50</v>
      </c>
      <c r="B451" s="42"/>
      <c r="C451" s="25"/>
      <c r="D451" s="26"/>
      <c r="E451" s="26"/>
      <c r="F451" s="26"/>
      <c r="G451" s="26"/>
      <c r="H451" s="26"/>
      <c r="I451" s="26"/>
      <c r="J451" s="26"/>
      <c r="K451" s="26"/>
      <c r="L451" s="26"/>
      <c r="M451" s="26"/>
      <c r="N451" s="26"/>
      <c r="O451" s="26"/>
      <c r="P451" s="26"/>
      <c r="Q451" s="26"/>
      <c r="R451" s="26"/>
      <c r="S451" s="26"/>
      <c r="T451" s="26"/>
      <c r="U451" s="26"/>
      <c r="V451" s="26"/>
      <c r="W451" s="43" t="s">
        <v>304</v>
      </c>
      <c r="X451" s="26"/>
      <c r="Y451" s="26"/>
      <c r="Z451" s="26"/>
      <c r="AA451" s="26"/>
      <c r="AB451" s="26"/>
      <c r="AC451" s="26"/>
      <c r="AD451" s="52" t="s">
        <v>939</v>
      </c>
      <c r="AE451" s="26">
        <f t="shared" si="131"/>
        <v>0</v>
      </c>
      <c r="AF451" s="26">
        <f t="shared" si="131"/>
        <v>0</v>
      </c>
      <c r="AG451" s="26"/>
      <c r="AH451" s="26"/>
      <c r="AI451" s="26"/>
      <c r="AJ451" s="26"/>
      <c r="AK451" s="26"/>
      <c r="AL451" s="26"/>
      <c r="AM451" s="26"/>
      <c r="AN451" s="26"/>
      <c r="AO451" s="26">
        <f t="shared" si="124"/>
        <v>0</v>
      </c>
      <c r="AP451" s="26"/>
      <c r="AQ451" s="26"/>
      <c r="AR451" s="26"/>
      <c r="AS451" s="26"/>
      <c r="AT451" s="26">
        <f t="shared" si="130"/>
        <v>0</v>
      </c>
      <c r="AU451" s="26"/>
      <c r="AV451" s="26"/>
      <c r="AW451" s="26"/>
      <c r="AX451" s="26"/>
      <c r="AY451" s="26">
        <f t="shared" si="126"/>
        <v>0</v>
      </c>
      <c r="AZ451" s="26"/>
      <c r="BA451" s="26"/>
      <c r="BB451" s="26"/>
      <c r="BC451" s="26"/>
      <c r="BD451" s="26">
        <f t="shared" si="127"/>
        <v>0</v>
      </c>
      <c r="BE451" s="26"/>
      <c r="BF451" s="26"/>
      <c r="BG451" s="26"/>
      <c r="BH451" s="26"/>
    </row>
    <row r="452" spans="1:60" ht="35.65" customHeight="1" thickBot="1">
      <c r="A452" s="27" t="s">
        <v>50</v>
      </c>
      <c r="B452" s="42"/>
      <c r="C452" s="25"/>
      <c r="D452" s="26"/>
      <c r="E452" s="26"/>
      <c r="F452" s="26"/>
      <c r="G452" s="26"/>
      <c r="H452" s="26"/>
      <c r="I452" s="26"/>
      <c r="J452" s="26"/>
      <c r="K452" s="26"/>
      <c r="L452" s="26"/>
      <c r="M452" s="26"/>
      <c r="N452" s="26"/>
      <c r="O452" s="26"/>
      <c r="P452" s="26"/>
      <c r="Q452" s="26"/>
      <c r="R452" s="26"/>
      <c r="S452" s="26"/>
      <c r="T452" s="26"/>
      <c r="U452" s="26"/>
      <c r="V452" s="26"/>
      <c r="W452" s="43"/>
      <c r="X452" s="26"/>
      <c r="Y452" s="26"/>
      <c r="Z452" s="26"/>
      <c r="AA452" s="26"/>
      <c r="AB452" s="26"/>
      <c r="AC452" s="26"/>
      <c r="AD452" s="52" t="s">
        <v>940</v>
      </c>
      <c r="AE452" s="26">
        <f t="shared" si="131"/>
        <v>0</v>
      </c>
      <c r="AF452" s="26">
        <f t="shared" si="131"/>
        <v>0</v>
      </c>
      <c r="AG452" s="26"/>
      <c r="AH452" s="26"/>
      <c r="AI452" s="26"/>
      <c r="AJ452" s="26"/>
      <c r="AK452" s="26"/>
      <c r="AL452" s="26"/>
      <c r="AM452" s="26"/>
      <c r="AN452" s="26"/>
      <c r="AO452" s="26">
        <f t="shared" si="124"/>
        <v>0</v>
      </c>
      <c r="AP452" s="26"/>
      <c r="AQ452" s="26"/>
      <c r="AR452" s="26"/>
      <c r="AS452" s="26"/>
      <c r="AT452" s="26">
        <f t="shared" si="130"/>
        <v>0</v>
      </c>
      <c r="AU452" s="26"/>
      <c r="AV452" s="26"/>
      <c r="AW452" s="26"/>
      <c r="AX452" s="26"/>
      <c r="AY452" s="26">
        <f t="shared" si="126"/>
        <v>0</v>
      </c>
      <c r="AZ452" s="26"/>
      <c r="BA452" s="26"/>
      <c r="BB452" s="26"/>
      <c r="BC452" s="26"/>
      <c r="BD452" s="26">
        <f t="shared" si="127"/>
        <v>0</v>
      </c>
      <c r="BE452" s="26"/>
      <c r="BF452" s="26"/>
      <c r="BG452" s="26"/>
      <c r="BH452" s="26"/>
    </row>
    <row r="453" spans="1:60" ht="35.65" customHeight="1" thickBot="1">
      <c r="A453" s="27" t="s">
        <v>50</v>
      </c>
      <c r="B453" s="42"/>
      <c r="C453" s="25"/>
      <c r="D453" s="26"/>
      <c r="E453" s="26"/>
      <c r="F453" s="26"/>
      <c r="G453" s="26"/>
      <c r="H453" s="26"/>
      <c r="I453" s="26"/>
      <c r="J453" s="26"/>
      <c r="K453" s="26"/>
      <c r="L453" s="26"/>
      <c r="M453" s="26"/>
      <c r="N453" s="26"/>
      <c r="O453" s="26"/>
      <c r="P453" s="26"/>
      <c r="Q453" s="26"/>
      <c r="R453" s="26"/>
      <c r="S453" s="26"/>
      <c r="T453" s="26"/>
      <c r="U453" s="26"/>
      <c r="V453" s="26"/>
      <c r="W453" s="43" t="s">
        <v>304</v>
      </c>
      <c r="X453" s="26"/>
      <c r="Y453" s="26"/>
      <c r="Z453" s="26"/>
      <c r="AA453" s="26"/>
      <c r="AB453" s="26"/>
      <c r="AC453" s="26"/>
      <c r="AD453" s="52" t="s">
        <v>941</v>
      </c>
      <c r="AE453" s="26">
        <f t="shared" si="131"/>
        <v>0</v>
      </c>
      <c r="AF453" s="26">
        <f>AH453+AJ453+AL453+AN453</f>
        <v>0</v>
      </c>
      <c r="AG453" s="26"/>
      <c r="AH453" s="26"/>
      <c r="AI453" s="26"/>
      <c r="AJ453" s="26"/>
      <c r="AK453" s="26"/>
      <c r="AL453" s="26"/>
      <c r="AM453" s="26"/>
      <c r="AN453" s="26"/>
      <c r="AO453" s="26">
        <f t="shared" si="124"/>
        <v>0</v>
      </c>
      <c r="AP453" s="26"/>
      <c r="AQ453" s="26"/>
      <c r="AR453" s="26"/>
      <c r="AS453" s="26"/>
      <c r="AT453" s="26">
        <f t="shared" si="130"/>
        <v>0</v>
      </c>
      <c r="AU453" s="26"/>
      <c r="AV453" s="26"/>
      <c r="AW453" s="26"/>
      <c r="AX453" s="26"/>
      <c r="AY453" s="26">
        <f t="shared" si="126"/>
        <v>0</v>
      </c>
      <c r="AZ453" s="26"/>
      <c r="BA453" s="26"/>
      <c r="BB453" s="26"/>
      <c r="BC453" s="26"/>
      <c r="BD453" s="26">
        <f t="shared" si="127"/>
        <v>0</v>
      </c>
      <c r="BE453" s="26"/>
      <c r="BF453" s="26"/>
      <c r="BG453" s="26"/>
      <c r="BH453" s="26"/>
    </row>
    <row r="454" spans="1:60" ht="35.65" customHeight="1" thickBot="1">
      <c r="A454" s="27" t="s">
        <v>50</v>
      </c>
      <c r="B454" s="42"/>
      <c r="C454" s="43" t="s">
        <v>313</v>
      </c>
      <c r="D454" s="26"/>
      <c r="E454" s="26"/>
      <c r="F454" s="26"/>
      <c r="G454" s="26"/>
      <c r="H454" s="26"/>
      <c r="I454" s="26"/>
      <c r="J454" s="26"/>
      <c r="K454" s="26"/>
      <c r="L454" s="26"/>
      <c r="M454" s="26"/>
      <c r="N454" s="26"/>
      <c r="O454" s="26"/>
      <c r="P454" s="26"/>
      <c r="Q454" s="26"/>
      <c r="R454" s="26"/>
      <c r="S454" s="26"/>
      <c r="T454" s="26"/>
      <c r="U454" s="26"/>
      <c r="V454" s="26"/>
      <c r="W454" s="43" t="s">
        <v>314</v>
      </c>
      <c r="X454" s="26"/>
      <c r="Y454" s="26"/>
      <c r="Z454" s="43" t="s">
        <v>315</v>
      </c>
      <c r="AA454" s="43" t="s">
        <v>36</v>
      </c>
      <c r="AB454" s="43"/>
      <c r="AC454" s="43"/>
      <c r="AD454" s="52" t="s">
        <v>942</v>
      </c>
      <c r="AE454" s="26">
        <f t="shared" si="131"/>
        <v>0</v>
      </c>
      <c r="AF454" s="26">
        <f t="shared" si="131"/>
        <v>0</v>
      </c>
      <c r="AG454" s="26"/>
      <c r="AH454" s="26"/>
      <c r="AI454" s="26"/>
      <c r="AJ454" s="26"/>
      <c r="AK454" s="26"/>
      <c r="AL454" s="26"/>
      <c r="AM454" s="26"/>
      <c r="AN454" s="26"/>
      <c r="AO454" s="26">
        <f t="shared" si="124"/>
        <v>0</v>
      </c>
      <c r="AP454" s="26"/>
      <c r="AQ454" s="26"/>
      <c r="AR454" s="26"/>
      <c r="AS454" s="26"/>
      <c r="AT454" s="26">
        <f t="shared" si="130"/>
        <v>0</v>
      </c>
      <c r="AU454" s="26"/>
      <c r="AV454" s="26"/>
      <c r="AW454" s="26"/>
      <c r="AX454" s="26"/>
      <c r="AY454" s="26">
        <f t="shared" si="126"/>
        <v>0</v>
      </c>
      <c r="AZ454" s="26"/>
      <c r="BA454" s="26"/>
      <c r="BB454" s="26"/>
      <c r="BC454" s="26"/>
      <c r="BD454" s="26">
        <f t="shared" si="127"/>
        <v>0</v>
      </c>
      <c r="BE454" s="26"/>
      <c r="BF454" s="26"/>
      <c r="BG454" s="26"/>
      <c r="BH454" s="26"/>
    </row>
    <row r="455" spans="1:60" ht="35.65" customHeight="1" thickBot="1">
      <c r="A455" s="27" t="s">
        <v>50</v>
      </c>
      <c r="B455" s="42"/>
      <c r="C455" s="25"/>
      <c r="D455" s="26"/>
      <c r="E455" s="26"/>
      <c r="F455" s="26"/>
      <c r="G455" s="26"/>
      <c r="H455" s="26"/>
      <c r="I455" s="26"/>
      <c r="J455" s="26"/>
      <c r="K455" s="26"/>
      <c r="L455" s="26"/>
      <c r="M455" s="26"/>
      <c r="N455" s="26"/>
      <c r="O455" s="26"/>
      <c r="P455" s="26"/>
      <c r="Q455" s="26"/>
      <c r="R455" s="26"/>
      <c r="S455" s="26"/>
      <c r="T455" s="26"/>
      <c r="U455" s="26"/>
      <c r="V455" s="26"/>
      <c r="W455" s="43" t="s">
        <v>304</v>
      </c>
      <c r="X455" s="26"/>
      <c r="Y455" s="26"/>
      <c r="Z455" s="26"/>
      <c r="AA455" s="26"/>
      <c r="AB455" s="26"/>
      <c r="AC455" s="26"/>
      <c r="AD455" s="52" t="s">
        <v>943</v>
      </c>
      <c r="AE455" s="26">
        <f t="shared" si="131"/>
        <v>0</v>
      </c>
      <c r="AF455" s="26">
        <f t="shared" si="131"/>
        <v>0</v>
      </c>
      <c r="AG455" s="26"/>
      <c r="AH455" s="26"/>
      <c r="AI455" s="26"/>
      <c r="AJ455" s="26"/>
      <c r="AK455" s="26"/>
      <c r="AL455" s="26"/>
      <c r="AM455" s="26"/>
      <c r="AN455" s="26"/>
      <c r="AO455" s="26">
        <f t="shared" si="124"/>
        <v>0</v>
      </c>
      <c r="AP455" s="26"/>
      <c r="AQ455" s="26"/>
      <c r="AR455" s="26"/>
      <c r="AS455" s="26"/>
      <c r="AT455" s="26">
        <f t="shared" si="130"/>
        <v>0</v>
      </c>
      <c r="AU455" s="26"/>
      <c r="AV455" s="26"/>
      <c r="AW455" s="26"/>
      <c r="AX455" s="26"/>
      <c r="AY455" s="26">
        <f t="shared" si="126"/>
        <v>0</v>
      </c>
      <c r="AZ455" s="26"/>
      <c r="BA455" s="26"/>
      <c r="BB455" s="26"/>
      <c r="BC455" s="26"/>
      <c r="BD455" s="26">
        <f t="shared" si="127"/>
        <v>0</v>
      </c>
      <c r="BE455" s="26"/>
      <c r="BF455" s="26"/>
      <c r="BG455" s="26"/>
      <c r="BH455" s="26"/>
    </row>
    <row r="456" spans="1:60" ht="35.65" customHeight="1" thickBot="1">
      <c r="A456" s="27" t="s">
        <v>50</v>
      </c>
      <c r="B456" s="42"/>
      <c r="C456" s="25"/>
      <c r="D456" s="26"/>
      <c r="E456" s="26"/>
      <c r="F456" s="26"/>
      <c r="G456" s="26"/>
      <c r="H456" s="26"/>
      <c r="I456" s="26"/>
      <c r="J456" s="26"/>
      <c r="K456" s="26"/>
      <c r="L456" s="26"/>
      <c r="M456" s="26"/>
      <c r="N456" s="26"/>
      <c r="O456" s="26"/>
      <c r="P456" s="26"/>
      <c r="Q456" s="26"/>
      <c r="R456" s="26"/>
      <c r="S456" s="26"/>
      <c r="T456" s="26"/>
      <c r="U456" s="26"/>
      <c r="V456" s="26"/>
      <c r="W456" s="43"/>
      <c r="X456" s="26"/>
      <c r="Y456" s="26"/>
      <c r="Z456" s="26"/>
      <c r="AA456" s="26"/>
      <c r="AB456" s="26"/>
      <c r="AC456" s="26"/>
      <c r="AD456" s="52" t="s">
        <v>944</v>
      </c>
      <c r="AE456" s="26"/>
      <c r="AF456" s="26"/>
      <c r="AG456" s="26"/>
      <c r="AH456" s="26"/>
      <c r="AI456" s="26"/>
      <c r="AJ456" s="26"/>
      <c r="AK456" s="26"/>
      <c r="AL456" s="26"/>
      <c r="AM456" s="26"/>
      <c r="AN456" s="26"/>
      <c r="AO456" s="26">
        <f t="shared" si="124"/>
        <v>400</v>
      </c>
      <c r="AP456" s="26"/>
      <c r="AQ456" s="26"/>
      <c r="AR456" s="26"/>
      <c r="AS456" s="26">
        <f>600-200</f>
        <v>400</v>
      </c>
      <c r="AT456" s="26"/>
      <c r="AU456" s="26"/>
      <c r="AV456" s="26"/>
      <c r="AW456" s="26"/>
      <c r="AX456" s="26"/>
      <c r="AY456" s="26"/>
      <c r="AZ456" s="26"/>
      <c r="BA456" s="26"/>
      <c r="BB456" s="26"/>
      <c r="BC456" s="26"/>
      <c r="BD456" s="26"/>
      <c r="BE456" s="26"/>
      <c r="BF456" s="26"/>
      <c r="BG456" s="26"/>
      <c r="BH456" s="26"/>
    </row>
    <row r="457" spans="1:60" ht="35.65" customHeight="1" thickBot="1">
      <c r="A457" s="27" t="s">
        <v>50</v>
      </c>
      <c r="B457" s="42"/>
      <c r="C457" s="25"/>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52" t="s">
        <v>897</v>
      </c>
      <c r="AE457" s="26">
        <f t="shared" si="131"/>
        <v>0</v>
      </c>
      <c r="AF457" s="26">
        <f t="shared" si="131"/>
        <v>0</v>
      </c>
      <c r="AG457" s="26"/>
      <c r="AH457" s="26"/>
      <c r="AI457" s="26"/>
      <c r="AJ457" s="26"/>
      <c r="AK457" s="26"/>
      <c r="AL457" s="26"/>
      <c r="AM457" s="26"/>
      <c r="AN457" s="26"/>
      <c r="AO457" s="26">
        <f t="shared" si="124"/>
        <v>0</v>
      </c>
      <c r="AP457" s="26"/>
      <c r="AQ457" s="26"/>
      <c r="AR457" s="26"/>
      <c r="AS457" s="26"/>
      <c r="AT457" s="26">
        <f t="shared" si="130"/>
        <v>0</v>
      </c>
      <c r="AU457" s="26"/>
      <c r="AV457" s="26"/>
      <c r="AW457" s="26"/>
      <c r="AX457" s="26"/>
      <c r="AY457" s="26">
        <f t="shared" si="126"/>
        <v>0</v>
      </c>
      <c r="AZ457" s="26"/>
      <c r="BA457" s="26"/>
      <c r="BB457" s="26"/>
      <c r="BC457" s="26"/>
      <c r="BD457" s="26">
        <f t="shared" si="127"/>
        <v>0</v>
      </c>
      <c r="BE457" s="26"/>
      <c r="BF457" s="26"/>
      <c r="BG457" s="26"/>
      <c r="BH457" s="26"/>
    </row>
    <row r="458" spans="1:60" ht="35.65" customHeight="1" thickBot="1">
      <c r="A458" s="27" t="s">
        <v>50</v>
      </c>
      <c r="B458" s="42"/>
      <c r="C458" s="25"/>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52" t="s">
        <v>945</v>
      </c>
      <c r="AE458" s="26">
        <f t="shared" si="131"/>
        <v>0</v>
      </c>
      <c r="AF458" s="26">
        <f t="shared" si="131"/>
        <v>0</v>
      </c>
      <c r="AG458" s="26"/>
      <c r="AH458" s="26"/>
      <c r="AI458" s="26"/>
      <c r="AJ458" s="26"/>
      <c r="AK458" s="26"/>
      <c r="AL458" s="26"/>
      <c r="AM458" s="26"/>
      <c r="AN458" s="26"/>
      <c r="AO458" s="26">
        <f t="shared" si="124"/>
        <v>0</v>
      </c>
      <c r="AP458" s="26"/>
      <c r="AQ458" s="26"/>
      <c r="AR458" s="26"/>
      <c r="AS458" s="26"/>
      <c r="AT458" s="26">
        <f t="shared" si="130"/>
        <v>0</v>
      </c>
      <c r="AU458" s="26"/>
      <c r="AV458" s="26"/>
      <c r="AW458" s="26"/>
      <c r="AX458" s="26"/>
      <c r="AY458" s="26">
        <f t="shared" si="126"/>
        <v>0</v>
      </c>
      <c r="AZ458" s="26"/>
      <c r="BA458" s="26"/>
      <c r="BB458" s="26"/>
      <c r="BC458" s="26"/>
      <c r="BD458" s="26">
        <f t="shared" si="127"/>
        <v>0</v>
      </c>
      <c r="BE458" s="26"/>
      <c r="BF458" s="26"/>
      <c r="BG458" s="26"/>
      <c r="BH458" s="26"/>
    </row>
    <row r="459" spans="1:60" ht="35.65" customHeight="1" thickBot="1">
      <c r="A459" s="27" t="s">
        <v>50</v>
      </c>
      <c r="B459" s="42"/>
      <c r="C459" s="25"/>
      <c r="D459" s="26"/>
      <c r="E459" s="26"/>
      <c r="F459" s="26"/>
      <c r="G459" s="26"/>
      <c r="H459" s="26"/>
      <c r="I459" s="26"/>
      <c r="J459" s="26"/>
      <c r="K459" s="26"/>
      <c r="L459" s="26"/>
      <c r="M459" s="26"/>
      <c r="N459" s="26"/>
      <c r="O459" s="26"/>
      <c r="P459" s="26"/>
      <c r="Q459" s="26"/>
      <c r="R459" s="26"/>
      <c r="S459" s="26"/>
      <c r="T459" s="26"/>
      <c r="U459" s="26"/>
      <c r="V459" s="26"/>
      <c r="W459" s="43" t="s">
        <v>304</v>
      </c>
      <c r="X459" s="26"/>
      <c r="Y459" s="26"/>
      <c r="Z459" s="26"/>
      <c r="AA459" s="26"/>
      <c r="AB459" s="26"/>
      <c r="AC459" s="26"/>
      <c r="AD459" s="52" t="s">
        <v>946</v>
      </c>
      <c r="AE459" s="26">
        <f t="shared" si="131"/>
        <v>0</v>
      </c>
      <c r="AF459" s="26">
        <f t="shared" si="131"/>
        <v>0</v>
      </c>
      <c r="AG459" s="26"/>
      <c r="AH459" s="26"/>
      <c r="AI459" s="26"/>
      <c r="AJ459" s="26"/>
      <c r="AK459" s="26"/>
      <c r="AL459" s="26"/>
      <c r="AM459" s="26"/>
      <c r="AN459" s="26"/>
      <c r="AO459" s="26">
        <f t="shared" si="124"/>
        <v>0</v>
      </c>
      <c r="AP459" s="26"/>
      <c r="AQ459" s="26"/>
      <c r="AR459" s="26"/>
      <c r="AS459" s="26"/>
      <c r="AT459" s="26">
        <f t="shared" si="130"/>
        <v>0</v>
      </c>
      <c r="AU459" s="26"/>
      <c r="AV459" s="26"/>
      <c r="AW459" s="26"/>
      <c r="AX459" s="26"/>
      <c r="AY459" s="26">
        <f t="shared" si="126"/>
        <v>0</v>
      </c>
      <c r="AZ459" s="26"/>
      <c r="BA459" s="26"/>
      <c r="BB459" s="26"/>
      <c r="BC459" s="26"/>
      <c r="BD459" s="26">
        <f t="shared" si="127"/>
        <v>0</v>
      </c>
      <c r="BE459" s="26"/>
      <c r="BF459" s="26"/>
      <c r="BG459" s="26"/>
      <c r="BH459" s="26"/>
    </row>
    <row r="460" spans="1:60" ht="35.65" customHeight="1" thickBot="1">
      <c r="A460" s="27" t="s">
        <v>50</v>
      </c>
      <c r="B460" s="42"/>
      <c r="C460" s="25"/>
      <c r="D460" s="26"/>
      <c r="E460" s="26"/>
      <c r="F460" s="26"/>
      <c r="G460" s="26"/>
      <c r="H460" s="26"/>
      <c r="I460" s="26"/>
      <c r="J460" s="26"/>
      <c r="K460" s="26"/>
      <c r="L460" s="26"/>
      <c r="M460" s="26"/>
      <c r="N460" s="26"/>
      <c r="O460" s="26"/>
      <c r="P460" s="26"/>
      <c r="Q460" s="26"/>
      <c r="R460" s="26"/>
      <c r="S460" s="26"/>
      <c r="T460" s="26"/>
      <c r="U460" s="26"/>
      <c r="V460" s="26"/>
      <c r="W460" s="43"/>
      <c r="X460" s="26"/>
      <c r="Y460" s="26"/>
      <c r="Z460" s="26"/>
      <c r="AA460" s="26"/>
      <c r="AB460" s="26"/>
      <c r="AC460" s="26"/>
      <c r="AD460" s="52" t="s">
        <v>947</v>
      </c>
      <c r="AE460" s="26">
        <f t="shared" si="131"/>
        <v>3052.5</v>
      </c>
      <c r="AF460" s="26">
        <f t="shared" si="131"/>
        <v>3052.5</v>
      </c>
      <c r="AG460" s="26"/>
      <c r="AH460" s="26"/>
      <c r="AI460" s="26"/>
      <c r="AJ460" s="26"/>
      <c r="AK460" s="26"/>
      <c r="AL460" s="26"/>
      <c r="AM460" s="26">
        <f>1000+1000+600+887.3-100-334.8</f>
        <v>3052.5</v>
      </c>
      <c r="AN460" s="26">
        <v>3052.5</v>
      </c>
      <c r="AO460" s="26">
        <f t="shared" si="124"/>
        <v>9244</v>
      </c>
      <c r="AP460" s="26"/>
      <c r="AQ460" s="26"/>
      <c r="AR460" s="26"/>
      <c r="AS460" s="26">
        <f>3000+7500-456.6-799.4</f>
        <v>9244</v>
      </c>
      <c r="AT460" s="26">
        <f t="shared" si="130"/>
        <v>3000</v>
      </c>
      <c r="AU460" s="26"/>
      <c r="AV460" s="26"/>
      <c r="AW460" s="26"/>
      <c r="AX460" s="26">
        <v>3000</v>
      </c>
      <c r="AY460" s="26">
        <f t="shared" si="126"/>
        <v>3000</v>
      </c>
      <c r="AZ460" s="26"/>
      <c r="BA460" s="26"/>
      <c r="BB460" s="26"/>
      <c r="BC460" s="26">
        <v>3000</v>
      </c>
      <c r="BD460" s="26">
        <f t="shared" si="127"/>
        <v>3000</v>
      </c>
      <c r="BE460" s="26"/>
      <c r="BF460" s="26"/>
      <c r="BG460" s="26"/>
      <c r="BH460" s="26">
        <v>3000</v>
      </c>
    </row>
    <row r="461" spans="1:60" ht="35.65" customHeight="1" thickBot="1">
      <c r="A461" s="27" t="s">
        <v>50</v>
      </c>
      <c r="B461" s="42"/>
      <c r="C461" s="25"/>
      <c r="D461" s="26"/>
      <c r="E461" s="26"/>
      <c r="F461" s="26"/>
      <c r="G461" s="26"/>
      <c r="H461" s="26"/>
      <c r="I461" s="26"/>
      <c r="J461" s="26"/>
      <c r="K461" s="26"/>
      <c r="L461" s="26"/>
      <c r="M461" s="26"/>
      <c r="N461" s="26"/>
      <c r="O461" s="26"/>
      <c r="P461" s="26"/>
      <c r="Q461" s="26"/>
      <c r="R461" s="26"/>
      <c r="S461" s="26"/>
      <c r="T461" s="26"/>
      <c r="U461" s="26"/>
      <c r="V461" s="26"/>
      <c r="W461" s="43"/>
      <c r="X461" s="26"/>
      <c r="Y461" s="26"/>
      <c r="Z461" s="26"/>
      <c r="AA461" s="26"/>
      <c r="AB461" s="26"/>
      <c r="AC461" s="26"/>
      <c r="AD461" s="52" t="s">
        <v>948</v>
      </c>
      <c r="AE461" s="26">
        <f t="shared" si="131"/>
        <v>835.69999999999982</v>
      </c>
      <c r="AF461" s="26">
        <f t="shared" si="131"/>
        <v>835.7</v>
      </c>
      <c r="AG461" s="26"/>
      <c r="AH461" s="26"/>
      <c r="AI461" s="26"/>
      <c r="AJ461" s="26"/>
      <c r="AK461" s="26"/>
      <c r="AL461" s="26"/>
      <c r="AM461" s="26">
        <f>3000-2164.3</f>
        <v>835.69999999999982</v>
      </c>
      <c r="AN461" s="26">
        <v>835.7</v>
      </c>
      <c r="AO461" s="26">
        <f t="shared" si="124"/>
        <v>0</v>
      </c>
      <c r="AP461" s="26"/>
      <c r="AQ461" s="26"/>
      <c r="AR461" s="26"/>
      <c r="AS461" s="26"/>
      <c r="AT461" s="26">
        <f t="shared" si="130"/>
        <v>0</v>
      </c>
      <c r="AU461" s="26"/>
      <c r="AV461" s="26"/>
      <c r="AW461" s="26"/>
      <c r="AX461" s="26"/>
      <c r="AY461" s="26">
        <f t="shared" si="126"/>
        <v>0</v>
      </c>
      <c r="AZ461" s="26"/>
      <c r="BA461" s="26"/>
      <c r="BB461" s="26"/>
      <c r="BC461" s="26"/>
      <c r="BD461" s="26">
        <f t="shared" si="127"/>
        <v>0</v>
      </c>
      <c r="BE461" s="26"/>
      <c r="BF461" s="26"/>
      <c r="BG461" s="26"/>
      <c r="BH461" s="26"/>
    </row>
    <row r="462" spans="1:60" ht="35.65" customHeight="1" thickBot="1">
      <c r="A462" s="27" t="s">
        <v>50</v>
      </c>
      <c r="B462" s="42"/>
      <c r="C462" s="25"/>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52" t="s">
        <v>949</v>
      </c>
      <c r="AE462" s="26">
        <f t="shared" si="131"/>
        <v>0</v>
      </c>
      <c r="AF462" s="26">
        <f t="shared" si="131"/>
        <v>0</v>
      </c>
      <c r="AG462" s="26"/>
      <c r="AH462" s="26"/>
      <c r="AI462" s="26"/>
      <c r="AJ462" s="26"/>
      <c r="AK462" s="26"/>
      <c r="AL462" s="26"/>
      <c r="AM462" s="26"/>
      <c r="AN462" s="26"/>
      <c r="AO462" s="26">
        <f t="shared" si="124"/>
        <v>0</v>
      </c>
      <c r="AP462" s="26"/>
      <c r="AQ462" s="26"/>
      <c r="AR462" s="26"/>
      <c r="AS462" s="26"/>
      <c r="AT462" s="26">
        <f t="shared" si="130"/>
        <v>0</v>
      </c>
      <c r="AU462" s="26"/>
      <c r="AV462" s="26"/>
      <c r="AW462" s="26"/>
      <c r="AX462" s="26"/>
      <c r="AY462" s="26">
        <f t="shared" si="126"/>
        <v>0</v>
      </c>
      <c r="AZ462" s="26"/>
      <c r="BA462" s="26"/>
      <c r="BB462" s="26"/>
      <c r="BC462" s="26"/>
      <c r="BD462" s="26">
        <f t="shared" si="127"/>
        <v>0</v>
      </c>
      <c r="BE462" s="26"/>
      <c r="BF462" s="26"/>
      <c r="BG462" s="26"/>
      <c r="BH462" s="26"/>
    </row>
    <row r="463" spans="1:60" ht="35.65" customHeight="1" thickBot="1">
      <c r="A463" s="27" t="s">
        <v>50</v>
      </c>
      <c r="B463" s="42"/>
      <c r="C463" s="25"/>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52" t="s">
        <v>950</v>
      </c>
      <c r="AE463" s="26">
        <f t="shared" si="131"/>
        <v>0</v>
      </c>
      <c r="AF463" s="26">
        <f t="shared" si="131"/>
        <v>0</v>
      </c>
      <c r="AG463" s="26"/>
      <c r="AH463" s="26"/>
      <c r="AI463" s="26"/>
      <c r="AJ463" s="26"/>
      <c r="AK463" s="26"/>
      <c r="AL463" s="26"/>
      <c r="AM463" s="26"/>
      <c r="AN463" s="26"/>
      <c r="AO463" s="26">
        <f t="shared" si="124"/>
        <v>0</v>
      </c>
      <c r="AP463" s="26"/>
      <c r="AQ463" s="26"/>
      <c r="AR463" s="26"/>
      <c r="AS463" s="26"/>
      <c r="AT463" s="26">
        <f t="shared" si="130"/>
        <v>0</v>
      </c>
      <c r="AU463" s="26"/>
      <c r="AV463" s="26"/>
      <c r="AW463" s="26"/>
      <c r="AX463" s="26"/>
      <c r="AY463" s="26">
        <f t="shared" si="126"/>
        <v>0</v>
      </c>
      <c r="AZ463" s="26"/>
      <c r="BA463" s="26"/>
      <c r="BB463" s="26"/>
      <c r="BC463" s="26"/>
      <c r="BD463" s="26">
        <f t="shared" si="127"/>
        <v>0</v>
      </c>
      <c r="BE463" s="26"/>
      <c r="BF463" s="26"/>
      <c r="BG463" s="26"/>
      <c r="BH463" s="26"/>
    </row>
    <row r="464" spans="1:60" ht="35.65" customHeight="1" thickBot="1">
      <c r="A464" s="27" t="s">
        <v>50</v>
      </c>
      <c r="B464" s="42"/>
      <c r="C464" s="25"/>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52" t="s">
        <v>951</v>
      </c>
      <c r="AE464" s="26">
        <f t="shared" si="131"/>
        <v>0</v>
      </c>
      <c r="AF464" s="26">
        <f>AH464+AJ464+AL464+AN464</f>
        <v>0</v>
      </c>
      <c r="AG464" s="26"/>
      <c r="AH464" s="26"/>
      <c r="AI464" s="26"/>
      <c r="AJ464" s="26"/>
      <c r="AK464" s="26"/>
      <c r="AL464" s="26"/>
      <c r="AM464" s="26"/>
      <c r="AN464" s="26"/>
      <c r="AO464" s="26">
        <f t="shared" si="124"/>
        <v>0</v>
      </c>
      <c r="AP464" s="26"/>
      <c r="AQ464" s="26"/>
      <c r="AR464" s="26"/>
      <c r="AS464" s="26"/>
      <c r="AT464" s="26">
        <f t="shared" si="130"/>
        <v>0</v>
      </c>
      <c r="AU464" s="26"/>
      <c r="AV464" s="26"/>
      <c r="AW464" s="26"/>
      <c r="AX464" s="26"/>
      <c r="AY464" s="26">
        <f t="shared" si="126"/>
        <v>0</v>
      </c>
      <c r="AZ464" s="26"/>
      <c r="BA464" s="26"/>
      <c r="BB464" s="26"/>
      <c r="BC464" s="26"/>
      <c r="BD464" s="26">
        <f t="shared" si="127"/>
        <v>0</v>
      </c>
      <c r="BE464" s="26"/>
      <c r="BF464" s="26"/>
      <c r="BG464" s="26"/>
      <c r="BH464" s="26"/>
    </row>
    <row r="465" spans="1:60" ht="35.65" customHeight="1" thickBot="1">
      <c r="A465" s="27" t="s">
        <v>50</v>
      </c>
      <c r="B465" s="42"/>
      <c r="C465" s="25"/>
      <c r="D465" s="26"/>
      <c r="E465" s="26"/>
      <c r="F465" s="26"/>
      <c r="G465" s="26"/>
      <c r="H465" s="26"/>
      <c r="I465" s="26"/>
      <c r="J465" s="26"/>
      <c r="K465" s="26"/>
      <c r="L465" s="26"/>
      <c r="M465" s="26"/>
      <c r="N465" s="26"/>
      <c r="O465" s="26"/>
      <c r="P465" s="26"/>
      <c r="Q465" s="26"/>
      <c r="R465" s="26"/>
      <c r="S465" s="26"/>
      <c r="T465" s="26"/>
      <c r="U465" s="26"/>
      <c r="V465" s="26"/>
      <c r="W465" s="43" t="s">
        <v>304</v>
      </c>
      <c r="X465" s="26"/>
      <c r="Y465" s="26"/>
      <c r="Z465" s="26"/>
      <c r="AA465" s="26"/>
      <c r="AB465" s="26"/>
      <c r="AC465" s="26"/>
      <c r="AD465" s="52" t="s">
        <v>952</v>
      </c>
      <c r="AE465" s="26">
        <f t="shared" si="131"/>
        <v>0</v>
      </c>
      <c r="AF465" s="26">
        <f t="shared" si="131"/>
        <v>0</v>
      </c>
      <c r="AG465" s="26"/>
      <c r="AH465" s="26"/>
      <c r="AI465" s="26"/>
      <c r="AJ465" s="26"/>
      <c r="AK465" s="26"/>
      <c r="AL465" s="26"/>
      <c r="AM465" s="26"/>
      <c r="AN465" s="26"/>
      <c r="AO465" s="26">
        <f t="shared" si="124"/>
        <v>0</v>
      </c>
      <c r="AP465" s="26"/>
      <c r="AQ465" s="26"/>
      <c r="AR465" s="26"/>
      <c r="AS465" s="26"/>
      <c r="AT465" s="26">
        <f t="shared" si="130"/>
        <v>0</v>
      </c>
      <c r="AU465" s="26"/>
      <c r="AV465" s="26"/>
      <c r="AW465" s="26"/>
      <c r="AX465" s="26"/>
      <c r="AY465" s="26">
        <f t="shared" si="126"/>
        <v>0</v>
      </c>
      <c r="AZ465" s="26"/>
      <c r="BA465" s="26"/>
      <c r="BB465" s="26"/>
      <c r="BC465" s="26"/>
      <c r="BD465" s="26">
        <f t="shared" si="127"/>
        <v>0</v>
      </c>
      <c r="BE465" s="26"/>
      <c r="BF465" s="26"/>
      <c r="BG465" s="26"/>
      <c r="BH465" s="26"/>
    </row>
    <row r="466" spans="1:60" ht="35.65" customHeight="1" thickBot="1">
      <c r="A466" s="27" t="s">
        <v>50</v>
      </c>
      <c r="B466" s="42"/>
      <c r="C466" s="25"/>
      <c r="D466" s="26"/>
      <c r="E466" s="26"/>
      <c r="F466" s="26"/>
      <c r="G466" s="26"/>
      <c r="H466" s="26"/>
      <c r="I466" s="26"/>
      <c r="J466" s="26"/>
      <c r="K466" s="26"/>
      <c r="L466" s="26"/>
      <c r="M466" s="26"/>
      <c r="N466" s="26"/>
      <c r="O466" s="26"/>
      <c r="P466" s="26"/>
      <c r="Q466" s="26"/>
      <c r="R466" s="26"/>
      <c r="S466" s="26"/>
      <c r="T466" s="26"/>
      <c r="U466" s="26"/>
      <c r="V466" s="26"/>
      <c r="W466" s="43"/>
      <c r="X466" s="26"/>
      <c r="Y466" s="26"/>
      <c r="Z466" s="26"/>
      <c r="AA466" s="26"/>
      <c r="AB466" s="26"/>
      <c r="AC466" s="26"/>
      <c r="AD466" s="52" t="s">
        <v>953</v>
      </c>
      <c r="AE466" s="26"/>
      <c r="AF466" s="26"/>
      <c r="AG466" s="26"/>
      <c r="AH466" s="26"/>
      <c r="AI466" s="26"/>
      <c r="AJ466" s="26"/>
      <c r="AK466" s="26"/>
      <c r="AL466" s="26"/>
      <c r="AM466" s="26"/>
      <c r="AN466" s="26"/>
      <c r="AO466" s="26">
        <f t="shared" si="124"/>
        <v>600</v>
      </c>
      <c r="AP466" s="26"/>
      <c r="AQ466" s="26"/>
      <c r="AR466" s="26"/>
      <c r="AS466" s="26">
        <f>400+200</f>
        <v>600</v>
      </c>
      <c r="AT466" s="26"/>
      <c r="AU466" s="26"/>
      <c r="AV466" s="26"/>
      <c r="AW466" s="26"/>
      <c r="AX466" s="26"/>
      <c r="AY466" s="26"/>
      <c r="AZ466" s="26"/>
      <c r="BA466" s="26"/>
      <c r="BB466" s="26"/>
      <c r="BC466" s="26"/>
      <c r="BD466" s="26"/>
      <c r="BE466" s="26"/>
      <c r="BF466" s="26"/>
      <c r="BG466" s="26"/>
      <c r="BH466" s="26"/>
    </row>
    <row r="467" spans="1:60" ht="35.65" customHeight="1" thickBot="1">
      <c r="A467" s="27" t="s">
        <v>50</v>
      </c>
      <c r="B467" s="42"/>
      <c r="C467" s="25"/>
      <c r="D467" s="26"/>
      <c r="E467" s="26"/>
      <c r="F467" s="26"/>
      <c r="G467" s="26"/>
      <c r="H467" s="26"/>
      <c r="I467" s="26"/>
      <c r="J467" s="26"/>
      <c r="K467" s="26"/>
      <c r="L467" s="26"/>
      <c r="M467" s="26"/>
      <c r="N467" s="26"/>
      <c r="O467" s="26"/>
      <c r="P467" s="26"/>
      <c r="Q467" s="26"/>
      <c r="R467" s="26"/>
      <c r="S467" s="26"/>
      <c r="T467" s="26"/>
      <c r="U467" s="26"/>
      <c r="V467" s="26"/>
      <c r="W467" s="43"/>
      <c r="X467" s="26"/>
      <c r="Y467" s="26"/>
      <c r="Z467" s="26"/>
      <c r="AA467" s="26"/>
      <c r="AB467" s="26"/>
      <c r="AC467" s="26"/>
      <c r="AD467" s="52" t="s">
        <v>954</v>
      </c>
      <c r="AE467" s="26"/>
      <c r="AF467" s="26"/>
      <c r="AG467" s="26"/>
      <c r="AH467" s="26"/>
      <c r="AI467" s="26"/>
      <c r="AJ467" s="26"/>
      <c r="AK467" s="26"/>
      <c r="AL467" s="26"/>
      <c r="AM467" s="26"/>
      <c r="AN467" s="26"/>
      <c r="AO467" s="26">
        <f t="shared" si="124"/>
        <v>0</v>
      </c>
      <c r="AP467" s="26"/>
      <c r="AQ467" s="26">
        <f>2493.7-2493.7</f>
        <v>0</v>
      </c>
      <c r="AR467" s="26"/>
      <c r="AS467" s="26"/>
      <c r="AT467" s="26"/>
      <c r="AU467" s="26"/>
      <c r="AV467" s="26"/>
      <c r="AW467" s="26"/>
      <c r="AX467" s="26"/>
      <c r="AY467" s="26"/>
      <c r="AZ467" s="26"/>
      <c r="BA467" s="26"/>
      <c r="BB467" s="26"/>
      <c r="BC467" s="26"/>
      <c r="BD467" s="26"/>
      <c r="BE467" s="26"/>
      <c r="BF467" s="26"/>
      <c r="BG467" s="26"/>
      <c r="BH467" s="26"/>
    </row>
    <row r="468" spans="1:60" ht="35.65" customHeight="1" thickBot="1">
      <c r="A468" s="27" t="s">
        <v>50</v>
      </c>
      <c r="B468" s="42"/>
      <c r="C468" s="25"/>
      <c r="D468" s="26"/>
      <c r="E468" s="26"/>
      <c r="F468" s="26"/>
      <c r="G468" s="26"/>
      <c r="H468" s="26"/>
      <c r="I468" s="26"/>
      <c r="J468" s="26"/>
      <c r="K468" s="26"/>
      <c r="L468" s="26"/>
      <c r="M468" s="26"/>
      <c r="N468" s="26"/>
      <c r="O468" s="26"/>
      <c r="P468" s="26"/>
      <c r="Q468" s="26"/>
      <c r="R468" s="26"/>
      <c r="S468" s="26"/>
      <c r="T468" s="26"/>
      <c r="U468" s="26"/>
      <c r="V468" s="26"/>
      <c r="W468" s="43"/>
      <c r="X468" s="26"/>
      <c r="Y468" s="26"/>
      <c r="Z468" s="26"/>
      <c r="AA468" s="26"/>
      <c r="AB468" s="26"/>
      <c r="AC468" s="26"/>
      <c r="AD468" s="52" t="s">
        <v>955</v>
      </c>
      <c r="AE468" s="26"/>
      <c r="AF468" s="26"/>
      <c r="AG468" s="26"/>
      <c r="AH468" s="26"/>
      <c r="AI468" s="26"/>
      <c r="AJ468" s="26"/>
      <c r="AK468" s="26"/>
      <c r="AL468" s="26"/>
      <c r="AM468" s="26"/>
      <c r="AN468" s="26"/>
      <c r="AO468" s="26">
        <f t="shared" si="124"/>
        <v>0</v>
      </c>
      <c r="AP468" s="26"/>
      <c r="AQ468" s="26"/>
      <c r="AR468" s="26"/>
      <c r="AS468" s="26">
        <f>30.3-30.3</f>
        <v>0</v>
      </c>
      <c r="AT468" s="26"/>
      <c r="AU468" s="26"/>
      <c r="AV468" s="26"/>
      <c r="AW468" s="26"/>
      <c r="AX468" s="26"/>
      <c r="AY468" s="26"/>
      <c r="AZ468" s="26"/>
      <c r="BA468" s="26"/>
      <c r="BB468" s="26"/>
      <c r="BC468" s="26"/>
      <c r="BD468" s="26"/>
      <c r="BE468" s="26"/>
      <c r="BF468" s="26"/>
      <c r="BG468" s="26"/>
      <c r="BH468" s="26"/>
    </row>
    <row r="469" spans="1:60" ht="35.65" customHeight="1" thickBot="1">
      <c r="A469" s="27" t="s">
        <v>50</v>
      </c>
      <c r="B469" s="42"/>
      <c r="C469" s="25"/>
      <c r="D469" s="26"/>
      <c r="E469" s="26"/>
      <c r="F469" s="26"/>
      <c r="G469" s="26"/>
      <c r="H469" s="26"/>
      <c r="I469" s="26"/>
      <c r="J469" s="26"/>
      <c r="K469" s="26"/>
      <c r="L469" s="26"/>
      <c r="M469" s="26"/>
      <c r="N469" s="26"/>
      <c r="O469" s="26"/>
      <c r="P469" s="26"/>
      <c r="Q469" s="26"/>
      <c r="R469" s="26"/>
      <c r="S469" s="26"/>
      <c r="T469" s="26"/>
      <c r="U469" s="26"/>
      <c r="V469" s="26"/>
      <c r="W469" s="43"/>
      <c r="X469" s="26"/>
      <c r="Y469" s="26"/>
      <c r="Z469" s="26"/>
      <c r="AA469" s="26"/>
      <c r="AB469" s="26"/>
      <c r="AC469" s="26"/>
      <c r="AD469" s="52" t="s">
        <v>956</v>
      </c>
      <c r="AE469" s="26"/>
      <c r="AF469" s="26"/>
      <c r="AG469" s="26"/>
      <c r="AH469" s="26"/>
      <c r="AI469" s="26"/>
      <c r="AJ469" s="26"/>
      <c r="AK469" s="26"/>
      <c r="AL469" s="26"/>
      <c r="AM469" s="26"/>
      <c r="AN469" s="26"/>
      <c r="AO469" s="26">
        <f t="shared" si="124"/>
        <v>2493.6999999999998</v>
      </c>
      <c r="AP469" s="26"/>
      <c r="AQ469" s="26">
        <v>2493.6999999999998</v>
      </c>
      <c r="AR469" s="26"/>
      <c r="AS469" s="26"/>
      <c r="AT469" s="26"/>
      <c r="AU469" s="26"/>
      <c r="AV469" s="26"/>
      <c r="AW469" s="26"/>
      <c r="AX469" s="26"/>
      <c r="AY469" s="26"/>
      <c r="AZ469" s="26"/>
      <c r="BA469" s="26"/>
      <c r="BB469" s="26"/>
      <c r="BC469" s="26"/>
      <c r="BD469" s="26"/>
      <c r="BE469" s="26"/>
      <c r="BF469" s="26"/>
      <c r="BG469" s="26"/>
      <c r="BH469" s="26"/>
    </row>
    <row r="470" spans="1:60" ht="35.65" customHeight="1" thickBot="1">
      <c r="A470" s="27" t="s">
        <v>50</v>
      </c>
      <c r="B470" s="42"/>
      <c r="C470" s="25"/>
      <c r="D470" s="26"/>
      <c r="E470" s="26"/>
      <c r="F470" s="26"/>
      <c r="G470" s="26"/>
      <c r="H470" s="26"/>
      <c r="I470" s="26"/>
      <c r="J470" s="26"/>
      <c r="K470" s="26"/>
      <c r="L470" s="26"/>
      <c r="M470" s="26"/>
      <c r="N470" s="26"/>
      <c r="O470" s="26"/>
      <c r="P470" s="26"/>
      <c r="Q470" s="26"/>
      <c r="R470" s="26"/>
      <c r="S470" s="26"/>
      <c r="T470" s="26"/>
      <c r="U470" s="26"/>
      <c r="V470" s="26"/>
      <c r="W470" s="43"/>
      <c r="X470" s="26"/>
      <c r="Y470" s="26"/>
      <c r="Z470" s="26"/>
      <c r="AA470" s="26"/>
      <c r="AB470" s="26"/>
      <c r="AC470" s="26"/>
      <c r="AD470" s="52" t="s">
        <v>957</v>
      </c>
      <c r="AE470" s="26"/>
      <c r="AF470" s="26"/>
      <c r="AG470" s="26"/>
      <c r="AH470" s="26"/>
      <c r="AI470" s="26"/>
      <c r="AJ470" s="26"/>
      <c r="AK470" s="26"/>
      <c r="AL470" s="26"/>
      <c r="AM470" s="26"/>
      <c r="AN470" s="26"/>
      <c r="AO470" s="26">
        <f t="shared" si="124"/>
        <v>30.3</v>
      </c>
      <c r="AP470" s="26"/>
      <c r="AQ470" s="26"/>
      <c r="AR470" s="26"/>
      <c r="AS470" s="26">
        <v>30.3</v>
      </c>
      <c r="AT470" s="26"/>
      <c r="AU470" s="26"/>
      <c r="AV470" s="26"/>
      <c r="AW470" s="26"/>
      <c r="AX470" s="26"/>
      <c r="AY470" s="26"/>
      <c r="AZ470" s="26"/>
      <c r="BA470" s="26"/>
      <c r="BB470" s="26"/>
      <c r="BC470" s="26"/>
      <c r="BD470" s="26"/>
      <c r="BE470" s="26"/>
      <c r="BF470" s="26"/>
      <c r="BG470" s="26"/>
      <c r="BH470" s="26"/>
    </row>
    <row r="471" spans="1:60" ht="35.65" customHeight="1" thickBot="1">
      <c r="A471" s="27" t="s">
        <v>50</v>
      </c>
      <c r="B471" s="42"/>
      <c r="C471" s="25"/>
      <c r="D471" s="26"/>
      <c r="E471" s="26"/>
      <c r="F471" s="26"/>
      <c r="G471" s="26"/>
      <c r="H471" s="26"/>
      <c r="I471" s="26"/>
      <c r="J471" s="26"/>
      <c r="K471" s="26"/>
      <c r="L471" s="26"/>
      <c r="M471" s="26"/>
      <c r="N471" s="26"/>
      <c r="O471" s="26"/>
      <c r="P471" s="26"/>
      <c r="Q471" s="26"/>
      <c r="R471" s="26"/>
      <c r="S471" s="26"/>
      <c r="T471" s="26"/>
      <c r="U471" s="26"/>
      <c r="V471" s="26"/>
      <c r="W471" s="43"/>
      <c r="X471" s="26"/>
      <c r="Y471" s="26"/>
      <c r="Z471" s="26"/>
      <c r="AA471" s="26"/>
      <c r="AB471" s="26"/>
      <c r="AC471" s="26"/>
      <c r="AD471" s="52" t="s">
        <v>958</v>
      </c>
      <c r="AE471" s="26">
        <f t="shared" si="131"/>
        <v>1593.6999999999998</v>
      </c>
      <c r="AF471" s="26">
        <f>AH471+AJ471+AL471+AN471</f>
        <v>1593.7</v>
      </c>
      <c r="AG471" s="26"/>
      <c r="AH471" s="26"/>
      <c r="AI471" s="26"/>
      <c r="AJ471" s="26"/>
      <c r="AK471" s="26"/>
      <c r="AL471" s="26"/>
      <c r="AM471" s="26">
        <f>2611.2+314.5-1332</f>
        <v>1593.6999999999998</v>
      </c>
      <c r="AN471" s="26">
        <v>1593.7</v>
      </c>
      <c r="AO471" s="26">
        <f t="shared" si="124"/>
        <v>4622</v>
      </c>
      <c r="AP471" s="26"/>
      <c r="AQ471" s="26"/>
      <c r="AR471" s="26"/>
      <c r="AS471" s="26">
        <f>3000+1000+500+122</f>
        <v>4622</v>
      </c>
      <c r="AT471" s="26">
        <f t="shared" si="130"/>
        <v>3000</v>
      </c>
      <c r="AU471" s="26"/>
      <c r="AV471" s="26"/>
      <c r="AW471" s="26"/>
      <c r="AX471" s="26">
        <v>3000</v>
      </c>
      <c r="AY471" s="26">
        <f t="shared" si="126"/>
        <v>3000</v>
      </c>
      <c r="AZ471" s="26"/>
      <c r="BA471" s="26"/>
      <c r="BB471" s="26"/>
      <c r="BC471" s="26">
        <v>3000</v>
      </c>
      <c r="BD471" s="26">
        <f t="shared" si="127"/>
        <v>3000</v>
      </c>
      <c r="BE471" s="26"/>
      <c r="BF471" s="26"/>
      <c r="BG471" s="26"/>
      <c r="BH471" s="26">
        <v>3000</v>
      </c>
    </row>
    <row r="472" spans="1:60" ht="35.65" customHeight="1" thickBot="1">
      <c r="A472" s="27" t="s">
        <v>50</v>
      </c>
      <c r="B472" s="42"/>
      <c r="C472" s="25"/>
      <c r="D472" s="26"/>
      <c r="E472" s="26"/>
      <c r="F472" s="26"/>
      <c r="G472" s="26"/>
      <c r="H472" s="26"/>
      <c r="I472" s="26"/>
      <c r="J472" s="26"/>
      <c r="K472" s="26"/>
      <c r="L472" s="26"/>
      <c r="M472" s="26"/>
      <c r="N472" s="26"/>
      <c r="O472" s="26"/>
      <c r="P472" s="26"/>
      <c r="Q472" s="26"/>
      <c r="R472" s="26"/>
      <c r="S472" s="26"/>
      <c r="T472" s="26"/>
      <c r="U472" s="26"/>
      <c r="V472" s="26"/>
      <c r="W472" s="43"/>
      <c r="X472" s="26"/>
      <c r="Y472" s="26"/>
      <c r="Z472" s="26"/>
      <c r="AA472" s="26"/>
      <c r="AB472" s="26"/>
      <c r="AC472" s="26"/>
      <c r="AD472" s="52" t="s">
        <v>959</v>
      </c>
      <c r="AE472" s="26">
        <f t="shared" si="131"/>
        <v>15933.6</v>
      </c>
      <c r="AF472" s="26">
        <f t="shared" si="131"/>
        <v>15932.8</v>
      </c>
      <c r="AG472" s="26"/>
      <c r="AH472" s="26"/>
      <c r="AI472" s="26"/>
      <c r="AJ472" s="26"/>
      <c r="AK472" s="26"/>
      <c r="AL472" s="26"/>
      <c r="AM472" s="26">
        <f>13953.7+1331.9+648</f>
        <v>15933.6</v>
      </c>
      <c r="AN472" s="26">
        <v>15932.8</v>
      </c>
      <c r="AO472" s="26">
        <f t="shared" si="124"/>
        <v>18734.8</v>
      </c>
      <c r="AP472" s="26"/>
      <c r="AQ472" s="26"/>
      <c r="AR472" s="26"/>
      <c r="AS472" s="26">
        <f>12790.9+5943.9</f>
        <v>18734.8</v>
      </c>
      <c r="AT472" s="26">
        <f t="shared" si="130"/>
        <v>12790.9</v>
      </c>
      <c r="AU472" s="26"/>
      <c r="AV472" s="26"/>
      <c r="AW472" s="26"/>
      <c r="AX472" s="26">
        <v>12790.9</v>
      </c>
      <c r="AY472" s="26">
        <f t="shared" si="126"/>
        <v>12790.9</v>
      </c>
      <c r="AZ472" s="26"/>
      <c r="BA472" s="26"/>
      <c r="BB472" s="26"/>
      <c r="BC472" s="26">
        <v>12790.9</v>
      </c>
      <c r="BD472" s="26">
        <f t="shared" si="127"/>
        <v>12790.9</v>
      </c>
      <c r="BE472" s="26"/>
      <c r="BF472" s="26"/>
      <c r="BG472" s="26"/>
      <c r="BH472" s="26">
        <v>12790.9</v>
      </c>
    </row>
    <row r="473" spans="1:60" ht="35.65" customHeight="1" thickBot="1">
      <c r="A473" s="27" t="s">
        <v>316</v>
      </c>
      <c r="B473" s="42"/>
      <c r="C473" s="25"/>
      <c r="D473" s="26"/>
      <c r="E473" s="26"/>
      <c r="F473" s="26"/>
      <c r="G473" s="26"/>
      <c r="H473" s="26"/>
      <c r="I473" s="26"/>
      <c r="J473" s="26"/>
      <c r="K473" s="26"/>
      <c r="L473" s="26"/>
      <c r="M473" s="26"/>
      <c r="N473" s="26"/>
      <c r="O473" s="26"/>
      <c r="P473" s="26"/>
      <c r="Q473" s="26"/>
      <c r="R473" s="26"/>
      <c r="S473" s="26"/>
      <c r="T473" s="26"/>
      <c r="U473" s="26"/>
      <c r="V473" s="26"/>
      <c r="W473" s="43"/>
      <c r="X473" s="26"/>
      <c r="Y473" s="26"/>
      <c r="Z473" s="26"/>
      <c r="AA473" s="26"/>
      <c r="AB473" s="26"/>
      <c r="AC473" s="26"/>
      <c r="AD473" s="52" t="s">
        <v>960</v>
      </c>
      <c r="AE473" s="26">
        <f t="shared" si="131"/>
        <v>1100</v>
      </c>
      <c r="AF473" s="26">
        <f t="shared" si="131"/>
        <v>1100</v>
      </c>
      <c r="AG473" s="26"/>
      <c r="AH473" s="26"/>
      <c r="AI473" s="26"/>
      <c r="AJ473" s="26"/>
      <c r="AK473" s="26"/>
      <c r="AL473" s="26"/>
      <c r="AM473" s="26">
        <f>1030+70</f>
        <v>1100</v>
      </c>
      <c r="AN473" s="26">
        <v>1100</v>
      </c>
      <c r="AO473" s="26">
        <f t="shared" si="124"/>
        <v>1100</v>
      </c>
      <c r="AP473" s="26"/>
      <c r="AQ473" s="26"/>
      <c r="AR473" s="26"/>
      <c r="AS473" s="26">
        <f>1030+70</f>
        <v>1100</v>
      </c>
      <c r="AT473" s="26">
        <f t="shared" si="130"/>
        <v>1030</v>
      </c>
      <c r="AU473" s="26"/>
      <c r="AV473" s="26"/>
      <c r="AW473" s="26"/>
      <c r="AX473" s="26">
        <v>1030</v>
      </c>
      <c r="AY473" s="26">
        <f t="shared" si="126"/>
        <v>1030</v>
      </c>
      <c r="AZ473" s="26"/>
      <c r="BA473" s="26"/>
      <c r="BB473" s="26"/>
      <c r="BC473" s="26">
        <v>1030</v>
      </c>
      <c r="BD473" s="26">
        <f t="shared" si="127"/>
        <v>1030</v>
      </c>
      <c r="BE473" s="26"/>
      <c r="BF473" s="26"/>
      <c r="BG473" s="26"/>
      <c r="BH473" s="26">
        <v>1030</v>
      </c>
    </row>
    <row r="474" spans="1:60" ht="35.65" customHeight="1" thickBot="1">
      <c r="A474" s="27" t="s">
        <v>50</v>
      </c>
      <c r="B474" s="42"/>
      <c r="C474" s="25"/>
      <c r="D474" s="26"/>
      <c r="E474" s="26"/>
      <c r="F474" s="26"/>
      <c r="G474" s="26"/>
      <c r="H474" s="26"/>
      <c r="I474" s="26"/>
      <c r="J474" s="26"/>
      <c r="K474" s="26"/>
      <c r="L474" s="26"/>
      <c r="M474" s="26"/>
      <c r="N474" s="26"/>
      <c r="O474" s="26"/>
      <c r="P474" s="26"/>
      <c r="Q474" s="26"/>
      <c r="R474" s="26"/>
      <c r="S474" s="26"/>
      <c r="T474" s="26"/>
      <c r="U474" s="26"/>
      <c r="V474" s="26"/>
      <c r="W474" s="43" t="s">
        <v>304</v>
      </c>
      <c r="X474" s="26"/>
      <c r="Y474" s="26"/>
      <c r="Z474" s="26"/>
      <c r="AA474" s="26"/>
      <c r="AB474" s="26"/>
      <c r="AC474" s="26"/>
      <c r="AD474" s="52" t="s">
        <v>961</v>
      </c>
      <c r="AE474" s="26">
        <f t="shared" si="131"/>
        <v>0</v>
      </c>
      <c r="AF474" s="26">
        <f t="shared" si="131"/>
        <v>0</v>
      </c>
      <c r="AG474" s="26"/>
      <c r="AH474" s="26"/>
      <c r="AI474" s="26"/>
      <c r="AJ474" s="26"/>
      <c r="AK474" s="26"/>
      <c r="AL474" s="26"/>
      <c r="AM474" s="26"/>
      <c r="AN474" s="26"/>
      <c r="AO474" s="26">
        <f t="shared" si="124"/>
        <v>0</v>
      </c>
      <c r="AP474" s="26"/>
      <c r="AQ474" s="26"/>
      <c r="AR474" s="26"/>
      <c r="AS474" s="26"/>
      <c r="AT474" s="26">
        <f t="shared" si="130"/>
        <v>0</v>
      </c>
      <c r="AU474" s="26"/>
      <c r="AV474" s="26"/>
      <c r="AW474" s="26"/>
      <c r="AX474" s="26"/>
      <c r="AY474" s="26">
        <f t="shared" si="126"/>
        <v>0</v>
      </c>
      <c r="AZ474" s="26"/>
      <c r="BA474" s="26"/>
      <c r="BB474" s="26"/>
      <c r="BC474" s="26"/>
      <c r="BD474" s="26">
        <f t="shared" si="127"/>
        <v>0</v>
      </c>
      <c r="BE474" s="26"/>
      <c r="BF474" s="26"/>
      <c r="BG474" s="26"/>
      <c r="BH474" s="26"/>
    </row>
    <row r="475" spans="1:60" ht="35.65" customHeight="1" thickBot="1">
      <c r="A475" s="27" t="s">
        <v>50</v>
      </c>
      <c r="B475" s="42"/>
      <c r="C475" s="25"/>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52" t="s">
        <v>962</v>
      </c>
      <c r="AE475" s="26">
        <f t="shared" si="131"/>
        <v>0</v>
      </c>
      <c r="AF475" s="26">
        <f t="shared" si="131"/>
        <v>0</v>
      </c>
      <c r="AG475" s="26"/>
      <c r="AH475" s="26"/>
      <c r="AI475" s="26"/>
      <c r="AJ475" s="26"/>
      <c r="AK475" s="26"/>
      <c r="AL475" s="26"/>
      <c r="AM475" s="26"/>
      <c r="AN475" s="26"/>
      <c r="AO475" s="26">
        <f t="shared" si="124"/>
        <v>0</v>
      </c>
      <c r="AP475" s="26"/>
      <c r="AQ475" s="26"/>
      <c r="AR475" s="26"/>
      <c r="AS475" s="26"/>
      <c r="AT475" s="26">
        <f t="shared" si="130"/>
        <v>0</v>
      </c>
      <c r="AU475" s="26"/>
      <c r="AV475" s="26"/>
      <c r="AW475" s="26"/>
      <c r="AX475" s="26"/>
      <c r="AY475" s="26">
        <f t="shared" si="126"/>
        <v>0</v>
      </c>
      <c r="AZ475" s="26"/>
      <c r="BA475" s="26"/>
      <c r="BB475" s="26"/>
      <c r="BC475" s="26"/>
      <c r="BD475" s="26">
        <f t="shared" si="127"/>
        <v>0</v>
      </c>
      <c r="BE475" s="26"/>
      <c r="BF475" s="26"/>
      <c r="BG475" s="26"/>
      <c r="BH475" s="26"/>
    </row>
    <row r="476" spans="1:60" ht="35.65" customHeight="1" thickBot="1">
      <c r="A476" s="27" t="s">
        <v>50</v>
      </c>
      <c r="B476" s="42"/>
      <c r="C476" s="25"/>
      <c r="D476" s="26"/>
      <c r="E476" s="26"/>
      <c r="F476" s="26"/>
      <c r="G476" s="26"/>
      <c r="H476" s="26"/>
      <c r="I476" s="26"/>
      <c r="J476" s="26"/>
      <c r="K476" s="26"/>
      <c r="L476" s="26"/>
      <c r="M476" s="26"/>
      <c r="N476" s="26"/>
      <c r="O476" s="26"/>
      <c r="P476" s="26"/>
      <c r="Q476" s="26"/>
      <c r="R476" s="26"/>
      <c r="S476" s="26"/>
      <c r="T476" s="26"/>
      <c r="U476" s="26"/>
      <c r="V476" s="26"/>
      <c r="W476" s="95" t="s">
        <v>304</v>
      </c>
      <c r="X476" s="26"/>
      <c r="Y476" s="26"/>
      <c r="Z476" s="26"/>
      <c r="AA476" s="26"/>
      <c r="AB476" s="26"/>
      <c r="AC476" s="26"/>
      <c r="AD476" s="52" t="s">
        <v>963</v>
      </c>
      <c r="AE476" s="26">
        <f t="shared" si="131"/>
        <v>0</v>
      </c>
      <c r="AF476" s="26">
        <f t="shared" si="131"/>
        <v>0</v>
      </c>
      <c r="AG476" s="26"/>
      <c r="AH476" s="26"/>
      <c r="AI476" s="26"/>
      <c r="AJ476" s="26"/>
      <c r="AK476" s="26"/>
      <c r="AL476" s="26"/>
      <c r="AM476" s="26"/>
      <c r="AN476" s="26"/>
      <c r="AO476" s="26">
        <f t="shared" si="124"/>
        <v>0</v>
      </c>
      <c r="AP476" s="26"/>
      <c r="AQ476" s="26"/>
      <c r="AR476" s="26"/>
      <c r="AS476" s="26"/>
      <c r="AT476" s="26">
        <f t="shared" si="130"/>
        <v>0</v>
      </c>
      <c r="AU476" s="26"/>
      <c r="AV476" s="26"/>
      <c r="AW476" s="26"/>
      <c r="AX476" s="26"/>
      <c r="AY476" s="26">
        <f t="shared" si="126"/>
        <v>0</v>
      </c>
      <c r="AZ476" s="26"/>
      <c r="BA476" s="26"/>
      <c r="BB476" s="26"/>
      <c r="BC476" s="26"/>
      <c r="BD476" s="26">
        <f t="shared" si="127"/>
        <v>0</v>
      </c>
      <c r="BE476" s="26"/>
      <c r="BF476" s="26"/>
      <c r="BG476" s="26"/>
      <c r="BH476" s="26"/>
    </row>
    <row r="477" spans="1:60" ht="35.65" customHeight="1" thickBot="1">
      <c r="A477" s="27" t="s">
        <v>50</v>
      </c>
      <c r="B477" s="42"/>
      <c r="C477" s="25"/>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52" t="s">
        <v>962</v>
      </c>
      <c r="AE477" s="26">
        <f t="shared" si="131"/>
        <v>0</v>
      </c>
      <c r="AF477" s="26">
        <f t="shared" si="131"/>
        <v>0</v>
      </c>
      <c r="AG477" s="26"/>
      <c r="AH477" s="26"/>
      <c r="AI477" s="26"/>
      <c r="AJ477" s="26"/>
      <c r="AK477" s="26"/>
      <c r="AL477" s="26"/>
      <c r="AM477" s="26"/>
      <c r="AN477" s="26"/>
      <c r="AO477" s="26">
        <f t="shared" si="124"/>
        <v>0</v>
      </c>
      <c r="AP477" s="26"/>
      <c r="AQ477" s="26"/>
      <c r="AR477" s="26"/>
      <c r="AS477" s="26"/>
      <c r="AT477" s="26">
        <f t="shared" si="130"/>
        <v>0</v>
      </c>
      <c r="AU477" s="26"/>
      <c r="AV477" s="26"/>
      <c r="AW477" s="26"/>
      <c r="AX477" s="26"/>
      <c r="AY477" s="26">
        <f t="shared" si="126"/>
        <v>0</v>
      </c>
      <c r="AZ477" s="26"/>
      <c r="BA477" s="26"/>
      <c r="BB477" s="26"/>
      <c r="BC477" s="26"/>
      <c r="BD477" s="26">
        <f t="shared" si="127"/>
        <v>0</v>
      </c>
      <c r="BE477" s="26"/>
      <c r="BF477" s="26"/>
      <c r="BG477" s="26"/>
      <c r="BH477" s="26"/>
    </row>
    <row r="478" spans="1:60" ht="35.65" customHeight="1" thickBot="1">
      <c r="A478" s="27" t="s">
        <v>50</v>
      </c>
      <c r="B478" s="42"/>
      <c r="C478" s="25"/>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52" t="s">
        <v>963</v>
      </c>
      <c r="AE478" s="26">
        <f t="shared" si="131"/>
        <v>0</v>
      </c>
      <c r="AF478" s="26">
        <f t="shared" si="131"/>
        <v>0</v>
      </c>
      <c r="AG478" s="26"/>
      <c r="AH478" s="26"/>
      <c r="AI478" s="26"/>
      <c r="AJ478" s="26"/>
      <c r="AK478" s="26"/>
      <c r="AL478" s="26"/>
      <c r="AM478" s="26"/>
      <c r="AN478" s="26"/>
      <c r="AO478" s="26">
        <f t="shared" si="124"/>
        <v>0</v>
      </c>
      <c r="AP478" s="26"/>
      <c r="AQ478" s="26"/>
      <c r="AR478" s="26"/>
      <c r="AS478" s="26"/>
      <c r="AT478" s="26">
        <f t="shared" si="130"/>
        <v>0</v>
      </c>
      <c r="AU478" s="26"/>
      <c r="AV478" s="26"/>
      <c r="AW478" s="26"/>
      <c r="AX478" s="26"/>
      <c r="AY478" s="26">
        <f t="shared" si="126"/>
        <v>0</v>
      </c>
      <c r="AZ478" s="26"/>
      <c r="BA478" s="26"/>
      <c r="BB478" s="26"/>
      <c r="BC478" s="26"/>
      <c r="BD478" s="26">
        <f t="shared" si="127"/>
        <v>0</v>
      </c>
      <c r="BE478" s="26"/>
      <c r="BF478" s="26"/>
      <c r="BG478" s="26"/>
      <c r="BH478" s="26"/>
    </row>
    <row r="479" spans="1:60" ht="35.65" customHeight="1" thickBot="1">
      <c r="A479" s="27" t="s">
        <v>50</v>
      </c>
      <c r="B479" s="42"/>
      <c r="C479" s="25"/>
      <c r="D479" s="26"/>
      <c r="E479" s="26"/>
      <c r="F479" s="26"/>
      <c r="G479" s="26"/>
      <c r="H479" s="26"/>
      <c r="I479" s="26"/>
      <c r="J479" s="26"/>
      <c r="K479" s="26"/>
      <c r="L479" s="26"/>
      <c r="M479" s="26"/>
      <c r="N479" s="26"/>
      <c r="O479" s="26"/>
      <c r="P479" s="95" t="s">
        <v>317</v>
      </c>
      <c r="Q479" s="96"/>
      <c r="R479" s="96"/>
      <c r="S479" s="96"/>
      <c r="T479" s="95" t="s">
        <v>318</v>
      </c>
      <c r="U479" s="96"/>
      <c r="V479" s="96"/>
      <c r="W479" s="410" t="s">
        <v>319</v>
      </c>
      <c r="X479" s="152"/>
      <c r="Y479" s="152"/>
      <c r="Z479" s="96"/>
      <c r="AA479" s="26"/>
      <c r="AB479" s="26"/>
      <c r="AC479" s="26"/>
      <c r="AD479" s="52" t="s">
        <v>964</v>
      </c>
      <c r="AE479" s="26">
        <f t="shared" si="131"/>
        <v>0</v>
      </c>
      <c r="AF479" s="26">
        <f t="shared" si="131"/>
        <v>0</v>
      </c>
      <c r="AG479" s="26"/>
      <c r="AH479" s="26"/>
      <c r="AI479" s="26"/>
      <c r="AJ479" s="26"/>
      <c r="AK479" s="26"/>
      <c r="AL479" s="26"/>
      <c r="AM479" s="26"/>
      <c r="AN479" s="26"/>
      <c r="AO479" s="26">
        <f t="shared" si="124"/>
        <v>0</v>
      </c>
      <c r="AP479" s="26"/>
      <c r="AQ479" s="26"/>
      <c r="AR479" s="26"/>
      <c r="AS479" s="26"/>
      <c r="AT479" s="26">
        <f t="shared" si="130"/>
        <v>0</v>
      </c>
      <c r="AU479" s="26"/>
      <c r="AV479" s="26"/>
      <c r="AW479" s="26"/>
      <c r="AX479" s="26"/>
      <c r="AY479" s="26">
        <f t="shared" si="126"/>
        <v>0</v>
      </c>
      <c r="AZ479" s="26"/>
      <c r="BA479" s="26"/>
      <c r="BB479" s="26"/>
      <c r="BC479" s="26"/>
      <c r="BD479" s="26">
        <f t="shared" si="127"/>
        <v>0</v>
      </c>
      <c r="BE479" s="26"/>
      <c r="BF479" s="26"/>
      <c r="BG479" s="26"/>
      <c r="BH479" s="26"/>
    </row>
    <row r="480" spans="1:60" ht="35.65" customHeight="1" thickBot="1">
      <c r="A480" s="27" t="s">
        <v>50</v>
      </c>
      <c r="B480" s="42"/>
      <c r="C480" s="25"/>
      <c r="D480" s="26"/>
      <c r="E480" s="26"/>
      <c r="F480" s="26"/>
      <c r="G480" s="26"/>
      <c r="H480" s="26"/>
      <c r="I480" s="26"/>
      <c r="J480" s="26"/>
      <c r="K480" s="26"/>
      <c r="L480" s="26"/>
      <c r="M480" s="26"/>
      <c r="N480" s="26"/>
      <c r="O480" s="26"/>
      <c r="P480" s="45"/>
      <c r="Q480" s="45"/>
      <c r="R480" s="45"/>
      <c r="S480" s="45"/>
      <c r="T480" s="45"/>
      <c r="U480" s="45"/>
      <c r="V480" s="45"/>
      <c r="W480" s="411"/>
      <c r="X480" s="153"/>
      <c r="Y480" s="153"/>
      <c r="Z480" s="44" t="s">
        <v>320</v>
      </c>
      <c r="AA480" s="26"/>
      <c r="AB480" s="26"/>
      <c r="AC480" s="26"/>
      <c r="AD480" s="52" t="s">
        <v>965</v>
      </c>
      <c r="AE480" s="26">
        <f t="shared" si="131"/>
        <v>0</v>
      </c>
      <c r="AF480" s="26">
        <f>AH480+AJ480+AL480+AN480</f>
        <v>0</v>
      </c>
      <c r="AG480" s="26"/>
      <c r="AH480" s="26"/>
      <c r="AI480" s="26"/>
      <c r="AJ480" s="26"/>
      <c r="AK480" s="26"/>
      <c r="AL480" s="26"/>
      <c r="AM480" s="26"/>
      <c r="AN480" s="26"/>
      <c r="AO480" s="26">
        <f t="shared" si="124"/>
        <v>0</v>
      </c>
      <c r="AP480" s="26"/>
      <c r="AQ480" s="26"/>
      <c r="AR480" s="26"/>
      <c r="AS480" s="26"/>
      <c r="AT480" s="26">
        <f t="shared" si="130"/>
        <v>0</v>
      </c>
      <c r="AU480" s="26"/>
      <c r="AV480" s="26"/>
      <c r="AW480" s="26"/>
      <c r="AX480" s="26"/>
      <c r="AY480" s="26">
        <f t="shared" si="126"/>
        <v>0</v>
      </c>
      <c r="AZ480" s="26"/>
      <c r="BA480" s="26"/>
      <c r="BB480" s="26"/>
      <c r="BC480" s="26"/>
      <c r="BD480" s="26">
        <f t="shared" si="127"/>
        <v>0</v>
      </c>
      <c r="BE480" s="26"/>
      <c r="BF480" s="26"/>
      <c r="BG480" s="26"/>
      <c r="BH480" s="26"/>
    </row>
    <row r="481" spans="1:60" ht="35.65" customHeight="1" thickBot="1">
      <c r="A481" s="27" t="s">
        <v>50</v>
      </c>
      <c r="B481" s="42"/>
      <c r="C481" s="25"/>
      <c r="D481" s="26"/>
      <c r="E481" s="26"/>
      <c r="F481" s="26"/>
      <c r="G481" s="26"/>
      <c r="H481" s="26"/>
      <c r="I481" s="26"/>
      <c r="J481" s="26"/>
      <c r="K481" s="26"/>
      <c r="L481" s="26"/>
      <c r="M481" s="26"/>
      <c r="N481" s="26"/>
      <c r="O481" s="26"/>
      <c r="P481" s="45"/>
      <c r="Q481" s="45"/>
      <c r="R481" s="45"/>
      <c r="S481" s="45"/>
      <c r="T481" s="45"/>
      <c r="U481" s="45"/>
      <c r="V481" s="45"/>
      <c r="W481" s="51"/>
      <c r="X481" s="153"/>
      <c r="Y481" s="153"/>
      <c r="Z481" s="148"/>
      <c r="AA481" s="56"/>
      <c r="AB481" s="26"/>
      <c r="AC481" s="26"/>
      <c r="AD481" s="52" t="s">
        <v>966</v>
      </c>
      <c r="AE481" s="26">
        <f t="shared" si="131"/>
        <v>303</v>
      </c>
      <c r="AF481" s="26">
        <f t="shared" si="131"/>
        <v>285.5</v>
      </c>
      <c r="AG481" s="26"/>
      <c r="AH481" s="26"/>
      <c r="AI481" s="26"/>
      <c r="AJ481" s="26"/>
      <c r="AK481" s="26"/>
      <c r="AL481" s="26"/>
      <c r="AM481" s="26">
        <v>303</v>
      </c>
      <c r="AN481" s="26">
        <f>285.4+0.1</f>
        <v>285.5</v>
      </c>
      <c r="AO481" s="26">
        <f t="shared" si="124"/>
        <v>1111.0999999999999</v>
      </c>
      <c r="AP481" s="26"/>
      <c r="AQ481" s="26"/>
      <c r="AR481" s="26"/>
      <c r="AS481" s="26">
        <v>1111.0999999999999</v>
      </c>
      <c r="AT481" s="26">
        <f t="shared" si="130"/>
        <v>0</v>
      </c>
      <c r="AU481" s="26"/>
      <c r="AV481" s="26"/>
      <c r="AW481" s="26"/>
      <c r="AX481" s="26">
        <v>0</v>
      </c>
      <c r="AY481" s="26">
        <f t="shared" si="126"/>
        <v>0</v>
      </c>
      <c r="AZ481" s="26"/>
      <c r="BA481" s="26"/>
      <c r="BB481" s="26"/>
      <c r="BC481" s="26">
        <v>0</v>
      </c>
      <c r="BD481" s="26">
        <f t="shared" si="127"/>
        <v>0</v>
      </c>
      <c r="BE481" s="26"/>
      <c r="BF481" s="26"/>
      <c r="BG481" s="26"/>
      <c r="BH481" s="26">
        <v>0</v>
      </c>
    </row>
    <row r="482" spans="1:60" ht="35.65" customHeight="1" thickBot="1">
      <c r="A482" s="27" t="s">
        <v>321</v>
      </c>
      <c r="B482" s="42"/>
      <c r="C482" s="25"/>
      <c r="D482" s="26"/>
      <c r="E482" s="26"/>
      <c r="F482" s="26"/>
      <c r="G482" s="26"/>
      <c r="H482" s="26"/>
      <c r="I482" s="26"/>
      <c r="J482" s="26"/>
      <c r="K482" s="26"/>
      <c r="L482" s="43" t="s">
        <v>223</v>
      </c>
      <c r="M482" s="26"/>
      <c r="N482" s="26"/>
      <c r="O482" s="26"/>
      <c r="P482" s="45"/>
      <c r="Q482" s="45"/>
      <c r="R482" s="45"/>
      <c r="S482" s="45"/>
      <c r="T482" s="154" t="s">
        <v>322</v>
      </c>
      <c r="U482" s="45"/>
      <c r="V482" s="45"/>
      <c r="W482" s="51" t="s">
        <v>323</v>
      </c>
      <c r="X482" s="153" t="s">
        <v>112</v>
      </c>
      <c r="Y482" s="153"/>
      <c r="Z482" s="51" t="s">
        <v>323</v>
      </c>
      <c r="AA482" s="153" t="s">
        <v>112</v>
      </c>
      <c r="AB482" s="26"/>
      <c r="AC482" s="26"/>
      <c r="AD482" s="52" t="s">
        <v>967</v>
      </c>
      <c r="AE482" s="26">
        <f t="shared" si="131"/>
        <v>1194</v>
      </c>
      <c r="AF482" s="26">
        <f t="shared" si="131"/>
        <v>1194</v>
      </c>
      <c r="AG482" s="26"/>
      <c r="AH482" s="26"/>
      <c r="AI482" s="26"/>
      <c r="AJ482" s="26"/>
      <c r="AK482" s="26"/>
      <c r="AL482" s="26"/>
      <c r="AM482" s="26">
        <f>800+300+73.2+20.8</f>
        <v>1194</v>
      </c>
      <c r="AN482" s="26">
        <v>1194</v>
      </c>
      <c r="AO482" s="26">
        <f t="shared" si="124"/>
        <v>92</v>
      </c>
      <c r="AP482" s="26"/>
      <c r="AQ482" s="26"/>
      <c r="AR482" s="26"/>
      <c r="AS482" s="26">
        <v>92</v>
      </c>
      <c r="AT482" s="26">
        <f t="shared" si="130"/>
        <v>0</v>
      </c>
      <c r="AU482" s="26"/>
      <c r="AV482" s="26"/>
      <c r="AW482" s="26"/>
      <c r="AX482" s="26">
        <v>0</v>
      </c>
      <c r="AY482" s="26">
        <f t="shared" si="126"/>
        <v>0</v>
      </c>
      <c r="AZ482" s="26"/>
      <c r="BA482" s="26"/>
      <c r="BB482" s="26"/>
      <c r="BC482" s="26">
        <v>0</v>
      </c>
      <c r="BD482" s="26">
        <f t="shared" si="127"/>
        <v>0</v>
      </c>
      <c r="BE482" s="26"/>
      <c r="BF482" s="26"/>
      <c r="BG482" s="26"/>
      <c r="BH482" s="26">
        <v>0</v>
      </c>
    </row>
    <row r="483" spans="1:60" ht="35.65" customHeight="1" thickBot="1">
      <c r="A483" s="27" t="s">
        <v>321</v>
      </c>
      <c r="B483" s="42"/>
      <c r="C483" s="25"/>
      <c r="D483" s="26"/>
      <c r="E483" s="26"/>
      <c r="F483" s="26"/>
      <c r="G483" s="26"/>
      <c r="H483" s="26"/>
      <c r="I483" s="26"/>
      <c r="J483" s="52" t="s">
        <v>222</v>
      </c>
      <c r="K483" s="26"/>
      <c r="L483" s="43" t="s">
        <v>223</v>
      </c>
      <c r="M483" s="52" t="s">
        <v>324</v>
      </c>
      <c r="N483" s="26"/>
      <c r="O483" s="26"/>
      <c r="P483" s="45"/>
      <c r="Q483" s="45"/>
      <c r="R483" s="45"/>
      <c r="S483" s="45"/>
      <c r="T483" s="154" t="s">
        <v>325</v>
      </c>
      <c r="U483" s="45"/>
      <c r="V483" s="45"/>
      <c r="W483" s="51" t="s">
        <v>323</v>
      </c>
      <c r="X483" s="153" t="s">
        <v>112</v>
      </c>
      <c r="Y483" s="153"/>
      <c r="Z483" s="51" t="s">
        <v>323</v>
      </c>
      <c r="AA483" s="153" t="s">
        <v>112</v>
      </c>
      <c r="AB483" s="26"/>
      <c r="AC483" s="26"/>
      <c r="AD483" s="52" t="s">
        <v>968</v>
      </c>
      <c r="AE483" s="26">
        <f t="shared" si="131"/>
        <v>70000</v>
      </c>
      <c r="AF483" s="26">
        <f t="shared" si="131"/>
        <v>70000</v>
      </c>
      <c r="AG483" s="26">
        <v>70000</v>
      </c>
      <c r="AH483" s="26">
        <v>70000</v>
      </c>
      <c r="AI483" s="26"/>
      <c r="AJ483" s="26"/>
      <c r="AK483" s="26"/>
      <c r="AL483" s="26"/>
      <c r="AM483" s="26"/>
      <c r="AN483" s="26"/>
      <c r="AO483" s="26">
        <f>AP483+AQ483+AR483+AS483</f>
        <v>0</v>
      </c>
      <c r="AP483" s="26"/>
      <c r="AQ483" s="26"/>
      <c r="AR483" s="26"/>
      <c r="AS483" s="26"/>
      <c r="AT483" s="26">
        <f>AU483+AV483+AW483+AX483</f>
        <v>0</v>
      </c>
      <c r="AU483" s="26"/>
      <c r="AV483" s="26"/>
      <c r="AW483" s="26"/>
      <c r="AX483" s="26"/>
      <c r="AY483" s="26">
        <f t="shared" si="126"/>
        <v>0</v>
      </c>
      <c r="AZ483" s="26"/>
      <c r="BA483" s="26"/>
      <c r="BB483" s="26"/>
      <c r="BC483" s="26"/>
      <c r="BD483" s="26">
        <f t="shared" si="127"/>
        <v>0</v>
      </c>
      <c r="BE483" s="26"/>
      <c r="BF483" s="26"/>
      <c r="BG483" s="26"/>
      <c r="BH483" s="26"/>
    </row>
    <row r="484" spans="1:60" ht="35.65" customHeight="1" thickBot="1">
      <c r="A484" s="27" t="s">
        <v>321</v>
      </c>
      <c r="B484" s="42"/>
      <c r="C484" s="25"/>
      <c r="D484" s="26"/>
      <c r="E484" s="26"/>
      <c r="F484" s="26"/>
      <c r="G484" s="26"/>
      <c r="H484" s="26"/>
      <c r="I484" s="26"/>
      <c r="J484" s="52"/>
      <c r="K484" s="26"/>
      <c r="L484" s="43"/>
      <c r="M484" s="52"/>
      <c r="N484" s="26"/>
      <c r="O484" s="26"/>
      <c r="P484" s="45"/>
      <c r="Q484" s="45"/>
      <c r="R484" s="45"/>
      <c r="S484" s="45"/>
      <c r="T484" s="154"/>
      <c r="U484" s="45"/>
      <c r="V484" s="45"/>
      <c r="W484" s="51"/>
      <c r="X484" s="153"/>
      <c r="Y484" s="153"/>
      <c r="Z484" s="51"/>
      <c r="AA484" s="153"/>
      <c r="AB484" s="26"/>
      <c r="AC484" s="26"/>
      <c r="AD484" s="52" t="s">
        <v>969</v>
      </c>
      <c r="AE484" s="26">
        <f t="shared" si="131"/>
        <v>6800</v>
      </c>
      <c r="AF484" s="26">
        <f t="shared" si="131"/>
        <v>6800</v>
      </c>
      <c r="AG484" s="26">
        <v>6800</v>
      </c>
      <c r="AH484" s="26">
        <v>6800</v>
      </c>
      <c r="AI484" s="26"/>
      <c r="AJ484" s="26"/>
      <c r="AK484" s="26"/>
      <c r="AL484" s="26"/>
      <c r="AM484" s="26"/>
      <c r="AN484" s="26"/>
      <c r="AO484" s="26"/>
      <c r="AP484" s="26"/>
      <c r="AQ484" s="26"/>
      <c r="AR484" s="26"/>
      <c r="AS484" s="26"/>
      <c r="AT484" s="26"/>
      <c r="AU484" s="26"/>
      <c r="AV484" s="26"/>
      <c r="AW484" s="26"/>
      <c r="AX484" s="26"/>
      <c r="AY484" s="26"/>
      <c r="AZ484" s="26"/>
      <c r="BA484" s="26"/>
      <c r="BB484" s="26"/>
      <c r="BC484" s="26"/>
      <c r="BD484" s="26"/>
      <c r="BE484" s="26"/>
      <c r="BF484" s="26"/>
      <c r="BG484" s="26"/>
      <c r="BH484" s="26"/>
    </row>
    <row r="485" spans="1:60" ht="35.65" customHeight="1" thickBot="1">
      <c r="A485" s="27" t="s">
        <v>321</v>
      </c>
      <c r="B485" s="42"/>
      <c r="C485" s="25"/>
      <c r="D485" s="26"/>
      <c r="E485" s="26"/>
      <c r="F485" s="26"/>
      <c r="G485" s="26"/>
      <c r="H485" s="26"/>
      <c r="I485" s="26"/>
      <c r="J485" s="26"/>
      <c r="K485" s="26"/>
      <c r="L485" s="43" t="s">
        <v>223</v>
      </c>
      <c r="M485" s="26"/>
      <c r="N485" s="26"/>
      <c r="O485" s="26"/>
      <c r="P485" s="45"/>
      <c r="Q485" s="45"/>
      <c r="R485" s="45"/>
      <c r="S485" s="45"/>
      <c r="T485" s="154" t="s">
        <v>322</v>
      </c>
      <c r="U485" s="45"/>
      <c r="V485" s="45"/>
      <c r="W485" s="51" t="s">
        <v>323</v>
      </c>
      <c r="X485" s="153" t="s">
        <v>112</v>
      </c>
      <c r="Y485" s="153"/>
      <c r="Z485" s="51" t="s">
        <v>323</v>
      </c>
      <c r="AA485" s="153" t="s">
        <v>112</v>
      </c>
      <c r="AB485" s="26"/>
      <c r="AC485" s="26"/>
      <c r="AD485" s="52" t="s">
        <v>970</v>
      </c>
      <c r="AE485" s="26">
        <f t="shared" si="131"/>
        <v>0</v>
      </c>
      <c r="AF485" s="26">
        <f t="shared" si="131"/>
        <v>0</v>
      </c>
      <c r="AG485" s="26"/>
      <c r="AH485" s="26"/>
      <c r="AI485" s="26"/>
      <c r="AJ485" s="26"/>
      <c r="AK485" s="26"/>
      <c r="AL485" s="26"/>
      <c r="AM485" s="26">
        <f>3210-3210</f>
        <v>0</v>
      </c>
      <c r="AN485" s="26"/>
      <c r="AO485" s="26">
        <f>AP485+AQ485+AR485+AS485</f>
        <v>0</v>
      </c>
      <c r="AP485" s="26">
        <v>0</v>
      </c>
      <c r="AQ485" s="26"/>
      <c r="AR485" s="26"/>
      <c r="AS485" s="26"/>
      <c r="AT485" s="26">
        <f>AU485+AV485+AW485+AX485</f>
        <v>0</v>
      </c>
      <c r="AU485" s="26">
        <v>0</v>
      </c>
      <c r="AV485" s="26"/>
      <c r="AW485" s="26"/>
      <c r="AX485" s="26"/>
      <c r="AY485" s="26">
        <f t="shared" si="126"/>
        <v>0</v>
      </c>
      <c r="AZ485" s="26">
        <v>0</v>
      </c>
      <c r="BA485" s="26"/>
      <c r="BB485" s="26"/>
      <c r="BC485" s="26"/>
      <c r="BD485" s="26">
        <f t="shared" si="127"/>
        <v>0</v>
      </c>
      <c r="BE485" s="26">
        <v>0</v>
      </c>
      <c r="BF485" s="26"/>
      <c r="BG485" s="26"/>
      <c r="BH485" s="26"/>
    </row>
    <row r="486" spans="1:60" ht="35.65" customHeight="1" thickBot="1">
      <c r="A486" s="27" t="s">
        <v>326</v>
      </c>
      <c r="B486" s="42"/>
      <c r="C486" s="25"/>
      <c r="D486" s="26"/>
      <c r="E486" s="26"/>
      <c r="F486" s="26"/>
      <c r="G486" s="26"/>
      <c r="H486" s="26"/>
      <c r="I486" s="26"/>
      <c r="J486" s="26"/>
      <c r="K486" s="26"/>
      <c r="L486" s="43"/>
      <c r="M486" s="26"/>
      <c r="N486" s="26"/>
      <c r="O486" s="26"/>
      <c r="P486" s="45"/>
      <c r="Q486" s="45"/>
      <c r="R486" s="45"/>
      <c r="S486" s="45"/>
      <c r="T486" s="154"/>
      <c r="U486" s="45"/>
      <c r="V486" s="45"/>
      <c r="W486" s="51"/>
      <c r="X486" s="153"/>
      <c r="Y486" s="153"/>
      <c r="Z486" s="51"/>
      <c r="AA486" s="153"/>
      <c r="AB486" s="26"/>
      <c r="AC486" s="26"/>
      <c r="AD486" s="52" t="s">
        <v>971</v>
      </c>
      <c r="AE486" s="26"/>
      <c r="AF486" s="26">
        <f t="shared" ref="AF486:AF489" si="132">AH486+AJ486+AL486+AN486</f>
        <v>0</v>
      </c>
      <c r="AG486" s="26"/>
      <c r="AH486" s="26"/>
      <c r="AI486" s="26"/>
      <c r="AJ486" s="26"/>
      <c r="AK486" s="26"/>
      <c r="AL486" s="26"/>
      <c r="AM486" s="26"/>
      <c r="AN486" s="26"/>
      <c r="AO486" s="26">
        <f>AP486+AQ486+AR486+AS486</f>
        <v>0</v>
      </c>
      <c r="AP486" s="26"/>
      <c r="AQ486" s="26"/>
      <c r="AR486" s="26"/>
      <c r="AS486" s="26"/>
      <c r="AT486" s="26">
        <f>AU486+AV486+AW486+AX486</f>
        <v>0</v>
      </c>
      <c r="AU486" s="26"/>
      <c r="AV486" s="26"/>
      <c r="AW486" s="26"/>
      <c r="AX486" s="26"/>
      <c r="AY486" s="26"/>
      <c r="AZ486" s="26"/>
      <c r="BA486" s="26"/>
      <c r="BB486" s="26"/>
      <c r="BC486" s="26"/>
      <c r="BD486" s="26"/>
      <c r="BE486" s="26"/>
      <c r="BF486" s="26"/>
      <c r="BG486" s="26"/>
      <c r="BH486" s="26"/>
    </row>
    <row r="487" spans="1:60" ht="35.65" customHeight="1" thickBot="1">
      <c r="A487" s="27" t="s">
        <v>95</v>
      </c>
      <c r="B487" s="42"/>
      <c r="C487" s="25"/>
      <c r="D487" s="26"/>
      <c r="E487" s="26"/>
      <c r="F487" s="26"/>
      <c r="G487" s="26"/>
      <c r="H487" s="26"/>
      <c r="I487" s="26"/>
      <c r="J487" s="26"/>
      <c r="K487" s="26"/>
      <c r="L487" s="43"/>
      <c r="M487" s="26"/>
      <c r="N487" s="26"/>
      <c r="O487" s="26"/>
      <c r="P487" s="45"/>
      <c r="Q487" s="45"/>
      <c r="R487" s="45"/>
      <c r="S487" s="45"/>
      <c r="T487" s="154"/>
      <c r="U487" s="45"/>
      <c r="V487" s="45"/>
      <c r="W487" s="51"/>
      <c r="X487" s="153"/>
      <c r="Y487" s="153"/>
      <c r="Z487" s="51"/>
      <c r="AA487" s="153"/>
      <c r="AB487" s="26"/>
      <c r="AC487" s="26"/>
      <c r="AD487" s="52" t="s">
        <v>972</v>
      </c>
      <c r="AE487" s="26"/>
      <c r="AF487" s="26"/>
      <c r="AG487" s="26"/>
      <c r="AH487" s="26"/>
      <c r="AI487" s="26"/>
      <c r="AJ487" s="26"/>
      <c r="AK487" s="26"/>
      <c r="AL487" s="26"/>
      <c r="AM487" s="26"/>
      <c r="AN487" s="26"/>
      <c r="AO487" s="26">
        <f>AP487+AQ487+AR487+AS487</f>
        <v>50505.1</v>
      </c>
      <c r="AP487" s="26"/>
      <c r="AQ487" s="26">
        <v>50000</v>
      </c>
      <c r="AR487" s="26"/>
      <c r="AS487" s="26">
        <v>505.1</v>
      </c>
      <c r="AT487" s="26"/>
      <c r="AU487" s="26"/>
      <c r="AV487" s="26"/>
      <c r="AW487" s="26"/>
      <c r="AX487" s="26">
        <v>0</v>
      </c>
      <c r="AY487" s="26"/>
      <c r="AZ487" s="26"/>
      <c r="BA487" s="26"/>
      <c r="BB487" s="26"/>
      <c r="BC487" s="26">
        <v>0</v>
      </c>
      <c r="BD487" s="26"/>
      <c r="BE487" s="26"/>
      <c r="BF487" s="26"/>
      <c r="BG487" s="26"/>
      <c r="BH487" s="26">
        <v>0</v>
      </c>
    </row>
    <row r="488" spans="1:60" ht="35.65" customHeight="1" thickBot="1">
      <c r="A488" s="27" t="s">
        <v>249</v>
      </c>
      <c r="B488" s="42"/>
      <c r="C488" s="20" t="s">
        <v>105</v>
      </c>
      <c r="D488" s="26"/>
      <c r="E488" s="26"/>
      <c r="F488" s="26"/>
      <c r="G488" s="26"/>
      <c r="H488" s="26"/>
      <c r="I488" s="26"/>
      <c r="J488" s="20" t="s">
        <v>327</v>
      </c>
      <c r="K488" s="26"/>
      <c r="L488" s="26"/>
      <c r="M488" s="20" t="s">
        <v>328</v>
      </c>
      <c r="N488" s="20" t="s">
        <v>112</v>
      </c>
      <c r="O488" s="26"/>
      <c r="P488" s="20" t="s">
        <v>329</v>
      </c>
      <c r="Q488" s="30" t="s">
        <v>112</v>
      </c>
      <c r="R488" s="26"/>
      <c r="S488" s="26"/>
      <c r="T488" s="20" t="s">
        <v>330</v>
      </c>
      <c r="U488" s="30" t="s">
        <v>112</v>
      </c>
      <c r="V488" s="155">
        <v>45021</v>
      </c>
      <c r="W488" s="20" t="s">
        <v>330</v>
      </c>
      <c r="X488" s="30" t="s">
        <v>112</v>
      </c>
      <c r="Y488" s="156">
        <v>45021</v>
      </c>
      <c r="Z488" s="20" t="s">
        <v>251</v>
      </c>
      <c r="AA488" s="20" t="s">
        <v>112</v>
      </c>
      <c r="AB488" s="26"/>
      <c r="AC488" s="26"/>
      <c r="AD488" s="52" t="s">
        <v>973</v>
      </c>
      <c r="AE488" s="26">
        <f>AG488+AI488+AK488+AM488</f>
        <v>40000</v>
      </c>
      <c r="AF488" s="26">
        <f t="shared" si="132"/>
        <v>40000</v>
      </c>
      <c r="AG488" s="26"/>
      <c r="AH488" s="26"/>
      <c r="AI488" s="26">
        <v>40000</v>
      </c>
      <c r="AJ488" s="26">
        <v>40000</v>
      </c>
      <c r="AK488" s="26"/>
      <c r="AL488" s="26"/>
      <c r="AM488" s="26"/>
      <c r="AN488" s="26"/>
      <c r="AO488" s="26"/>
      <c r="AP488" s="26"/>
      <c r="AQ488" s="26"/>
      <c r="AR488" s="26"/>
      <c r="AS488" s="26"/>
      <c r="AT488" s="26"/>
      <c r="AU488" s="26"/>
      <c r="AV488" s="26"/>
      <c r="AW488" s="26"/>
      <c r="AX488" s="26"/>
      <c r="AY488" s="26"/>
      <c r="AZ488" s="26"/>
      <c r="BA488" s="26"/>
      <c r="BB488" s="26"/>
      <c r="BC488" s="26"/>
      <c r="BD488" s="26"/>
      <c r="BE488" s="26"/>
      <c r="BF488" s="26"/>
      <c r="BG488" s="26"/>
      <c r="BH488" s="26"/>
    </row>
    <row r="489" spans="1:60" ht="35.65" customHeight="1" thickBot="1">
      <c r="A489" s="27" t="s">
        <v>249</v>
      </c>
      <c r="B489" s="42"/>
      <c r="C489" s="20" t="s">
        <v>105</v>
      </c>
      <c r="D489" s="26"/>
      <c r="E489" s="26"/>
      <c r="F489" s="26"/>
      <c r="G489" s="26"/>
      <c r="H489" s="26"/>
      <c r="I489" s="26"/>
      <c r="J489" s="20" t="s">
        <v>327</v>
      </c>
      <c r="K489" s="26"/>
      <c r="L489" s="26"/>
      <c r="M489" s="20" t="s">
        <v>328</v>
      </c>
      <c r="N489" s="20" t="s">
        <v>112</v>
      </c>
      <c r="O489" s="26"/>
      <c r="P489" s="20" t="s">
        <v>329</v>
      </c>
      <c r="Q489" s="30" t="s">
        <v>112</v>
      </c>
      <c r="R489" s="26"/>
      <c r="S489" s="26"/>
      <c r="T489" s="20" t="s">
        <v>331</v>
      </c>
      <c r="U489" s="30" t="s">
        <v>112</v>
      </c>
      <c r="V489" s="155">
        <v>45022</v>
      </c>
      <c r="W489" s="20" t="s">
        <v>331</v>
      </c>
      <c r="X489" s="30" t="s">
        <v>112</v>
      </c>
      <c r="Y489" s="156">
        <v>45022</v>
      </c>
      <c r="Z489" s="20" t="s">
        <v>251</v>
      </c>
      <c r="AA489" s="20" t="s">
        <v>112</v>
      </c>
      <c r="AB489" s="26"/>
      <c r="AC489" s="26"/>
      <c r="AD489" s="52" t="s">
        <v>974</v>
      </c>
      <c r="AE489" s="26">
        <f>AG489+AI489+AK489+AM489</f>
        <v>816.3</v>
      </c>
      <c r="AF489" s="26">
        <f t="shared" si="132"/>
        <v>816.3</v>
      </c>
      <c r="AG489" s="26"/>
      <c r="AH489" s="26"/>
      <c r="AI489" s="26"/>
      <c r="AJ489" s="26"/>
      <c r="AK489" s="26"/>
      <c r="AL489" s="26"/>
      <c r="AM489" s="26">
        <v>816.3</v>
      </c>
      <c r="AN489" s="26">
        <v>816.3</v>
      </c>
      <c r="AO489" s="26"/>
      <c r="AP489" s="26"/>
      <c r="AQ489" s="26"/>
      <c r="AR489" s="26"/>
      <c r="AS489" s="26"/>
      <c r="AT489" s="26"/>
      <c r="AU489" s="26"/>
      <c r="AV489" s="26"/>
      <c r="AW489" s="26"/>
      <c r="AX489" s="26"/>
      <c r="AY489" s="26"/>
      <c r="AZ489" s="26"/>
      <c r="BA489" s="26"/>
      <c r="BB489" s="26"/>
      <c r="BC489" s="26"/>
      <c r="BD489" s="26"/>
      <c r="BE489" s="26"/>
      <c r="BF489" s="26"/>
      <c r="BG489" s="26"/>
      <c r="BH489" s="26"/>
    </row>
    <row r="490" spans="1:60" ht="35.65" customHeight="1" thickBot="1">
      <c r="A490" s="27" t="s">
        <v>332</v>
      </c>
      <c r="B490" s="42">
        <v>2542</v>
      </c>
      <c r="C490" s="25"/>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v>21</v>
      </c>
      <c r="AD490" s="26"/>
      <c r="AE490" s="26"/>
      <c r="AF490" s="26"/>
      <c r="AG490" s="26"/>
      <c r="AH490" s="26"/>
      <c r="AI490" s="26"/>
      <c r="AJ490" s="26"/>
      <c r="AK490" s="26"/>
      <c r="AL490" s="26"/>
      <c r="AM490" s="26"/>
      <c r="AN490" s="26"/>
      <c r="AO490" s="26"/>
      <c r="AP490" s="26"/>
      <c r="AQ490" s="26"/>
      <c r="AR490" s="26"/>
      <c r="AS490" s="26"/>
      <c r="AT490" s="26"/>
      <c r="AU490" s="26"/>
      <c r="AV490" s="26"/>
      <c r="AW490" s="26"/>
      <c r="AX490" s="26"/>
      <c r="AY490" s="26"/>
      <c r="AZ490" s="26"/>
      <c r="BA490" s="26"/>
      <c r="BB490" s="26"/>
      <c r="BC490" s="26"/>
      <c r="BD490" s="26"/>
      <c r="BE490" s="26"/>
      <c r="BF490" s="26"/>
      <c r="BG490" s="26"/>
      <c r="BH490" s="26"/>
    </row>
    <row r="491" spans="1:60" ht="35.65" customHeight="1" thickBot="1">
      <c r="A491" s="31" t="s">
        <v>333</v>
      </c>
      <c r="B491" s="32">
        <v>2544</v>
      </c>
      <c r="C491" s="33"/>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v>20</v>
      </c>
      <c r="AD491" s="34"/>
      <c r="AE491" s="289">
        <f t="shared" ref="AE491:BH491" si="133">AE492+AE494+AE493</f>
        <v>0</v>
      </c>
      <c r="AF491" s="289">
        <f>AH491+AJ491+AL491+AN491</f>
        <v>0</v>
      </c>
      <c r="AG491" s="289">
        <f t="shared" si="133"/>
        <v>0</v>
      </c>
      <c r="AH491" s="289">
        <f t="shared" si="133"/>
        <v>0</v>
      </c>
      <c r="AI491" s="289">
        <f t="shared" si="133"/>
        <v>0</v>
      </c>
      <c r="AJ491" s="289">
        <f t="shared" si="133"/>
        <v>0</v>
      </c>
      <c r="AK491" s="289">
        <f t="shared" si="133"/>
        <v>0</v>
      </c>
      <c r="AL491" s="289"/>
      <c r="AM491" s="289">
        <f t="shared" si="133"/>
        <v>0</v>
      </c>
      <c r="AN491" s="289">
        <f t="shared" si="133"/>
        <v>0</v>
      </c>
      <c r="AO491" s="289">
        <f t="shared" si="133"/>
        <v>0</v>
      </c>
      <c r="AP491" s="289">
        <f t="shared" si="133"/>
        <v>0</v>
      </c>
      <c r="AQ491" s="289">
        <f t="shared" si="133"/>
        <v>0</v>
      </c>
      <c r="AR491" s="289">
        <f t="shared" si="133"/>
        <v>0</v>
      </c>
      <c r="AS491" s="289">
        <f t="shared" si="133"/>
        <v>0</v>
      </c>
      <c r="AT491" s="289">
        <f t="shared" si="133"/>
        <v>0</v>
      </c>
      <c r="AU491" s="289">
        <f t="shared" si="133"/>
        <v>0</v>
      </c>
      <c r="AV491" s="289">
        <f t="shared" si="133"/>
        <v>0</v>
      </c>
      <c r="AW491" s="289">
        <f t="shared" si="133"/>
        <v>0</v>
      </c>
      <c r="AX491" s="289">
        <f t="shared" si="133"/>
        <v>0</v>
      </c>
      <c r="AY491" s="289">
        <f t="shared" si="133"/>
        <v>0</v>
      </c>
      <c r="AZ491" s="289">
        <f t="shared" si="133"/>
        <v>0</v>
      </c>
      <c r="BA491" s="289">
        <f t="shared" si="133"/>
        <v>0</v>
      </c>
      <c r="BB491" s="289">
        <f t="shared" si="133"/>
        <v>0</v>
      </c>
      <c r="BC491" s="289">
        <f t="shared" si="133"/>
        <v>0</v>
      </c>
      <c r="BD491" s="289">
        <f t="shared" si="133"/>
        <v>0</v>
      </c>
      <c r="BE491" s="289">
        <f t="shared" si="133"/>
        <v>0</v>
      </c>
      <c r="BF491" s="289">
        <f t="shared" si="133"/>
        <v>0</v>
      </c>
      <c r="BG491" s="289">
        <f t="shared" si="133"/>
        <v>0</v>
      </c>
      <c r="BH491" s="289">
        <f t="shared" si="133"/>
        <v>0</v>
      </c>
    </row>
    <row r="492" spans="1:60" ht="35.65" customHeight="1" thickBot="1">
      <c r="A492" s="27" t="s">
        <v>100</v>
      </c>
      <c r="B492" s="42"/>
      <c r="C492" s="157"/>
      <c r="D492" s="26"/>
      <c r="E492" s="26"/>
      <c r="F492" s="26"/>
      <c r="G492" s="26"/>
      <c r="H492" s="26"/>
      <c r="I492" s="26"/>
      <c r="J492" s="26"/>
      <c r="K492" s="26"/>
      <c r="L492" s="26"/>
      <c r="M492" s="26"/>
      <c r="N492" s="26"/>
      <c r="O492" s="26"/>
      <c r="P492" s="26"/>
      <c r="Q492" s="26"/>
      <c r="R492" s="26"/>
      <c r="S492" s="26"/>
      <c r="T492" s="26"/>
      <c r="U492" s="26"/>
      <c r="V492" s="26"/>
      <c r="W492" s="77"/>
      <c r="X492" s="52"/>
      <c r="Y492" s="52"/>
      <c r="Z492" s="77"/>
      <c r="AA492" s="26"/>
      <c r="AB492" s="26"/>
      <c r="AC492" s="26"/>
      <c r="AD492" s="52" t="s">
        <v>975</v>
      </c>
      <c r="AE492" s="26"/>
      <c r="AF492" s="26"/>
      <c r="AG492" s="26"/>
      <c r="AH492" s="26"/>
      <c r="AI492" s="26"/>
      <c r="AJ492" s="26"/>
      <c r="AK492" s="26"/>
      <c r="AL492" s="26"/>
      <c r="AM492" s="26"/>
      <c r="AN492" s="26"/>
      <c r="AO492" s="26"/>
      <c r="AP492" s="26"/>
      <c r="AQ492" s="26"/>
      <c r="AR492" s="26"/>
      <c r="AS492" s="26"/>
      <c r="AT492" s="26"/>
      <c r="AU492" s="26"/>
      <c r="AV492" s="26"/>
      <c r="AW492" s="26"/>
      <c r="AX492" s="26"/>
      <c r="AY492" s="26"/>
      <c r="AZ492" s="26"/>
      <c r="BA492" s="26"/>
      <c r="BB492" s="26"/>
      <c r="BC492" s="26"/>
      <c r="BD492" s="26"/>
      <c r="BE492" s="26"/>
      <c r="BF492" s="26"/>
      <c r="BG492" s="26"/>
      <c r="BH492" s="26"/>
    </row>
    <row r="493" spans="1:60" ht="35.65" customHeight="1" thickBot="1">
      <c r="A493" s="27" t="s">
        <v>100</v>
      </c>
      <c r="B493" s="42"/>
      <c r="C493" s="158"/>
      <c r="D493" s="26"/>
      <c r="E493" s="26"/>
      <c r="F493" s="26"/>
      <c r="G493" s="26"/>
      <c r="H493" s="26"/>
      <c r="I493" s="26"/>
      <c r="J493" s="26"/>
      <c r="K493" s="26"/>
      <c r="L493" s="26"/>
      <c r="M493" s="26"/>
      <c r="N493" s="26"/>
      <c r="O493" s="26"/>
      <c r="P493" s="26"/>
      <c r="Q493" s="26"/>
      <c r="R493" s="26"/>
      <c r="S493" s="26"/>
      <c r="T493" s="26"/>
      <c r="U493" s="26"/>
      <c r="V493" s="26"/>
      <c r="W493" s="75" t="s">
        <v>334</v>
      </c>
      <c r="X493" s="71"/>
      <c r="Y493" s="71"/>
      <c r="Z493" s="75" t="s">
        <v>334</v>
      </c>
      <c r="AA493" s="26"/>
      <c r="AB493" s="26"/>
      <c r="AC493" s="26"/>
      <c r="AD493" s="52" t="s">
        <v>976</v>
      </c>
      <c r="AE493" s="26"/>
      <c r="AF493" s="26"/>
      <c r="AG493" s="26"/>
      <c r="AH493" s="26"/>
      <c r="AI493" s="26"/>
      <c r="AJ493" s="26"/>
      <c r="AK493" s="26"/>
      <c r="AL493" s="26"/>
      <c r="AM493" s="26"/>
      <c r="AN493" s="26"/>
      <c r="AO493" s="26"/>
      <c r="AP493" s="26"/>
      <c r="AQ493" s="26"/>
      <c r="AR493" s="26"/>
      <c r="AS493" s="26"/>
      <c r="AT493" s="26"/>
      <c r="AU493" s="26"/>
      <c r="AV493" s="26"/>
      <c r="AW493" s="26"/>
      <c r="AX493" s="26"/>
      <c r="AY493" s="26"/>
      <c r="AZ493" s="26"/>
      <c r="BA493" s="26"/>
      <c r="BB493" s="26"/>
      <c r="BC493" s="26"/>
      <c r="BD493" s="26"/>
      <c r="BE493" s="26"/>
      <c r="BF493" s="26"/>
      <c r="BG493" s="26"/>
      <c r="BH493" s="26"/>
    </row>
    <row r="494" spans="1:60" ht="35.65" customHeight="1" thickBot="1">
      <c r="A494" s="27" t="s">
        <v>95</v>
      </c>
      <c r="B494" s="42"/>
      <c r="C494" s="25"/>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52" t="s">
        <v>977</v>
      </c>
      <c r="AE494" s="26"/>
      <c r="AF494" s="26"/>
      <c r="AG494" s="26"/>
      <c r="AH494" s="26"/>
      <c r="AI494" s="26"/>
      <c r="AJ494" s="26"/>
      <c r="AK494" s="26"/>
      <c r="AL494" s="26"/>
      <c r="AM494" s="26"/>
      <c r="AN494" s="26"/>
      <c r="AO494" s="26"/>
      <c r="AP494" s="26"/>
      <c r="AQ494" s="26"/>
      <c r="AR494" s="26"/>
      <c r="AS494" s="26"/>
      <c r="AT494" s="26"/>
      <c r="AU494" s="26"/>
      <c r="AV494" s="26"/>
      <c r="AW494" s="26"/>
      <c r="AX494" s="26"/>
      <c r="AY494" s="26"/>
      <c r="AZ494" s="26"/>
      <c r="BA494" s="26"/>
      <c r="BB494" s="26"/>
      <c r="BC494" s="26"/>
      <c r="BD494" s="26"/>
      <c r="BE494" s="26"/>
      <c r="BF494" s="26"/>
      <c r="BG494" s="26"/>
      <c r="BH494" s="26"/>
    </row>
    <row r="495" spans="1:60" ht="35.65" customHeight="1" thickBot="1">
      <c r="A495" s="31" t="s">
        <v>335</v>
      </c>
      <c r="B495" s="32">
        <v>2553</v>
      </c>
      <c r="C495" s="33"/>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v>2</v>
      </c>
      <c r="AD495" s="34"/>
      <c r="AE495" s="34">
        <f>AE496+AE497+AE503+AE500+AE498+AE499+AE501</f>
        <v>4862.2999999999993</v>
      </c>
      <c r="AF495" s="34">
        <f>AH495+AJ495+AL495+AN495</f>
        <v>2192.4</v>
      </c>
      <c r="AG495" s="34">
        <f>AG496+AG497+AG503+AG500+AG498+AG499+AG501</f>
        <v>0</v>
      </c>
      <c r="AH495" s="34">
        <f>AH496+AH497+AH503+AH500+AH498+AH499+AH501</f>
        <v>0</v>
      </c>
      <c r="AI495" s="34">
        <f>AI496+AI497+AI503+AI500+AI498+AI499+AI501</f>
        <v>4549</v>
      </c>
      <c r="AJ495" s="34">
        <f>AJ496+AJ497+AJ503+AJ500+AJ498+AJ499+AJ501</f>
        <v>2012.6</v>
      </c>
      <c r="AK495" s="34">
        <f>AK496+AK497+AK503+AK500+AK498+AK499+AK501</f>
        <v>0</v>
      </c>
      <c r="AL495" s="34"/>
      <c r="AM495" s="34">
        <f>AM496+AM497+AM503+AM500+AM498+AM499+AM501</f>
        <v>313.29999999999995</v>
      </c>
      <c r="AN495" s="34">
        <f>AN496+AN497+AN503+AN500+AN498+AN499+AN501</f>
        <v>179.8</v>
      </c>
      <c r="AO495" s="34">
        <f>AO496+AO497+AO503+AO502+AO499</f>
        <v>1258.4000000000001</v>
      </c>
      <c r="AP495" s="34">
        <f t="shared" ref="AP495:AS495" si="134">AP496+AP497+AP503+AP502+AP499</f>
        <v>0</v>
      </c>
      <c r="AQ495" s="34">
        <f t="shared" si="134"/>
        <v>1195.5</v>
      </c>
      <c r="AR495" s="34">
        <f t="shared" si="134"/>
        <v>0</v>
      </c>
      <c r="AS495" s="34">
        <f t="shared" si="134"/>
        <v>62.900000000000006</v>
      </c>
      <c r="AT495" s="34">
        <f t="shared" ref="AT495:BH495" si="135">AT496+AT497+AT503</f>
        <v>1110.5</v>
      </c>
      <c r="AU495" s="34">
        <f t="shared" si="135"/>
        <v>0</v>
      </c>
      <c r="AV495" s="34">
        <f t="shared" si="135"/>
        <v>910.5</v>
      </c>
      <c r="AW495" s="34">
        <f t="shared" si="135"/>
        <v>0</v>
      </c>
      <c r="AX495" s="34">
        <f t="shared" si="135"/>
        <v>200</v>
      </c>
      <c r="AY495" s="34">
        <f t="shared" si="135"/>
        <v>1110.5</v>
      </c>
      <c r="AZ495" s="34">
        <f t="shared" si="135"/>
        <v>0</v>
      </c>
      <c r="BA495" s="34">
        <f t="shared" si="135"/>
        <v>910.5</v>
      </c>
      <c r="BB495" s="34">
        <f t="shared" si="135"/>
        <v>0</v>
      </c>
      <c r="BC495" s="34">
        <f t="shared" si="135"/>
        <v>200</v>
      </c>
      <c r="BD495" s="34">
        <f t="shared" si="135"/>
        <v>1110.5</v>
      </c>
      <c r="BE495" s="34">
        <f t="shared" si="135"/>
        <v>0</v>
      </c>
      <c r="BF495" s="34">
        <f t="shared" si="135"/>
        <v>910.5</v>
      </c>
      <c r="BG495" s="34">
        <f t="shared" si="135"/>
        <v>0</v>
      </c>
      <c r="BH495" s="34">
        <f t="shared" si="135"/>
        <v>200</v>
      </c>
    </row>
    <row r="496" spans="1:60" ht="35.65" customHeight="1" thickBot="1">
      <c r="A496" s="27" t="s">
        <v>336</v>
      </c>
      <c r="B496" s="42"/>
      <c r="C496" s="25"/>
      <c r="D496" s="26"/>
      <c r="E496" s="26"/>
      <c r="F496" s="26"/>
      <c r="G496" s="26"/>
      <c r="H496" s="26"/>
      <c r="I496" s="26"/>
      <c r="J496" s="399" t="s">
        <v>337</v>
      </c>
      <c r="K496" s="26"/>
      <c r="L496" s="26"/>
      <c r="M496" s="26"/>
      <c r="N496" s="26"/>
      <c r="O496" s="26"/>
      <c r="P496" s="26"/>
      <c r="Q496" s="26"/>
      <c r="R496" s="26"/>
      <c r="S496" s="26"/>
      <c r="T496" s="26"/>
      <c r="U496" s="26"/>
      <c r="V496" s="26"/>
      <c r="W496" s="399" t="s">
        <v>338</v>
      </c>
      <c r="X496" s="52"/>
      <c r="Y496" s="52"/>
      <c r="Z496" s="375" t="s">
        <v>339</v>
      </c>
      <c r="AA496" s="26"/>
      <c r="AB496" s="26"/>
      <c r="AC496" s="26"/>
      <c r="AD496" s="52" t="s">
        <v>978</v>
      </c>
      <c r="AE496" s="26">
        <f>AG496+AI496+RM496+RN496</f>
        <v>1263.5999999999999</v>
      </c>
      <c r="AF496" s="26">
        <f>AH496+AJ496+AL496+AN496</f>
        <v>1263.5999999999999</v>
      </c>
      <c r="AG496" s="26"/>
      <c r="AH496" s="26"/>
      <c r="AI496" s="26">
        <v>1263.5999999999999</v>
      </c>
      <c r="AJ496" s="26">
        <v>1263.5999999999999</v>
      </c>
      <c r="AK496" s="26"/>
      <c r="AL496" s="26"/>
      <c r="AM496" s="26"/>
      <c r="AN496" s="26"/>
      <c r="AO496" s="26">
        <f>AP496+AQ496+AS496</f>
        <v>910.5</v>
      </c>
      <c r="AP496" s="26"/>
      <c r="AQ496" s="26">
        <v>910.5</v>
      </c>
      <c r="AR496" s="26"/>
      <c r="AS496" s="26"/>
      <c r="AT496" s="26">
        <f>AU496+AV496+AX496</f>
        <v>910.5</v>
      </c>
      <c r="AU496" s="26"/>
      <c r="AV496" s="26">
        <v>910.5</v>
      </c>
      <c r="AW496" s="26"/>
      <c r="AX496" s="26"/>
      <c r="AY496" s="26">
        <f>AZ496+BA496+BB496+BC496</f>
        <v>910.5</v>
      </c>
      <c r="AZ496" s="26"/>
      <c r="BA496" s="26">
        <v>910.5</v>
      </c>
      <c r="BB496" s="26"/>
      <c r="BC496" s="26"/>
      <c r="BD496" s="26">
        <f>BE496+BF496+BG496+BH496</f>
        <v>910.5</v>
      </c>
      <c r="BE496" s="26"/>
      <c r="BF496" s="26">
        <v>910.5</v>
      </c>
      <c r="BG496" s="26"/>
      <c r="BH496" s="26"/>
    </row>
    <row r="497" spans="1:60" ht="35.65" customHeight="1" thickBot="1">
      <c r="A497" s="27" t="s">
        <v>336</v>
      </c>
      <c r="B497" s="42"/>
      <c r="C497" s="25"/>
      <c r="D497" s="26"/>
      <c r="E497" s="26"/>
      <c r="F497" s="26"/>
      <c r="G497" s="26"/>
      <c r="H497" s="26"/>
      <c r="I497" s="26"/>
      <c r="J497" s="382"/>
      <c r="K497" s="26"/>
      <c r="L497" s="26"/>
      <c r="M497" s="26"/>
      <c r="N497" s="26"/>
      <c r="O497" s="26"/>
      <c r="P497" s="26"/>
      <c r="Q497" s="26"/>
      <c r="R497" s="26"/>
      <c r="S497" s="26"/>
      <c r="T497" s="26"/>
      <c r="U497" s="26"/>
      <c r="V497" s="26"/>
      <c r="W497" s="382"/>
      <c r="X497" s="52"/>
      <c r="Y497" s="52"/>
      <c r="Z497" s="388"/>
      <c r="AA497" s="26"/>
      <c r="AB497" s="26"/>
      <c r="AC497" s="26"/>
      <c r="AD497" s="52" t="s">
        <v>979</v>
      </c>
      <c r="AE497" s="26">
        <f>AG497+AI497+RM497+RN497</f>
        <v>0</v>
      </c>
      <c r="AF497" s="26">
        <f t="shared" ref="AF497:AF503" si="136">AH497+AJ497+AL497+AN497</f>
        <v>0</v>
      </c>
      <c r="AG497" s="26">
        <f>AI497+AK497+AM497+MR1230</f>
        <v>0</v>
      </c>
      <c r="AH497" s="26">
        <f>AJ497+AL497+AN497+MS1230</f>
        <v>0</v>
      </c>
      <c r="AI497" s="26">
        <f>AK497+AM497+MR1230+MT1230</f>
        <v>0</v>
      </c>
      <c r="AJ497" s="26">
        <f>AL497+AN497+MS1230+MU1230</f>
        <v>0</v>
      </c>
      <c r="AK497" s="26">
        <f>AM497+MR1230+MT1230+MV1230</f>
        <v>0</v>
      </c>
      <c r="AL497" s="26">
        <f>AN497+MS1230+MU1230+MW1230</f>
        <v>0</v>
      </c>
      <c r="AM497" s="26">
        <f>MR1230+MT1230+MV1230+MX1230</f>
        <v>0</v>
      </c>
      <c r="AN497" s="26">
        <f>MS1230+MU1230+MW1230+MY1230</f>
        <v>0</v>
      </c>
      <c r="AO497" s="26">
        <f t="shared" ref="AO497:AO502" si="137">AP497+AQ497+AS497</f>
        <v>0</v>
      </c>
      <c r="AP497" s="26"/>
      <c r="AQ497" s="26"/>
      <c r="AR497" s="26"/>
      <c r="AS497" s="26"/>
      <c r="AT497" s="26">
        <f>AU497+AV497+AX497</f>
        <v>0</v>
      </c>
      <c r="AU497" s="26"/>
      <c r="AV497" s="26"/>
      <c r="AW497" s="26"/>
      <c r="AX497" s="26"/>
      <c r="AY497" s="26">
        <f>AZ497+BA497+BB497+BC497</f>
        <v>0</v>
      </c>
      <c r="AZ497" s="26"/>
      <c r="BA497" s="26"/>
      <c r="BB497" s="26"/>
      <c r="BC497" s="26"/>
      <c r="BD497" s="26">
        <f>BE497+BF497+BG497+BH497</f>
        <v>0</v>
      </c>
      <c r="BE497" s="26"/>
      <c r="BF497" s="26"/>
      <c r="BG497" s="26"/>
      <c r="BH497" s="26"/>
    </row>
    <row r="498" spans="1:60" ht="35.65" customHeight="1" thickBot="1">
      <c r="A498" s="27" t="s">
        <v>336</v>
      </c>
      <c r="B498" s="42"/>
      <c r="C498" s="25"/>
      <c r="D498" s="26"/>
      <c r="E498" s="26"/>
      <c r="F498" s="26"/>
      <c r="G498" s="26"/>
      <c r="H498" s="26"/>
      <c r="I498" s="26"/>
      <c r="J498" s="382"/>
      <c r="K498" s="26"/>
      <c r="L498" s="26"/>
      <c r="M498" s="26"/>
      <c r="N498" s="26"/>
      <c r="O498" s="26"/>
      <c r="P498" s="26"/>
      <c r="Q498" s="26"/>
      <c r="R498" s="26"/>
      <c r="S498" s="26"/>
      <c r="T498" s="26"/>
      <c r="U498" s="26"/>
      <c r="V498" s="26"/>
      <c r="W498" s="382"/>
      <c r="X498" s="52"/>
      <c r="Y498" s="52"/>
      <c r="Z498" s="388"/>
      <c r="AA498" s="26"/>
      <c r="AB498" s="26"/>
      <c r="AC498" s="26"/>
      <c r="AD498" s="52" t="s">
        <v>980</v>
      </c>
      <c r="AE498" s="26">
        <f>AG498+AI498+RM498+RN498</f>
        <v>2536.4</v>
      </c>
      <c r="AF498" s="26">
        <f t="shared" si="136"/>
        <v>0</v>
      </c>
      <c r="AG498" s="26"/>
      <c r="AH498" s="26"/>
      <c r="AI498" s="26">
        <v>2536.4</v>
      </c>
      <c r="AJ498" s="26">
        <v>0</v>
      </c>
      <c r="AK498" s="26"/>
      <c r="AL498" s="26"/>
      <c r="AM498" s="26"/>
      <c r="AN498" s="26"/>
      <c r="AO498" s="26">
        <f t="shared" si="137"/>
        <v>0</v>
      </c>
      <c r="AP498" s="26"/>
      <c r="AQ498" s="26"/>
      <c r="AR498" s="26"/>
      <c r="AS498" s="26"/>
      <c r="AT498" s="26"/>
      <c r="AU498" s="26"/>
      <c r="AV498" s="26"/>
      <c r="AW498" s="26"/>
      <c r="AX498" s="26"/>
      <c r="AY498" s="26"/>
      <c r="AZ498" s="26"/>
      <c r="BA498" s="26"/>
      <c r="BB498" s="26"/>
      <c r="BC498" s="26"/>
      <c r="BD498" s="26"/>
      <c r="BE498" s="26"/>
      <c r="BF498" s="26"/>
      <c r="BG498" s="26"/>
      <c r="BH498" s="26"/>
    </row>
    <row r="499" spans="1:60" ht="35.65" customHeight="1" thickBot="1">
      <c r="A499" s="27" t="s">
        <v>336</v>
      </c>
      <c r="B499" s="42"/>
      <c r="C499" s="25"/>
      <c r="D499" s="26"/>
      <c r="E499" s="26"/>
      <c r="F499" s="26"/>
      <c r="G499" s="26"/>
      <c r="H499" s="26"/>
      <c r="I499" s="26"/>
      <c r="J499" s="382"/>
      <c r="K499" s="26"/>
      <c r="L499" s="26"/>
      <c r="M499" s="26"/>
      <c r="N499" s="26"/>
      <c r="O499" s="26"/>
      <c r="P499" s="26"/>
      <c r="Q499" s="26"/>
      <c r="R499" s="26"/>
      <c r="S499" s="26"/>
      <c r="T499" s="26"/>
      <c r="U499" s="26"/>
      <c r="V499" s="26"/>
      <c r="W499" s="382"/>
      <c r="X499" s="52"/>
      <c r="Y499" s="52"/>
      <c r="Z499" s="388"/>
      <c r="AA499" s="26"/>
      <c r="AB499" s="26"/>
      <c r="AC499" s="26"/>
      <c r="AD499" s="52" t="s">
        <v>981</v>
      </c>
      <c r="AE499" s="26">
        <f>AG499+AI499+RM499+RN499</f>
        <v>749</v>
      </c>
      <c r="AF499" s="26">
        <f t="shared" si="136"/>
        <v>749</v>
      </c>
      <c r="AG499" s="26"/>
      <c r="AH499" s="26"/>
      <c r="AI499" s="26">
        <v>749</v>
      </c>
      <c r="AJ499" s="26">
        <v>749</v>
      </c>
      <c r="AK499" s="26"/>
      <c r="AL499" s="26"/>
      <c r="AM499" s="26"/>
      <c r="AN499" s="26"/>
      <c r="AO499" s="26">
        <f t="shared" si="137"/>
        <v>285</v>
      </c>
      <c r="AP499" s="26"/>
      <c r="AQ499" s="26">
        <v>285</v>
      </c>
      <c r="AR499" s="26"/>
      <c r="AS499" s="26"/>
      <c r="AT499" s="26"/>
      <c r="AU499" s="26"/>
      <c r="AV499" s="26"/>
      <c r="AW499" s="26"/>
      <c r="AX499" s="26"/>
      <c r="AY499" s="26"/>
      <c r="AZ499" s="26"/>
      <c r="BA499" s="26"/>
      <c r="BB499" s="26"/>
      <c r="BC499" s="26"/>
      <c r="BD499" s="26"/>
      <c r="BE499" s="26"/>
      <c r="BF499" s="26"/>
      <c r="BG499" s="26"/>
      <c r="BH499" s="26"/>
    </row>
    <row r="500" spans="1:60" ht="35.65" customHeight="1" thickBot="1">
      <c r="A500" s="27" t="s">
        <v>336</v>
      </c>
      <c r="B500" s="42"/>
      <c r="C500" s="25"/>
      <c r="D500" s="26"/>
      <c r="E500" s="26"/>
      <c r="F500" s="26"/>
      <c r="G500" s="26"/>
      <c r="H500" s="26"/>
      <c r="I500" s="26"/>
      <c r="J500" s="382"/>
      <c r="K500" s="26"/>
      <c r="L500" s="26"/>
      <c r="M500" s="26"/>
      <c r="N500" s="26"/>
      <c r="O500" s="26"/>
      <c r="P500" s="26"/>
      <c r="Q500" s="26"/>
      <c r="R500" s="26"/>
      <c r="S500" s="26"/>
      <c r="T500" s="26"/>
      <c r="U500" s="26"/>
      <c r="V500" s="26"/>
      <c r="W500" s="382"/>
      <c r="X500" s="52"/>
      <c r="Y500" s="52"/>
      <c r="Z500" s="388"/>
      <c r="AA500" s="26"/>
      <c r="AB500" s="26"/>
      <c r="AC500" s="26"/>
      <c r="AD500" s="52" t="s">
        <v>982</v>
      </c>
      <c r="AE500" s="26">
        <f>AG500+AI500+AK500+AM500</f>
        <v>133.5</v>
      </c>
      <c r="AF500" s="26">
        <f t="shared" si="136"/>
        <v>0</v>
      </c>
      <c r="AG500" s="26"/>
      <c r="AH500" s="26"/>
      <c r="AI500" s="26"/>
      <c r="AJ500" s="26"/>
      <c r="AK500" s="26"/>
      <c r="AL500" s="26"/>
      <c r="AM500" s="26">
        <v>133.5</v>
      </c>
      <c r="AN500" s="26">
        <v>0</v>
      </c>
      <c r="AO500" s="26">
        <f t="shared" si="137"/>
        <v>0</v>
      </c>
      <c r="AP500" s="26"/>
      <c r="AQ500" s="26"/>
      <c r="AR500" s="26"/>
      <c r="AS500" s="26"/>
      <c r="AT500" s="26"/>
      <c r="AU500" s="26"/>
      <c r="AV500" s="26"/>
      <c r="AW500" s="26"/>
      <c r="AX500" s="26"/>
      <c r="AY500" s="26"/>
      <c r="AZ500" s="26"/>
      <c r="BA500" s="26"/>
      <c r="BB500" s="26"/>
      <c r="BC500" s="26"/>
      <c r="BD500" s="26"/>
      <c r="BE500" s="26"/>
      <c r="BF500" s="26"/>
      <c r="BG500" s="26"/>
      <c r="BH500" s="26"/>
    </row>
    <row r="501" spans="1:60" ht="35.65" customHeight="1" thickBot="1">
      <c r="A501" s="27" t="s">
        <v>336</v>
      </c>
      <c r="B501" s="42"/>
      <c r="C501" s="25"/>
      <c r="D501" s="26"/>
      <c r="E501" s="26"/>
      <c r="F501" s="26"/>
      <c r="G501" s="26"/>
      <c r="H501" s="26"/>
      <c r="I501" s="26"/>
      <c r="J501" s="382"/>
      <c r="K501" s="26"/>
      <c r="L501" s="26"/>
      <c r="M501" s="26"/>
      <c r="N501" s="26"/>
      <c r="O501" s="26"/>
      <c r="P501" s="26"/>
      <c r="Q501" s="26"/>
      <c r="R501" s="26"/>
      <c r="S501" s="26"/>
      <c r="T501" s="26"/>
      <c r="U501" s="26"/>
      <c r="V501" s="26"/>
      <c r="W501" s="382"/>
      <c r="X501" s="52"/>
      <c r="Y501" s="52"/>
      <c r="Z501" s="388"/>
      <c r="AA501" s="26"/>
      <c r="AB501" s="26"/>
      <c r="AC501" s="26"/>
      <c r="AD501" s="52" t="s">
        <v>983</v>
      </c>
      <c r="AE501" s="26">
        <f>AG501+AI501+AK501+AM501</f>
        <v>39.4</v>
      </c>
      <c r="AF501" s="26">
        <f t="shared" si="136"/>
        <v>39.4</v>
      </c>
      <c r="AG501" s="26"/>
      <c r="AH501" s="26"/>
      <c r="AI501" s="26"/>
      <c r="AJ501" s="26"/>
      <c r="AK501" s="26"/>
      <c r="AL501" s="26"/>
      <c r="AM501" s="26">
        <f>30+7.4+2</f>
        <v>39.4</v>
      </c>
      <c r="AN501" s="26">
        <v>39.4</v>
      </c>
      <c r="AO501" s="26">
        <f t="shared" si="137"/>
        <v>0</v>
      </c>
      <c r="AP501" s="26"/>
      <c r="AQ501" s="26"/>
      <c r="AR501" s="26"/>
      <c r="AS501" s="26"/>
      <c r="AT501" s="26"/>
      <c r="AU501" s="26"/>
      <c r="AV501" s="26"/>
      <c r="AW501" s="26"/>
      <c r="AX501" s="26"/>
      <c r="AY501" s="26"/>
      <c r="AZ501" s="26"/>
      <c r="BA501" s="26"/>
      <c r="BB501" s="26"/>
      <c r="BC501" s="26"/>
      <c r="BD501" s="26"/>
      <c r="BE501" s="26"/>
      <c r="BF501" s="26"/>
      <c r="BG501" s="26"/>
      <c r="BH501" s="26"/>
    </row>
    <row r="502" spans="1:60" ht="35.65" customHeight="1" thickBot="1">
      <c r="A502" s="27" t="s">
        <v>336</v>
      </c>
      <c r="B502" s="42"/>
      <c r="C502" s="25"/>
      <c r="D502" s="26"/>
      <c r="E502" s="26"/>
      <c r="F502" s="26"/>
      <c r="G502" s="26"/>
      <c r="H502" s="26"/>
      <c r="I502" s="26"/>
      <c r="J502" s="382"/>
      <c r="K502" s="26"/>
      <c r="L502" s="26"/>
      <c r="M502" s="26"/>
      <c r="N502" s="26"/>
      <c r="O502" s="26"/>
      <c r="P502" s="26"/>
      <c r="Q502" s="26"/>
      <c r="R502" s="26"/>
      <c r="S502" s="26"/>
      <c r="T502" s="26"/>
      <c r="U502" s="26"/>
      <c r="V502" s="26"/>
      <c r="W502" s="382"/>
      <c r="X502" s="52"/>
      <c r="Y502" s="52"/>
      <c r="Z502" s="388"/>
      <c r="AA502" s="26"/>
      <c r="AB502" s="26"/>
      <c r="AC502" s="26"/>
      <c r="AD502" s="52" t="s">
        <v>984</v>
      </c>
      <c r="AE502" s="26"/>
      <c r="AF502" s="26"/>
      <c r="AG502" s="26"/>
      <c r="AH502" s="26"/>
      <c r="AI502" s="26"/>
      <c r="AJ502" s="26"/>
      <c r="AK502" s="26"/>
      <c r="AL502" s="26"/>
      <c r="AM502" s="26"/>
      <c r="AN502" s="26"/>
      <c r="AO502" s="26">
        <f t="shared" si="137"/>
        <v>15</v>
      </c>
      <c r="AP502" s="26"/>
      <c r="AQ502" s="26"/>
      <c r="AR502" s="26"/>
      <c r="AS502" s="26">
        <f>100-85</f>
        <v>15</v>
      </c>
      <c r="AT502" s="26"/>
      <c r="AU502" s="26"/>
      <c r="AV502" s="26"/>
      <c r="AW502" s="26"/>
      <c r="AX502" s="26"/>
      <c r="AY502" s="26"/>
      <c r="AZ502" s="26"/>
      <c r="BA502" s="26"/>
      <c r="BB502" s="26"/>
      <c r="BC502" s="26"/>
      <c r="BD502" s="26"/>
      <c r="BE502" s="26"/>
      <c r="BF502" s="26"/>
      <c r="BG502" s="26"/>
      <c r="BH502" s="26"/>
    </row>
    <row r="503" spans="1:60" ht="35.65" customHeight="1" thickBot="1">
      <c r="A503" s="27" t="s">
        <v>336</v>
      </c>
      <c r="B503" s="42"/>
      <c r="C503" s="25"/>
      <c r="D503" s="26"/>
      <c r="E503" s="26"/>
      <c r="F503" s="26"/>
      <c r="G503" s="26"/>
      <c r="H503" s="26"/>
      <c r="I503" s="26"/>
      <c r="J503" s="400"/>
      <c r="K503" s="26"/>
      <c r="L503" s="26"/>
      <c r="M503" s="26"/>
      <c r="N503" s="26"/>
      <c r="O503" s="26"/>
      <c r="P503" s="26"/>
      <c r="Q503" s="26"/>
      <c r="R503" s="26"/>
      <c r="S503" s="26"/>
      <c r="T503" s="26"/>
      <c r="U503" s="26"/>
      <c r="V503" s="26"/>
      <c r="W503" s="400"/>
      <c r="X503" s="52"/>
      <c r="Y503" s="52"/>
      <c r="Z503" s="376"/>
      <c r="AA503" s="26"/>
      <c r="AB503" s="26"/>
      <c r="AC503" s="26"/>
      <c r="AD503" s="52" t="s">
        <v>985</v>
      </c>
      <c r="AE503" s="26">
        <f>AM503</f>
        <v>140.4</v>
      </c>
      <c r="AF503" s="26">
        <f t="shared" si="136"/>
        <v>140.4</v>
      </c>
      <c r="AG503" s="26"/>
      <c r="AH503" s="26"/>
      <c r="AI503" s="26"/>
      <c r="AJ503" s="26"/>
      <c r="AK503" s="26"/>
      <c r="AL503" s="26"/>
      <c r="AM503" s="26">
        <f>200-59.6</f>
        <v>140.4</v>
      </c>
      <c r="AN503" s="26">
        <v>140.4</v>
      </c>
      <c r="AO503" s="26">
        <f>AP503+AQ503+AS503</f>
        <v>47.900000000000006</v>
      </c>
      <c r="AP503" s="26"/>
      <c r="AQ503" s="26"/>
      <c r="AR503" s="26"/>
      <c r="AS503" s="26">
        <f>200-100+85-137.1</f>
        <v>47.900000000000006</v>
      </c>
      <c r="AT503" s="26">
        <f>AU503+AV503+AX503</f>
        <v>200</v>
      </c>
      <c r="AU503" s="26"/>
      <c r="AV503" s="26"/>
      <c r="AW503" s="26"/>
      <c r="AX503" s="26">
        <v>200</v>
      </c>
      <c r="AY503" s="26">
        <f>AZ503+BA503+BB503+BC503</f>
        <v>200</v>
      </c>
      <c r="AZ503" s="26"/>
      <c r="BA503" s="26"/>
      <c r="BB503" s="26"/>
      <c r="BC503" s="26">
        <v>200</v>
      </c>
      <c r="BD503" s="26">
        <f>BE503+BF503+BG503+BH503</f>
        <v>200</v>
      </c>
      <c r="BE503" s="26"/>
      <c r="BF503" s="26"/>
      <c r="BG503" s="26"/>
      <c r="BH503" s="26">
        <v>200</v>
      </c>
    </row>
    <row r="504" spans="1:60" ht="35.65" customHeight="1" thickBot="1">
      <c r="A504" s="31" t="s">
        <v>340</v>
      </c>
      <c r="B504" s="32">
        <v>2555</v>
      </c>
      <c r="C504" s="33"/>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v>6</v>
      </c>
      <c r="AD504" s="34"/>
      <c r="AE504" s="118">
        <f>AE505+AE506+AE507+AE508+AE510+AE511+AE512+AE513+AE515+AE516+AE518+AE519+AE520+AE521+AE514+AE517+AE509</f>
        <v>16996.600000000002</v>
      </c>
      <c r="AF504" s="118">
        <f>AH504+AJ504+AL504+AN504</f>
        <v>16751.8</v>
      </c>
      <c r="AG504" s="118">
        <f t="shared" ref="AG504:AN504" si="138">AG505+AG506+AG507+AG508+AG510+AG511+AG512+AG513+AG515+AG516+AG518+AG519+AG520+AG521+AG514+AG517+AG509</f>
        <v>0</v>
      </c>
      <c r="AH504" s="118">
        <f t="shared" si="138"/>
        <v>0</v>
      </c>
      <c r="AI504" s="118">
        <f t="shared" si="138"/>
        <v>4538.3999999999996</v>
      </c>
      <c r="AJ504" s="118">
        <f t="shared" si="138"/>
        <v>4532.8</v>
      </c>
      <c r="AK504" s="118">
        <f t="shared" si="138"/>
        <v>0</v>
      </c>
      <c r="AL504" s="118"/>
      <c r="AM504" s="118">
        <f t="shared" si="138"/>
        <v>12458.199999999999</v>
      </c>
      <c r="AN504" s="118">
        <f t="shared" si="138"/>
        <v>12218.999999999998</v>
      </c>
      <c r="AO504" s="118">
        <f>AO505+AO506+AO507+AO508+AO510+AO511+AO512+AO513+AO515+AO516+AO518+AO519+AO520+AO521+AO514+AO517</f>
        <v>19918.7</v>
      </c>
      <c r="AP504" s="118">
        <f t="shared" ref="AP504:AS504" si="139">AP505+AP506+AP507+AP508+AP510+AP511+AP512+AP513+AP515+AP516+AP518+AP519+AP520+AP521+AP514+AP517</f>
        <v>0</v>
      </c>
      <c r="AQ504" s="118">
        <f t="shared" si="139"/>
        <v>4836.7</v>
      </c>
      <c r="AR504" s="118">
        <f t="shared" si="139"/>
        <v>0</v>
      </c>
      <c r="AS504" s="118">
        <f t="shared" si="139"/>
        <v>15082</v>
      </c>
      <c r="AT504" s="118">
        <f t="shared" ref="AT504:BH504" si="140">AT505+AT506+AT507+AT508+AT510+AT511+AT512+AT513+AT515+AT516+AT518+AT519+AT520+AT521</f>
        <v>14687.9</v>
      </c>
      <c r="AU504" s="118">
        <f t="shared" si="140"/>
        <v>0</v>
      </c>
      <c r="AV504" s="118">
        <f t="shared" si="140"/>
        <v>810.5</v>
      </c>
      <c r="AW504" s="118">
        <f t="shared" si="140"/>
        <v>0</v>
      </c>
      <c r="AX504" s="118">
        <f t="shared" si="140"/>
        <v>13877.4</v>
      </c>
      <c r="AY504" s="118">
        <f t="shared" si="140"/>
        <v>14687.9</v>
      </c>
      <c r="AZ504" s="118">
        <f t="shared" si="140"/>
        <v>0</v>
      </c>
      <c r="BA504" s="118">
        <f t="shared" si="140"/>
        <v>810.5</v>
      </c>
      <c r="BB504" s="118">
        <f t="shared" si="140"/>
        <v>0</v>
      </c>
      <c r="BC504" s="118">
        <f t="shared" si="140"/>
        <v>13877.4</v>
      </c>
      <c r="BD504" s="118">
        <f t="shared" si="140"/>
        <v>14687.9</v>
      </c>
      <c r="BE504" s="118">
        <f t="shared" si="140"/>
        <v>0</v>
      </c>
      <c r="BF504" s="118">
        <f t="shared" si="140"/>
        <v>810.5</v>
      </c>
      <c r="BG504" s="118">
        <f t="shared" si="140"/>
        <v>0</v>
      </c>
      <c r="BH504" s="118">
        <f t="shared" si="140"/>
        <v>13877.4</v>
      </c>
    </row>
    <row r="505" spans="1:60" ht="35.65" customHeight="1" thickBot="1">
      <c r="A505" s="27" t="s">
        <v>249</v>
      </c>
      <c r="B505" s="42"/>
      <c r="C505" s="20" t="s">
        <v>105</v>
      </c>
      <c r="D505" s="20" t="s">
        <v>117</v>
      </c>
      <c r="E505" s="20" t="s">
        <v>107</v>
      </c>
      <c r="F505" s="20"/>
      <c r="G505" s="20"/>
      <c r="H505" s="20"/>
      <c r="I505" s="20"/>
      <c r="J505" s="20" t="s">
        <v>341</v>
      </c>
      <c r="K505" s="20"/>
      <c r="L505" s="20"/>
      <c r="M505" s="20" t="s">
        <v>342</v>
      </c>
      <c r="N505" s="20" t="s">
        <v>112</v>
      </c>
      <c r="O505" s="20"/>
      <c r="P505" s="20" t="s">
        <v>343</v>
      </c>
      <c r="Q505" s="20" t="s">
        <v>112</v>
      </c>
      <c r="R505" s="20"/>
      <c r="S505" s="20"/>
      <c r="T505" s="20" t="s">
        <v>344</v>
      </c>
      <c r="U505" s="20" t="s">
        <v>112</v>
      </c>
      <c r="V505" s="10"/>
      <c r="W505" s="20" t="s">
        <v>251</v>
      </c>
      <c r="X505" s="20" t="s">
        <v>112</v>
      </c>
      <c r="Y505" s="10"/>
      <c r="Z505" s="20" t="s">
        <v>251</v>
      </c>
      <c r="AA505" s="20" t="s">
        <v>112</v>
      </c>
      <c r="AB505" s="26"/>
      <c r="AC505" s="26"/>
      <c r="AD505" s="52" t="s">
        <v>986</v>
      </c>
      <c r="AE505" s="26">
        <f>AI505</f>
        <v>200</v>
      </c>
      <c r="AF505" s="26">
        <f>AH505+AJ505+AL505+AN505</f>
        <v>200</v>
      </c>
      <c r="AG505" s="26"/>
      <c r="AH505" s="26"/>
      <c r="AI505" s="26">
        <v>200</v>
      </c>
      <c r="AJ505" s="26">
        <v>200</v>
      </c>
      <c r="AK505" s="26">
        <f>AM505+QD505+QE505+QF505</f>
        <v>0</v>
      </c>
      <c r="AL505" s="26"/>
      <c r="AM505" s="26">
        <f>QD505+QE505+QF505+QG505</f>
        <v>0</v>
      </c>
      <c r="AN505" s="26"/>
      <c r="AO505" s="25">
        <f>AP505+AQ505+AR505+AS505</f>
        <v>200</v>
      </c>
      <c r="AP505" s="25"/>
      <c r="AQ505" s="25">
        <v>200</v>
      </c>
      <c r="AR505" s="25">
        <f>AS505+FT1237+FU1237+FV1237</f>
        <v>0</v>
      </c>
      <c r="AS505" s="25">
        <f>FT1237+FU1237+FV1237+FW1237</f>
        <v>0</v>
      </c>
      <c r="AT505" s="26">
        <f t="shared" ref="AT505:AT508" si="141">AU505+AV505+AW505+AX505</f>
        <v>0</v>
      </c>
      <c r="AU505" s="26">
        <f>AV505+AW505+AX505+FJ1237</f>
        <v>0</v>
      </c>
      <c r="AV505" s="26">
        <f>AW505+AX505+FJ1237+FK1237</f>
        <v>0</v>
      </c>
      <c r="AW505" s="26">
        <f>AX505+FJ1237+FK1237+FL1237</f>
        <v>0</v>
      </c>
      <c r="AX505" s="26">
        <f>FJ1237+FK1237+FL1237+FM1237</f>
        <v>0</v>
      </c>
      <c r="AY505" s="26">
        <f t="shared" ref="AY505:AY521" si="142">AZ505+BA505+BB505+BC505</f>
        <v>0</v>
      </c>
      <c r="AZ505" s="26">
        <f>BA505+BB505+BC505+EA505</f>
        <v>0</v>
      </c>
      <c r="BA505" s="26">
        <f>BB505+BC505+EA505+EB505</f>
        <v>0</v>
      </c>
      <c r="BB505" s="26">
        <f>BC505+EA505+EB505+EC505</f>
        <v>0</v>
      </c>
      <c r="BC505" s="26">
        <f>EA505+EB505+EC505+ED505</f>
        <v>0</v>
      </c>
      <c r="BD505" s="26">
        <f t="shared" ref="BD505:BD521" si="143">BE505+BF505+BG505+BH505</f>
        <v>0</v>
      </c>
      <c r="BE505" s="26">
        <f>BF505+BG505+BH505+EF505</f>
        <v>0</v>
      </c>
      <c r="BF505" s="26">
        <f>BG505+BH505+EF505+EG505</f>
        <v>0</v>
      </c>
      <c r="BG505" s="26">
        <f>BH505+EF505+EG505+EH505</f>
        <v>0</v>
      </c>
      <c r="BH505" s="26">
        <f>EF505+EG505+EH505+EI505</f>
        <v>0</v>
      </c>
    </row>
    <row r="506" spans="1:60" ht="35.65" customHeight="1" thickBot="1">
      <c r="A506" s="27" t="s">
        <v>249</v>
      </c>
      <c r="B506" s="35"/>
      <c r="C506" s="20" t="s">
        <v>105</v>
      </c>
      <c r="D506" s="20"/>
      <c r="E506" s="20" t="s">
        <v>107</v>
      </c>
      <c r="F506" s="20"/>
      <c r="G506" s="20"/>
      <c r="H506" s="20"/>
      <c r="I506" s="20"/>
      <c r="J506" s="20" t="s">
        <v>341</v>
      </c>
      <c r="K506" s="20"/>
      <c r="L506" s="20"/>
      <c r="M506" s="20" t="s">
        <v>342</v>
      </c>
      <c r="N506" s="20" t="s">
        <v>112</v>
      </c>
      <c r="O506" s="20"/>
      <c r="P506" s="20" t="s">
        <v>345</v>
      </c>
      <c r="Q506" s="20" t="s">
        <v>112</v>
      </c>
      <c r="R506" s="20"/>
      <c r="S506" s="20"/>
      <c r="T506" s="20" t="s">
        <v>346</v>
      </c>
      <c r="U506" s="20" t="s">
        <v>112</v>
      </c>
      <c r="V506" s="10"/>
      <c r="W506" s="20" t="s">
        <v>251</v>
      </c>
      <c r="X506" s="20" t="s">
        <v>112</v>
      </c>
      <c r="Y506" s="10"/>
      <c r="Z506" s="20" t="s">
        <v>251</v>
      </c>
      <c r="AA506" s="20" t="s">
        <v>112</v>
      </c>
      <c r="AB506" s="144"/>
      <c r="AC506" s="30"/>
      <c r="AD506" s="52" t="s">
        <v>987</v>
      </c>
      <c r="AE506" s="26">
        <f t="shared" ref="AE506:AF521" si="144">AG506+AI506+AK506+AM506</f>
        <v>1016.4</v>
      </c>
      <c r="AF506" s="26">
        <f t="shared" si="144"/>
        <v>1016.4</v>
      </c>
      <c r="AG506" s="26"/>
      <c r="AH506" s="26"/>
      <c r="AI506" s="26">
        <v>1016.4</v>
      </c>
      <c r="AJ506" s="26">
        <v>1016.4</v>
      </c>
      <c r="AK506" s="26"/>
      <c r="AL506" s="26"/>
      <c r="AM506" s="26"/>
      <c r="AN506" s="26"/>
      <c r="AO506" s="26">
        <f t="shared" ref="AO506:AO521" si="145">AP506+AQ506+AR506+AS506</f>
        <v>998.1</v>
      </c>
      <c r="AP506" s="26"/>
      <c r="AQ506" s="26">
        <v>998.1</v>
      </c>
      <c r="AR506" s="26"/>
      <c r="AS506" s="26"/>
      <c r="AT506" s="26">
        <f t="shared" si="141"/>
        <v>810.5</v>
      </c>
      <c r="AU506" s="26"/>
      <c r="AV506" s="26">
        <v>810.5</v>
      </c>
      <c r="AW506" s="26"/>
      <c r="AX506" s="26"/>
      <c r="AY506" s="26">
        <f t="shared" si="142"/>
        <v>810.5</v>
      </c>
      <c r="AZ506" s="26"/>
      <c r="BA506" s="26">
        <v>810.5</v>
      </c>
      <c r="BB506" s="26"/>
      <c r="BC506" s="26"/>
      <c r="BD506" s="26">
        <f t="shared" si="143"/>
        <v>810.5</v>
      </c>
      <c r="BE506" s="26"/>
      <c r="BF506" s="26">
        <v>810.5</v>
      </c>
      <c r="BG506" s="26"/>
      <c r="BH506" s="26"/>
    </row>
    <row r="507" spans="1:60" ht="35.65" customHeight="1" thickBot="1">
      <c r="A507" s="27" t="s">
        <v>249</v>
      </c>
      <c r="B507" s="35"/>
      <c r="C507" s="20" t="s">
        <v>181</v>
      </c>
      <c r="D507" s="20" t="s">
        <v>193</v>
      </c>
      <c r="E507" s="20" t="s">
        <v>182</v>
      </c>
      <c r="F507" s="20"/>
      <c r="G507" s="20"/>
      <c r="H507" s="20"/>
      <c r="I507" s="20"/>
      <c r="J507" s="43" t="s">
        <v>347</v>
      </c>
      <c r="K507" s="20" t="s">
        <v>160</v>
      </c>
      <c r="L507" s="20" t="s">
        <v>161</v>
      </c>
      <c r="M507" s="43" t="s">
        <v>259</v>
      </c>
      <c r="N507" s="20" t="s">
        <v>112</v>
      </c>
      <c r="O507" s="20" t="s">
        <v>121</v>
      </c>
      <c r="P507" s="20" t="s">
        <v>250</v>
      </c>
      <c r="Q507" s="20" t="s">
        <v>112</v>
      </c>
      <c r="R507" s="20"/>
      <c r="S507" s="20"/>
      <c r="T507" s="20" t="s">
        <v>348</v>
      </c>
      <c r="U507" s="20" t="s">
        <v>112</v>
      </c>
      <c r="V507" s="10" t="s">
        <v>349</v>
      </c>
      <c r="W507" s="20" t="s">
        <v>348</v>
      </c>
      <c r="X507" s="20" t="s">
        <v>112</v>
      </c>
      <c r="Y507" s="10" t="s">
        <v>349</v>
      </c>
      <c r="Z507" s="20" t="s">
        <v>251</v>
      </c>
      <c r="AA507" s="20" t="s">
        <v>112</v>
      </c>
      <c r="AB507" s="20"/>
      <c r="AC507" s="30"/>
      <c r="AD507" s="52" t="s">
        <v>988</v>
      </c>
      <c r="AE507" s="26">
        <f t="shared" si="144"/>
        <v>0</v>
      </c>
      <c r="AF507" s="26">
        <f t="shared" si="144"/>
        <v>0</v>
      </c>
      <c r="AG507" s="26"/>
      <c r="AH507" s="26"/>
      <c r="AI507" s="26"/>
      <c r="AJ507" s="26"/>
      <c r="AK507" s="26"/>
      <c r="AL507" s="26"/>
      <c r="AM507" s="26"/>
      <c r="AN507" s="26"/>
      <c r="AO507" s="26">
        <f t="shared" si="145"/>
        <v>550</v>
      </c>
      <c r="AP507" s="26"/>
      <c r="AQ507" s="26">
        <v>550</v>
      </c>
      <c r="AR507" s="26"/>
      <c r="AS507" s="26"/>
      <c r="AT507" s="26">
        <f t="shared" si="141"/>
        <v>0</v>
      </c>
      <c r="AU507" s="26"/>
      <c r="AV507" s="26"/>
      <c r="AW507" s="26"/>
      <c r="AX507" s="26"/>
      <c r="AY507" s="26">
        <f t="shared" si="142"/>
        <v>0</v>
      </c>
      <c r="AZ507" s="26"/>
      <c r="BA507" s="26"/>
      <c r="BB507" s="26"/>
      <c r="BC507" s="26"/>
      <c r="BD507" s="26">
        <f t="shared" si="143"/>
        <v>0</v>
      </c>
      <c r="BE507" s="26"/>
      <c r="BF507" s="26"/>
      <c r="BG507" s="26"/>
      <c r="BH507" s="26"/>
    </row>
    <row r="508" spans="1:60" ht="35.65" customHeight="1" thickBot="1">
      <c r="A508" s="27" t="s">
        <v>249</v>
      </c>
      <c r="B508" s="35"/>
      <c r="C508" s="121" t="s">
        <v>105</v>
      </c>
      <c r="D508" s="121" t="s">
        <v>142</v>
      </c>
      <c r="E508" s="121" t="s">
        <v>107</v>
      </c>
      <c r="F508" s="121"/>
      <c r="G508" s="121"/>
      <c r="H508" s="121"/>
      <c r="I508" s="121"/>
      <c r="J508" s="159" t="s">
        <v>158</v>
      </c>
      <c r="K508" s="121" t="s">
        <v>109</v>
      </c>
      <c r="L508" s="123" t="s">
        <v>119</v>
      </c>
      <c r="M508" s="121" t="s">
        <v>350</v>
      </c>
      <c r="N508" s="121" t="s">
        <v>112</v>
      </c>
      <c r="O508" s="121"/>
      <c r="P508" s="121"/>
      <c r="Q508" s="121"/>
      <c r="R508" s="121"/>
      <c r="S508" s="121"/>
      <c r="T508" s="121" t="s">
        <v>351</v>
      </c>
      <c r="U508" s="121"/>
      <c r="V508" s="138"/>
      <c r="W508" s="121"/>
      <c r="X508" s="121"/>
      <c r="Y508" s="10"/>
      <c r="Z508" s="20"/>
      <c r="AA508" s="20"/>
      <c r="AB508" s="20"/>
      <c r="AC508" s="30"/>
      <c r="AD508" s="52" t="s">
        <v>989</v>
      </c>
      <c r="AE508" s="26">
        <f t="shared" si="144"/>
        <v>0</v>
      </c>
      <c r="AF508" s="26">
        <f t="shared" si="144"/>
        <v>0</v>
      </c>
      <c r="AG508" s="26"/>
      <c r="AH508" s="26"/>
      <c r="AI508" s="26"/>
      <c r="AJ508" s="26"/>
      <c r="AK508" s="26"/>
      <c r="AL508" s="26"/>
      <c r="AM508" s="26"/>
      <c r="AN508" s="26"/>
      <c r="AO508" s="26">
        <f t="shared" si="145"/>
        <v>0</v>
      </c>
      <c r="AP508" s="26"/>
      <c r="AQ508" s="26"/>
      <c r="AR508" s="26"/>
      <c r="AS508" s="26"/>
      <c r="AT508" s="26">
        <f t="shared" si="141"/>
        <v>0</v>
      </c>
      <c r="AU508" s="26"/>
      <c r="AV508" s="26"/>
      <c r="AW508" s="26"/>
      <c r="AX508" s="26"/>
      <c r="AY508" s="26">
        <f t="shared" si="142"/>
        <v>0</v>
      </c>
      <c r="AZ508" s="26"/>
      <c r="BA508" s="26"/>
      <c r="BB508" s="26"/>
      <c r="BC508" s="26"/>
      <c r="BD508" s="26">
        <f t="shared" si="143"/>
        <v>0</v>
      </c>
      <c r="BE508" s="26"/>
      <c r="BF508" s="26"/>
      <c r="BG508" s="26"/>
      <c r="BH508" s="26"/>
    </row>
    <row r="509" spans="1:60" ht="35.65" customHeight="1" thickBot="1">
      <c r="A509" s="27" t="s">
        <v>249</v>
      </c>
      <c r="B509" s="35"/>
      <c r="C509" s="121"/>
      <c r="D509" s="121"/>
      <c r="E509" s="121"/>
      <c r="F509" s="121"/>
      <c r="G509" s="121"/>
      <c r="H509" s="121"/>
      <c r="I509" s="121"/>
      <c r="J509" s="159"/>
      <c r="K509" s="121"/>
      <c r="L509" s="123"/>
      <c r="M509" s="121"/>
      <c r="N509" s="121"/>
      <c r="O509" s="121"/>
      <c r="P509" s="121"/>
      <c r="Q509" s="121"/>
      <c r="R509" s="121"/>
      <c r="S509" s="121"/>
      <c r="T509" s="121"/>
      <c r="U509" s="121"/>
      <c r="V509" s="138"/>
      <c r="W509" s="121"/>
      <c r="X509" s="121"/>
      <c r="Y509" s="10"/>
      <c r="Z509" s="20"/>
      <c r="AA509" s="20"/>
      <c r="AB509" s="20"/>
      <c r="AC509" s="30"/>
      <c r="AD509" s="52" t="s">
        <v>990</v>
      </c>
      <c r="AE509" s="26">
        <f t="shared" si="144"/>
        <v>222.9</v>
      </c>
      <c r="AF509" s="26">
        <f t="shared" si="144"/>
        <v>217.3</v>
      </c>
      <c r="AG509" s="26"/>
      <c r="AH509" s="26"/>
      <c r="AI509" s="26">
        <v>222.9</v>
      </c>
      <c r="AJ509" s="26">
        <v>217.3</v>
      </c>
      <c r="AK509" s="26"/>
      <c r="AL509" s="26"/>
      <c r="AM509" s="26"/>
      <c r="AN509" s="26"/>
      <c r="AO509" s="26"/>
      <c r="AP509" s="26"/>
      <c r="AQ509" s="26"/>
      <c r="AR509" s="26"/>
      <c r="AS509" s="26"/>
      <c r="AT509" s="26"/>
      <c r="AU509" s="26"/>
      <c r="AV509" s="26"/>
      <c r="AW509" s="26"/>
      <c r="AX509" s="26"/>
      <c r="AY509" s="26"/>
      <c r="AZ509" s="26"/>
      <c r="BA509" s="26"/>
      <c r="BB509" s="26"/>
      <c r="BC509" s="26"/>
      <c r="BD509" s="26"/>
      <c r="BE509" s="26"/>
      <c r="BF509" s="26"/>
      <c r="BG509" s="26"/>
      <c r="BH509" s="26"/>
    </row>
    <row r="510" spans="1:60" ht="35.65" customHeight="1" thickBot="1">
      <c r="A510" s="27" t="s">
        <v>249</v>
      </c>
      <c r="B510" s="35"/>
      <c r="C510" s="20" t="s">
        <v>181</v>
      </c>
      <c r="D510" s="20" t="s">
        <v>153</v>
      </c>
      <c r="E510" s="20" t="s">
        <v>182</v>
      </c>
      <c r="F510" s="20"/>
      <c r="G510" s="20"/>
      <c r="H510" s="20"/>
      <c r="I510" s="20"/>
      <c r="J510" s="43" t="s">
        <v>183</v>
      </c>
      <c r="K510" s="20" t="s">
        <v>109</v>
      </c>
      <c r="L510" s="20" t="s">
        <v>125</v>
      </c>
      <c r="M510" s="43" t="s">
        <v>300</v>
      </c>
      <c r="N510" s="20" t="s">
        <v>112</v>
      </c>
      <c r="O510" s="20" t="s">
        <v>121</v>
      </c>
      <c r="P510" s="20" t="s">
        <v>250</v>
      </c>
      <c r="Q510" s="20" t="s">
        <v>112</v>
      </c>
      <c r="R510" s="20"/>
      <c r="S510" s="20"/>
      <c r="T510" s="20"/>
      <c r="U510" s="20"/>
      <c r="V510" s="10"/>
      <c r="W510" s="20" t="s">
        <v>251</v>
      </c>
      <c r="X510" s="20" t="s">
        <v>112</v>
      </c>
      <c r="Y510" s="10"/>
      <c r="Z510" s="20" t="s">
        <v>251</v>
      </c>
      <c r="AA510" s="20" t="s">
        <v>112</v>
      </c>
      <c r="AB510" s="26"/>
      <c r="AC510" s="26"/>
      <c r="AD510" s="52" t="s">
        <v>991</v>
      </c>
      <c r="AE510" s="26">
        <f t="shared" si="144"/>
        <v>2185.1</v>
      </c>
      <c r="AF510" s="26">
        <f t="shared" si="144"/>
        <v>2180.4</v>
      </c>
      <c r="AG510" s="26"/>
      <c r="AH510" s="26"/>
      <c r="AI510" s="26"/>
      <c r="AJ510" s="26"/>
      <c r="AK510" s="26"/>
      <c r="AL510" s="26"/>
      <c r="AM510" s="26">
        <f>1060.1+806-806+1125</f>
        <v>2185.1</v>
      </c>
      <c r="AN510" s="26">
        <v>2180.4</v>
      </c>
      <c r="AO510" s="26">
        <f t="shared" si="145"/>
        <v>2430.6</v>
      </c>
      <c r="AP510" s="26"/>
      <c r="AQ510" s="26"/>
      <c r="AR510" s="26"/>
      <c r="AS510" s="26">
        <f>1310.7+1000-0.1+120</f>
        <v>2430.6</v>
      </c>
      <c r="AT510" s="26">
        <f t="shared" ref="AT510:AT513" si="146">AU510+AV510+AW510+AX510</f>
        <v>2310.6999999999998</v>
      </c>
      <c r="AU510" s="26"/>
      <c r="AV510" s="26"/>
      <c r="AW510" s="26"/>
      <c r="AX510" s="26">
        <f>1310.7+1000</f>
        <v>2310.6999999999998</v>
      </c>
      <c r="AY510" s="26">
        <f t="shared" si="142"/>
        <v>2310.6999999999998</v>
      </c>
      <c r="AZ510" s="26"/>
      <c r="BA510" s="26"/>
      <c r="BB510" s="26"/>
      <c r="BC510" s="26">
        <f>1310.7+1000</f>
        <v>2310.6999999999998</v>
      </c>
      <c r="BD510" s="26">
        <f t="shared" si="143"/>
        <v>2310.6999999999998</v>
      </c>
      <c r="BE510" s="26"/>
      <c r="BF510" s="26"/>
      <c r="BG510" s="26"/>
      <c r="BH510" s="26">
        <f>1310.7+1000</f>
        <v>2310.6999999999998</v>
      </c>
    </row>
    <row r="511" spans="1:60" ht="35.65" customHeight="1" thickBot="1">
      <c r="A511" s="27" t="s">
        <v>249</v>
      </c>
      <c r="B511" s="35"/>
      <c r="C511" s="20" t="s">
        <v>181</v>
      </c>
      <c r="D511" s="20" t="s">
        <v>153</v>
      </c>
      <c r="E511" s="20" t="s">
        <v>182</v>
      </c>
      <c r="F511" s="20"/>
      <c r="G511" s="20"/>
      <c r="H511" s="20"/>
      <c r="I511" s="20"/>
      <c r="J511" s="43" t="s">
        <v>183</v>
      </c>
      <c r="K511" s="20" t="s">
        <v>160</v>
      </c>
      <c r="L511" s="20" t="s">
        <v>161</v>
      </c>
      <c r="M511" s="43" t="s">
        <v>300</v>
      </c>
      <c r="N511" s="20" t="s">
        <v>112</v>
      </c>
      <c r="O511" s="20" t="s">
        <v>121</v>
      </c>
      <c r="P511" s="20" t="s">
        <v>250</v>
      </c>
      <c r="Q511" s="20" t="s">
        <v>112</v>
      </c>
      <c r="R511" s="20"/>
      <c r="S511" s="20"/>
      <c r="T511" s="20"/>
      <c r="U511" s="20"/>
      <c r="V511" s="10"/>
      <c r="W511" s="20" t="s">
        <v>251</v>
      </c>
      <c r="X511" s="20" t="s">
        <v>112</v>
      </c>
      <c r="Y511" s="10"/>
      <c r="Z511" s="20" t="s">
        <v>251</v>
      </c>
      <c r="AA511" s="20" t="s">
        <v>112</v>
      </c>
      <c r="AB511" s="26"/>
      <c r="AC511" s="26"/>
      <c r="AD511" s="52" t="s">
        <v>992</v>
      </c>
      <c r="AE511" s="26">
        <f t="shared" si="144"/>
        <v>1110.0999999999999</v>
      </c>
      <c r="AF511" s="26">
        <f t="shared" si="144"/>
        <v>931.3</v>
      </c>
      <c r="AG511" s="26"/>
      <c r="AH511" s="26"/>
      <c r="AI511" s="26"/>
      <c r="AJ511" s="26"/>
      <c r="AK511" s="26"/>
      <c r="AL511" s="26"/>
      <c r="AM511" s="26">
        <v>1110.0999999999999</v>
      </c>
      <c r="AN511" s="26">
        <v>931.3</v>
      </c>
      <c r="AO511" s="26">
        <f t="shared" si="145"/>
        <v>1401.7</v>
      </c>
      <c r="AP511" s="26"/>
      <c r="AQ511" s="26"/>
      <c r="AR511" s="26"/>
      <c r="AS511" s="26">
        <f>1401.7</f>
        <v>1401.7</v>
      </c>
      <c r="AT511" s="26">
        <f t="shared" si="146"/>
        <v>1401.7</v>
      </c>
      <c r="AU511" s="26"/>
      <c r="AV511" s="26"/>
      <c r="AW511" s="26"/>
      <c r="AX511" s="26">
        <v>1401.7</v>
      </c>
      <c r="AY511" s="26">
        <f t="shared" si="142"/>
        <v>1401.7</v>
      </c>
      <c r="AZ511" s="26"/>
      <c r="BA511" s="26"/>
      <c r="BB511" s="26"/>
      <c r="BC511" s="26">
        <v>1401.7</v>
      </c>
      <c r="BD511" s="26">
        <f t="shared" si="143"/>
        <v>1401.7</v>
      </c>
      <c r="BE511" s="26"/>
      <c r="BF511" s="26"/>
      <c r="BG511" s="26"/>
      <c r="BH511" s="26">
        <v>1401.7</v>
      </c>
    </row>
    <row r="512" spans="1:60" ht="35.65" customHeight="1" thickBot="1">
      <c r="A512" s="27" t="s">
        <v>249</v>
      </c>
      <c r="B512" s="35"/>
      <c r="C512" s="20" t="s">
        <v>181</v>
      </c>
      <c r="D512" s="20">
        <v>16</v>
      </c>
      <c r="E512" s="20" t="s">
        <v>182</v>
      </c>
      <c r="F512" s="20"/>
      <c r="G512" s="20"/>
      <c r="H512" s="20"/>
      <c r="I512" s="20"/>
      <c r="J512" s="43" t="s">
        <v>183</v>
      </c>
      <c r="K512" s="20" t="s">
        <v>163</v>
      </c>
      <c r="L512" s="20" t="s">
        <v>164</v>
      </c>
      <c r="M512" s="43" t="s">
        <v>300</v>
      </c>
      <c r="N512" s="20" t="s">
        <v>112</v>
      </c>
      <c r="O512" s="20" t="s">
        <v>121</v>
      </c>
      <c r="P512" s="20" t="s">
        <v>250</v>
      </c>
      <c r="Q512" s="20" t="s">
        <v>112</v>
      </c>
      <c r="R512" s="20"/>
      <c r="S512" s="20"/>
      <c r="T512" s="20"/>
      <c r="U512" s="20"/>
      <c r="V512" s="10"/>
      <c r="W512" s="20" t="s">
        <v>251</v>
      </c>
      <c r="X512" s="20" t="s">
        <v>112</v>
      </c>
      <c r="Y512" s="10"/>
      <c r="Z512" s="20" t="s">
        <v>251</v>
      </c>
      <c r="AA512" s="20" t="s">
        <v>112</v>
      </c>
      <c r="AB512" s="26"/>
      <c r="AC512" s="26"/>
      <c r="AD512" s="52" t="s">
        <v>993</v>
      </c>
      <c r="AE512" s="26">
        <f t="shared" si="144"/>
        <v>9834.5</v>
      </c>
      <c r="AF512" s="26">
        <f t="shared" si="144"/>
        <v>9778.7999999999993</v>
      </c>
      <c r="AG512" s="26"/>
      <c r="AH512" s="26"/>
      <c r="AI512" s="26">
        <f>248.1+751</f>
        <v>999.1</v>
      </c>
      <c r="AJ512" s="26">
        <v>999.1</v>
      </c>
      <c r="AK512" s="26"/>
      <c r="AL512" s="26"/>
      <c r="AM512" s="26">
        <f>8717+751+118.4+248.1-248.1-751</f>
        <v>8835.4</v>
      </c>
      <c r="AN512" s="26">
        <f>9778.8-999.1</f>
        <v>8779.6999999999989</v>
      </c>
      <c r="AO512" s="26">
        <f t="shared" si="145"/>
        <v>11181.1</v>
      </c>
      <c r="AP512" s="26"/>
      <c r="AQ512" s="26">
        <v>188.6</v>
      </c>
      <c r="AR512" s="26"/>
      <c r="AS512" s="26">
        <f>9994+188.6-188.6+219.2+576.4+202.9</f>
        <v>10992.5</v>
      </c>
      <c r="AT512" s="26">
        <f t="shared" si="146"/>
        <v>9994</v>
      </c>
      <c r="AU512" s="26"/>
      <c r="AV512" s="26"/>
      <c r="AW512" s="26"/>
      <c r="AX512" s="26">
        <v>9994</v>
      </c>
      <c r="AY512" s="26">
        <f t="shared" si="142"/>
        <v>9994</v>
      </c>
      <c r="AZ512" s="26"/>
      <c r="BA512" s="26"/>
      <c r="BB512" s="26"/>
      <c r="BC512" s="26">
        <v>9994</v>
      </c>
      <c r="BD512" s="26">
        <f t="shared" si="143"/>
        <v>9994</v>
      </c>
      <c r="BE512" s="26"/>
      <c r="BF512" s="26"/>
      <c r="BG512" s="26"/>
      <c r="BH512" s="26">
        <v>9994</v>
      </c>
    </row>
    <row r="513" spans="1:60" ht="35.65" customHeight="1" thickBot="1">
      <c r="A513" s="27" t="s">
        <v>249</v>
      </c>
      <c r="B513" s="35"/>
      <c r="C513" s="20" t="s">
        <v>181</v>
      </c>
      <c r="D513" s="20" t="s">
        <v>142</v>
      </c>
      <c r="E513" s="20" t="s">
        <v>182</v>
      </c>
      <c r="F513" s="20"/>
      <c r="G513" s="20"/>
      <c r="H513" s="20"/>
      <c r="I513" s="20"/>
      <c r="J513" s="43" t="s">
        <v>183</v>
      </c>
      <c r="K513" s="20"/>
      <c r="L513" s="20"/>
      <c r="M513" s="43" t="s">
        <v>300</v>
      </c>
      <c r="N513" s="20" t="s">
        <v>112</v>
      </c>
      <c r="O513" s="20" t="s">
        <v>121</v>
      </c>
      <c r="P513" s="20" t="s">
        <v>250</v>
      </c>
      <c r="Q513" s="20" t="s">
        <v>112</v>
      </c>
      <c r="R513" s="20"/>
      <c r="S513" s="20"/>
      <c r="T513" s="121"/>
      <c r="U513" s="20"/>
      <c r="V513" s="10"/>
      <c r="W513" s="20" t="s">
        <v>251</v>
      </c>
      <c r="X513" s="20" t="s">
        <v>112</v>
      </c>
      <c r="Y513" s="10"/>
      <c r="Z513" s="20" t="s">
        <v>251</v>
      </c>
      <c r="AA513" s="20" t="s">
        <v>112</v>
      </c>
      <c r="AB513" s="26"/>
      <c r="AC513" s="26"/>
      <c r="AD513" s="52" t="s">
        <v>994</v>
      </c>
      <c r="AE513" s="26">
        <f t="shared" si="144"/>
        <v>511</v>
      </c>
      <c r="AF513" s="26">
        <f t="shared" si="144"/>
        <v>511</v>
      </c>
      <c r="AG513" s="26"/>
      <c r="AH513" s="26"/>
      <c r="AI513" s="26">
        <v>500</v>
      </c>
      <c r="AJ513" s="26">
        <v>500</v>
      </c>
      <c r="AK513" s="26"/>
      <c r="AL513" s="26"/>
      <c r="AM513" s="26">
        <v>11</v>
      </c>
      <c r="AN513" s="26">
        <v>11</v>
      </c>
      <c r="AO513" s="26">
        <f t="shared" si="145"/>
        <v>511</v>
      </c>
      <c r="AP513" s="26"/>
      <c r="AQ513" s="26">
        <v>500</v>
      </c>
      <c r="AR513" s="26"/>
      <c r="AS513" s="26">
        <v>11</v>
      </c>
      <c r="AT513" s="26">
        <f t="shared" si="146"/>
        <v>11</v>
      </c>
      <c r="AU513" s="26"/>
      <c r="AV513" s="26"/>
      <c r="AW513" s="26"/>
      <c r="AX513" s="26">
        <v>11</v>
      </c>
      <c r="AY513" s="26">
        <f t="shared" si="142"/>
        <v>11</v>
      </c>
      <c r="AZ513" s="26"/>
      <c r="BA513" s="26"/>
      <c r="BB513" s="26"/>
      <c r="BC513" s="26">
        <v>11</v>
      </c>
      <c r="BD513" s="26">
        <f t="shared" si="143"/>
        <v>11</v>
      </c>
      <c r="BE513" s="26"/>
      <c r="BF513" s="26"/>
      <c r="BG513" s="26"/>
      <c r="BH513" s="26">
        <v>11</v>
      </c>
    </row>
    <row r="514" spans="1:60" ht="35.65" customHeight="1" thickBot="1">
      <c r="A514" s="27" t="s">
        <v>249</v>
      </c>
      <c r="B514" s="35"/>
      <c r="C514" s="20" t="s">
        <v>105</v>
      </c>
      <c r="D514" s="20"/>
      <c r="E514" s="20"/>
      <c r="F514" s="20"/>
      <c r="G514" s="20"/>
      <c r="H514" s="20"/>
      <c r="I514" s="20"/>
      <c r="J514" s="43" t="s">
        <v>352</v>
      </c>
      <c r="K514" s="20"/>
      <c r="L514" s="20"/>
      <c r="M514" s="43" t="s">
        <v>300</v>
      </c>
      <c r="N514" s="20" t="s">
        <v>112</v>
      </c>
      <c r="O514" s="20" t="s">
        <v>121</v>
      </c>
      <c r="P514" s="20" t="s">
        <v>353</v>
      </c>
      <c r="Q514" s="20" t="s">
        <v>112</v>
      </c>
      <c r="R514" s="20"/>
      <c r="S514" s="20"/>
      <c r="T514" s="121"/>
      <c r="U514" s="20"/>
      <c r="V514" s="10"/>
      <c r="W514" s="20" t="s">
        <v>354</v>
      </c>
      <c r="X514" s="20" t="s">
        <v>112</v>
      </c>
      <c r="Y514" s="10"/>
      <c r="Z514" s="20" t="s">
        <v>354</v>
      </c>
      <c r="AA514" s="20" t="s">
        <v>112</v>
      </c>
      <c r="AB514" s="26"/>
      <c r="AC514" s="26"/>
      <c r="AD514" s="52" t="s">
        <v>995</v>
      </c>
      <c r="AE514" s="26">
        <f t="shared" si="144"/>
        <v>1600</v>
      </c>
      <c r="AF514" s="26">
        <f t="shared" si="144"/>
        <v>1600</v>
      </c>
      <c r="AG514" s="26"/>
      <c r="AH514" s="26"/>
      <c r="AI514" s="26">
        <v>1600</v>
      </c>
      <c r="AJ514" s="26">
        <v>1600</v>
      </c>
      <c r="AK514" s="26"/>
      <c r="AL514" s="26"/>
      <c r="AM514" s="26"/>
      <c r="AN514" s="26"/>
      <c r="AO514" s="26">
        <f t="shared" si="145"/>
        <v>2400</v>
      </c>
      <c r="AP514" s="26"/>
      <c r="AQ514" s="26">
        <v>2400</v>
      </c>
      <c r="AR514" s="26"/>
      <c r="AS514" s="26"/>
      <c r="AT514" s="26"/>
      <c r="AU514" s="26"/>
      <c r="AV514" s="26"/>
      <c r="AW514" s="26"/>
      <c r="AX514" s="26"/>
      <c r="AY514" s="26"/>
      <c r="AZ514" s="26"/>
      <c r="BA514" s="26"/>
      <c r="BB514" s="26"/>
      <c r="BC514" s="26"/>
      <c r="BD514" s="26"/>
      <c r="BE514" s="26"/>
      <c r="BF514" s="26"/>
      <c r="BG514" s="26"/>
      <c r="BH514" s="26"/>
    </row>
    <row r="515" spans="1:60" ht="35.65" customHeight="1" thickBot="1">
      <c r="A515" s="27" t="s">
        <v>249</v>
      </c>
      <c r="B515" s="35"/>
      <c r="C515" s="20" t="s">
        <v>105</v>
      </c>
      <c r="D515" s="20" t="s">
        <v>117</v>
      </c>
      <c r="E515" s="20" t="s">
        <v>107</v>
      </c>
      <c r="F515" s="20"/>
      <c r="G515" s="20"/>
      <c r="H515" s="20"/>
      <c r="I515" s="20"/>
      <c r="J515" s="43"/>
      <c r="K515" s="20"/>
      <c r="L515" s="20"/>
      <c r="M515" s="20"/>
      <c r="N515" s="20"/>
      <c r="O515" s="20"/>
      <c r="P515" s="20"/>
      <c r="Q515" s="20"/>
      <c r="R515" s="20"/>
      <c r="S515" s="20"/>
      <c r="T515" s="20"/>
      <c r="U515" s="20"/>
      <c r="V515" s="10"/>
      <c r="W515" s="20" t="s">
        <v>355</v>
      </c>
      <c r="X515" s="20" t="s">
        <v>112</v>
      </c>
      <c r="Y515" s="10"/>
      <c r="Z515" s="20" t="s">
        <v>356</v>
      </c>
      <c r="AA515" s="20" t="s">
        <v>112</v>
      </c>
      <c r="AB515" s="26"/>
      <c r="AC515" s="26"/>
      <c r="AD515" s="52" t="s">
        <v>996</v>
      </c>
      <c r="AE515" s="26">
        <f t="shared" si="144"/>
        <v>0</v>
      </c>
      <c r="AF515" s="26">
        <f>AH515+AJ515+AL515+AN515</f>
        <v>0</v>
      </c>
      <c r="AG515" s="26"/>
      <c r="AH515" s="26"/>
      <c r="AI515" s="26"/>
      <c r="AJ515" s="26"/>
      <c r="AK515" s="26"/>
      <c r="AL515" s="26"/>
      <c r="AM515" s="26"/>
      <c r="AN515" s="26"/>
      <c r="AO515" s="26">
        <f t="shared" si="145"/>
        <v>0</v>
      </c>
      <c r="AP515" s="26"/>
      <c r="AQ515" s="26"/>
      <c r="AR515" s="26"/>
      <c r="AS515" s="26"/>
      <c r="AT515" s="26">
        <f t="shared" ref="AT515:AT516" si="147">AU515+AV515+AW515+AX515</f>
        <v>0</v>
      </c>
      <c r="AU515" s="26"/>
      <c r="AV515" s="26"/>
      <c r="AW515" s="26"/>
      <c r="AX515" s="26"/>
      <c r="AY515" s="26">
        <f t="shared" si="142"/>
        <v>0</v>
      </c>
      <c r="AZ515" s="26"/>
      <c r="BA515" s="26"/>
      <c r="BB515" s="26"/>
      <c r="BC515" s="26"/>
      <c r="BD515" s="26">
        <f t="shared" si="143"/>
        <v>0</v>
      </c>
      <c r="BE515" s="26"/>
      <c r="BF515" s="26"/>
      <c r="BG515" s="26"/>
      <c r="BH515" s="26"/>
    </row>
    <row r="516" spans="1:60" ht="35.65" customHeight="1" thickBot="1">
      <c r="A516" s="27" t="s">
        <v>249</v>
      </c>
      <c r="B516" s="35"/>
      <c r="C516" s="20"/>
      <c r="D516" s="20"/>
      <c r="E516" s="20"/>
      <c r="F516" s="20"/>
      <c r="G516" s="20"/>
      <c r="H516" s="20"/>
      <c r="I516" s="20"/>
      <c r="J516" s="20"/>
      <c r="K516" s="20"/>
      <c r="L516" s="20"/>
      <c r="M516" s="20"/>
      <c r="N516" s="20"/>
      <c r="O516" s="20"/>
      <c r="P516" s="20"/>
      <c r="Q516" s="20"/>
      <c r="R516" s="20"/>
      <c r="S516" s="20"/>
      <c r="T516" s="20"/>
      <c r="U516" s="20"/>
      <c r="V516" s="10"/>
      <c r="W516" s="20"/>
      <c r="X516" s="20"/>
      <c r="Y516" s="10"/>
      <c r="Z516" s="20"/>
      <c r="AA516" s="20"/>
      <c r="AB516" s="26"/>
      <c r="AC516" s="26"/>
      <c r="AD516" s="52" t="s">
        <v>997</v>
      </c>
      <c r="AE516" s="26">
        <f t="shared" si="144"/>
        <v>0</v>
      </c>
      <c r="AF516" s="26">
        <f t="shared" si="144"/>
        <v>0</v>
      </c>
      <c r="AG516" s="26"/>
      <c r="AH516" s="26"/>
      <c r="AI516" s="26"/>
      <c r="AJ516" s="26"/>
      <c r="AK516" s="26"/>
      <c r="AL516" s="26"/>
      <c r="AM516" s="26"/>
      <c r="AN516" s="26"/>
      <c r="AO516" s="26">
        <f t="shared" si="145"/>
        <v>0</v>
      </c>
      <c r="AP516" s="26"/>
      <c r="AQ516" s="26"/>
      <c r="AR516" s="26"/>
      <c r="AS516" s="26"/>
      <c r="AT516" s="26">
        <f t="shared" si="147"/>
        <v>0</v>
      </c>
      <c r="AU516" s="26"/>
      <c r="AV516" s="26"/>
      <c r="AW516" s="26"/>
      <c r="AX516" s="26"/>
      <c r="AY516" s="26">
        <f t="shared" si="142"/>
        <v>0</v>
      </c>
      <c r="AZ516" s="26"/>
      <c r="BA516" s="26"/>
      <c r="BB516" s="26"/>
      <c r="BC516" s="26"/>
      <c r="BD516" s="26">
        <f t="shared" si="143"/>
        <v>0</v>
      </c>
      <c r="BE516" s="26"/>
      <c r="BF516" s="26"/>
      <c r="BG516" s="26"/>
      <c r="BH516" s="26"/>
    </row>
    <row r="517" spans="1:60" ht="35.65" customHeight="1" thickBot="1">
      <c r="A517" s="27" t="s">
        <v>249</v>
      </c>
      <c r="B517" s="35"/>
      <c r="C517" s="20" t="s">
        <v>105</v>
      </c>
      <c r="D517" s="20"/>
      <c r="E517" s="20"/>
      <c r="F517" s="20"/>
      <c r="G517" s="20"/>
      <c r="H517" s="20"/>
      <c r="I517" s="20"/>
      <c r="J517" s="43" t="s">
        <v>352</v>
      </c>
      <c r="K517" s="20"/>
      <c r="L517" s="20"/>
      <c r="M517" s="43" t="s">
        <v>300</v>
      </c>
      <c r="N517" s="20" t="s">
        <v>112</v>
      </c>
      <c r="O517" s="20" t="s">
        <v>121</v>
      </c>
      <c r="P517" s="20" t="s">
        <v>353</v>
      </c>
      <c r="Q517" s="20" t="s">
        <v>112</v>
      </c>
      <c r="R517" s="20"/>
      <c r="S517" s="20"/>
      <c r="T517" s="121"/>
      <c r="U517" s="20"/>
      <c r="V517" s="10"/>
      <c r="W517" s="20" t="s">
        <v>354</v>
      </c>
      <c r="X517" s="20" t="s">
        <v>112</v>
      </c>
      <c r="Y517" s="10"/>
      <c r="Z517" s="20" t="s">
        <v>354</v>
      </c>
      <c r="AA517" s="20" t="s">
        <v>112</v>
      </c>
      <c r="AB517" s="26"/>
      <c r="AC517" s="26"/>
      <c r="AD517" s="52" t="s">
        <v>998</v>
      </c>
      <c r="AE517" s="26">
        <f t="shared" si="144"/>
        <v>100</v>
      </c>
      <c r="AF517" s="26">
        <f t="shared" si="144"/>
        <v>100</v>
      </c>
      <c r="AG517" s="26"/>
      <c r="AH517" s="26"/>
      <c r="AI517" s="26"/>
      <c r="AJ517" s="26"/>
      <c r="AK517" s="26"/>
      <c r="AL517" s="26"/>
      <c r="AM517" s="26">
        <v>100</v>
      </c>
      <c r="AN517" s="26">
        <v>100</v>
      </c>
      <c r="AO517" s="26">
        <f t="shared" si="145"/>
        <v>24</v>
      </c>
      <c r="AP517" s="26"/>
      <c r="AQ517" s="26"/>
      <c r="AR517" s="26"/>
      <c r="AS517" s="26">
        <v>24</v>
      </c>
      <c r="AT517" s="26"/>
      <c r="AU517" s="26"/>
      <c r="AV517" s="26"/>
      <c r="AW517" s="26"/>
      <c r="AX517" s="26"/>
      <c r="AY517" s="26"/>
      <c r="AZ517" s="26"/>
      <c r="BA517" s="26"/>
      <c r="BB517" s="26"/>
      <c r="BC517" s="26"/>
      <c r="BD517" s="26"/>
      <c r="BE517" s="26"/>
      <c r="BF517" s="26"/>
      <c r="BG517" s="26"/>
      <c r="BH517" s="26"/>
    </row>
    <row r="518" spans="1:60" ht="35.65" customHeight="1" thickBot="1">
      <c r="A518" s="27" t="s">
        <v>249</v>
      </c>
      <c r="B518" s="35"/>
      <c r="C518" s="20" t="s">
        <v>105</v>
      </c>
      <c r="D518" s="20" t="s">
        <v>117</v>
      </c>
      <c r="E518" s="20" t="s">
        <v>107</v>
      </c>
      <c r="F518" s="20"/>
      <c r="G518" s="20"/>
      <c r="H518" s="20"/>
      <c r="I518" s="20"/>
      <c r="J518" s="20" t="s">
        <v>341</v>
      </c>
      <c r="K518" s="20"/>
      <c r="L518" s="20"/>
      <c r="M518" s="20" t="s">
        <v>342</v>
      </c>
      <c r="N518" s="20" t="s">
        <v>112</v>
      </c>
      <c r="O518" s="20"/>
      <c r="P518" s="20" t="s">
        <v>343</v>
      </c>
      <c r="Q518" s="20" t="s">
        <v>112</v>
      </c>
      <c r="R518" s="20"/>
      <c r="S518" s="20"/>
      <c r="T518" s="20" t="s">
        <v>344</v>
      </c>
      <c r="U518" s="20" t="s">
        <v>112</v>
      </c>
      <c r="V518" s="10"/>
      <c r="W518" s="20" t="s">
        <v>251</v>
      </c>
      <c r="X518" s="20" t="s">
        <v>112</v>
      </c>
      <c r="Y518" s="10"/>
      <c r="Z518" s="20" t="s">
        <v>251</v>
      </c>
      <c r="AA518" s="20" t="s">
        <v>112</v>
      </c>
      <c r="AB518" s="26"/>
      <c r="AC518" s="26"/>
      <c r="AD518" s="52" t="s">
        <v>999</v>
      </c>
      <c r="AE518" s="26">
        <f t="shared" si="144"/>
        <v>14</v>
      </c>
      <c r="AF518" s="26">
        <f t="shared" si="144"/>
        <v>14</v>
      </c>
      <c r="AG518" s="26"/>
      <c r="AH518" s="26"/>
      <c r="AI518" s="26"/>
      <c r="AJ518" s="26"/>
      <c r="AK518" s="26"/>
      <c r="AL518" s="26"/>
      <c r="AM518" s="26">
        <v>14</v>
      </c>
      <c r="AN518" s="26">
        <v>14</v>
      </c>
      <c r="AO518" s="26">
        <f t="shared" si="145"/>
        <v>14</v>
      </c>
      <c r="AP518" s="26"/>
      <c r="AQ518" s="26"/>
      <c r="AR518" s="26"/>
      <c r="AS518" s="26">
        <v>14</v>
      </c>
      <c r="AT518" s="26">
        <f t="shared" ref="AT518:AT521" si="148">AU518+AV518+AW518+AX518</f>
        <v>0</v>
      </c>
      <c r="AU518" s="26"/>
      <c r="AV518" s="26"/>
      <c r="AW518" s="26"/>
      <c r="AX518" s="26"/>
      <c r="AY518" s="26">
        <f t="shared" si="142"/>
        <v>0</v>
      </c>
      <c r="AZ518" s="26"/>
      <c r="BA518" s="26"/>
      <c r="BB518" s="26"/>
      <c r="BC518" s="26"/>
      <c r="BD518" s="26">
        <f t="shared" si="143"/>
        <v>0</v>
      </c>
      <c r="BE518" s="26"/>
      <c r="BF518" s="26"/>
      <c r="BG518" s="26"/>
      <c r="BH518" s="26"/>
    </row>
    <row r="519" spans="1:60" ht="35.65" customHeight="1" thickBot="1">
      <c r="A519" s="27" t="s">
        <v>249</v>
      </c>
      <c r="B519" s="35"/>
      <c r="C519" s="20" t="s">
        <v>181</v>
      </c>
      <c r="D519" s="20" t="s">
        <v>142</v>
      </c>
      <c r="E519" s="20" t="s">
        <v>182</v>
      </c>
      <c r="F519" s="20"/>
      <c r="G519" s="20"/>
      <c r="H519" s="20"/>
      <c r="I519" s="20"/>
      <c r="J519" s="43" t="s">
        <v>357</v>
      </c>
      <c r="K519" s="20" t="s">
        <v>109</v>
      </c>
      <c r="L519" s="20" t="s">
        <v>358</v>
      </c>
      <c r="M519" s="43" t="s">
        <v>259</v>
      </c>
      <c r="N519" s="20" t="s">
        <v>112</v>
      </c>
      <c r="O519" s="20" t="s">
        <v>121</v>
      </c>
      <c r="P519" s="20" t="s">
        <v>359</v>
      </c>
      <c r="Q519" s="20" t="s">
        <v>112</v>
      </c>
      <c r="R519" s="20"/>
      <c r="S519" s="20"/>
      <c r="T519" s="20" t="s">
        <v>360</v>
      </c>
      <c r="U519" s="20" t="s">
        <v>112</v>
      </c>
      <c r="V519" s="10" t="s">
        <v>361</v>
      </c>
      <c r="W519" s="20" t="s">
        <v>360</v>
      </c>
      <c r="X519" s="20" t="s">
        <v>112</v>
      </c>
      <c r="Y519" s="10" t="s">
        <v>361</v>
      </c>
      <c r="Z519" s="20" t="s">
        <v>251</v>
      </c>
      <c r="AA519" s="20" t="s">
        <v>112</v>
      </c>
      <c r="AB519" s="20"/>
      <c r="AC519" s="26"/>
      <c r="AD519" s="52" t="s">
        <v>1000</v>
      </c>
      <c r="AE519" s="26">
        <f t="shared" si="144"/>
        <v>202.6</v>
      </c>
      <c r="AF519" s="26">
        <f t="shared" si="144"/>
        <v>202.6</v>
      </c>
      <c r="AG519" s="26"/>
      <c r="AH519" s="26"/>
      <c r="AI519" s="26"/>
      <c r="AJ519" s="26"/>
      <c r="AK519" s="26"/>
      <c r="AL519" s="26"/>
      <c r="AM519" s="26">
        <v>202.6</v>
      </c>
      <c r="AN519" s="26">
        <v>202.6</v>
      </c>
      <c r="AO519" s="26">
        <f t="shared" si="145"/>
        <v>0</v>
      </c>
      <c r="AP519" s="26"/>
      <c r="AQ519" s="26"/>
      <c r="AR519" s="26"/>
      <c r="AS519" s="26"/>
      <c r="AT519" s="26">
        <f t="shared" si="148"/>
        <v>0</v>
      </c>
      <c r="AU519" s="26"/>
      <c r="AV519" s="26"/>
      <c r="AW519" s="26"/>
      <c r="AX519" s="26"/>
      <c r="AY519" s="26">
        <f t="shared" si="142"/>
        <v>0</v>
      </c>
      <c r="AZ519" s="26"/>
      <c r="BA519" s="26"/>
      <c r="BB519" s="26"/>
      <c r="BC519" s="26"/>
      <c r="BD519" s="26">
        <f t="shared" si="143"/>
        <v>0</v>
      </c>
      <c r="BE519" s="26"/>
      <c r="BF519" s="26"/>
      <c r="BG519" s="26"/>
      <c r="BH519" s="26"/>
    </row>
    <row r="520" spans="1:60" ht="35.65" customHeight="1" thickBot="1">
      <c r="A520" s="27" t="s">
        <v>249</v>
      </c>
      <c r="B520" s="35"/>
      <c r="C520" s="20" t="s">
        <v>181</v>
      </c>
      <c r="D520" s="160" t="s">
        <v>142</v>
      </c>
      <c r="E520" s="20" t="s">
        <v>182</v>
      </c>
      <c r="F520" s="161"/>
      <c r="G520" s="161"/>
      <c r="H520" s="161"/>
      <c r="I520" s="161"/>
      <c r="J520" s="162" t="s">
        <v>158</v>
      </c>
      <c r="K520" s="160" t="s">
        <v>109</v>
      </c>
      <c r="L520" s="163"/>
      <c r="M520" s="160"/>
      <c r="N520" s="160"/>
      <c r="O520" s="161"/>
      <c r="P520" s="161"/>
      <c r="Q520" s="161"/>
      <c r="R520" s="161"/>
      <c r="S520" s="161"/>
      <c r="T520" s="20" t="s">
        <v>362</v>
      </c>
      <c r="U520" s="161"/>
      <c r="V520" s="10"/>
      <c r="W520" s="20"/>
      <c r="X520" s="20"/>
      <c r="Y520" s="10"/>
      <c r="Z520" s="20"/>
      <c r="AA520" s="20"/>
      <c r="AB520" s="20"/>
      <c r="AC520" s="26"/>
      <c r="AD520" s="52" t="s">
        <v>1001</v>
      </c>
      <c r="AE520" s="26">
        <f t="shared" si="144"/>
        <v>0</v>
      </c>
      <c r="AF520" s="26">
        <f t="shared" si="144"/>
        <v>0</v>
      </c>
      <c r="AG520" s="26"/>
      <c r="AH520" s="26"/>
      <c r="AI520" s="26"/>
      <c r="AJ520" s="26"/>
      <c r="AK520" s="26"/>
      <c r="AL520" s="26"/>
      <c r="AM520" s="26"/>
      <c r="AN520" s="26"/>
      <c r="AO520" s="26">
        <f t="shared" si="145"/>
        <v>18</v>
      </c>
      <c r="AP520" s="26"/>
      <c r="AQ520" s="26"/>
      <c r="AR520" s="26"/>
      <c r="AS520" s="26">
        <v>18</v>
      </c>
      <c r="AT520" s="26">
        <f t="shared" si="148"/>
        <v>0</v>
      </c>
      <c r="AU520" s="26"/>
      <c r="AV520" s="26"/>
      <c r="AW520" s="26"/>
      <c r="AX520" s="26"/>
      <c r="AY520" s="26">
        <f t="shared" si="142"/>
        <v>0</v>
      </c>
      <c r="AZ520" s="26"/>
      <c r="BA520" s="26"/>
      <c r="BB520" s="26"/>
      <c r="BC520" s="26"/>
      <c r="BD520" s="26">
        <f t="shared" si="143"/>
        <v>0</v>
      </c>
      <c r="BE520" s="26"/>
      <c r="BF520" s="26"/>
      <c r="BG520" s="26"/>
      <c r="BH520" s="26"/>
    </row>
    <row r="521" spans="1:60" ht="35.65" customHeight="1" thickBot="1">
      <c r="A521" s="27" t="s">
        <v>249</v>
      </c>
      <c r="B521" s="35"/>
      <c r="C521" s="20" t="s">
        <v>105</v>
      </c>
      <c r="D521" s="20"/>
      <c r="E521" s="20" t="s">
        <v>107</v>
      </c>
      <c r="F521" s="20"/>
      <c r="G521" s="20"/>
      <c r="H521" s="20"/>
      <c r="I521" s="20"/>
      <c r="J521" s="20" t="s">
        <v>341</v>
      </c>
      <c r="K521" s="20"/>
      <c r="L521" s="20"/>
      <c r="M521" s="20" t="s">
        <v>342</v>
      </c>
      <c r="N521" s="20" t="s">
        <v>112</v>
      </c>
      <c r="O521" s="20"/>
      <c r="P521" s="20" t="s">
        <v>345</v>
      </c>
      <c r="Q521" s="20" t="s">
        <v>112</v>
      </c>
      <c r="R521" s="20"/>
      <c r="S521" s="20"/>
      <c r="T521" s="20" t="s">
        <v>346</v>
      </c>
      <c r="U521" s="20" t="s">
        <v>112</v>
      </c>
      <c r="V521" s="10"/>
      <c r="W521" s="20" t="s">
        <v>251</v>
      </c>
      <c r="X521" s="20" t="s">
        <v>112</v>
      </c>
      <c r="Y521" s="10"/>
      <c r="Z521" s="20" t="s">
        <v>251</v>
      </c>
      <c r="AA521" s="20" t="s">
        <v>112</v>
      </c>
      <c r="AB521" s="20"/>
      <c r="AC521" s="26"/>
      <c r="AD521" s="52" t="s">
        <v>1000</v>
      </c>
      <c r="AE521" s="26">
        <f t="shared" si="144"/>
        <v>0</v>
      </c>
      <c r="AF521" s="26">
        <f t="shared" si="144"/>
        <v>0</v>
      </c>
      <c r="AG521" s="26"/>
      <c r="AH521" s="26"/>
      <c r="AI521" s="26"/>
      <c r="AJ521" s="26"/>
      <c r="AK521" s="26"/>
      <c r="AL521" s="26"/>
      <c r="AM521" s="26"/>
      <c r="AN521" s="26"/>
      <c r="AO521" s="26">
        <f t="shared" si="145"/>
        <v>190.2</v>
      </c>
      <c r="AP521" s="26"/>
      <c r="AQ521" s="26"/>
      <c r="AR521" s="26"/>
      <c r="AS521" s="26">
        <f>160+30.1+0.1</f>
        <v>190.2</v>
      </c>
      <c r="AT521" s="26">
        <f t="shared" si="148"/>
        <v>160</v>
      </c>
      <c r="AU521" s="26"/>
      <c r="AV521" s="26"/>
      <c r="AW521" s="26"/>
      <c r="AX521" s="26">
        <v>160</v>
      </c>
      <c r="AY521" s="26">
        <f t="shared" si="142"/>
        <v>160</v>
      </c>
      <c r="AZ521" s="26"/>
      <c r="BA521" s="26"/>
      <c r="BB521" s="26"/>
      <c r="BC521" s="26">
        <v>160</v>
      </c>
      <c r="BD521" s="26">
        <f t="shared" si="143"/>
        <v>160</v>
      </c>
      <c r="BE521" s="26"/>
      <c r="BF521" s="26"/>
      <c r="BG521" s="26"/>
      <c r="BH521" s="26">
        <v>160</v>
      </c>
    </row>
    <row r="522" spans="1:60" ht="35.65" customHeight="1" thickBot="1">
      <c r="A522" s="27" t="s">
        <v>363</v>
      </c>
      <c r="B522" s="35">
        <v>2556</v>
      </c>
      <c r="C522" s="25"/>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v>23</v>
      </c>
      <c r="AD522" s="26"/>
      <c r="AE522" s="26"/>
      <c r="AF522" s="26"/>
      <c r="AG522" s="26"/>
      <c r="AH522" s="26"/>
      <c r="AI522" s="26"/>
      <c r="AJ522" s="26"/>
      <c r="AK522" s="26"/>
      <c r="AL522" s="26"/>
      <c r="AM522" s="26"/>
      <c r="AN522" s="26"/>
      <c r="AO522" s="26"/>
      <c r="AP522" s="26"/>
      <c r="AQ522" s="26"/>
      <c r="AR522" s="26"/>
      <c r="AS522" s="26"/>
      <c r="AT522" s="26"/>
      <c r="AU522" s="26"/>
      <c r="AV522" s="26"/>
      <c r="AW522" s="26"/>
      <c r="AX522" s="26"/>
      <c r="AY522" s="26"/>
      <c r="AZ522" s="26"/>
      <c r="BA522" s="26"/>
      <c r="BB522" s="26"/>
      <c r="BC522" s="26"/>
      <c r="BD522" s="26"/>
      <c r="BE522" s="26"/>
      <c r="BF522" s="26"/>
      <c r="BG522" s="26"/>
      <c r="BH522" s="26"/>
    </row>
    <row r="523" spans="1:60" ht="35.65" customHeight="1">
      <c r="A523" s="164" t="s">
        <v>364</v>
      </c>
      <c r="B523" s="165">
        <v>2557</v>
      </c>
      <c r="C523" s="33"/>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34"/>
      <c r="AC523" s="34">
        <v>23</v>
      </c>
      <c r="AD523" s="34"/>
      <c r="AE523" s="34">
        <f>AE524</f>
        <v>30</v>
      </c>
      <c r="AF523" s="34">
        <f>AH523+AJ523+AL523+AN523</f>
        <v>30</v>
      </c>
      <c r="AG523" s="34">
        <f t="shared" ref="AG523:BH523" si="149">AG524</f>
        <v>0</v>
      </c>
      <c r="AH523" s="34">
        <f t="shared" si="149"/>
        <v>0</v>
      </c>
      <c r="AI523" s="34">
        <f t="shared" si="149"/>
        <v>0</v>
      </c>
      <c r="AJ523" s="34"/>
      <c r="AK523" s="34">
        <f t="shared" si="149"/>
        <v>0</v>
      </c>
      <c r="AL523" s="34"/>
      <c r="AM523" s="34">
        <f t="shared" si="149"/>
        <v>30</v>
      </c>
      <c r="AN523" s="34">
        <f t="shared" si="149"/>
        <v>30</v>
      </c>
      <c r="AO523" s="34">
        <f t="shared" si="149"/>
        <v>30</v>
      </c>
      <c r="AP523" s="34">
        <f t="shared" si="149"/>
        <v>0</v>
      </c>
      <c r="AQ523" s="34">
        <f t="shared" si="149"/>
        <v>0</v>
      </c>
      <c r="AR523" s="34">
        <f t="shared" si="149"/>
        <v>0</v>
      </c>
      <c r="AS523" s="34">
        <f t="shared" si="149"/>
        <v>30</v>
      </c>
      <c r="AT523" s="34">
        <f t="shared" si="149"/>
        <v>30</v>
      </c>
      <c r="AU523" s="34">
        <f t="shared" si="149"/>
        <v>0</v>
      </c>
      <c r="AV523" s="34">
        <f t="shared" si="149"/>
        <v>0</v>
      </c>
      <c r="AW523" s="34">
        <f t="shared" si="149"/>
        <v>0</v>
      </c>
      <c r="AX523" s="34">
        <f t="shared" si="149"/>
        <v>30</v>
      </c>
      <c r="AY523" s="34">
        <f t="shared" si="149"/>
        <v>30</v>
      </c>
      <c r="AZ523" s="34">
        <f t="shared" si="149"/>
        <v>0</v>
      </c>
      <c r="BA523" s="34">
        <f t="shared" si="149"/>
        <v>0</v>
      </c>
      <c r="BB523" s="34">
        <f t="shared" si="149"/>
        <v>0</v>
      </c>
      <c r="BC523" s="34">
        <f t="shared" si="149"/>
        <v>30</v>
      </c>
      <c r="BD523" s="34">
        <f t="shared" si="149"/>
        <v>30</v>
      </c>
      <c r="BE523" s="34">
        <f t="shared" si="149"/>
        <v>0</v>
      </c>
      <c r="BF523" s="34">
        <f t="shared" si="149"/>
        <v>0</v>
      </c>
      <c r="BG523" s="34">
        <f t="shared" si="149"/>
        <v>0</v>
      </c>
      <c r="BH523" s="34">
        <f t="shared" si="149"/>
        <v>30</v>
      </c>
    </row>
    <row r="524" spans="1:60" ht="35.65" customHeight="1">
      <c r="A524" s="166" t="s">
        <v>57</v>
      </c>
      <c r="B524" s="62"/>
      <c r="C524" s="25"/>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52" t="s">
        <v>1002</v>
      </c>
      <c r="AE524" s="26">
        <f>AM524</f>
        <v>30</v>
      </c>
      <c r="AF524" s="26">
        <f>AH524+AJ524+AL524+AN524</f>
        <v>30</v>
      </c>
      <c r="AG524" s="26"/>
      <c r="AH524" s="26"/>
      <c r="AI524" s="26"/>
      <c r="AJ524" s="26"/>
      <c r="AK524" s="26"/>
      <c r="AL524" s="26"/>
      <c r="AM524" s="26">
        <v>30</v>
      </c>
      <c r="AN524" s="26">
        <v>30</v>
      </c>
      <c r="AO524" s="26">
        <f>AS524</f>
        <v>30</v>
      </c>
      <c r="AP524" s="26"/>
      <c r="AQ524" s="26"/>
      <c r="AR524" s="26"/>
      <c r="AS524" s="26">
        <v>30</v>
      </c>
      <c r="AT524" s="26">
        <f>AX524</f>
        <v>30</v>
      </c>
      <c r="AU524" s="26"/>
      <c r="AV524" s="26"/>
      <c r="AW524" s="26"/>
      <c r="AX524" s="26">
        <v>30</v>
      </c>
      <c r="AY524" s="26">
        <f>BC524</f>
        <v>30</v>
      </c>
      <c r="AZ524" s="26"/>
      <c r="BA524" s="26"/>
      <c r="BB524" s="26"/>
      <c r="BC524" s="26">
        <v>30</v>
      </c>
      <c r="BD524" s="26">
        <f>BH524</f>
        <v>30</v>
      </c>
      <c r="BE524" s="26"/>
      <c r="BF524" s="26"/>
      <c r="BG524" s="26"/>
      <c r="BH524" s="26">
        <v>30</v>
      </c>
    </row>
    <row r="525" spans="1:60" ht="35.65" customHeight="1">
      <c r="A525" s="167" t="s">
        <v>365</v>
      </c>
      <c r="B525" s="22">
        <v>2600</v>
      </c>
      <c r="C525" s="22" t="s">
        <v>25</v>
      </c>
      <c r="D525" s="22" t="s">
        <v>25</v>
      </c>
      <c r="E525" s="22" t="s">
        <v>25</v>
      </c>
      <c r="F525" s="22" t="s">
        <v>25</v>
      </c>
      <c r="G525" s="22" t="s">
        <v>25</v>
      </c>
      <c r="H525" s="22" t="s">
        <v>25</v>
      </c>
      <c r="I525" s="22" t="s">
        <v>25</v>
      </c>
      <c r="J525" s="22"/>
      <c r="K525" s="22"/>
      <c r="L525" s="22"/>
      <c r="M525" s="22" t="s">
        <v>25</v>
      </c>
      <c r="N525" s="22" t="s">
        <v>25</v>
      </c>
      <c r="O525" s="22" t="s">
        <v>25</v>
      </c>
      <c r="P525" s="22" t="s">
        <v>25</v>
      </c>
      <c r="Q525" s="22" t="s">
        <v>25</v>
      </c>
      <c r="R525" s="22" t="s">
        <v>25</v>
      </c>
      <c r="S525" s="22" t="s">
        <v>25</v>
      </c>
      <c r="T525" s="22" t="s">
        <v>25</v>
      </c>
      <c r="U525" s="22" t="s">
        <v>25</v>
      </c>
      <c r="V525" s="22" t="s">
        <v>25</v>
      </c>
      <c r="W525" s="22" t="s">
        <v>25</v>
      </c>
      <c r="X525" s="22" t="s">
        <v>25</v>
      </c>
      <c r="Y525" s="22" t="s">
        <v>25</v>
      </c>
      <c r="Z525" s="22" t="s">
        <v>25</v>
      </c>
      <c r="AA525" s="22" t="s">
        <v>25</v>
      </c>
      <c r="AB525" s="22" t="s">
        <v>25</v>
      </c>
      <c r="AC525" s="22" t="s">
        <v>25</v>
      </c>
      <c r="AD525" s="22" t="s">
        <v>25</v>
      </c>
      <c r="AE525" s="118">
        <f t="shared" ref="AE525:AN525" si="150">AE527+AE567+AE586+AE588+AE614+AE610+AE617</f>
        <v>137570.70000000001</v>
      </c>
      <c r="AF525" s="118">
        <f>AH525+AJ525+AL525+AN525</f>
        <v>134217.20000000001</v>
      </c>
      <c r="AG525" s="118">
        <f t="shared" si="150"/>
        <v>9673.6</v>
      </c>
      <c r="AH525" s="118">
        <f t="shared" si="150"/>
        <v>9671.9</v>
      </c>
      <c r="AI525" s="118">
        <f t="shared" si="150"/>
        <v>12196.099999999999</v>
      </c>
      <c r="AJ525" s="118">
        <f t="shared" si="150"/>
        <v>11018.6</v>
      </c>
      <c r="AK525" s="118">
        <f t="shared" si="150"/>
        <v>0</v>
      </c>
      <c r="AL525" s="118"/>
      <c r="AM525" s="118">
        <f t="shared" si="150"/>
        <v>115701.00000000001</v>
      </c>
      <c r="AN525" s="118">
        <f t="shared" si="150"/>
        <v>113526.7</v>
      </c>
      <c r="AO525" s="118">
        <f>AO527+AO567+AO586+AO588+AO614+AO610+AO617+AO621</f>
        <v>142783.70000000001</v>
      </c>
      <c r="AP525" s="118">
        <f t="shared" ref="AP525:BH525" si="151">AP527+AP567+AP586+AP588+AP614+AP610+AP617+AP621</f>
        <v>10918.2</v>
      </c>
      <c r="AQ525" s="118">
        <f t="shared" si="151"/>
        <v>5802.3</v>
      </c>
      <c r="AR525" s="118">
        <f t="shared" si="151"/>
        <v>0</v>
      </c>
      <c r="AS525" s="118">
        <f t="shared" si="151"/>
        <v>126063.2</v>
      </c>
      <c r="AT525" s="118">
        <f t="shared" si="151"/>
        <v>131899.6</v>
      </c>
      <c r="AU525" s="118">
        <f t="shared" si="151"/>
        <v>10583</v>
      </c>
      <c r="AV525" s="118">
        <f t="shared" si="151"/>
        <v>4322.7</v>
      </c>
      <c r="AW525" s="118">
        <f t="shared" si="151"/>
        <v>0</v>
      </c>
      <c r="AX525" s="118">
        <f t="shared" si="151"/>
        <v>116993.9</v>
      </c>
      <c r="AY525" s="118">
        <f t="shared" si="151"/>
        <v>132181</v>
      </c>
      <c r="AZ525" s="118">
        <f t="shared" si="151"/>
        <v>10479</v>
      </c>
      <c r="BA525" s="118">
        <f t="shared" si="151"/>
        <v>4707.8999999999996</v>
      </c>
      <c r="BB525" s="118">
        <f t="shared" si="151"/>
        <v>0</v>
      </c>
      <c r="BC525" s="118">
        <f t="shared" si="151"/>
        <v>116994.1</v>
      </c>
      <c r="BD525" s="118">
        <f t="shared" si="151"/>
        <v>132181</v>
      </c>
      <c r="BE525" s="118">
        <f t="shared" si="151"/>
        <v>10479</v>
      </c>
      <c r="BF525" s="118">
        <f t="shared" si="151"/>
        <v>4707.8999999999996</v>
      </c>
      <c r="BG525" s="118">
        <f t="shared" si="151"/>
        <v>0</v>
      </c>
      <c r="BH525" s="118">
        <f t="shared" si="151"/>
        <v>116994.1</v>
      </c>
    </row>
    <row r="526" spans="1:60" ht="35.65" customHeight="1">
      <c r="A526" s="23" t="s">
        <v>27</v>
      </c>
      <c r="B526" s="24">
        <v>2601</v>
      </c>
      <c r="C526" s="25"/>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c r="AO526" s="26"/>
      <c r="AP526" s="26"/>
      <c r="AQ526" s="26"/>
      <c r="AR526" s="26"/>
      <c r="AS526" s="26"/>
      <c r="AT526" s="26"/>
      <c r="AU526" s="26"/>
      <c r="AV526" s="26"/>
      <c r="AW526" s="26"/>
      <c r="AX526" s="26"/>
      <c r="AY526" s="26"/>
      <c r="AZ526" s="26"/>
      <c r="BA526" s="26"/>
      <c r="BB526" s="26"/>
      <c r="BC526" s="26"/>
      <c r="BD526" s="26"/>
      <c r="BE526" s="26"/>
      <c r="BF526" s="26"/>
      <c r="BG526" s="26"/>
      <c r="BH526" s="26"/>
    </row>
    <row r="527" spans="1:60" ht="35.65" customHeight="1" thickBot="1">
      <c r="A527" s="31" t="s">
        <v>366</v>
      </c>
      <c r="B527" s="168"/>
      <c r="C527" s="33"/>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34"/>
      <c r="AC527" s="34">
        <v>1</v>
      </c>
      <c r="AD527" s="34"/>
      <c r="AE527" s="118">
        <f>AE528+AE529+AE530+AE531+AE532+AE533+AE534+AE536+AE537+AE538+AE539+AE540+AE541+AE542+AE543+AE544+AE545+AE546+AE547+AE548+AE549+AE550+AE551+AE552+AE555+AE556+AE557+AE558+AE559+AE560+AE562+AE563+AE564+AE565+AE566+AE535+AE561+AE553+AE554</f>
        <v>35082.1</v>
      </c>
      <c r="AF527" s="118">
        <f>AH527+AJ527+AL527+AN527</f>
        <v>34210.799999999996</v>
      </c>
      <c r="AG527" s="118">
        <f t="shared" ref="AG527:BH527" si="152">AG528+AG529+AG530+AG531+AG532+AG533+AG534+AG536+AG537+AG538+AG539+AG540+AG541+AG542+AG543+AG544+AG545+AG546+AG547+AG548+AG549+AG550+AG551+AG552+AG555+AG556+AG557+AG558+AG559+AG560+AG562+AG563+AG564+AG565+AG566+AG535+AG561+AG553+AG554</f>
        <v>0</v>
      </c>
      <c r="AH527" s="118">
        <f t="shared" si="152"/>
        <v>0</v>
      </c>
      <c r="AI527" s="118">
        <f t="shared" si="152"/>
        <v>700</v>
      </c>
      <c r="AJ527" s="118">
        <f t="shared" si="152"/>
        <v>683.6</v>
      </c>
      <c r="AK527" s="118">
        <f t="shared" si="152"/>
        <v>0</v>
      </c>
      <c r="AL527" s="118"/>
      <c r="AM527" s="118">
        <f t="shared" si="152"/>
        <v>34382.100000000006</v>
      </c>
      <c r="AN527" s="118">
        <f t="shared" si="152"/>
        <v>33527.199999999997</v>
      </c>
      <c r="AO527" s="118">
        <f t="shared" si="152"/>
        <v>35382.899999999994</v>
      </c>
      <c r="AP527" s="118">
        <f t="shared" si="152"/>
        <v>0</v>
      </c>
      <c r="AQ527" s="118">
        <f t="shared" si="152"/>
        <v>61.3</v>
      </c>
      <c r="AR527" s="118">
        <f t="shared" si="152"/>
        <v>0</v>
      </c>
      <c r="AS527" s="118">
        <f t="shared" si="152"/>
        <v>35321.599999999991</v>
      </c>
      <c r="AT527" s="118">
        <f t="shared" si="152"/>
        <v>32580.200000000004</v>
      </c>
      <c r="AU527" s="118">
        <f t="shared" si="152"/>
        <v>0</v>
      </c>
      <c r="AV527" s="118">
        <f t="shared" si="152"/>
        <v>0</v>
      </c>
      <c r="AW527" s="118">
        <f t="shared" si="152"/>
        <v>0</v>
      </c>
      <c r="AX527" s="118">
        <f t="shared" si="152"/>
        <v>32580.200000000004</v>
      </c>
      <c r="AY527" s="118">
        <f t="shared" si="152"/>
        <v>32580.200000000004</v>
      </c>
      <c r="AZ527" s="118">
        <f t="shared" si="152"/>
        <v>0</v>
      </c>
      <c r="BA527" s="118">
        <f t="shared" si="152"/>
        <v>0</v>
      </c>
      <c r="BB527" s="118">
        <f t="shared" si="152"/>
        <v>0</v>
      </c>
      <c r="BC527" s="118">
        <f t="shared" si="152"/>
        <v>32580.200000000004</v>
      </c>
      <c r="BD527" s="118">
        <f t="shared" si="152"/>
        <v>32580.200000000004</v>
      </c>
      <c r="BE527" s="118">
        <f t="shared" si="152"/>
        <v>0</v>
      </c>
      <c r="BF527" s="118">
        <f t="shared" si="152"/>
        <v>0</v>
      </c>
      <c r="BG527" s="118">
        <f t="shared" si="152"/>
        <v>0</v>
      </c>
      <c r="BH527" s="118">
        <f t="shared" si="152"/>
        <v>32580.200000000004</v>
      </c>
    </row>
    <row r="528" spans="1:60" ht="35.65" customHeight="1" thickBot="1">
      <c r="A528" s="85" t="s">
        <v>367</v>
      </c>
      <c r="B528" s="28"/>
      <c r="C528" s="352" t="s">
        <v>368</v>
      </c>
      <c r="D528" s="352" t="s">
        <v>369</v>
      </c>
      <c r="E528" s="352" t="s">
        <v>370</v>
      </c>
      <c r="F528" s="26"/>
      <c r="G528" s="26"/>
      <c r="H528" s="26"/>
      <c r="I528" s="26"/>
      <c r="J528" s="26"/>
      <c r="K528" s="26"/>
      <c r="L528" s="26"/>
      <c r="M528" s="26"/>
      <c r="N528" s="26"/>
      <c r="O528" s="26"/>
      <c r="P528" s="26"/>
      <c r="Q528" s="26"/>
      <c r="R528" s="26"/>
      <c r="S528" s="26"/>
      <c r="T528" s="26"/>
      <c r="U528" s="26"/>
      <c r="V528" s="26"/>
      <c r="W528" s="20" t="s">
        <v>371</v>
      </c>
      <c r="X528" s="169" t="s">
        <v>372</v>
      </c>
      <c r="Y528" s="170">
        <v>44181</v>
      </c>
      <c r="Z528" s="26"/>
      <c r="AA528" s="26"/>
      <c r="AB528" s="26"/>
      <c r="AC528" s="26"/>
      <c r="AD528" s="52" t="s">
        <v>1003</v>
      </c>
      <c r="AE528" s="26">
        <f t="shared" ref="AE528:AF566" si="153">AG528+AI528+AK528+AM528</f>
        <v>214.4</v>
      </c>
      <c r="AF528" s="26">
        <f>AH528+AJ528+AL528+AN528</f>
        <v>214.4</v>
      </c>
      <c r="AG528" s="26"/>
      <c r="AH528" s="26"/>
      <c r="AI528" s="26">
        <v>7.2</v>
      </c>
      <c r="AJ528" s="26">
        <v>7.2</v>
      </c>
      <c r="AK528" s="26"/>
      <c r="AL528" s="26"/>
      <c r="AM528" s="26">
        <f>207.8+7.2-0.6-7.2</f>
        <v>207.20000000000002</v>
      </c>
      <c r="AN528" s="26">
        <f>214.4-7.2</f>
        <v>207.20000000000002</v>
      </c>
      <c r="AO528" s="26">
        <f>AP528+AQ528+AR528+AS528</f>
        <v>229</v>
      </c>
      <c r="AP528" s="26"/>
      <c r="AQ528" s="26"/>
      <c r="AR528" s="26"/>
      <c r="AS528" s="26">
        <f>221.7+6.5+0.8</f>
        <v>229</v>
      </c>
      <c r="AT528" s="26">
        <f>AU528+AV528+AW528+AX528</f>
        <v>221.7</v>
      </c>
      <c r="AU528" s="26"/>
      <c r="AV528" s="26"/>
      <c r="AW528" s="26"/>
      <c r="AX528" s="26">
        <v>221.7</v>
      </c>
      <c r="AY528" s="26">
        <f>AZ528+BA528+BB528+BC528</f>
        <v>221.7</v>
      </c>
      <c r="AZ528" s="26"/>
      <c r="BA528" s="26"/>
      <c r="BB528" s="26"/>
      <c r="BC528" s="26">
        <v>221.7</v>
      </c>
      <c r="BD528" s="26">
        <f>BE528+BF528+BG528+BH528</f>
        <v>221.7</v>
      </c>
      <c r="BE528" s="26"/>
      <c r="BF528" s="26"/>
      <c r="BG528" s="26"/>
      <c r="BH528" s="26">
        <v>221.7</v>
      </c>
    </row>
    <row r="529" spans="1:60" ht="35.65" customHeight="1" thickBot="1">
      <c r="A529" s="85" t="s">
        <v>367</v>
      </c>
      <c r="B529" s="28"/>
      <c r="C529" s="395"/>
      <c r="D529" s="395"/>
      <c r="E529" s="395"/>
      <c r="F529" s="26"/>
      <c r="G529" s="26"/>
      <c r="H529" s="26"/>
      <c r="I529" s="26"/>
      <c r="J529" s="26"/>
      <c r="K529" s="26"/>
      <c r="L529" s="26"/>
      <c r="M529" s="26"/>
      <c r="N529" s="26"/>
      <c r="O529" s="26"/>
      <c r="P529" s="26"/>
      <c r="Q529" s="26"/>
      <c r="R529" s="26"/>
      <c r="S529" s="26"/>
      <c r="T529" s="26"/>
      <c r="U529" s="26"/>
      <c r="V529" s="26"/>
      <c r="W529" s="20" t="s">
        <v>371</v>
      </c>
      <c r="X529" s="169" t="s">
        <v>372</v>
      </c>
      <c r="Y529" s="170">
        <v>44181</v>
      </c>
      <c r="Z529" s="26"/>
      <c r="AA529" s="26"/>
      <c r="AB529" s="26"/>
      <c r="AC529" s="26"/>
      <c r="AD529" s="52" t="s">
        <v>1004</v>
      </c>
      <c r="AE529" s="26">
        <f t="shared" si="153"/>
        <v>1154.7</v>
      </c>
      <c r="AF529" s="26">
        <f t="shared" si="153"/>
        <v>1154.4000000000001</v>
      </c>
      <c r="AG529" s="26"/>
      <c r="AH529" s="26"/>
      <c r="AI529" s="26"/>
      <c r="AJ529" s="26"/>
      <c r="AK529" s="26"/>
      <c r="AL529" s="26"/>
      <c r="AM529" s="26">
        <f>991.3-15+17.6+150+10.8</f>
        <v>1154.7</v>
      </c>
      <c r="AN529" s="26">
        <v>1154.4000000000001</v>
      </c>
      <c r="AO529" s="26">
        <f>AP529+AQ529+AR529+AS529</f>
        <v>1173</v>
      </c>
      <c r="AP529" s="26"/>
      <c r="AQ529" s="26"/>
      <c r="AR529" s="26"/>
      <c r="AS529" s="26">
        <f>1144.2+7+21.8</f>
        <v>1173</v>
      </c>
      <c r="AT529" s="26">
        <f>AU529+AV529+AW529+AX529</f>
        <v>1144.2</v>
      </c>
      <c r="AU529" s="26"/>
      <c r="AV529" s="26"/>
      <c r="AW529" s="26"/>
      <c r="AX529" s="26">
        <v>1144.2</v>
      </c>
      <c r="AY529" s="26">
        <f>AZ529+BA529+BB529+BC529</f>
        <v>1144.2</v>
      </c>
      <c r="AZ529" s="26"/>
      <c r="BA529" s="26"/>
      <c r="BB529" s="26"/>
      <c r="BC529" s="26">
        <v>1144.2</v>
      </c>
      <c r="BD529" s="26">
        <f>BE529+BF529+BG529+BH529</f>
        <v>1144.2</v>
      </c>
      <c r="BE529" s="26"/>
      <c r="BF529" s="26"/>
      <c r="BG529" s="26"/>
      <c r="BH529" s="26">
        <v>1144.2</v>
      </c>
    </row>
    <row r="530" spans="1:60" ht="35.65" customHeight="1" thickBot="1">
      <c r="A530" s="85" t="s">
        <v>367</v>
      </c>
      <c r="B530" s="28"/>
      <c r="C530" s="395"/>
      <c r="D530" s="395"/>
      <c r="E530" s="395"/>
      <c r="F530" s="26"/>
      <c r="G530" s="26"/>
      <c r="H530" s="26"/>
      <c r="I530" s="26"/>
      <c r="J530" s="26"/>
      <c r="K530" s="26"/>
      <c r="L530" s="26"/>
      <c r="M530" s="8"/>
      <c r="N530" s="26"/>
      <c r="O530" s="26"/>
      <c r="P530" s="26"/>
      <c r="Q530" s="26"/>
      <c r="R530" s="26"/>
      <c r="S530" s="26"/>
      <c r="T530" s="26"/>
      <c r="U530" s="26"/>
      <c r="V530" s="26"/>
      <c r="W530" s="20" t="s">
        <v>371</v>
      </c>
      <c r="X530" s="169" t="s">
        <v>372</v>
      </c>
      <c r="Y530" s="170">
        <v>44181</v>
      </c>
      <c r="Z530" s="26"/>
      <c r="AA530" s="26"/>
      <c r="AB530" s="26"/>
      <c r="AC530" s="26"/>
      <c r="AD530" s="52" t="s">
        <v>1005</v>
      </c>
      <c r="AE530" s="26">
        <f t="shared" si="153"/>
        <v>45</v>
      </c>
      <c r="AF530" s="26">
        <f t="shared" si="153"/>
        <v>45</v>
      </c>
      <c r="AG530" s="26"/>
      <c r="AH530" s="26"/>
      <c r="AI530" s="26"/>
      <c r="AJ530" s="26"/>
      <c r="AK530" s="26"/>
      <c r="AL530" s="26"/>
      <c r="AM530" s="26">
        <f>2.6+15+27.4</f>
        <v>45</v>
      </c>
      <c r="AN530" s="26">
        <v>45</v>
      </c>
      <c r="AO530" s="26">
        <f>AP530+AQ530+AR530+AS530</f>
        <v>0</v>
      </c>
      <c r="AP530" s="26"/>
      <c r="AQ530" s="26"/>
      <c r="AR530" s="26"/>
      <c r="AS530" s="26">
        <f>13.8-13.8</f>
        <v>0</v>
      </c>
      <c r="AT530" s="26">
        <f>AU530+AV530+AW530+AX530</f>
        <v>13.8</v>
      </c>
      <c r="AU530" s="26"/>
      <c r="AV530" s="26"/>
      <c r="AW530" s="26"/>
      <c r="AX530" s="26">
        <v>13.8</v>
      </c>
      <c r="AY530" s="26">
        <f>AZ530+BA530+BB530+BC530</f>
        <v>13.8</v>
      </c>
      <c r="AZ530" s="26"/>
      <c r="BA530" s="26"/>
      <c r="BB530" s="26"/>
      <c r="BC530" s="26">
        <v>13.8</v>
      </c>
      <c r="BD530" s="26">
        <f>BE530+BF530+BG530+BH530</f>
        <v>13.8</v>
      </c>
      <c r="BE530" s="26"/>
      <c r="BF530" s="26"/>
      <c r="BG530" s="26"/>
      <c r="BH530" s="26">
        <v>13.8</v>
      </c>
    </row>
    <row r="531" spans="1:60" ht="35.65" customHeight="1" thickBot="1">
      <c r="A531" s="85" t="s">
        <v>367</v>
      </c>
      <c r="B531" s="28"/>
      <c r="C531" s="395"/>
      <c r="D531" s="395"/>
      <c r="E531" s="395"/>
      <c r="F531" s="26"/>
      <c r="G531" s="26"/>
      <c r="H531" s="26"/>
      <c r="I531" s="26"/>
      <c r="J531" s="26"/>
      <c r="K531" s="26"/>
      <c r="L531" s="26"/>
      <c r="M531" s="8"/>
      <c r="N531" s="26"/>
      <c r="O531" s="26"/>
      <c r="P531" s="26"/>
      <c r="Q531" s="26"/>
      <c r="R531" s="26"/>
      <c r="S531" s="26"/>
      <c r="T531" s="26"/>
      <c r="U531" s="26"/>
      <c r="V531" s="26"/>
      <c r="W531" s="20" t="s">
        <v>371</v>
      </c>
      <c r="X531" s="169" t="s">
        <v>372</v>
      </c>
      <c r="Y531" s="170">
        <v>44181</v>
      </c>
      <c r="Z531" s="26"/>
      <c r="AA531" s="26"/>
      <c r="AB531" s="26"/>
      <c r="AC531" s="26"/>
      <c r="AD531" s="52" t="s">
        <v>1006</v>
      </c>
      <c r="AE531" s="26">
        <f t="shared" si="153"/>
        <v>0</v>
      </c>
      <c r="AF531" s="26">
        <f t="shared" si="153"/>
        <v>0</v>
      </c>
      <c r="AG531" s="26"/>
      <c r="AH531" s="26"/>
      <c r="AI531" s="26"/>
      <c r="AJ531" s="26"/>
      <c r="AK531" s="26"/>
      <c r="AL531" s="26"/>
      <c r="AM531" s="26"/>
      <c r="AN531" s="26"/>
      <c r="AO531" s="26"/>
      <c r="AP531" s="26"/>
      <c r="AQ531" s="26"/>
      <c r="AR531" s="26"/>
      <c r="AS531" s="26"/>
      <c r="AT531" s="26"/>
      <c r="AU531" s="26"/>
      <c r="AV531" s="26"/>
      <c r="AW531" s="26"/>
      <c r="AX531" s="26"/>
      <c r="AY531" s="26"/>
      <c r="AZ531" s="26"/>
      <c r="BA531" s="26"/>
      <c r="BB531" s="26"/>
      <c r="BC531" s="26"/>
      <c r="BD531" s="26"/>
      <c r="BE531" s="26"/>
      <c r="BF531" s="26"/>
      <c r="BG531" s="26"/>
      <c r="BH531" s="26"/>
    </row>
    <row r="532" spans="1:60" ht="35.65" customHeight="1" thickBot="1">
      <c r="A532" s="85" t="s">
        <v>367</v>
      </c>
      <c r="B532" s="28"/>
      <c r="C532" s="395"/>
      <c r="D532" s="395"/>
      <c r="E532" s="395"/>
      <c r="F532" s="26"/>
      <c r="G532" s="26"/>
      <c r="H532" s="26"/>
      <c r="I532" s="26"/>
      <c r="J532" s="26"/>
      <c r="K532" s="26"/>
      <c r="L532" s="26"/>
      <c r="M532" s="87" t="s">
        <v>373</v>
      </c>
      <c r="N532" s="26" t="s">
        <v>374</v>
      </c>
      <c r="O532" s="142">
        <v>42774</v>
      </c>
      <c r="P532" s="26"/>
      <c r="Q532" s="26"/>
      <c r="R532" s="26"/>
      <c r="S532" s="26"/>
      <c r="T532" s="26"/>
      <c r="U532" s="26"/>
      <c r="V532" s="26"/>
      <c r="W532" s="20" t="s">
        <v>371</v>
      </c>
      <c r="X532" s="169" t="s">
        <v>372</v>
      </c>
      <c r="Y532" s="170">
        <v>44181</v>
      </c>
      <c r="Z532" s="26"/>
      <c r="AA532" s="26"/>
      <c r="AB532" s="26"/>
      <c r="AC532" s="26"/>
      <c r="AD532" s="52" t="s">
        <v>1007</v>
      </c>
      <c r="AE532" s="26">
        <f t="shared" si="153"/>
        <v>456.40000000000003</v>
      </c>
      <c r="AF532" s="26">
        <f t="shared" si="153"/>
        <v>456.4</v>
      </c>
      <c r="AG532" s="26"/>
      <c r="AH532" s="26"/>
      <c r="AI532" s="26">
        <v>16.2</v>
      </c>
      <c r="AJ532" s="26">
        <v>16.2</v>
      </c>
      <c r="AK532" s="26"/>
      <c r="AL532" s="26"/>
      <c r="AM532" s="26">
        <f>420.6+16.2+18+9.3-7.7-16.2</f>
        <v>440.20000000000005</v>
      </c>
      <c r="AN532" s="26">
        <f>456.4-16.2</f>
        <v>440.2</v>
      </c>
      <c r="AO532" s="26">
        <f>AP532+AQ532+AR532+AS532</f>
        <v>514.6</v>
      </c>
      <c r="AP532" s="26"/>
      <c r="AQ532" s="26"/>
      <c r="AR532" s="26"/>
      <c r="AS532" s="26">
        <f>466.4+6.5+3.5+38.2</f>
        <v>514.6</v>
      </c>
      <c r="AT532" s="26">
        <f>AU532+AV532+AW532+AX532</f>
        <v>466.4</v>
      </c>
      <c r="AU532" s="26"/>
      <c r="AV532" s="26"/>
      <c r="AW532" s="26"/>
      <c r="AX532" s="26">
        <v>466.4</v>
      </c>
      <c r="AY532" s="26">
        <f>AZ532+BA532+BB532+BC532</f>
        <v>466.4</v>
      </c>
      <c r="AZ532" s="26"/>
      <c r="BA532" s="26"/>
      <c r="BB532" s="26"/>
      <c r="BC532" s="26">
        <v>466.4</v>
      </c>
      <c r="BD532" s="26">
        <f t="shared" ref="BD532:BD539" si="154">BE532+BF532+BG532+BH532</f>
        <v>466.4</v>
      </c>
      <c r="BE532" s="26"/>
      <c r="BF532" s="26"/>
      <c r="BG532" s="26"/>
      <c r="BH532" s="26">
        <v>466.4</v>
      </c>
    </row>
    <row r="533" spans="1:60" ht="35.65" customHeight="1" thickBot="1">
      <c r="A533" s="85" t="s">
        <v>367</v>
      </c>
      <c r="B533" s="28"/>
      <c r="C533" s="395"/>
      <c r="D533" s="395"/>
      <c r="E533" s="395"/>
      <c r="F533" s="26"/>
      <c r="G533" s="26"/>
      <c r="H533" s="26"/>
      <c r="I533" s="26"/>
      <c r="J533" s="26"/>
      <c r="K533" s="26"/>
      <c r="L533" s="26"/>
      <c r="M533" s="26"/>
      <c r="N533" s="26"/>
      <c r="O533" s="26"/>
      <c r="P533" s="26"/>
      <c r="Q533" s="26"/>
      <c r="R533" s="26"/>
      <c r="S533" s="26"/>
      <c r="T533" s="26"/>
      <c r="U533" s="26"/>
      <c r="V533" s="26"/>
      <c r="W533" s="20" t="s">
        <v>371</v>
      </c>
      <c r="X533" s="169" t="s">
        <v>372</v>
      </c>
      <c r="Y533" s="170">
        <v>44181</v>
      </c>
      <c r="Z533" s="26"/>
      <c r="AA533" s="26"/>
      <c r="AB533" s="26"/>
      <c r="AC533" s="26"/>
      <c r="AD533" s="52" t="s">
        <v>1008</v>
      </c>
      <c r="AE533" s="26">
        <f t="shared" si="153"/>
        <v>92.100000000000009</v>
      </c>
      <c r="AF533" s="26">
        <f t="shared" si="153"/>
        <v>92.1</v>
      </c>
      <c r="AG533" s="26"/>
      <c r="AH533" s="26"/>
      <c r="AI533" s="26">
        <v>12</v>
      </c>
      <c r="AJ533" s="26">
        <v>12</v>
      </c>
      <c r="AK533" s="26"/>
      <c r="AL533" s="26"/>
      <c r="AM533" s="26">
        <f>80.7+8+4-0.6-12</f>
        <v>80.100000000000009</v>
      </c>
      <c r="AN533" s="26">
        <f>92.1-12</f>
        <v>80.099999999999994</v>
      </c>
      <c r="AO533" s="26">
        <f>AP533+AQ533+AR533+AS533</f>
        <v>99.3</v>
      </c>
      <c r="AP533" s="26"/>
      <c r="AQ533" s="26"/>
      <c r="AR533" s="26"/>
      <c r="AS533" s="26">
        <f>88.4+3.1+2.8+5</f>
        <v>99.3</v>
      </c>
      <c r="AT533" s="26">
        <f>AU533+AV533+AW533+AX533</f>
        <v>88.4</v>
      </c>
      <c r="AU533" s="26"/>
      <c r="AV533" s="26"/>
      <c r="AW533" s="26"/>
      <c r="AX533" s="26">
        <v>88.4</v>
      </c>
      <c r="AY533" s="26">
        <f>AZ533+BA533+BB533+BC533</f>
        <v>88.4</v>
      </c>
      <c r="AZ533" s="26"/>
      <c r="BA533" s="26"/>
      <c r="BB533" s="26"/>
      <c r="BC533" s="26">
        <v>88.4</v>
      </c>
      <c r="BD533" s="26">
        <f t="shared" si="154"/>
        <v>88.4</v>
      </c>
      <c r="BE533" s="26"/>
      <c r="BF533" s="26"/>
      <c r="BG533" s="26"/>
      <c r="BH533" s="26">
        <v>88.4</v>
      </c>
    </row>
    <row r="534" spans="1:60" ht="35.65" customHeight="1" thickBot="1">
      <c r="A534" s="85" t="s">
        <v>367</v>
      </c>
      <c r="B534" s="28"/>
      <c r="C534" s="17"/>
      <c r="D534" s="17"/>
      <c r="E534" s="17"/>
      <c r="F534" s="26"/>
      <c r="G534" s="26"/>
      <c r="H534" s="26"/>
      <c r="I534" s="26"/>
      <c r="J534" s="26"/>
      <c r="K534" s="26"/>
      <c r="L534" s="26"/>
      <c r="M534" s="26"/>
      <c r="N534" s="26"/>
      <c r="O534" s="26"/>
      <c r="P534" s="26"/>
      <c r="Q534" s="26"/>
      <c r="R534" s="26"/>
      <c r="S534" s="26"/>
      <c r="T534" s="26"/>
      <c r="U534" s="26"/>
      <c r="V534" s="26"/>
      <c r="W534" s="20"/>
      <c r="X534" s="169"/>
      <c r="Y534" s="170"/>
      <c r="Z534" s="26"/>
      <c r="AA534" s="26"/>
      <c r="AB534" s="26"/>
      <c r="AC534" s="26"/>
      <c r="AD534" s="52" t="s">
        <v>1009</v>
      </c>
      <c r="AE534" s="26">
        <f t="shared" si="153"/>
        <v>258.2</v>
      </c>
      <c r="AF534" s="26">
        <f t="shared" si="153"/>
        <v>258.2</v>
      </c>
      <c r="AG534" s="26"/>
      <c r="AH534" s="26"/>
      <c r="AI534" s="26">
        <v>9.8000000000000007</v>
      </c>
      <c r="AJ534" s="26">
        <v>9.8000000000000007</v>
      </c>
      <c r="AK534" s="26"/>
      <c r="AL534" s="26"/>
      <c r="AM534" s="26">
        <f>254+9.8-5.6-9.8</f>
        <v>248.39999999999998</v>
      </c>
      <c r="AN534" s="26">
        <f>258.2-9.8</f>
        <v>248.39999999999998</v>
      </c>
      <c r="AO534" s="26">
        <f>AP534+AQ534+AR534+AS534</f>
        <v>0</v>
      </c>
      <c r="AP534" s="26"/>
      <c r="AQ534" s="26"/>
      <c r="AR534" s="26"/>
      <c r="AS534" s="26">
        <v>0</v>
      </c>
      <c r="AT534" s="26">
        <f>AU534+AV534+AW534+AX534</f>
        <v>0</v>
      </c>
      <c r="AU534" s="26"/>
      <c r="AV534" s="26"/>
      <c r="AW534" s="26"/>
      <c r="AX534" s="26">
        <v>0</v>
      </c>
      <c r="AY534" s="26">
        <f>AZ534+BA534+BB534+BC534</f>
        <v>0</v>
      </c>
      <c r="AZ534" s="26"/>
      <c r="BA534" s="26"/>
      <c r="BB534" s="26"/>
      <c r="BC534" s="26">
        <v>0</v>
      </c>
      <c r="BD534" s="26">
        <f t="shared" si="154"/>
        <v>0</v>
      </c>
      <c r="BE534" s="26"/>
      <c r="BF534" s="26"/>
      <c r="BG534" s="26"/>
      <c r="BH534" s="26">
        <v>0</v>
      </c>
    </row>
    <row r="535" spans="1:60" ht="35.65" customHeight="1" thickBot="1">
      <c r="A535" s="85" t="s">
        <v>57</v>
      </c>
      <c r="B535" s="28"/>
      <c r="C535" s="17"/>
      <c r="D535" s="17"/>
      <c r="E535" s="17"/>
      <c r="F535" s="26"/>
      <c r="G535" s="26"/>
      <c r="H535" s="26"/>
      <c r="I535" s="26"/>
      <c r="J535" s="26"/>
      <c r="K535" s="26"/>
      <c r="L535" s="26"/>
      <c r="M535" s="26"/>
      <c r="N535" s="26"/>
      <c r="O535" s="26"/>
      <c r="P535" s="26"/>
      <c r="Q535" s="26"/>
      <c r="R535" s="26"/>
      <c r="S535" s="26"/>
      <c r="T535" s="26"/>
      <c r="U535" s="26"/>
      <c r="V535" s="26"/>
      <c r="W535" s="20"/>
      <c r="X535" s="169"/>
      <c r="Y535" s="170"/>
      <c r="Z535" s="26"/>
      <c r="AA535" s="26"/>
      <c r="AB535" s="26"/>
      <c r="AC535" s="26"/>
      <c r="AD535" s="52" t="s">
        <v>1010</v>
      </c>
      <c r="AE535" s="26">
        <f t="shared" si="153"/>
        <v>79.900000000000006</v>
      </c>
      <c r="AF535" s="26">
        <f t="shared" si="153"/>
        <v>65.5</v>
      </c>
      <c r="AG535" s="26"/>
      <c r="AH535" s="26"/>
      <c r="AI535" s="26">
        <v>79.900000000000006</v>
      </c>
      <c r="AJ535" s="26">
        <v>65.5</v>
      </c>
      <c r="AK535" s="26"/>
      <c r="AL535" s="26"/>
      <c r="AM535" s="26"/>
      <c r="AN535" s="26"/>
      <c r="AO535" s="26"/>
      <c r="AP535" s="26"/>
      <c r="AQ535" s="26"/>
      <c r="AR535" s="26"/>
      <c r="AS535" s="26"/>
      <c r="AT535" s="26"/>
      <c r="AU535" s="26"/>
      <c r="AV535" s="26"/>
      <c r="AW535" s="26"/>
      <c r="AX535" s="26"/>
      <c r="AY535" s="26"/>
      <c r="AZ535" s="26"/>
      <c r="BA535" s="26"/>
      <c r="BB535" s="26"/>
      <c r="BC535" s="26"/>
      <c r="BD535" s="26"/>
      <c r="BE535" s="26"/>
      <c r="BF535" s="26"/>
      <c r="BG535" s="26"/>
      <c r="BH535" s="26"/>
    </row>
    <row r="536" spans="1:60" ht="35.65" customHeight="1" thickBot="1">
      <c r="A536" s="85" t="s">
        <v>57</v>
      </c>
      <c r="B536" s="28"/>
      <c r="C536" s="399" t="s">
        <v>375</v>
      </c>
      <c r="D536" s="352" t="s">
        <v>376</v>
      </c>
      <c r="E536" s="375" t="s">
        <v>182</v>
      </c>
      <c r="F536" s="26"/>
      <c r="G536" s="26"/>
      <c r="H536" s="26"/>
      <c r="I536" s="26"/>
      <c r="J536" s="52"/>
      <c r="K536" s="26"/>
      <c r="L536" s="26"/>
      <c r="M536" s="26"/>
      <c r="N536" s="26"/>
      <c r="O536" s="26"/>
      <c r="P536" s="26"/>
      <c r="Q536" s="26"/>
      <c r="R536" s="26"/>
      <c r="S536" s="26"/>
      <c r="T536" s="26"/>
      <c r="U536" s="26"/>
      <c r="V536" s="26"/>
      <c r="W536" s="52" t="s">
        <v>377</v>
      </c>
      <c r="X536" s="26"/>
      <c r="Y536" s="26"/>
      <c r="Z536" s="26"/>
      <c r="AA536" s="26"/>
      <c r="AB536" s="26"/>
      <c r="AC536" s="26"/>
      <c r="AD536" s="20" t="s">
        <v>1011</v>
      </c>
      <c r="AE536" s="26">
        <f t="shared" si="153"/>
        <v>643.79999999999995</v>
      </c>
      <c r="AF536" s="26">
        <f t="shared" si="153"/>
        <v>643.29999999999995</v>
      </c>
      <c r="AG536" s="26"/>
      <c r="AH536" s="26"/>
      <c r="AI536" s="26">
        <v>19.399999999999999</v>
      </c>
      <c r="AJ536" s="26">
        <v>19.399999999999999</v>
      </c>
      <c r="AK536" s="26"/>
      <c r="AL536" s="26"/>
      <c r="AM536" s="26">
        <f>625.8+19.4+14.4+17-27-5.8-19.4</f>
        <v>624.4</v>
      </c>
      <c r="AN536" s="26">
        <f>643.3-19.4</f>
        <v>623.9</v>
      </c>
      <c r="AO536" s="26">
        <f>AP536+AQ536+AR536+AS536</f>
        <v>762.59999999999991</v>
      </c>
      <c r="AP536" s="26"/>
      <c r="AQ536" s="26"/>
      <c r="AR536" s="26"/>
      <c r="AS536" s="26">
        <f>698.9+17.3+46.4</f>
        <v>762.59999999999991</v>
      </c>
      <c r="AT536" s="26">
        <f>AU536+AV536+AW536+AX536</f>
        <v>698.9</v>
      </c>
      <c r="AU536" s="26"/>
      <c r="AV536" s="26"/>
      <c r="AW536" s="26"/>
      <c r="AX536" s="26">
        <v>698.9</v>
      </c>
      <c r="AY536" s="26">
        <f>AZ536+BA536+BB536+BC536</f>
        <v>698.9</v>
      </c>
      <c r="AZ536" s="26"/>
      <c r="BA536" s="26"/>
      <c r="BB536" s="26"/>
      <c r="BC536" s="26">
        <v>698.9</v>
      </c>
      <c r="BD536" s="26">
        <f t="shared" si="154"/>
        <v>698.9</v>
      </c>
      <c r="BE536" s="26"/>
      <c r="BF536" s="26"/>
      <c r="BG536" s="26"/>
      <c r="BH536" s="26">
        <v>698.9</v>
      </c>
    </row>
    <row r="537" spans="1:60" ht="35.65" customHeight="1" thickBot="1">
      <c r="A537" s="85" t="s">
        <v>57</v>
      </c>
      <c r="B537" s="28"/>
      <c r="C537" s="382"/>
      <c r="D537" s="395"/>
      <c r="E537" s="388"/>
      <c r="F537" s="26"/>
      <c r="G537" s="26"/>
      <c r="H537" s="26"/>
      <c r="I537" s="26"/>
      <c r="J537" s="171" t="s">
        <v>378</v>
      </c>
      <c r="K537" s="26"/>
      <c r="L537" s="26"/>
      <c r="M537" s="26"/>
      <c r="N537" s="26"/>
      <c r="O537" s="26"/>
      <c r="P537" s="26"/>
      <c r="Q537" s="26"/>
      <c r="R537" s="26"/>
      <c r="S537" s="26"/>
      <c r="T537" s="26"/>
      <c r="U537" s="26"/>
      <c r="V537" s="26"/>
      <c r="W537" s="52" t="s">
        <v>379</v>
      </c>
      <c r="X537" s="26"/>
      <c r="Y537" s="26"/>
      <c r="Z537" s="26"/>
      <c r="AA537" s="26"/>
      <c r="AB537" s="26"/>
      <c r="AC537" s="26"/>
      <c r="AD537" s="20" t="s">
        <v>1012</v>
      </c>
      <c r="AE537" s="26">
        <f t="shared" si="153"/>
        <v>6229.4</v>
      </c>
      <c r="AF537" s="26">
        <f t="shared" si="153"/>
        <v>6090.5</v>
      </c>
      <c r="AG537" s="26"/>
      <c r="AH537" s="26"/>
      <c r="AI537" s="26">
        <v>210.8</v>
      </c>
      <c r="AJ537" s="26">
        <v>210.8</v>
      </c>
      <c r="AK537" s="26"/>
      <c r="AL537" s="26"/>
      <c r="AM537" s="26">
        <f>6055.7+210.8+14.4-14.4-37.1-210.8</f>
        <v>6018.5999999999995</v>
      </c>
      <c r="AN537" s="26">
        <f>6090.5-210.8</f>
        <v>5879.7</v>
      </c>
      <c r="AO537" s="26">
        <f>AP537+AQ537+AR537+AS537</f>
        <v>7006.7999999999993</v>
      </c>
      <c r="AP537" s="26"/>
      <c r="AQ537" s="26"/>
      <c r="AR537" s="26"/>
      <c r="AS537" s="26">
        <f>6355.4+62+100+188.4+135+166</f>
        <v>7006.7999999999993</v>
      </c>
      <c r="AT537" s="26">
        <f>AU537+AV537+AW537+AX537</f>
        <v>6355.4</v>
      </c>
      <c r="AU537" s="26"/>
      <c r="AV537" s="26"/>
      <c r="AW537" s="26"/>
      <c r="AX537" s="26">
        <v>6355.4</v>
      </c>
      <c r="AY537" s="26">
        <f>AZ537+BA537+BB537+BC537</f>
        <v>6355.4</v>
      </c>
      <c r="AZ537" s="26"/>
      <c r="BA537" s="26"/>
      <c r="BB537" s="26"/>
      <c r="BC537" s="26">
        <v>6355.4</v>
      </c>
      <c r="BD537" s="26">
        <f t="shared" si="154"/>
        <v>6355.4</v>
      </c>
      <c r="BE537" s="26"/>
      <c r="BF537" s="26"/>
      <c r="BG537" s="26"/>
      <c r="BH537" s="26">
        <v>6355.4</v>
      </c>
    </row>
    <row r="538" spans="1:60" ht="35.65" customHeight="1" thickBot="1">
      <c r="A538" s="85" t="s">
        <v>57</v>
      </c>
      <c r="B538" s="28"/>
      <c r="C538" s="382"/>
      <c r="D538" s="395"/>
      <c r="E538" s="388"/>
      <c r="F538" s="26"/>
      <c r="G538" s="26"/>
      <c r="H538" s="26"/>
      <c r="I538" s="26"/>
      <c r="J538" s="52" t="s">
        <v>378</v>
      </c>
      <c r="K538" s="26"/>
      <c r="L538" s="26"/>
      <c r="M538" s="26"/>
      <c r="N538" s="26"/>
      <c r="O538" s="26"/>
      <c r="P538" s="26"/>
      <c r="Q538" s="26"/>
      <c r="R538" s="26"/>
      <c r="S538" s="26"/>
      <c r="T538" s="26"/>
      <c r="U538" s="26"/>
      <c r="V538" s="26"/>
      <c r="W538" s="52" t="s">
        <v>379</v>
      </c>
      <c r="X538" s="26"/>
      <c r="Y538" s="26"/>
      <c r="Z538" s="26"/>
      <c r="AA538" s="26"/>
      <c r="AB538" s="26"/>
      <c r="AC538" s="26"/>
      <c r="AD538" s="52" t="s">
        <v>1013</v>
      </c>
      <c r="AE538" s="26">
        <f t="shared" si="153"/>
        <v>10874.999999999998</v>
      </c>
      <c r="AF538" s="26">
        <f t="shared" si="153"/>
        <v>10645.7</v>
      </c>
      <c r="AG538" s="26"/>
      <c r="AH538" s="26"/>
      <c r="AI538" s="26"/>
      <c r="AJ538" s="26"/>
      <c r="AK538" s="26"/>
      <c r="AL538" s="26"/>
      <c r="AM538" s="26">
        <f>14275.8+50-5314+1939-0.2+100+60+45+88-368.6</f>
        <v>10874.999999999998</v>
      </c>
      <c r="AN538" s="26">
        <v>10645.7</v>
      </c>
      <c r="AO538" s="26">
        <f t="shared" ref="AO538:AO539" si="155">AP538+AQ538+AR538+AS538</f>
        <v>7862.2</v>
      </c>
      <c r="AP538" s="26"/>
      <c r="AQ538" s="26"/>
      <c r="AR538" s="26"/>
      <c r="AS538" s="26">
        <f>7442.7+250-100+100-7+187.2-10.7</f>
        <v>7862.2</v>
      </c>
      <c r="AT538" s="26">
        <f t="shared" ref="AT538:AT539" si="156">AU538+AV538+AW538+AX538</f>
        <v>7442.7</v>
      </c>
      <c r="AU538" s="26"/>
      <c r="AV538" s="26"/>
      <c r="AW538" s="26"/>
      <c r="AX538" s="26">
        <v>7442.7</v>
      </c>
      <c r="AY538" s="26">
        <f t="shared" ref="AY538:AY539" si="157">AZ538+BA538+BB538+BC538</f>
        <v>7442.7</v>
      </c>
      <c r="AZ538" s="26"/>
      <c r="BA538" s="26"/>
      <c r="BB538" s="26"/>
      <c r="BC538" s="26">
        <v>7442.7</v>
      </c>
      <c r="BD538" s="26">
        <f t="shared" si="154"/>
        <v>7442.7</v>
      </c>
      <c r="BE538" s="26"/>
      <c r="BF538" s="26"/>
      <c r="BG538" s="26"/>
      <c r="BH538" s="26">
        <v>7442.7</v>
      </c>
    </row>
    <row r="539" spans="1:60" ht="35.65" customHeight="1" thickBot="1">
      <c r="A539" s="85" t="s">
        <v>57</v>
      </c>
      <c r="B539" s="28"/>
      <c r="C539" s="382"/>
      <c r="D539" s="395"/>
      <c r="E539" s="388"/>
      <c r="F539" s="26"/>
      <c r="G539" s="26"/>
      <c r="H539" s="26"/>
      <c r="I539" s="26"/>
      <c r="J539" s="52" t="s">
        <v>378</v>
      </c>
      <c r="K539" s="26"/>
      <c r="L539" s="26"/>
      <c r="M539" s="26"/>
      <c r="N539" s="26"/>
      <c r="O539" s="26"/>
      <c r="P539" s="26"/>
      <c r="Q539" s="26"/>
      <c r="R539" s="26"/>
      <c r="S539" s="26"/>
      <c r="T539" s="26"/>
      <c r="U539" s="26"/>
      <c r="V539" s="26"/>
      <c r="W539" s="52" t="s">
        <v>379</v>
      </c>
      <c r="X539" s="26"/>
      <c r="Y539" s="26"/>
      <c r="Z539" s="26"/>
      <c r="AA539" s="26"/>
      <c r="AB539" s="26"/>
      <c r="AC539" s="26"/>
      <c r="AD539" s="52" t="s">
        <v>1014</v>
      </c>
      <c r="AE539" s="26">
        <f t="shared" si="153"/>
        <v>5314</v>
      </c>
      <c r="AF539" s="26">
        <f t="shared" si="153"/>
        <v>5163.8</v>
      </c>
      <c r="AG539" s="26"/>
      <c r="AH539" s="26"/>
      <c r="AI539" s="26"/>
      <c r="AJ539" s="26"/>
      <c r="AK539" s="26"/>
      <c r="AL539" s="26"/>
      <c r="AM539" s="26">
        <f>5314</f>
        <v>5314</v>
      </c>
      <c r="AN539" s="26">
        <v>5163.8</v>
      </c>
      <c r="AO539" s="26">
        <f t="shared" si="155"/>
        <v>6000</v>
      </c>
      <c r="AP539" s="26"/>
      <c r="AQ539" s="26"/>
      <c r="AR539" s="26"/>
      <c r="AS539" s="26">
        <v>6000</v>
      </c>
      <c r="AT539" s="26">
        <f t="shared" si="156"/>
        <v>6000</v>
      </c>
      <c r="AU539" s="26"/>
      <c r="AV539" s="26"/>
      <c r="AW539" s="26"/>
      <c r="AX539" s="26">
        <v>6000</v>
      </c>
      <c r="AY539" s="26">
        <f t="shared" si="157"/>
        <v>6000</v>
      </c>
      <c r="AZ539" s="26"/>
      <c r="BA539" s="26"/>
      <c r="BB539" s="26"/>
      <c r="BC539" s="26">
        <v>6000</v>
      </c>
      <c r="BD539" s="26">
        <f t="shared" si="154"/>
        <v>6000</v>
      </c>
      <c r="BE539" s="26"/>
      <c r="BF539" s="26"/>
      <c r="BG539" s="26"/>
      <c r="BH539" s="26">
        <v>6000</v>
      </c>
    </row>
    <row r="540" spans="1:60" ht="35.65" customHeight="1" thickBot="1">
      <c r="A540" s="85" t="s">
        <v>57</v>
      </c>
      <c r="B540" s="28"/>
      <c r="C540" s="382"/>
      <c r="D540" s="395"/>
      <c r="E540" s="388"/>
      <c r="F540" s="26"/>
      <c r="G540" s="26"/>
      <c r="H540" s="26"/>
      <c r="I540" s="26"/>
      <c r="J540" s="52" t="s">
        <v>378</v>
      </c>
      <c r="K540" s="26"/>
      <c r="L540" s="26"/>
      <c r="M540" s="26"/>
      <c r="N540" s="26"/>
      <c r="O540" s="26"/>
      <c r="P540" s="26"/>
      <c r="Q540" s="26"/>
      <c r="R540" s="26"/>
      <c r="S540" s="26"/>
      <c r="T540" s="26"/>
      <c r="U540" s="26"/>
      <c r="V540" s="26"/>
      <c r="W540" s="52" t="s">
        <v>379</v>
      </c>
      <c r="X540" s="26"/>
      <c r="Y540" s="26"/>
      <c r="Z540" s="26"/>
      <c r="AA540" s="26"/>
      <c r="AB540" s="26"/>
      <c r="AC540" s="26"/>
      <c r="AD540" s="291" t="s">
        <v>1015</v>
      </c>
      <c r="AE540" s="26">
        <f t="shared" si="153"/>
        <v>223.99999999999997</v>
      </c>
      <c r="AF540" s="26">
        <f>AH540+AJ540+AL540+AN540</f>
        <v>217.9</v>
      </c>
      <c r="AG540" s="26"/>
      <c r="AH540" s="26"/>
      <c r="AI540" s="26"/>
      <c r="AJ540" s="26"/>
      <c r="AK540" s="26"/>
      <c r="AL540" s="26"/>
      <c r="AM540" s="26">
        <f>120+9.6+14.9+48.2+10.7+20.6</f>
        <v>223.99999999999997</v>
      </c>
      <c r="AN540" s="26">
        <v>217.9</v>
      </c>
      <c r="AO540" s="26">
        <f>AP540+AQ540+AR540+AS540</f>
        <v>743.6</v>
      </c>
      <c r="AP540" s="26"/>
      <c r="AQ540" s="26"/>
      <c r="AR540" s="26"/>
      <c r="AS540" s="26">
        <f>34.2+6+35.4+50.2+7.7+0.1+601.7+8.3</f>
        <v>743.6</v>
      </c>
      <c r="AT540" s="26">
        <f>AU540+AV540+AW540+AX540</f>
        <v>0</v>
      </c>
      <c r="AU540" s="26"/>
      <c r="AV540" s="26"/>
      <c r="AW540" s="26"/>
      <c r="AX540" s="26"/>
      <c r="AY540" s="26">
        <f>AZ540+BA540+BB540+BC540</f>
        <v>0</v>
      </c>
      <c r="AZ540" s="26"/>
      <c r="BA540" s="26"/>
      <c r="BB540" s="26"/>
      <c r="BC540" s="26"/>
      <c r="BD540" s="26">
        <f>BE540+BF540+BG540+BH540</f>
        <v>0</v>
      </c>
      <c r="BE540" s="26"/>
      <c r="BF540" s="26"/>
      <c r="BG540" s="26"/>
      <c r="BH540" s="26"/>
    </row>
    <row r="541" spans="1:60" ht="35.65" customHeight="1" thickBot="1">
      <c r="A541" s="85" t="s">
        <v>57</v>
      </c>
      <c r="B541" s="28"/>
      <c r="C541" s="382"/>
      <c r="D541" s="395"/>
      <c r="E541" s="388"/>
      <c r="F541" s="26"/>
      <c r="G541" s="26"/>
      <c r="H541" s="26"/>
      <c r="I541" s="26"/>
      <c r="J541" s="52" t="s">
        <v>378</v>
      </c>
      <c r="K541" s="26"/>
      <c r="L541" s="26"/>
      <c r="M541" s="26"/>
      <c r="N541" s="26"/>
      <c r="O541" s="26"/>
      <c r="P541" s="26"/>
      <c r="Q541" s="26"/>
      <c r="R541" s="26"/>
      <c r="S541" s="26"/>
      <c r="T541" s="26"/>
      <c r="U541" s="26"/>
      <c r="V541" s="26"/>
      <c r="W541" s="52" t="s">
        <v>379</v>
      </c>
      <c r="X541" s="26"/>
      <c r="Y541" s="26"/>
      <c r="Z541" s="26"/>
      <c r="AA541" s="26"/>
      <c r="AB541" s="26"/>
      <c r="AC541" s="26"/>
      <c r="AD541" s="52" t="s">
        <v>1016</v>
      </c>
      <c r="AE541" s="26">
        <f t="shared" si="153"/>
        <v>700.6</v>
      </c>
      <c r="AF541" s="26">
        <f t="shared" si="153"/>
        <v>644</v>
      </c>
      <c r="AG541" s="26"/>
      <c r="AH541" s="26"/>
      <c r="AI541" s="26"/>
      <c r="AJ541" s="26"/>
      <c r="AK541" s="26"/>
      <c r="AL541" s="26"/>
      <c r="AM541" s="26">
        <f>124+166.6+262+8+140</f>
        <v>700.6</v>
      </c>
      <c r="AN541" s="26">
        <v>644</v>
      </c>
      <c r="AO541" s="26">
        <f>AP541+AQ541+AR541+AS541</f>
        <v>854.6</v>
      </c>
      <c r="AP541" s="26"/>
      <c r="AQ541" s="26"/>
      <c r="AR541" s="26"/>
      <c r="AS541" s="26">
        <f>145.8+20+7+12.8+669</f>
        <v>854.6</v>
      </c>
      <c r="AT541" s="26">
        <f>AU541+AV541+AW541+AX541</f>
        <v>145.80000000000001</v>
      </c>
      <c r="AU541" s="26"/>
      <c r="AV541" s="26"/>
      <c r="AW541" s="26"/>
      <c r="AX541" s="26">
        <v>145.80000000000001</v>
      </c>
      <c r="AY541" s="26">
        <f>AZ541+BA541+BB541+BC541</f>
        <v>145.80000000000001</v>
      </c>
      <c r="AZ541" s="26"/>
      <c r="BA541" s="26"/>
      <c r="BB541" s="26"/>
      <c r="BC541" s="26">
        <v>145.80000000000001</v>
      </c>
      <c r="BD541" s="26">
        <f>BE541+BF541+BG541+BH541</f>
        <v>145.80000000000001</v>
      </c>
      <c r="BE541" s="26"/>
      <c r="BF541" s="26"/>
      <c r="BG541" s="26"/>
      <c r="BH541" s="26">
        <v>145.80000000000001</v>
      </c>
    </row>
    <row r="542" spans="1:60" ht="35.65" customHeight="1" thickBot="1">
      <c r="A542" s="85" t="s">
        <v>57</v>
      </c>
      <c r="B542" s="28"/>
      <c r="C542" s="400"/>
      <c r="D542" s="353"/>
      <c r="E542" s="376"/>
      <c r="F542" s="26"/>
      <c r="G542" s="26"/>
      <c r="H542" s="26"/>
      <c r="I542" s="26"/>
      <c r="J542" s="87" t="s">
        <v>378</v>
      </c>
      <c r="K542" s="26"/>
      <c r="L542" s="26"/>
      <c r="M542" s="26"/>
      <c r="N542" s="26"/>
      <c r="O542" s="26"/>
      <c r="P542" s="26"/>
      <c r="Q542" s="26"/>
      <c r="R542" s="26"/>
      <c r="S542" s="26"/>
      <c r="T542" s="26"/>
      <c r="U542" s="26"/>
      <c r="V542" s="26"/>
      <c r="W542" s="52" t="s">
        <v>380</v>
      </c>
      <c r="X542" s="26"/>
      <c r="Y542" s="26"/>
      <c r="Z542" s="26"/>
      <c r="AA542" s="26"/>
      <c r="AB542" s="26"/>
      <c r="AC542" s="26"/>
      <c r="AD542" s="52" t="s">
        <v>1017</v>
      </c>
      <c r="AE542" s="26">
        <f t="shared" si="153"/>
        <v>1694.1999999999998</v>
      </c>
      <c r="AF542" s="26">
        <f t="shared" si="153"/>
        <v>1679.2</v>
      </c>
      <c r="AG542" s="26"/>
      <c r="AH542" s="26"/>
      <c r="AI542" s="26">
        <v>128.69999999999999</v>
      </c>
      <c r="AJ542" s="26">
        <v>128.69999999999999</v>
      </c>
      <c r="AK542" s="26"/>
      <c r="AL542" s="26"/>
      <c r="AM542" s="26">
        <f>1471.2+40.1+71.6+17.1+74.2+20-128.7</f>
        <v>1565.4999999999998</v>
      </c>
      <c r="AN542" s="26">
        <f>1679.2-128.7</f>
        <v>1550.5</v>
      </c>
      <c r="AO542" s="26">
        <f>AP542+AQ542+AR542+AS542</f>
        <v>1906.2</v>
      </c>
      <c r="AP542" s="26"/>
      <c r="AQ542" s="26">
        <v>61.3</v>
      </c>
      <c r="AR542" s="26"/>
      <c r="AS542" s="26">
        <f>1742.2+61.3-61.3+15.5+43.2+44</f>
        <v>1844.9</v>
      </c>
      <c r="AT542" s="26">
        <f>AU542+AV542+AW542+AX542</f>
        <v>1742.2</v>
      </c>
      <c r="AU542" s="26"/>
      <c r="AV542" s="26"/>
      <c r="AW542" s="26"/>
      <c r="AX542" s="26">
        <v>1742.2</v>
      </c>
      <c r="AY542" s="26">
        <f>AZ542+BA542+BB542+BC542</f>
        <v>1742.2</v>
      </c>
      <c r="AZ542" s="26"/>
      <c r="BA542" s="26"/>
      <c r="BB542" s="26"/>
      <c r="BC542" s="26">
        <v>1742.2</v>
      </c>
      <c r="BD542" s="26">
        <f>BE542+BF542+BG542+BH542</f>
        <v>1742.2</v>
      </c>
      <c r="BE542" s="26"/>
      <c r="BF542" s="26"/>
      <c r="BG542" s="26"/>
      <c r="BH542" s="26">
        <v>1742.2</v>
      </c>
    </row>
    <row r="543" spans="1:60" ht="35.65" customHeight="1" thickBot="1">
      <c r="A543" s="85" t="s">
        <v>57</v>
      </c>
      <c r="B543" s="86"/>
      <c r="C543" s="77"/>
      <c r="D543" s="18"/>
      <c r="E543" s="36"/>
      <c r="F543" s="26"/>
      <c r="G543" s="26"/>
      <c r="H543" s="26"/>
      <c r="I543" s="26"/>
      <c r="J543" s="87"/>
      <c r="K543" s="26"/>
      <c r="L543" s="26"/>
      <c r="M543" s="26"/>
      <c r="N543" s="26"/>
      <c r="O543" s="26"/>
      <c r="P543" s="26"/>
      <c r="Q543" s="26"/>
      <c r="R543" s="26"/>
      <c r="S543" s="26"/>
      <c r="T543" s="26"/>
      <c r="U543" s="26"/>
      <c r="V543" s="26"/>
      <c r="W543" s="52"/>
      <c r="X543" s="26"/>
      <c r="Y543" s="26"/>
      <c r="Z543" s="26"/>
      <c r="AA543" s="26"/>
      <c r="AB543" s="26"/>
      <c r="AC543" s="26"/>
      <c r="AD543" s="195" t="s">
        <v>1018</v>
      </c>
      <c r="AE543" s="26">
        <f t="shared" si="153"/>
        <v>0</v>
      </c>
      <c r="AF543" s="26">
        <f t="shared" si="153"/>
        <v>0</v>
      </c>
      <c r="AG543" s="26"/>
      <c r="AH543" s="26"/>
      <c r="AI543" s="26"/>
      <c r="AJ543" s="26"/>
      <c r="AK543" s="26"/>
      <c r="AL543" s="26"/>
      <c r="AM543" s="26"/>
      <c r="AN543" s="26"/>
      <c r="AO543" s="26"/>
      <c r="AP543" s="26"/>
      <c r="AQ543" s="26"/>
      <c r="AR543" s="26"/>
      <c r="AS543" s="26"/>
      <c r="AT543" s="26"/>
      <c r="AU543" s="26"/>
      <c r="AV543" s="26"/>
      <c r="AW543" s="26"/>
      <c r="AX543" s="26"/>
      <c r="AY543" s="26"/>
      <c r="AZ543" s="26"/>
      <c r="BA543" s="26"/>
      <c r="BB543" s="26"/>
      <c r="BC543" s="26"/>
      <c r="BD543" s="26"/>
      <c r="BE543" s="26"/>
      <c r="BF543" s="26"/>
      <c r="BG543" s="26"/>
      <c r="BH543" s="26"/>
    </row>
    <row r="544" spans="1:60" ht="35.65" customHeight="1">
      <c r="A544" s="172" t="s">
        <v>57</v>
      </c>
      <c r="B544" s="86"/>
      <c r="C544" s="25"/>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195" t="s">
        <v>1019</v>
      </c>
      <c r="AE544" s="26">
        <f t="shared" si="153"/>
        <v>0</v>
      </c>
      <c r="AF544" s="26">
        <f t="shared" si="153"/>
        <v>0</v>
      </c>
      <c r="AG544" s="26"/>
      <c r="AH544" s="26"/>
      <c r="AI544" s="26"/>
      <c r="AJ544" s="26"/>
      <c r="AK544" s="26"/>
      <c r="AL544" s="26"/>
      <c r="AM544" s="26"/>
      <c r="AN544" s="26"/>
      <c r="AO544" s="26"/>
      <c r="AP544" s="26"/>
      <c r="AQ544" s="26"/>
      <c r="AR544" s="26"/>
      <c r="AS544" s="26"/>
      <c r="AT544" s="26"/>
      <c r="AU544" s="26"/>
      <c r="AV544" s="26"/>
      <c r="AW544" s="26"/>
      <c r="AX544" s="26"/>
      <c r="AY544" s="26"/>
      <c r="AZ544" s="26"/>
      <c r="BA544" s="26"/>
      <c r="BB544" s="26"/>
      <c r="BC544" s="26"/>
      <c r="BD544" s="26"/>
      <c r="BE544" s="26"/>
      <c r="BF544" s="26"/>
      <c r="BG544" s="26"/>
      <c r="BH544" s="26"/>
    </row>
    <row r="545" spans="1:60" ht="35.65" customHeight="1">
      <c r="A545" s="173" t="s">
        <v>57</v>
      </c>
      <c r="B545" s="174">
        <v>3504</v>
      </c>
      <c r="C545" s="25"/>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195" t="s">
        <v>1020</v>
      </c>
      <c r="AE545" s="26">
        <f t="shared" si="153"/>
        <v>0</v>
      </c>
      <c r="AF545" s="26">
        <f t="shared" si="153"/>
        <v>0</v>
      </c>
      <c r="AG545" s="26"/>
      <c r="AH545" s="26"/>
      <c r="AI545" s="26"/>
      <c r="AJ545" s="26"/>
      <c r="AK545" s="26"/>
      <c r="AL545" s="26"/>
      <c r="AM545" s="26"/>
      <c r="AN545" s="26"/>
      <c r="AO545" s="26"/>
      <c r="AP545" s="26"/>
      <c r="AQ545" s="26"/>
      <c r="AR545" s="26"/>
      <c r="AS545" s="26"/>
      <c r="AT545" s="26"/>
      <c r="AU545" s="26"/>
      <c r="AV545" s="26"/>
      <c r="AW545" s="26"/>
      <c r="AX545" s="26"/>
      <c r="AY545" s="26"/>
      <c r="AZ545" s="26"/>
      <c r="BA545" s="26"/>
      <c r="BB545" s="26"/>
      <c r="BC545" s="26"/>
      <c r="BD545" s="26"/>
      <c r="BE545" s="26"/>
      <c r="BF545" s="26"/>
      <c r="BG545" s="26"/>
      <c r="BH545" s="26"/>
    </row>
    <row r="546" spans="1:60" ht="35.65" customHeight="1" thickBot="1">
      <c r="A546" s="85" t="s">
        <v>217</v>
      </c>
      <c r="B546" s="86"/>
      <c r="C546" s="43" t="s">
        <v>181</v>
      </c>
      <c r="D546" s="43" t="s">
        <v>153</v>
      </c>
      <c r="E546" s="43" t="s">
        <v>182</v>
      </c>
      <c r="F546" s="26"/>
      <c r="G546" s="26"/>
      <c r="H546" s="26"/>
      <c r="I546" s="26"/>
      <c r="J546" s="43" t="s">
        <v>183</v>
      </c>
      <c r="K546" s="43" t="s">
        <v>109</v>
      </c>
      <c r="L546" s="43" t="s">
        <v>125</v>
      </c>
      <c r="M546" s="98" t="s">
        <v>381</v>
      </c>
      <c r="N546" s="43" t="s">
        <v>112</v>
      </c>
      <c r="O546" s="26"/>
      <c r="P546" s="26"/>
      <c r="Q546" s="26"/>
      <c r="R546" s="26"/>
      <c r="S546" s="26"/>
      <c r="T546" s="43"/>
      <c r="U546" s="43"/>
      <c r="V546" s="134"/>
      <c r="W546" s="98" t="s">
        <v>382</v>
      </c>
      <c r="X546" s="43" t="s">
        <v>112</v>
      </c>
      <c r="Y546" s="134"/>
      <c r="Z546" s="98" t="s">
        <v>382</v>
      </c>
      <c r="AA546" s="43" t="s">
        <v>112</v>
      </c>
      <c r="AB546" s="26"/>
      <c r="AC546" s="26"/>
      <c r="AD546" s="52" t="s">
        <v>1021</v>
      </c>
      <c r="AE546" s="26">
        <f t="shared" si="153"/>
        <v>668.6</v>
      </c>
      <c r="AF546" s="26">
        <f t="shared" si="153"/>
        <v>660.8</v>
      </c>
      <c r="AG546" s="26"/>
      <c r="AH546" s="26"/>
      <c r="AI546" s="26"/>
      <c r="AJ546" s="26"/>
      <c r="AK546" s="26"/>
      <c r="AL546" s="26"/>
      <c r="AM546" s="26">
        <f>580.6+40+48</f>
        <v>668.6</v>
      </c>
      <c r="AN546" s="26">
        <v>660.8</v>
      </c>
      <c r="AO546" s="26">
        <f>AP546+AQ546+AR546+AS546</f>
        <v>553.20000000000005</v>
      </c>
      <c r="AP546" s="26"/>
      <c r="AQ546" s="26"/>
      <c r="AR546" s="26"/>
      <c r="AS546" s="26">
        <f>505.7-30+30+47.5</f>
        <v>553.20000000000005</v>
      </c>
      <c r="AT546" s="26">
        <f>AU546+AV546+AW546+AX546</f>
        <v>505.7</v>
      </c>
      <c r="AU546" s="26"/>
      <c r="AV546" s="26"/>
      <c r="AW546" s="26"/>
      <c r="AX546" s="26">
        <v>505.7</v>
      </c>
      <c r="AY546" s="26">
        <f>AZ546+BA546+BB546+BC546</f>
        <v>505.7</v>
      </c>
      <c r="AZ546" s="26"/>
      <c r="BA546" s="26"/>
      <c r="BB546" s="26"/>
      <c r="BC546" s="26">
        <v>505.7</v>
      </c>
      <c r="BD546" s="26">
        <f>BE546+BF546+BG546+BH546</f>
        <v>505.7</v>
      </c>
      <c r="BE546" s="26"/>
      <c r="BF546" s="26"/>
      <c r="BG546" s="26"/>
      <c r="BH546" s="26">
        <v>505.7</v>
      </c>
    </row>
    <row r="547" spans="1:60" ht="35.65" customHeight="1" thickBot="1">
      <c r="A547" s="85" t="s">
        <v>217</v>
      </c>
      <c r="B547" s="86"/>
      <c r="C547" s="43" t="s">
        <v>181</v>
      </c>
      <c r="D547" s="43" t="s">
        <v>153</v>
      </c>
      <c r="E547" s="43" t="s">
        <v>182</v>
      </c>
      <c r="F547" s="26"/>
      <c r="G547" s="26"/>
      <c r="H547" s="26"/>
      <c r="I547" s="26"/>
      <c r="J547" s="43" t="s">
        <v>183</v>
      </c>
      <c r="K547" s="43" t="s">
        <v>109</v>
      </c>
      <c r="L547" s="43" t="s">
        <v>125</v>
      </c>
      <c r="M547" s="98" t="s">
        <v>381</v>
      </c>
      <c r="N547" s="43" t="s">
        <v>112</v>
      </c>
      <c r="O547" s="26"/>
      <c r="P547" s="26"/>
      <c r="Q547" s="26"/>
      <c r="R547" s="26"/>
      <c r="S547" s="26"/>
      <c r="T547" s="43"/>
      <c r="U547" s="43"/>
      <c r="V547" s="43"/>
      <c r="W547" s="98" t="s">
        <v>383</v>
      </c>
      <c r="X547" s="43" t="s">
        <v>112</v>
      </c>
      <c r="Y547" s="43"/>
      <c r="Z547" s="98" t="s">
        <v>383</v>
      </c>
      <c r="AA547" s="43" t="s">
        <v>112</v>
      </c>
      <c r="AB547" s="26"/>
      <c r="AC547" s="26"/>
      <c r="AD547" s="52" t="s">
        <v>1022</v>
      </c>
      <c r="AE547" s="26">
        <f t="shared" si="153"/>
        <v>515.30000000000007</v>
      </c>
      <c r="AF547" s="26">
        <f t="shared" si="153"/>
        <v>514.1</v>
      </c>
      <c r="AG547" s="26"/>
      <c r="AH547" s="26"/>
      <c r="AI547" s="26">
        <v>31.9</v>
      </c>
      <c r="AJ547" s="26">
        <v>31.9</v>
      </c>
      <c r="AK547" s="26"/>
      <c r="AL547" s="26"/>
      <c r="AM547" s="26">
        <f>757+31.9-9.3-13.4-250.9-31.9</f>
        <v>483.40000000000009</v>
      </c>
      <c r="AN547" s="26">
        <f>514.1-31.9</f>
        <v>482.20000000000005</v>
      </c>
      <c r="AO547" s="26">
        <f>AP547+AQ547+AR547+AS547</f>
        <v>795.89999999999986</v>
      </c>
      <c r="AP547" s="26"/>
      <c r="AQ547" s="26"/>
      <c r="AR547" s="26"/>
      <c r="AS547" s="26">
        <f>809.3-0.2+0.8+7+19+7+30-30-36-11</f>
        <v>795.89999999999986</v>
      </c>
      <c r="AT547" s="26">
        <f>AU547+AV547+AW547+AX547</f>
        <v>809.3</v>
      </c>
      <c r="AU547" s="26"/>
      <c r="AV547" s="26"/>
      <c r="AW547" s="26"/>
      <c r="AX547" s="26">
        <v>809.3</v>
      </c>
      <c r="AY547" s="26">
        <f>AZ547+BA547+BB547+BC547</f>
        <v>809.3</v>
      </c>
      <c r="AZ547" s="26"/>
      <c r="BA547" s="26"/>
      <c r="BB547" s="26"/>
      <c r="BC547" s="26">
        <v>809.3</v>
      </c>
      <c r="BD547" s="26">
        <f>BE547+BF547+BG547+BH547</f>
        <v>809.3</v>
      </c>
      <c r="BE547" s="26"/>
      <c r="BF547" s="26"/>
      <c r="BG547" s="26"/>
      <c r="BH547" s="26">
        <v>809.3</v>
      </c>
    </row>
    <row r="548" spans="1:60" ht="35.65" customHeight="1" thickBot="1">
      <c r="A548" s="85" t="s">
        <v>217</v>
      </c>
      <c r="B548" s="86"/>
      <c r="C548" s="43" t="s">
        <v>105</v>
      </c>
      <c r="D548" s="43" t="s">
        <v>106</v>
      </c>
      <c r="E548" s="43" t="s">
        <v>107</v>
      </c>
      <c r="F548" s="26"/>
      <c r="G548" s="26"/>
      <c r="H548" s="26"/>
      <c r="I548" s="26"/>
      <c r="J548" s="43" t="s">
        <v>211</v>
      </c>
      <c r="K548" s="43" t="s">
        <v>212</v>
      </c>
      <c r="L548" s="43" t="s">
        <v>213</v>
      </c>
      <c r="M548" s="98"/>
      <c r="N548" s="43"/>
      <c r="O548" s="26"/>
      <c r="P548" s="26"/>
      <c r="Q548" s="26"/>
      <c r="R548" s="26"/>
      <c r="S548" s="26"/>
      <c r="T548" s="43"/>
      <c r="U548" s="43"/>
      <c r="V548" s="43"/>
      <c r="W548" s="43" t="s">
        <v>192</v>
      </c>
      <c r="X548" s="43" t="s">
        <v>112</v>
      </c>
      <c r="Y548" s="43"/>
      <c r="Z548" s="43" t="s">
        <v>384</v>
      </c>
      <c r="AA548" s="43" t="s">
        <v>112</v>
      </c>
      <c r="AB548" s="26"/>
      <c r="AC548" s="26"/>
      <c r="AD548" s="52" t="s">
        <v>1023</v>
      </c>
      <c r="AE548" s="26">
        <f t="shared" si="153"/>
        <v>94.399999999999991</v>
      </c>
      <c r="AF548" s="26">
        <f t="shared" si="153"/>
        <v>93.4</v>
      </c>
      <c r="AG548" s="26"/>
      <c r="AH548" s="26"/>
      <c r="AI548" s="26">
        <v>15.5</v>
      </c>
      <c r="AJ548" s="26">
        <v>15.5</v>
      </c>
      <c r="AK548" s="26"/>
      <c r="AL548" s="26"/>
      <c r="AM548" s="26">
        <f>82.6+8.3+3.5-15.5</f>
        <v>78.899999999999991</v>
      </c>
      <c r="AN548" s="26">
        <f>93.4-15.5</f>
        <v>77.900000000000006</v>
      </c>
      <c r="AO548" s="26">
        <f>AP548+AQ548+AR548+AS548</f>
        <v>101.6</v>
      </c>
      <c r="AP548" s="26"/>
      <c r="AQ548" s="26"/>
      <c r="AR548" s="26"/>
      <c r="AS548" s="26">
        <f>89.9-7+10.1+4.6+4</f>
        <v>101.6</v>
      </c>
      <c r="AT548" s="26">
        <f>AU548+AV548+AW548+AX548</f>
        <v>89.9</v>
      </c>
      <c r="AU548" s="26"/>
      <c r="AV548" s="26"/>
      <c r="AW548" s="26"/>
      <c r="AX548" s="26">
        <v>89.9</v>
      </c>
      <c r="AY548" s="26">
        <f>AZ548+BA548+BB548+BC548</f>
        <v>89.9</v>
      </c>
      <c r="AZ548" s="26"/>
      <c r="BA548" s="26"/>
      <c r="BB548" s="26"/>
      <c r="BC548" s="26">
        <v>89.9</v>
      </c>
      <c r="BD548" s="26">
        <f>BE548+BF548+BG548+BH548</f>
        <v>89.9</v>
      </c>
      <c r="BE548" s="26"/>
      <c r="BF548" s="26"/>
      <c r="BG548" s="26"/>
      <c r="BH548" s="26">
        <v>89.9</v>
      </c>
    </row>
    <row r="549" spans="1:60" ht="35.65" customHeight="1" thickBot="1">
      <c r="A549" s="85" t="s">
        <v>217</v>
      </c>
      <c r="B549" s="86"/>
      <c r="C549" s="43" t="s">
        <v>181</v>
      </c>
      <c r="D549" s="43" t="s">
        <v>153</v>
      </c>
      <c r="E549" s="43" t="s">
        <v>182</v>
      </c>
      <c r="F549" s="26"/>
      <c r="G549" s="26"/>
      <c r="H549" s="26"/>
      <c r="I549" s="26"/>
      <c r="J549" s="43" t="s">
        <v>183</v>
      </c>
      <c r="K549" s="43" t="s">
        <v>109</v>
      </c>
      <c r="L549" s="43" t="s">
        <v>125</v>
      </c>
      <c r="M549" s="43"/>
      <c r="N549" s="43"/>
      <c r="O549" s="26"/>
      <c r="P549" s="26"/>
      <c r="Q549" s="26"/>
      <c r="R549" s="26"/>
      <c r="S549" s="26"/>
      <c r="T549" s="43"/>
      <c r="U549" s="43"/>
      <c r="V549" s="43"/>
      <c r="W549" s="43" t="s">
        <v>382</v>
      </c>
      <c r="X549" s="43" t="s">
        <v>112</v>
      </c>
      <c r="Y549" s="43"/>
      <c r="Z549" s="43" t="s">
        <v>382</v>
      </c>
      <c r="AA549" s="43" t="s">
        <v>112</v>
      </c>
      <c r="AB549" s="26"/>
      <c r="AC549" s="26"/>
      <c r="AD549" s="52" t="s">
        <v>1024</v>
      </c>
      <c r="AE549" s="26">
        <f t="shared" si="153"/>
        <v>0</v>
      </c>
      <c r="AF549" s="26">
        <f t="shared" si="153"/>
        <v>0</v>
      </c>
      <c r="AG549" s="26"/>
      <c r="AH549" s="26"/>
      <c r="AI549" s="26"/>
      <c r="AJ549" s="26"/>
      <c r="AK549" s="26"/>
      <c r="AL549" s="26"/>
      <c r="AM549" s="26"/>
      <c r="AN549" s="26"/>
      <c r="AO549" s="26">
        <f>AP549+AQ549+AR549+AS549</f>
        <v>0</v>
      </c>
      <c r="AP549" s="26"/>
      <c r="AQ549" s="26"/>
      <c r="AR549" s="26"/>
      <c r="AS549" s="26"/>
      <c r="AT549" s="26">
        <f>AU549+AV549+AW549+AX549</f>
        <v>0</v>
      </c>
      <c r="AU549" s="26"/>
      <c r="AV549" s="26"/>
      <c r="AW549" s="26"/>
      <c r="AX549" s="26"/>
      <c r="AY549" s="26">
        <f>AZ549+BA549+BB549+BC549</f>
        <v>0</v>
      </c>
      <c r="AZ549" s="26"/>
      <c r="BA549" s="26"/>
      <c r="BB549" s="26"/>
      <c r="BC549" s="26"/>
      <c r="BD549" s="26">
        <f>BE549+BF549+BG549+BH549</f>
        <v>0</v>
      </c>
      <c r="BE549" s="26"/>
      <c r="BF549" s="26"/>
      <c r="BG549" s="26"/>
      <c r="BH549" s="26"/>
    </row>
    <row r="550" spans="1:60" ht="35.65" customHeight="1" thickBot="1">
      <c r="A550" s="85" t="s">
        <v>249</v>
      </c>
      <c r="B550" s="86"/>
      <c r="C550" s="20" t="s">
        <v>181</v>
      </c>
      <c r="D550" s="20" t="s">
        <v>153</v>
      </c>
      <c r="E550" s="20" t="s">
        <v>182</v>
      </c>
      <c r="F550" s="20"/>
      <c r="G550" s="20"/>
      <c r="H550" s="20"/>
      <c r="I550" s="20"/>
      <c r="J550" s="20" t="s">
        <v>183</v>
      </c>
      <c r="K550" s="20" t="s">
        <v>109</v>
      </c>
      <c r="L550" s="20" t="s">
        <v>125</v>
      </c>
      <c r="M550" s="87" t="s">
        <v>381</v>
      </c>
      <c r="N550" s="20" t="s">
        <v>112</v>
      </c>
      <c r="O550" s="20"/>
      <c r="P550" s="20"/>
      <c r="Q550" s="20"/>
      <c r="R550" s="20"/>
      <c r="S550" s="20"/>
      <c r="T550" s="20"/>
      <c r="U550" s="20"/>
      <c r="V550" s="10"/>
      <c r="W550" s="175" t="s">
        <v>385</v>
      </c>
      <c r="X550" s="20" t="s">
        <v>112</v>
      </c>
      <c r="Y550" s="10"/>
      <c r="Z550" s="175" t="s">
        <v>385</v>
      </c>
      <c r="AA550" s="20" t="s">
        <v>112</v>
      </c>
      <c r="AB550" s="20"/>
      <c r="AC550" s="26"/>
      <c r="AD550" s="52" t="s">
        <v>1025</v>
      </c>
      <c r="AE550" s="26">
        <f t="shared" si="153"/>
        <v>733</v>
      </c>
      <c r="AF550" s="26">
        <f>AH550+AJ550+AL550+AN550</f>
        <v>730.2</v>
      </c>
      <c r="AG550" s="26"/>
      <c r="AH550" s="26"/>
      <c r="AI550" s="26">
        <v>30.6</v>
      </c>
      <c r="AJ550" s="26">
        <v>30.6</v>
      </c>
      <c r="AK550" s="26"/>
      <c r="AL550" s="26"/>
      <c r="AM550" s="26">
        <f>719.4+30.6-17-30.6</f>
        <v>702.4</v>
      </c>
      <c r="AN550" s="26">
        <f>730.2-30.6</f>
        <v>699.6</v>
      </c>
      <c r="AO550" s="26">
        <f>AP550+AQ550+AR550+AS550</f>
        <v>757.5</v>
      </c>
      <c r="AP550" s="26"/>
      <c r="AQ550" s="26"/>
      <c r="AR550" s="26"/>
      <c r="AS550" s="26">
        <f>771.5+26-40</f>
        <v>757.5</v>
      </c>
      <c r="AT550" s="26">
        <f>AU550+AV550+AW550+AX550</f>
        <v>771.5</v>
      </c>
      <c r="AU550" s="26"/>
      <c r="AV550" s="26"/>
      <c r="AW550" s="26"/>
      <c r="AX550" s="26">
        <v>771.5</v>
      </c>
      <c r="AY550" s="26">
        <f>AZ550+BA550+BB550+BC550</f>
        <v>771.5</v>
      </c>
      <c r="AZ550" s="26"/>
      <c r="BA550" s="26"/>
      <c r="BB550" s="26"/>
      <c r="BC550" s="26">
        <v>771.5</v>
      </c>
      <c r="BD550" s="26">
        <f>BE550+BF550+BG550+BH550</f>
        <v>771.5</v>
      </c>
      <c r="BE550" s="26"/>
      <c r="BF550" s="26"/>
      <c r="BG550" s="26"/>
      <c r="BH550" s="26">
        <v>771.5</v>
      </c>
    </row>
    <row r="551" spans="1:60" ht="35.65" customHeight="1" thickBot="1">
      <c r="A551" s="85" t="s">
        <v>249</v>
      </c>
      <c r="B551" s="86"/>
      <c r="C551" s="20" t="s">
        <v>181</v>
      </c>
      <c r="D551" s="20" t="s">
        <v>153</v>
      </c>
      <c r="E551" s="20" t="s">
        <v>182</v>
      </c>
      <c r="F551" s="20"/>
      <c r="G551" s="20"/>
      <c r="H551" s="20"/>
      <c r="I551" s="20"/>
      <c r="J551" s="20" t="s">
        <v>183</v>
      </c>
      <c r="K551" s="20" t="s">
        <v>109</v>
      </c>
      <c r="L551" s="20" t="s">
        <v>125</v>
      </c>
      <c r="M551" s="175" t="s">
        <v>381</v>
      </c>
      <c r="N551" s="20" t="s">
        <v>112</v>
      </c>
      <c r="O551" s="20"/>
      <c r="P551" s="20"/>
      <c r="Q551" s="20"/>
      <c r="R551" s="20"/>
      <c r="S551" s="20"/>
      <c r="T551" s="20"/>
      <c r="U551" s="20"/>
      <c r="V551" s="10"/>
      <c r="W551" s="391" t="s">
        <v>385</v>
      </c>
      <c r="X551" s="20" t="s">
        <v>112</v>
      </c>
      <c r="Y551" s="176"/>
      <c r="Z551" s="391" t="s">
        <v>385</v>
      </c>
      <c r="AA551" s="20" t="s">
        <v>112</v>
      </c>
      <c r="AC551" s="26"/>
      <c r="AD551" s="52" t="s">
        <v>1026</v>
      </c>
      <c r="AE551" s="26">
        <f t="shared" si="153"/>
        <v>0</v>
      </c>
      <c r="AF551" s="26">
        <f t="shared" si="153"/>
        <v>0</v>
      </c>
      <c r="AG551" s="26"/>
      <c r="AH551" s="26"/>
      <c r="AI551" s="26"/>
      <c r="AJ551" s="26"/>
      <c r="AK551" s="26"/>
      <c r="AL551" s="26"/>
      <c r="AM551" s="26"/>
      <c r="AN551" s="26"/>
      <c r="AO551" s="26"/>
      <c r="AP551" s="26"/>
      <c r="AQ551" s="26"/>
      <c r="AR551" s="26"/>
      <c r="AS551" s="26"/>
      <c r="AT551" s="26"/>
      <c r="AU551" s="26"/>
      <c r="AV551" s="26"/>
      <c r="AW551" s="26"/>
      <c r="AX551" s="26"/>
      <c r="AY551" s="26"/>
      <c r="AZ551" s="26"/>
      <c r="BA551" s="26"/>
      <c r="BB551" s="26"/>
      <c r="BC551" s="26"/>
      <c r="BD551" s="26"/>
      <c r="BE551" s="26"/>
      <c r="BF551" s="26"/>
      <c r="BG551" s="26"/>
      <c r="BH551" s="26"/>
    </row>
    <row r="552" spans="1:60" ht="35.65" customHeight="1" thickBot="1">
      <c r="A552" s="85" t="s">
        <v>249</v>
      </c>
      <c r="B552" s="86"/>
      <c r="C552" s="20" t="s">
        <v>181</v>
      </c>
      <c r="D552" s="20" t="s">
        <v>153</v>
      </c>
      <c r="E552" s="20" t="s">
        <v>182</v>
      </c>
      <c r="F552" s="20"/>
      <c r="G552" s="20"/>
      <c r="H552" s="20"/>
      <c r="I552" s="20"/>
      <c r="J552" s="20" t="s">
        <v>183</v>
      </c>
      <c r="K552" s="20" t="s">
        <v>109</v>
      </c>
      <c r="L552" s="20" t="s">
        <v>125</v>
      </c>
      <c r="M552" s="175" t="s">
        <v>381</v>
      </c>
      <c r="N552" s="20" t="s">
        <v>112</v>
      </c>
      <c r="O552" s="20"/>
      <c r="P552" s="20"/>
      <c r="Q552" s="20"/>
      <c r="R552" s="20"/>
      <c r="S552" s="20"/>
      <c r="T552" s="20"/>
      <c r="U552" s="20"/>
      <c r="V552" s="10"/>
      <c r="W552" s="392"/>
      <c r="X552" s="20" t="s">
        <v>112</v>
      </c>
      <c r="Y552" s="10"/>
      <c r="Z552" s="392"/>
      <c r="AA552" s="20" t="s">
        <v>112</v>
      </c>
      <c r="AB552" s="20"/>
      <c r="AC552" s="26"/>
      <c r="AD552" s="52" t="s">
        <v>1027</v>
      </c>
      <c r="AE552" s="26">
        <f t="shared" si="153"/>
        <v>64</v>
      </c>
      <c r="AF552" s="26">
        <f t="shared" si="153"/>
        <v>54</v>
      </c>
      <c r="AG552" s="26"/>
      <c r="AH552" s="26"/>
      <c r="AI552" s="26"/>
      <c r="AJ552" s="26"/>
      <c r="AK552" s="26"/>
      <c r="AL552" s="26"/>
      <c r="AM552" s="26">
        <v>64</v>
      </c>
      <c r="AN552" s="26">
        <v>54</v>
      </c>
      <c r="AO552" s="26">
        <f>AP552+AQ552+AR552+AS552</f>
        <v>104.5</v>
      </c>
      <c r="AP552" s="26"/>
      <c r="AQ552" s="26"/>
      <c r="AR552" s="26"/>
      <c r="AS552" s="26">
        <v>104.5</v>
      </c>
      <c r="AT552" s="26">
        <f>AU552+AV552+AW552+AX552</f>
        <v>104.5</v>
      </c>
      <c r="AU552" s="26"/>
      <c r="AV552" s="26"/>
      <c r="AW552" s="26"/>
      <c r="AX552" s="26">
        <v>104.5</v>
      </c>
      <c r="AY552" s="26">
        <f>AZ552+BA552+BB552+BC552</f>
        <v>104.5</v>
      </c>
      <c r="AZ552" s="26"/>
      <c r="BA552" s="26"/>
      <c r="BB552" s="26"/>
      <c r="BC552" s="26">
        <v>104.5</v>
      </c>
      <c r="BD552" s="26">
        <f>BE552+BF552+BG552+BH552</f>
        <v>104.5</v>
      </c>
      <c r="BE552" s="26"/>
      <c r="BF552" s="26"/>
      <c r="BG552" s="26"/>
      <c r="BH552" s="26">
        <v>104.5</v>
      </c>
    </row>
    <row r="553" spans="1:60" ht="35.65" customHeight="1">
      <c r="A553" s="177" t="s">
        <v>386</v>
      </c>
      <c r="B553" s="86"/>
      <c r="C553" s="20"/>
      <c r="D553" s="20"/>
      <c r="E553" s="20"/>
      <c r="F553" s="20"/>
      <c r="G553" s="20"/>
      <c r="H553" s="20"/>
      <c r="I553" s="20"/>
      <c r="J553" s="20"/>
      <c r="K553" s="20"/>
      <c r="L553" s="20"/>
      <c r="M553" s="175"/>
      <c r="N553" s="20"/>
      <c r="O553" s="20"/>
      <c r="P553" s="20"/>
      <c r="Q553" s="20"/>
      <c r="R553" s="20"/>
      <c r="S553" s="20"/>
      <c r="T553" s="20"/>
      <c r="U553" s="20"/>
      <c r="V553" s="10"/>
      <c r="W553" s="178"/>
      <c r="X553" s="20"/>
      <c r="Y553" s="10"/>
      <c r="Z553" s="178"/>
      <c r="AA553" s="20"/>
      <c r="AB553" s="20"/>
      <c r="AC553" s="26"/>
      <c r="AD553" s="52" t="s">
        <v>1028</v>
      </c>
      <c r="AE553" s="26">
        <f t="shared" si="153"/>
        <v>60.8</v>
      </c>
      <c r="AF553" s="26">
        <f t="shared" si="153"/>
        <v>60.8</v>
      </c>
      <c r="AG553" s="26"/>
      <c r="AH553" s="26"/>
      <c r="AI553" s="26"/>
      <c r="AJ553" s="26"/>
      <c r="AK553" s="26"/>
      <c r="AL553" s="26"/>
      <c r="AM553" s="26">
        <v>60.8</v>
      </c>
      <c r="AN553" s="26">
        <v>60.8</v>
      </c>
      <c r="AO553" s="26">
        <f>AP553+AQ553+AR553+AS553</f>
        <v>487.70000000000005</v>
      </c>
      <c r="AP553" s="26"/>
      <c r="AQ553" s="26"/>
      <c r="AR553" s="26"/>
      <c r="AS553" s="26">
        <f>678.7-34+13-170</f>
        <v>487.70000000000005</v>
      </c>
      <c r="AT553" s="26">
        <f>AU553+AV553+AW553+AX553</f>
        <v>678.7</v>
      </c>
      <c r="AU553" s="26"/>
      <c r="AV553" s="26"/>
      <c r="AW553" s="26"/>
      <c r="AX553" s="26">
        <v>678.7</v>
      </c>
      <c r="AY553" s="26">
        <f>AZ553+BA553+BB553+BC553</f>
        <v>678.7</v>
      </c>
      <c r="AZ553" s="26"/>
      <c r="BA553" s="26"/>
      <c r="BB553" s="26"/>
      <c r="BC553" s="26">
        <v>678.7</v>
      </c>
      <c r="BD553" s="26">
        <f>BE553+BF553+BG553+BH553</f>
        <v>678.7</v>
      </c>
      <c r="BE553" s="26"/>
      <c r="BF553" s="26"/>
      <c r="BG553" s="26"/>
      <c r="BH553" s="26">
        <v>678.7</v>
      </c>
    </row>
    <row r="554" spans="1:60" ht="35.65" customHeight="1">
      <c r="A554" s="177" t="s">
        <v>386</v>
      </c>
      <c r="B554" s="86"/>
      <c r="C554" s="20"/>
      <c r="D554" s="20"/>
      <c r="E554" s="20"/>
      <c r="F554" s="20"/>
      <c r="G554" s="20"/>
      <c r="H554" s="20"/>
      <c r="I554" s="20"/>
      <c r="J554" s="20"/>
      <c r="K554" s="20"/>
      <c r="L554" s="20"/>
      <c r="M554" s="175"/>
      <c r="N554" s="20"/>
      <c r="O554" s="20"/>
      <c r="P554" s="20"/>
      <c r="Q554" s="20"/>
      <c r="R554" s="20"/>
      <c r="S554" s="20"/>
      <c r="T554" s="20"/>
      <c r="U554" s="20"/>
      <c r="V554" s="10"/>
      <c r="W554" s="178"/>
      <c r="X554" s="20"/>
      <c r="Y554" s="10"/>
      <c r="Z554" s="178"/>
      <c r="AA554" s="20"/>
      <c r="AB554" s="20"/>
      <c r="AC554" s="26"/>
      <c r="AD554" s="52" t="s">
        <v>1029</v>
      </c>
      <c r="AE554" s="26">
        <f t="shared" si="153"/>
        <v>135.1</v>
      </c>
      <c r="AF554" s="26">
        <f t="shared" si="153"/>
        <v>135.1</v>
      </c>
      <c r="AG554" s="26"/>
      <c r="AH554" s="26"/>
      <c r="AI554" s="26"/>
      <c r="AJ554" s="26"/>
      <c r="AK554" s="26"/>
      <c r="AL554" s="26"/>
      <c r="AM554" s="26">
        <v>135.1</v>
      </c>
      <c r="AN554" s="26">
        <v>135.1</v>
      </c>
      <c r="AO554" s="26">
        <f>AP554+AQ554+AR554+AS554</f>
        <v>442</v>
      </c>
      <c r="AP554" s="26"/>
      <c r="AQ554" s="26"/>
      <c r="AR554" s="26"/>
      <c r="AS554" s="26">
        <f>332+110</f>
        <v>442</v>
      </c>
      <c r="AT554" s="26">
        <f>AU554+AV554+AW554+AX554</f>
        <v>332</v>
      </c>
      <c r="AU554" s="26"/>
      <c r="AV554" s="26"/>
      <c r="AW554" s="26"/>
      <c r="AX554" s="26">
        <v>332</v>
      </c>
      <c r="AY554" s="26">
        <f>AZ554+BA554+BB554+BC554</f>
        <v>332</v>
      </c>
      <c r="AZ554" s="26"/>
      <c r="BA554" s="26"/>
      <c r="BB554" s="26"/>
      <c r="BC554" s="26">
        <v>332</v>
      </c>
      <c r="BD554" s="26">
        <f>BE554+BF554+BG554+BH554</f>
        <v>332</v>
      </c>
      <c r="BE554" s="26"/>
      <c r="BF554" s="26"/>
      <c r="BG554" s="26"/>
      <c r="BH554" s="26">
        <v>332</v>
      </c>
    </row>
    <row r="555" spans="1:60" ht="35.65" customHeight="1">
      <c r="A555" s="177" t="s">
        <v>387</v>
      </c>
      <c r="B555" s="86"/>
      <c r="C555" s="20"/>
      <c r="D555" s="20"/>
      <c r="E555" s="20"/>
      <c r="F555" s="20"/>
      <c r="G555" s="20"/>
      <c r="H555" s="20"/>
      <c r="I555" s="20"/>
      <c r="J555" s="122"/>
      <c r="K555" s="20"/>
      <c r="L555" s="107"/>
      <c r="M555" s="20"/>
      <c r="N555" s="20"/>
      <c r="O555" s="107"/>
      <c r="P555" s="20"/>
      <c r="Q555" s="20"/>
      <c r="R555" s="20"/>
      <c r="S555" s="20"/>
      <c r="T555" s="20"/>
      <c r="U555" s="20"/>
      <c r="V555" s="101"/>
      <c r="W555" s="101"/>
      <c r="X555" s="20"/>
      <c r="Y555" s="101"/>
      <c r="Z555" s="101"/>
      <c r="AA555" s="20"/>
      <c r="AB555" s="20"/>
      <c r="AC555" s="26"/>
      <c r="AD555" s="52" t="s">
        <v>1030</v>
      </c>
      <c r="AE555" s="26">
        <f t="shared" si="153"/>
        <v>0</v>
      </c>
      <c r="AF555" s="26">
        <f t="shared" si="153"/>
        <v>0</v>
      </c>
      <c r="AG555" s="26"/>
      <c r="AH555" s="26"/>
      <c r="AI555" s="26"/>
      <c r="AJ555" s="26"/>
      <c r="AK555" s="26"/>
      <c r="AL555" s="26"/>
      <c r="AM555" s="26"/>
      <c r="AN555" s="26"/>
      <c r="AO555" s="26"/>
      <c r="AP555" s="26"/>
      <c r="AQ555" s="26"/>
      <c r="AR555" s="26"/>
      <c r="AS555" s="26"/>
      <c r="AT555" s="26"/>
      <c r="AU555" s="26"/>
      <c r="AV555" s="26"/>
      <c r="AW555" s="26"/>
      <c r="AX555" s="26"/>
      <c r="AY555" s="26"/>
      <c r="AZ555" s="26"/>
      <c r="BA555" s="26"/>
      <c r="BB555" s="26"/>
      <c r="BC555" s="26"/>
      <c r="BD555" s="26"/>
      <c r="BE555" s="26"/>
      <c r="BF555" s="26"/>
      <c r="BG555" s="26"/>
      <c r="BH555" s="26"/>
    </row>
    <row r="556" spans="1:60" ht="35.65" customHeight="1">
      <c r="A556" s="179" t="s">
        <v>387</v>
      </c>
      <c r="B556" s="20"/>
      <c r="C556" s="20" t="s">
        <v>181</v>
      </c>
      <c r="D556" s="20" t="s">
        <v>153</v>
      </c>
      <c r="E556" s="20" t="s">
        <v>182</v>
      </c>
      <c r="F556" s="26"/>
      <c r="G556" s="26"/>
      <c r="H556" s="26"/>
      <c r="I556" s="20"/>
      <c r="J556" s="20" t="s">
        <v>150</v>
      </c>
      <c r="K556" s="20" t="s">
        <v>109</v>
      </c>
      <c r="L556" s="20" t="s">
        <v>125</v>
      </c>
      <c r="M556" s="20"/>
      <c r="N556" s="20"/>
      <c r="O556" s="26"/>
      <c r="P556" s="26"/>
      <c r="Q556" s="26"/>
      <c r="R556" s="26"/>
      <c r="S556" s="26"/>
      <c r="T556" s="26"/>
      <c r="U556" s="26"/>
      <c r="V556" s="98"/>
      <c r="W556" s="98" t="s">
        <v>388</v>
      </c>
      <c r="X556" s="20" t="s">
        <v>112</v>
      </c>
      <c r="Y556" s="98"/>
      <c r="Z556" s="98" t="s">
        <v>388</v>
      </c>
      <c r="AA556" s="20" t="s">
        <v>112</v>
      </c>
      <c r="AB556" s="26"/>
      <c r="AC556" s="26"/>
      <c r="AD556" s="52" t="s">
        <v>1031</v>
      </c>
      <c r="AE556" s="26">
        <f t="shared" si="153"/>
        <v>631</v>
      </c>
      <c r="AF556" s="26">
        <f t="shared" si="153"/>
        <v>625.79999999999995</v>
      </c>
      <c r="AG556" s="26"/>
      <c r="AH556" s="26"/>
      <c r="AI556" s="26">
        <v>23.7</v>
      </c>
      <c r="AJ556" s="26">
        <v>23.7</v>
      </c>
      <c r="AK556" s="26"/>
      <c r="AL556" s="26"/>
      <c r="AM556" s="26">
        <f>588.2+23.8+19-23.7</f>
        <v>607.29999999999995</v>
      </c>
      <c r="AN556" s="26">
        <f>625.8-23.7</f>
        <v>602.09999999999991</v>
      </c>
      <c r="AO556" s="26">
        <f>AP556+AQ556+AR556+AS556</f>
        <v>684.3</v>
      </c>
      <c r="AP556" s="26"/>
      <c r="AQ556" s="26"/>
      <c r="AR556" s="26"/>
      <c r="AS556" s="26">
        <f>624.9+19.5+17.9+22</f>
        <v>684.3</v>
      </c>
      <c r="AT556" s="26">
        <f>AU556+AV556+AW556+AX556</f>
        <v>624.9</v>
      </c>
      <c r="AU556" s="26"/>
      <c r="AV556" s="26"/>
      <c r="AW556" s="26"/>
      <c r="AX556" s="26">
        <v>624.9</v>
      </c>
      <c r="AY556" s="26">
        <f>AZ556+BA556+BB556+BC556</f>
        <v>624.9</v>
      </c>
      <c r="AZ556" s="26"/>
      <c r="BA556" s="26"/>
      <c r="BB556" s="26"/>
      <c r="BC556" s="26">
        <v>624.9</v>
      </c>
      <c r="BD556" s="26">
        <f>BE556+BF556+BG556+BH556</f>
        <v>624.9</v>
      </c>
      <c r="BE556" s="26"/>
      <c r="BF556" s="26"/>
      <c r="BG556" s="26"/>
      <c r="BH556" s="26">
        <v>624.9</v>
      </c>
    </row>
    <row r="557" spans="1:60" ht="35.65" customHeight="1">
      <c r="A557" s="179" t="s">
        <v>387</v>
      </c>
      <c r="B557" s="20"/>
      <c r="C557" s="20" t="s">
        <v>181</v>
      </c>
      <c r="D557" s="20" t="s">
        <v>153</v>
      </c>
      <c r="E557" s="20" t="s">
        <v>182</v>
      </c>
      <c r="F557" s="26"/>
      <c r="G557" s="26"/>
      <c r="H557" s="26"/>
      <c r="I557" s="20"/>
      <c r="J557" s="20" t="s">
        <v>150</v>
      </c>
      <c r="K557" s="20" t="s">
        <v>109</v>
      </c>
      <c r="L557" s="20" t="s">
        <v>125</v>
      </c>
      <c r="M557" s="20"/>
      <c r="N557" s="20"/>
      <c r="O557" s="26"/>
      <c r="P557" s="26"/>
      <c r="Q557" s="26"/>
      <c r="R557" s="26"/>
      <c r="S557" s="26"/>
      <c r="T557" s="26"/>
      <c r="U557" s="26"/>
      <c r="V557" s="98"/>
      <c r="W557" s="98" t="s">
        <v>388</v>
      </c>
      <c r="X557" s="20" t="s">
        <v>112</v>
      </c>
      <c r="Y557" s="98"/>
      <c r="Z557" s="98" t="s">
        <v>388</v>
      </c>
      <c r="AA557" s="20" t="s">
        <v>112</v>
      </c>
      <c r="AB557" s="26"/>
      <c r="AC557" s="26"/>
      <c r="AD557" s="52" t="s">
        <v>1032</v>
      </c>
      <c r="AE557" s="26">
        <f t="shared" si="153"/>
        <v>317.59999999999997</v>
      </c>
      <c r="AF557" s="26">
        <f t="shared" si="153"/>
        <v>312.7</v>
      </c>
      <c r="AG557" s="26"/>
      <c r="AH557" s="26"/>
      <c r="AI557" s="26"/>
      <c r="AJ557" s="26"/>
      <c r="AK557" s="26"/>
      <c r="AL557" s="26"/>
      <c r="AM557" s="26">
        <f>345.9+6.9-35.2</f>
        <v>317.59999999999997</v>
      </c>
      <c r="AN557" s="26">
        <v>312.7</v>
      </c>
      <c r="AO557" s="26">
        <f>AP557+AQ557+AR557+AS557</f>
        <v>467.8</v>
      </c>
      <c r="AP557" s="26"/>
      <c r="AQ557" s="26"/>
      <c r="AR557" s="26"/>
      <c r="AS557" s="26">
        <f>337.5+130.3</f>
        <v>467.8</v>
      </c>
      <c r="AT557" s="26">
        <f>AU557+AV557+AW557+AX557</f>
        <v>337.5</v>
      </c>
      <c r="AU557" s="26"/>
      <c r="AV557" s="26"/>
      <c r="AW557" s="26"/>
      <c r="AX557" s="26">
        <v>337.5</v>
      </c>
      <c r="AY557" s="26">
        <f>AZ557+BA557+BB557+BC557</f>
        <v>337.5</v>
      </c>
      <c r="AZ557" s="26"/>
      <c r="BA557" s="26"/>
      <c r="BB557" s="26"/>
      <c r="BC557" s="26">
        <v>337.5</v>
      </c>
      <c r="BD557" s="26">
        <f>BE557+BF557+BG557+BH557</f>
        <v>337.5</v>
      </c>
      <c r="BE557" s="26"/>
      <c r="BF557" s="26"/>
      <c r="BG557" s="26"/>
      <c r="BH557" s="26">
        <v>337.5</v>
      </c>
    </row>
    <row r="558" spans="1:60" ht="35.65" customHeight="1">
      <c r="A558" s="179" t="s">
        <v>387</v>
      </c>
      <c r="B558" s="20"/>
      <c r="C558" s="20" t="s">
        <v>181</v>
      </c>
      <c r="D558" s="20" t="s">
        <v>153</v>
      </c>
      <c r="E558" s="20" t="s">
        <v>182</v>
      </c>
      <c r="F558" s="26"/>
      <c r="G558" s="26"/>
      <c r="H558" s="26"/>
      <c r="I558" s="20"/>
      <c r="J558" s="20" t="s">
        <v>150</v>
      </c>
      <c r="K558" s="20" t="s">
        <v>109</v>
      </c>
      <c r="L558" s="20" t="s">
        <v>125</v>
      </c>
      <c r="M558" s="20"/>
      <c r="N558" s="20"/>
      <c r="O558" s="26"/>
      <c r="P558" s="26"/>
      <c r="Q558" s="26"/>
      <c r="R558" s="26"/>
      <c r="S558" s="26"/>
      <c r="T558" s="26"/>
      <c r="U558" s="26"/>
      <c r="V558" s="98"/>
      <c r="W558" s="98" t="s">
        <v>388</v>
      </c>
      <c r="X558" s="20" t="s">
        <v>112</v>
      </c>
      <c r="Y558" s="98"/>
      <c r="Z558" s="98" t="s">
        <v>388</v>
      </c>
      <c r="AA558" s="20" t="s">
        <v>112</v>
      </c>
      <c r="AB558" s="26"/>
      <c r="AC558" s="26"/>
      <c r="AD558" s="52" t="s">
        <v>1033</v>
      </c>
      <c r="AE558" s="26">
        <f t="shared" si="153"/>
        <v>0.9</v>
      </c>
      <c r="AF558" s="26">
        <f t="shared" si="153"/>
        <v>0</v>
      </c>
      <c r="AG558" s="26"/>
      <c r="AH558" s="26"/>
      <c r="AI558" s="26"/>
      <c r="AJ558" s="26"/>
      <c r="AK558" s="26"/>
      <c r="AL558" s="26"/>
      <c r="AM558" s="26">
        <v>0.9</v>
      </c>
      <c r="AN558" s="26">
        <v>0</v>
      </c>
      <c r="AO558" s="26">
        <f>AP558+AQ558+AR558+AS558</f>
        <v>0</v>
      </c>
      <c r="AP558" s="26"/>
      <c r="AQ558" s="26"/>
      <c r="AR558" s="26"/>
      <c r="AS558" s="26"/>
      <c r="AT558" s="26">
        <f>AU558+AV558+AW558+AX558</f>
        <v>0</v>
      </c>
      <c r="AU558" s="26"/>
      <c r="AV558" s="26"/>
      <c r="AW558" s="26"/>
      <c r="AX558" s="26"/>
      <c r="AY558" s="26">
        <f>AZ558+BA558+BB558+BC558</f>
        <v>0</v>
      </c>
      <c r="AZ558" s="26"/>
      <c r="BA558" s="26"/>
      <c r="BB558" s="26"/>
      <c r="BC558" s="26"/>
      <c r="BD558" s="26">
        <f>BE558+BF558+BG558+BH558</f>
        <v>0</v>
      </c>
      <c r="BE558" s="26"/>
      <c r="BF558" s="26"/>
      <c r="BG558" s="26"/>
      <c r="BH558" s="26"/>
    </row>
    <row r="559" spans="1:60" ht="35.65" customHeight="1">
      <c r="A559" s="179" t="s">
        <v>387</v>
      </c>
      <c r="B559" s="20"/>
      <c r="C559" s="20" t="s">
        <v>181</v>
      </c>
      <c r="D559" s="20" t="s">
        <v>153</v>
      </c>
      <c r="E559" s="20" t="s">
        <v>182</v>
      </c>
      <c r="F559" s="26"/>
      <c r="G559" s="26"/>
      <c r="H559" s="26"/>
      <c r="I559" s="20"/>
      <c r="J559" s="20" t="s">
        <v>150</v>
      </c>
      <c r="K559" s="20" t="s">
        <v>109</v>
      </c>
      <c r="L559" s="20" t="s">
        <v>125</v>
      </c>
      <c r="M559" s="20"/>
      <c r="N559" s="20"/>
      <c r="O559" s="26"/>
      <c r="P559" s="26"/>
      <c r="Q559" s="26"/>
      <c r="R559" s="26"/>
      <c r="S559" s="26"/>
      <c r="T559" s="26"/>
      <c r="U559" s="26"/>
      <c r="V559" s="98"/>
      <c r="W559" s="98" t="s">
        <v>388</v>
      </c>
      <c r="X559" s="20" t="s">
        <v>112</v>
      </c>
      <c r="Y559" s="98"/>
      <c r="Z559" s="98" t="s">
        <v>388</v>
      </c>
      <c r="AA559" s="20" t="s">
        <v>112</v>
      </c>
      <c r="AB559" s="26"/>
      <c r="AC559" s="26"/>
      <c r="AD559" s="52" t="s">
        <v>1034</v>
      </c>
      <c r="AE559" s="26">
        <f t="shared" si="153"/>
        <v>101</v>
      </c>
      <c r="AF559" s="26">
        <f t="shared" si="153"/>
        <v>97.9</v>
      </c>
      <c r="AG559" s="26"/>
      <c r="AH559" s="26"/>
      <c r="AI559" s="26">
        <v>19.3</v>
      </c>
      <c r="AJ559" s="26">
        <v>19.3</v>
      </c>
      <c r="AK559" s="26"/>
      <c r="AL559" s="26"/>
      <c r="AM559" s="26">
        <f>100.6+10.1+4.4-14-0.1-19.3</f>
        <v>81.7</v>
      </c>
      <c r="AN559" s="26">
        <f>97.9-19.3</f>
        <v>78.600000000000009</v>
      </c>
      <c r="AO559" s="26">
        <f>AP559+AQ559+AR559+AS559</f>
        <v>125.8</v>
      </c>
      <c r="AP559" s="26"/>
      <c r="AQ559" s="26"/>
      <c r="AR559" s="26"/>
      <c r="AS559" s="26">
        <f>109.3+3.9+12.6</f>
        <v>125.8</v>
      </c>
      <c r="AT559" s="26">
        <f>AU559+AV559+AW559+AX559</f>
        <v>109.3</v>
      </c>
      <c r="AU559" s="26"/>
      <c r="AV559" s="26"/>
      <c r="AW559" s="26"/>
      <c r="AX559" s="26">
        <v>109.3</v>
      </c>
      <c r="AY559" s="26">
        <f>AZ559+BA559+BB559+BC559</f>
        <v>109.3</v>
      </c>
      <c r="AZ559" s="26"/>
      <c r="BA559" s="26"/>
      <c r="BB559" s="26"/>
      <c r="BC559" s="26">
        <v>109.3</v>
      </c>
      <c r="BD559" s="26">
        <f>BE559+BF559+BG559+BH559</f>
        <v>109.3</v>
      </c>
      <c r="BE559" s="26"/>
      <c r="BF559" s="26"/>
      <c r="BG559" s="26"/>
      <c r="BH559" s="26">
        <v>109.3</v>
      </c>
    </row>
    <row r="560" spans="1:60" ht="35.65" customHeight="1">
      <c r="A560" s="179" t="s">
        <v>387</v>
      </c>
      <c r="B560" s="20"/>
      <c r="C560" s="103"/>
      <c r="D560" s="17"/>
      <c r="E560" s="149"/>
      <c r="F560" s="96"/>
      <c r="G560" s="96"/>
      <c r="H560" s="20"/>
      <c r="I560" s="20"/>
      <c r="J560" s="20"/>
      <c r="K560" s="17"/>
      <c r="L560" s="20"/>
      <c r="M560" s="20"/>
      <c r="N560" s="20"/>
      <c r="O560" s="17"/>
      <c r="P560" s="20"/>
      <c r="Q560" s="20"/>
      <c r="R560" s="20"/>
      <c r="S560" s="20"/>
      <c r="T560" s="20"/>
      <c r="U560" s="101"/>
      <c r="V560" s="115"/>
      <c r="W560" s="180"/>
      <c r="X560" s="181"/>
      <c r="Y560" s="115"/>
      <c r="Z560" s="180"/>
      <c r="AA560" s="181"/>
      <c r="AB560" s="46"/>
      <c r="AC560" s="26"/>
      <c r="AD560" s="52" t="s">
        <v>1035</v>
      </c>
      <c r="AE560" s="26">
        <f t="shared" si="153"/>
        <v>0</v>
      </c>
      <c r="AF560" s="26">
        <f t="shared" si="153"/>
        <v>0</v>
      </c>
      <c r="AG560" s="26"/>
      <c r="AH560" s="26"/>
      <c r="AI560" s="26"/>
      <c r="AJ560" s="26"/>
      <c r="AK560" s="26"/>
      <c r="AL560" s="26"/>
      <c r="AM560" s="26"/>
      <c r="AN560" s="26"/>
      <c r="AO560" s="26"/>
      <c r="AP560" s="26"/>
      <c r="AQ560" s="26"/>
      <c r="AR560" s="26"/>
      <c r="AS560" s="26"/>
      <c r="AT560" s="26"/>
      <c r="AU560" s="26"/>
      <c r="AV560" s="26"/>
      <c r="AW560" s="26"/>
      <c r="AX560" s="26"/>
      <c r="AY560" s="26"/>
      <c r="AZ560" s="26"/>
      <c r="BA560" s="26"/>
      <c r="BB560" s="26"/>
      <c r="BC560" s="26"/>
      <c r="BD560" s="26"/>
      <c r="BE560" s="26"/>
      <c r="BF560" s="26"/>
      <c r="BG560" s="26"/>
      <c r="BH560" s="26"/>
    </row>
    <row r="561" spans="1:60" ht="35.65" customHeight="1">
      <c r="A561" s="179" t="s">
        <v>42</v>
      </c>
      <c r="C561" s="103"/>
      <c r="D561" s="17"/>
      <c r="E561" s="149"/>
      <c r="F561" s="96"/>
      <c r="G561" s="96"/>
      <c r="H561" s="20"/>
      <c r="I561" s="20"/>
      <c r="J561" s="20"/>
      <c r="K561" s="17"/>
      <c r="L561" s="20"/>
      <c r="M561" s="20"/>
      <c r="N561" s="20"/>
      <c r="O561" s="17"/>
      <c r="P561" s="20"/>
      <c r="Q561" s="20"/>
      <c r="R561" s="20"/>
      <c r="S561" s="20"/>
      <c r="T561" s="20"/>
      <c r="U561" s="101"/>
      <c r="V561" s="115"/>
      <c r="W561" s="180"/>
      <c r="X561" s="181"/>
      <c r="Y561" s="115"/>
      <c r="Z561" s="180"/>
      <c r="AA561" s="181"/>
      <c r="AB561" s="46"/>
      <c r="AC561" s="26"/>
      <c r="AD561" s="20" t="s">
        <v>1036</v>
      </c>
      <c r="AE561" s="26">
        <f t="shared" si="153"/>
        <v>4.7</v>
      </c>
      <c r="AF561" s="26">
        <f>AH561+AJ561+AL561+AN561</f>
        <v>2.7</v>
      </c>
      <c r="AG561" s="26"/>
      <c r="AH561" s="26"/>
      <c r="AI561" s="26">
        <v>4.7</v>
      </c>
      <c r="AJ561" s="26">
        <v>2.7</v>
      </c>
      <c r="AK561" s="26"/>
      <c r="AL561" s="26"/>
      <c r="AM561" s="26"/>
      <c r="AN561" s="26"/>
      <c r="AO561" s="26"/>
      <c r="AP561" s="26"/>
      <c r="AQ561" s="26"/>
      <c r="AR561" s="26"/>
      <c r="AS561" s="26"/>
      <c r="AT561" s="26"/>
      <c r="AU561" s="26"/>
      <c r="AV561" s="26"/>
      <c r="AW561" s="26"/>
      <c r="AX561" s="26"/>
      <c r="AY561" s="26"/>
      <c r="AZ561" s="26"/>
      <c r="BA561" s="26"/>
      <c r="BB561" s="26"/>
      <c r="BC561" s="26"/>
      <c r="BD561" s="26"/>
      <c r="BE561" s="26"/>
      <c r="BF561" s="26"/>
      <c r="BG561" s="26"/>
      <c r="BH561" s="26"/>
    </row>
    <row r="562" spans="1:60" ht="35.65" customHeight="1">
      <c r="A562" s="179" t="s">
        <v>42</v>
      </c>
      <c r="B562" s="20"/>
      <c r="C562" s="352" t="s">
        <v>368</v>
      </c>
      <c r="D562" s="395" t="s">
        <v>153</v>
      </c>
      <c r="E562" s="395" t="s">
        <v>182</v>
      </c>
      <c r="F562" s="26"/>
      <c r="G562" s="26"/>
      <c r="H562" s="26"/>
      <c r="I562" s="26"/>
      <c r="J562" s="396" t="s">
        <v>389</v>
      </c>
      <c r="K562" s="397"/>
      <c r="L562" s="26"/>
      <c r="M562" s="40"/>
      <c r="N562" s="26"/>
      <c r="O562" s="398"/>
      <c r="P562" s="26"/>
      <c r="Q562" s="26"/>
      <c r="R562" s="26"/>
      <c r="S562" s="26"/>
      <c r="T562" s="26"/>
      <c r="U562" s="26"/>
      <c r="V562" s="26"/>
      <c r="W562" s="396" t="s">
        <v>390</v>
      </c>
      <c r="X562" s="20" t="s">
        <v>391</v>
      </c>
      <c r="Y562" s="107" t="s">
        <v>392</v>
      </c>
      <c r="Z562" s="20" t="s">
        <v>390</v>
      </c>
      <c r="AA562" s="182" t="s">
        <v>36</v>
      </c>
      <c r="AB562" s="382" t="s">
        <v>393</v>
      </c>
      <c r="AC562" s="26"/>
      <c r="AD562" s="52" t="s">
        <v>1037</v>
      </c>
      <c r="AE562" s="26">
        <f t="shared" si="153"/>
        <v>2174.6</v>
      </c>
      <c r="AF562" s="26">
        <f t="shared" si="153"/>
        <v>2167.6999999999998</v>
      </c>
      <c r="AG562" s="26"/>
      <c r="AH562" s="26"/>
      <c r="AI562" s="26">
        <v>76.2</v>
      </c>
      <c r="AJ562" s="26">
        <v>76.2</v>
      </c>
      <c r="AK562" s="26"/>
      <c r="AL562" s="26"/>
      <c r="AM562" s="26">
        <f>2147.9+3.7+76.1-53.1-76.2</f>
        <v>2098.4</v>
      </c>
      <c r="AN562" s="26">
        <f>2167.7-76.2</f>
        <v>2091.5</v>
      </c>
      <c r="AO562" s="26">
        <f>AP562+AQ562+AR562+AS562</f>
        <v>2417.1</v>
      </c>
      <c r="AP562" s="26"/>
      <c r="AQ562" s="26"/>
      <c r="AR562" s="26"/>
      <c r="AS562" s="26">
        <f>2352+71.6-6.5</f>
        <v>2417.1</v>
      </c>
      <c r="AT562" s="26">
        <f>AU562+AV562+AW562+AX562</f>
        <v>2352</v>
      </c>
      <c r="AU562" s="26"/>
      <c r="AV562" s="26"/>
      <c r="AW562" s="26"/>
      <c r="AX562" s="26">
        <v>2352</v>
      </c>
      <c r="AY562" s="26">
        <f>AZ562+BA562+BB562+BC562</f>
        <v>2352</v>
      </c>
      <c r="AZ562" s="26"/>
      <c r="BA562" s="26"/>
      <c r="BB562" s="26"/>
      <c r="BC562" s="26">
        <v>2352</v>
      </c>
      <c r="BD562" s="26">
        <f>BE562+BF562+BG562+BH562</f>
        <v>2352</v>
      </c>
      <c r="BE562" s="26"/>
      <c r="BF562" s="26"/>
      <c r="BG562" s="26"/>
      <c r="BH562" s="26">
        <v>2352</v>
      </c>
    </row>
    <row r="563" spans="1:60" ht="35.65" customHeight="1">
      <c r="A563" s="179" t="s">
        <v>42</v>
      </c>
      <c r="B563" s="30"/>
      <c r="C563" s="393"/>
      <c r="D563" s="395"/>
      <c r="E563" s="395"/>
      <c r="F563" s="26"/>
      <c r="G563" s="26"/>
      <c r="H563" s="26"/>
      <c r="I563" s="26"/>
      <c r="J563" s="396"/>
      <c r="K563" s="397"/>
      <c r="L563" s="26"/>
      <c r="M563" s="40"/>
      <c r="N563" s="26"/>
      <c r="O563" s="398"/>
      <c r="P563" s="26"/>
      <c r="Q563" s="26"/>
      <c r="R563" s="26"/>
      <c r="S563" s="26"/>
      <c r="T563" s="26"/>
      <c r="U563" s="26"/>
      <c r="V563" s="26"/>
      <c r="W563" s="396"/>
      <c r="X563" s="20"/>
      <c r="Y563" s="107"/>
      <c r="Z563" s="20"/>
      <c r="AA563" s="182"/>
      <c r="AB563" s="382"/>
      <c r="AC563" s="26"/>
      <c r="AD563" s="52" t="s">
        <v>1038</v>
      </c>
      <c r="AE563" s="26">
        <f t="shared" si="153"/>
        <v>1453.4</v>
      </c>
      <c r="AF563" s="26">
        <f t="shared" si="153"/>
        <v>1243.7</v>
      </c>
      <c r="AG563" s="26"/>
      <c r="AH563" s="26"/>
      <c r="AI563" s="26"/>
      <c r="AJ563" s="26"/>
      <c r="AK563" s="26"/>
      <c r="AL563" s="26"/>
      <c r="AM563" s="26">
        <f>1272+181.4</f>
        <v>1453.4</v>
      </c>
      <c r="AN563" s="26">
        <v>1243.7</v>
      </c>
      <c r="AO563" s="26">
        <f>AP563+AQ563+AR563+AS563</f>
        <v>1136.4000000000001</v>
      </c>
      <c r="AP563" s="26"/>
      <c r="AQ563" s="26"/>
      <c r="AR563" s="26"/>
      <c r="AS563" s="26">
        <f>1402.4-266</f>
        <v>1136.4000000000001</v>
      </c>
      <c r="AT563" s="26">
        <f>AU563+AV563+AW563+AX563</f>
        <v>1402.4</v>
      </c>
      <c r="AU563" s="26"/>
      <c r="AV563" s="26"/>
      <c r="AW563" s="26"/>
      <c r="AX563" s="26">
        <v>1402.4</v>
      </c>
      <c r="AY563" s="26">
        <f>AZ563+BA563+BB563+BC563</f>
        <v>1402.4</v>
      </c>
      <c r="AZ563" s="26"/>
      <c r="BA563" s="26"/>
      <c r="BB563" s="26"/>
      <c r="BC563" s="26">
        <v>1402.4</v>
      </c>
      <c r="BD563" s="26">
        <f>BE563+BF563+BG563+BH563</f>
        <v>1402.4</v>
      </c>
      <c r="BE563" s="26"/>
      <c r="BF563" s="26"/>
      <c r="BG563" s="26"/>
      <c r="BH563" s="26">
        <v>1402.4</v>
      </c>
    </row>
    <row r="564" spans="1:60" ht="35.65" customHeight="1">
      <c r="A564" s="179" t="s">
        <v>42</v>
      </c>
      <c r="B564" s="30"/>
      <c r="C564" s="393"/>
      <c r="D564" s="395"/>
      <c r="E564" s="395"/>
      <c r="F564" s="26"/>
      <c r="G564" s="26"/>
      <c r="H564" s="26"/>
      <c r="I564" s="26"/>
      <c r="J564" s="396"/>
      <c r="K564" s="397"/>
      <c r="L564" s="26"/>
      <c r="M564" s="40"/>
      <c r="N564" s="26"/>
      <c r="O564" s="398"/>
      <c r="P564" s="26"/>
      <c r="Q564" s="26"/>
      <c r="R564" s="26"/>
      <c r="S564" s="26"/>
      <c r="T564" s="26"/>
      <c r="U564" s="26"/>
      <c r="V564" s="26"/>
      <c r="W564" s="396"/>
      <c r="X564" s="20"/>
      <c r="Y564" s="107"/>
      <c r="Z564" s="20"/>
      <c r="AA564" s="182"/>
      <c r="AB564" s="382"/>
      <c r="AC564" s="26"/>
      <c r="AD564" s="52" t="s">
        <v>1039</v>
      </c>
      <c r="AE564" s="26">
        <f t="shared" si="153"/>
        <v>0</v>
      </c>
      <c r="AF564" s="26">
        <f t="shared" si="153"/>
        <v>0</v>
      </c>
      <c r="AG564" s="26"/>
      <c r="AH564" s="26"/>
      <c r="AI564" s="26"/>
      <c r="AJ564" s="26"/>
      <c r="AK564" s="26"/>
      <c r="AL564" s="26"/>
      <c r="AM564" s="26"/>
      <c r="AN564" s="26"/>
      <c r="AO564" s="26"/>
      <c r="AP564" s="26"/>
      <c r="AQ564" s="26"/>
      <c r="AR564" s="26"/>
      <c r="AS564" s="26"/>
      <c r="AT564" s="26"/>
      <c r="AU564" s="26"/>
      <c r="AV564" s="26"/>
      <c r="AW564" s="26"/>
      <c r="AX564" s="26"/>
      <c r="AY564" s="26"/>
      <c r="AZ564" s="26"/>
      <c r="BA564" s="26"/>
      <c r="BB564" s="26"/>
      <c r="BC564" s="26"/>
      <c r="BD564" s="26"/>
      <c r="BE564" s="26"/>
      <c r="BF564" s="26"/>
      <c r="BG564" s="26"/>
      <c r="BH564" s="26"/>
    </row>
    <row r="565" spans="1:60" ht="35.65" customHeight="1">
      <c r="A565" s="179" t="s">
        <v>42</v>
      </c>
      <c r="B565" s="30"/>
      <c r="C565" s="393"/>
      <c r="D565" s="395"/>
      <c r="E565" s="395"/>
      <c r="F565" s="26"/>
      <c r="G565" s="26"/>
      <c r="H565" s="26"/>
      <c r="I565" s="26"/>
      <c r="J565" s="396"/>
      <c r="K565" s="397"/>
      <c r="L565" s="26"/>
      <c r="M565" s="40"/>
      <c r="N565" s="26"/>
      <c r="O565" s="398"/>
      <c r="P565" s="26"/>
      <c r="Q565" s="26"/>
      <c r="R565" s="26"/>
      <c r="S565" s="26"/>
      <c r="T565" s="26"/>
      <c r="U565" s="26"/>
      <c r="V565" s="26"/>
      <c r="W565" s="396"/>
      <c r="X565" s="20"/>
      <c r="Y565" s="107"/>
      <c r="Z565" s="20"/>
      <c r="AA565" s="182"/>
      <c r="AB565" s="382"/>
      <c r="AC565" s="26"/>
      <c r="AD565" s="52" t="s">
        <v>1040</v>
      </c>
      <c r="AE565" s="26">
        <f t="shared" si="153"/>
        <v>0</v>
      </c>
      <c r="AF565" s="26">
        <f t="shared" si="153"/>
        <v>0</v>
      </c>
      <c r="AG565" s="26"/>
      <c r="AH565" s="26"/>
      <c r="AI565" s="26"/>
      <c r="AJ565" s="26"/>
      <c r="AK565" s="26"/>
      <c r="AL565" s="26"/>
      <c r="AM565" s="26">
        <v>0</v>
      </c>
      <c r="AN565" s="26"/>
      <c r="AO565" s="26">
        <f>AP565+AQ565+AR565+AS565</f>
        <v>0</v>
      </c>
      <c r="AP565" s="26"/>
      <c r="AQ565" s="26"/>
      <c r="AR565" s="26"/>
      <c r="AS565" s="26">
        <v>0</v>
      </c>
      <c r="AT565" s="26">
        <f>AU565+AV565+AW565+AX565</f>
        <v>0</v>
      </c>
      <c r="AU565" s="26"/>
      <c r="AV565" s="26"/>
      <c r="AW565" s="26"/>
      <c r="AX565" s="26">
        <v>0</v>
      </c>
      <c r="AY565" s="26">
        <f>AZ565+BA565+BB565+BC565</f>
        <v>0</v>
      </c>
      <c r="AZ565" s="26"/>
      <c r="BA565" s="26"/>
      <c r="BB565" s="26"/>
      <c r="BC565" s="26">
        <v>0</v>
      </c>
      <c r="BD565" s="26">
        <f>BE565+BF565+BG565+BH565</f>
        <v>0</v>
      </c>
      <c r="BE565" s="26"/>
      <c r="BF565" s="26"/>
      <c r="BG565" s="26"/>
      <c r="BH565" s="26">
        <v>0</v>
      </c>
    </row>
    <row r="566" spans="1:60" ht="35.65" customHeight="1">
      <c r="A566" s="179" t="s">
        <v>42</v>
      </c>
      <c r="B566" s="30"/>
      <c r="C566" s="394"/>
      <c r="D566" s="353"/>
      <c r="E566" s="353"/>
      <c r="F566" s="26"/>
      <c r="G566" s="26"/>
      <c r="H566" s="26"/>
      <c r="I566" s="26"/>
      <c r="J566" s="20"/>
      <c r="K566" s="183"/>
      <c r="L566" s="184"/>
      <c r="M566" s="26"/>
      <c r="N566" s="26"/>
      <c r="O566" s="26"/>
      <c r="P566" s="26"/>
      <c r="Q566" s="26"/>
      <c r="R566" s="26"/>
      <c r="S566" s="26"/>
      <c r="T566" s="26"/>
      <c r="U566" s="26"/>
      <c r="V566" s="26"/>
      <c r="W566" s="20"/>
      <c r="X566" s="20"/>
      <c r="Y566" s="107"/>
      <c r="Z566" s="185"/>
      <c r="AA566" s="185"/>
      <c r="AB566" s="186"/>
      <c r="AC566" s="26"/>
      <c r="AD566" s="52" t="s">
        <v>1041</v>
      </c>
      <c r="AE566" s="26">
        <f t="shared" si="153"/>
        <v>146</v>
      </c>
      <c r="AF566" s="26">
        <f t="shared" si="153"/>
        <v>141.5</v>
      </c>
      <c r="AG566" s="26"/>
      <c r="AH566" s="26"/>
      <c r="AI566" s="26">
        <v>14.1</v>
      </c>
      <c r="AJ566" s="26">
        <v>14.1</v>
      </c>
      <c r="AK566" s="26"/>
      <c r="AL566" s="26"/>
      <c r="AM566" s="26">
        <f>131.9+2.4+8.1+3.6-14.1</f>
        <v>131.9</v>
      </c>
      <c r="AN566" s="26">
        <f>141.5-14.1</f>
        <v>127.4</v>
      </c>
      <c r="AO566" s="26">
        <f>AP566+AQ566+AR566+AS566</f>
        <v>157.19999999999999</v>
      </c>
      <c r="AP566" s="26"/>
      <c r="AQ566" s="26"/>
      <c r="AR566" s="26"/>
      <c r="AS566" s="26">
        <f>143+3.1+11.1</f>
        <v>157.19999999999999</v>
      </c>
      <c r="AT566" s="26">
        <f>AU566+AV566+AW566+AX566</f>
        <v>143</v>
      </c>
      <c r="AU566" s="26"/>
      <c r="AV566" s="26"/>
      <c r="AW566" s="26"/>
      <c r="AX566" s="26">
        <v>143</v>
      </c>
      <c r="AY566" s="26">
        <f>AZ566+BA566+BB566+BC566</f>
        <v>143</v>
      </c>
      <c r="AZ566" s="26"/>
      <c r="BA566" s="26"/>
      <c r="BB566" s="26"/>
      <c r="BC566" s="26">
        <v>143</v>
      </c>
      <c r="BD566" s="26">
        <f>BE566+BF566+BG566+BH566</f>
        <v>143</v>
      </c>
      <c r="BE566" s="26"/>
      <c r="BF566" s="26"/>
      <c r="BG566" s="26"/>
      <c r="BH566" s="26">
        <v>143</v>
      </c>
    </row>
    <row r="567" spans="1:60" ht="35.65" customHeight="1">
      <c r="A567" s="187" t="s">
        <v>394</v>
      </c>
      <c r="B567" s="188">
        <v>2602</v>
      </c>
      <c r="C567" s="80"/>
      <c r="D567" s="189"/>
      <c r="E567" s="81"/>
      <c r="F567" s="81"/>
      <c r="G567" s="81"/>
      <c r="H567" s="81"/>
      <c r="I567" s="81"/>
      <c r="J567" s="81"/>
      <c r="K567" s="81"/>
      <c r="L567" s="81"/>
      <c r="M567" s="81"/>
      <c r="N567" s="81"/>
      <c r="O567" s="81"/>
      <c r="P567" s="81"/>
      <c r="Q567" s="81"/>
      <c r="R567" s="81"/>
      <c r="S567" s="81"/>
      <c r="T567" s="81"/>
      <c r="U567" s="81"/>
      <c r="V567" s="81"/>
      <c r="W567" s="190"/>
      <c r="X567" s="190"/>
      <c r="Y567" s="190"/>
      <c r="Z567" s="81"/>
      <c r="AA567" s="81"/>
      <c r="AB567" s="81"/>
      <c r="AC567" s="81">
        <v>1</v>
      </c>
      <c r="AD567" s="81"/>
      <c r="AE567" s="118">
        <f>AE568+AE569+AE570+AE571+AE573+AE574+AE575+AE576+AE577+AE578+AE580+AE581+AE583+AE584+AE572+AE582+AE579</f>
        <v>46745</v>
      </c>
      <c r="AF567" s="118">
        <f>AH567+AJ567+AL567+AN567</f>
        <v>46181.899999999994</v>
      </c>
      <c r="AG567" s="118">
        <f t="shared" ref="AG567:AN567" si="158">AG568+AG569+AG570+AG571+AG573+AG574+AG575+AG576+AG577+AG578+AG580+AG581+AG583+AG584+AG572+AG582+AG579</f>
        <v>0</v>
      </c>
      <c r="AH567" s="118">
        <f t="shared" si="158"/>
        <v>0</v>
      </c>
      <c r="AI567" s="118">
        <f t="shared" si="158"/>
        <v>2280.5</v>
      </c>
      <c r="AJ567" s="118">
        <f t="shared" si="158"/>
        <v>2226.2000000000003</v>
      </c>
      <c r="AK567" s="118">
        <f t="shared" si="158"/>
        <v>0</v>
      </c>
      <c r="AL567" s="118"/>
      <c r="AM567" s="118">
        <f t="shared" si="158"/>
        <v>44464.500000000007</v>
      </c>
      <c r="AN567" s="118">
        <f t="shared" si="158"/>
        <v>43955.7</v>
      </c>
      <c r="AO567" s="118">
        <f>AO568+AO569+AO570+AO571+AO573+AO574+AO575+AO576+AO577+AO578+AO580+AO581+AO583+AO584+AO579</f>
        <v>51400.5</v>
      </c>
      <c r="AP567" s="118">
        <f t="shared" ref="AP567:BH567" si="159">AP568+AP569+AP570+AP571+AP573+AP574+AP575+AP576+AP577+AP578+AP580+AP581+AP583+AP584+AP579</f>
        <v>0</v>
      </c>
      <c r="AQ567" s="118">
        <f t="shared" si="159"/>
        <v>203</v>
      </c>
      <c r="AR567" s="118">
        <f t="shared" si="159"/>
        <v>0</v>
      </c>
      <c r="AS567" s="118">
        <f t="shared" si="159"/>
        <v>51197.5</v>
      </c>
      <c r="AT567" s="118">
        <f t="shared" si="159"/>
        <v>49731.1</v>
      </c>
      <c r="AU567" s="118">
        <f t="shared" si="159"/>
        <v>0</v>
      </c>
      <c r="AV567" s="118">
        <f t="shared" si="159"/>
        <v>0</v>
      </c>
      <c r="AW567" s="118">
        <f t="shared" si="159"/>
        <v>0</v>
      </c>
      <c r="AX567" s="118">
        <f t="shared" si="159"/>
        <v>49731.1</v>
      </c>
      <c r="AY567" s="118">
        <f t="shared" si="159"/>
        <v>49731.1</v>
      </c>
      <c r="AZ567" s="118">
        <f t="shared" si="159"/>
        <v>0</v>
      </c>
      <c r="BA567" s="118">
        <f t="shared" si="159"/>
        <v>0</v>
      </c>
      <c r="BB567" s="118">
        <f t="shared" si="159"/>
        <v>0</v>
      </c>
      <c r="BC567" s="118">
        <f t="shared" si="159"/>
        <v>49731.1</v>
      </c>
      <c r="BD567" s="118">
        <f t="shared" si="159"/>
        <v>49731.1</v>
      </c>
      <c r="BE567" s="118">
        <f t="shared" si="159"/>
        <v>0</v>
      </c>
      <c r="BF567" s="118">
        <f t="shared" si="159"/>
        <v>0</v>
      </c>
      <c r="BG567" s="118">
        <f t="shared" si="159"/>
        <v>0</v>
      </c>
      <c r="BH567" s="118">
        <f t="shared" si="159"/>
        <v>49731.1</v>
      </c>
    </row>
    <row r="568" spans="1:60" ht="35.65" customHeight="1">
      <c r="A568" s="179" t="s">
        <v>367</v>
      </c>
      <c r="B568" s="191"/>
      <c r="C568" s="383" t="s">
        <v>368</v>
      </c>
      <c r="D568" s="192"/>
      <c r="E568" s="192" t="s">
        <v>370</v>
      </c>
      <c r="F568" s="26"/>
      <c r="G568" s="26"/>
      <c r="H568" s="26"/>
      <c r="I568" s="26"/>
      <c r="J568" s="26"/>
      <c r="K568" s="26"/>
      <c r="L568" s="26"/>
      <c r="M568" s="20" t="s">
        <v>395</v>
      </c>
      <c r="N568" s="30" t="s">
        <v>396</v>
      </c>
      <c r="O568" s="176">
        <v>43088</v>
      </c>
      <c r="P568" s="26"/>
      <c r="Q568" s="26"/>
      <c r="R568" s="26"/>
      <c r="S568" s="26"/>
      <c r="T568" s="26"/>
      <c r="U568" s="26"/>
      <c r="V568" s="26"/>
      <c r="W568" s="20" t="s">
        <v>371</v>
      </c>
      <c r="X568" s="169" t="s">
        <v>372</v>
      </c>
      <c r="Y568" s="170">
        <v>44181</v>
      </c>
      <c r="Z568" s="26"/>
      <c r="AA568" s="26"/>
      <c r="AB568" s="26"/>
      <c r="AC568" s="26"/>
      <c r="AD568" s="52" t="s">
        <v>1042</v>
      </c>
      <c r="AE568" s="26">
        <f>AI568+AM568</f>
        <v>709.69999999999993</v>
      </c>
      <c r="AF568" s="26">
        <f>AH568+AJ568+AL568+AN568</f>
        <v>709.7</v>
      </c>
      <c r="AG568" s="26"/>
      <c r="AH568" s="26"/>
      <c r="AI568" s="26">
        <v>23.8</v>
      </c>
      <c r="AJ568" s="26">
        <v>23.8</v>
      </c>
      <c r="AK568" s="26"/>
      <c r="AL568" s="26"/>
      <c r="AM568" s="26">
        <f>687+23.4+0.4-1.1-23.8</f>
        <v>685.9</v>
      </c>
      <c r="AN568" s="26">
        <f>709.7-23.8</f>
        <v>685.90000000000009</v>
      </c>
      <c r="AO568" s="26">
        <f>AP568+AQ568+AR568+AS568</f>
        <v>758.1</v>
      </c>
      <c r="AP568" s="26"/>
      <c r="AQ568" s="26"/>
      <c r="AR568" s="26"/>
      <c r="AS568" s="26">
        <f>734.6+21.5+2</f>
        <v>758.1</v>
      </c>
      <c r="AT568" s="26">
        <f>AU568+AV568+AW568+AX568</f>
        <v>734.6</v>
      </c>
      <c r="AU568" s="26"/>
      <c r="AV568" s="26"/>
      <c r="AW568" s="26"/>
      <c r="AX568" s="26">
        <v>734.6</v>
      </c>
      <c r="AY568" s="26">
        <f>AZ568+BA568+BB568+BC568</f>
        <v>734.6</v>
      </c>
      <c r="AZ568" s="26"/>
      <c r="BA568" s="26"/>
      <c r="BB568" s="26"/>
      <c r="BC568" s="26">
        <v>734.6</v>
      </c>
      <c r="BD568" s="26">
        <f>BE568+BF568+BG568+BH568</f>
        <v>734.6</v>
      </c>
      <c r="BE568" s="26"/>
      <c r="BF568" s="26"/>
      <c r="BG568" s="26"/>
      <c r="BH568" s="26">
        <v>734.6</v>
      </c>
    </row>
    <row r="569" spans="1:60" ht="35.65" customHeight="1" thickBot="1">
      <c r="A569" s="193" t="s">
        <v>367</v>
      </c>
      <c r="B569" s="174"/>
      <c r="C569" s="384"/>
      <c r="D569" s="192"/>
      <c r="E569" s="192"/>
      <c r="F569" s="26"/>
      <c r="G569" s="26"/>
      <c r="H569" s="26"/>
      <c r="I569" s="26"/>
      <c r="J569" s="26"/>
      <c r="K569" s="26"/>
      <c r="L569" s="26"/>
      <c r="M569" s="52" t="s">
        <v>373</v>
      </c>
      <c r="N569" s="26" t="s">
        <v>374</v>
      </c>
      <c r="O569" s="142">
        <v>42774</v>
      </c>
      <c r="P569" s="26"/>
      <c r="Q569" s="26"/>
      <c r="R569" s="26"/>
      <c r="S569" s="26"/>
      <c r="T569" s="26"/>
      <c r="U569" s="26"/>
      <c r="V569" s="26"/>
      <c r="W569" s="20" t="s">
        <v>371</v>
      </c>
      <c r="X569" s="169" t="s">
        <v>372</v>
      </c>
      <c r="Y569" s="170">
        <v>44181</v>
      </c>
      <c r="Z569" s="26"/>
      <c r="AA569" s="26"/>
      <c r="AB569" s="26"/>
      <c r="AC569" s="26"/>
      <c r="AD569" s="52" t="s">
        <v>1043</v>
      </c>
      <c r="AE569" s="26">
        <f>AI569+AM569</f>
        <v>1562.1</v>
      </c>
      <c r="AF569" s="26">
        <f t="shared" ref="AF569:AF584" si="160">AH569+AJ569+AL569+AN569</f>
        <v>1562.1</v>
      </c>
      <c r="AG569" s="26"/>
      <c r="AH569" s="26"/>
      <c r="AI569" s="26">
        <v>53.6</v>
      </c>
      <c r="AJ569" s="26">
        <v>53.6</v>
      </c>
      <c r="AK569" s="26"/>
      <c r="AL569" s="26"/>
      <c r="AM569" s="26">
        <f>1392.8+53.6+59.7+56.2-0.2-53.6</f>
        <v>1508.5</v>
      </c>
      <c r="AN569" s="26">
        <f>1562.1-53.6</f>
        <v>1508.5</v>
      </c>
      <c r="AO569" s="26">
        <f t="shared" ref="AO569:AO584" si="161">AP569+AQ569+AR569+AS569</f>
        <v>1703.6</v>
      </c>
      <c r="AP569" s="26"/>
      <c r="AQ569" s="26"/>
      <c r="AR569" s="26"/>
      <c r="AS569" s="26">
        <f>1663.8+21.5+11.5+6.8</f>
        <v>1703.6</v>
      </c>
      <c r="AT569" s="26">
        <f t="shared" ref="AT569:AT571" si="162">AU569+AV569+AW569+AX569</f>
        <v>1663.8</v>
      </c>
      <c r="AU569" s="26"/>
      <c r="AV569" s="26"/>
      <c r="AW569" s="26"/>
      <c r="AX569" s="26">
        <v>1663.8</v>
      </c>
      <c r="AY569" s="26">
        <f t="shared" ref="AY569:AY584" si="163">AZ569+BA569+BB569+BC569</f>
        <v>1663.8</v>
      </c>
      <c r="AZ569" s="26"/>
      <c r="BA569" s="26"/>
      <c r="BB569" s="26"/>
      <c r="BC569" s="26">
        <v>1663.8</v>
      </c>
      <c r="BD569" s="26">
        <f t="shared" ref="BD569:BD581" si="164">BE569+BF569+BG569+BH569</f>
        <v>1663.8</v>
      </c>
      <c r="BE569" s="26"/>
      <c r="BF569" s="26"/>
      <c r="BG569" s="26"/>
      <c r="BH569" s="26">
        <v>1663.8</v>
      </c>
    </row>
    <row r="570" spans="1:60" ht="35.65" customHeight="1" thickBot="1">
      <c r="A570" s="193" t="s">
        <v>367</v>
      </c>
      <c r="B570" s="174"/>
      <c r="C570" s="384"/>
      <c r="D570" s="192"/>
      <c r="E570" s="192"/>
      <c r="F570" s="26"/>
      <c r="G570" s="26"/>
      <c r="H570" s="26"/>
      <c r="I570" s="26"/>
      <c r="J570" s="26"/>
      <c r="K570" s="26"/>
      <c r="L570" s="26"/>
      <c r="M570" s="20" t="s">
        <v>395</v>
      </c>
      <c r="N570" s="30" t="s">
        <v>396</v>
      </c>
      <c r="O570" s="176">
        <v>43088</v>
      </c>
      <c r="P570" s="26"/>
      <c r="Q570" s="26"/>
      <c r="R570" s="26"/>
      <c r="S570" s="26"/>
      <c r="T570" s="26"/>
      <c r="U570" s="26"/>
      <c r="V570" s="26"/>
      <c r="W570" s="20" t="s">
        <v>371</v>
      </c>
      <c r="X570" s="169" t="s">
        <v>372</v>
      </c>
      <c r="Y570" s="170">
        <v>44181</v>
      </c>
      <c r="Z570" s="26"/>
      <c r="AA570" s="26"/>
      <c r="AB570" s="26"/>
      <c r="AC570" s="26"/>
      <c r="AD570" s="52" t="s">
        <v>1044</v>
      </c>
      <c r="AE570" s="26">
        <f>AI570+AM570</f>
        <v>305</v>
      </c>
      <c r="AF570" s="26">
        <f t="shared" si="160"/>
        <v>305</v>
      </c>
      <c r="AG570" s="26"/>
      <c r="AH570" s="26"/>
      <c r="AI570" s="26">
        <v>39.6</v>
      </c>
      <c r="AJ570" s="26">
        <v>39.6</v>
      </c>
      <c r="AK570" s="26"/>
      <c r="AL570" s="26"/>
      <c r="AM570" s="26">
        <f>266+26.3+13.3+0.7-1.3-39.6</f>
        <v>265.39999999999998</v>
      </c>
      <c r="AN570" s="26">
        <f>305-39.6</f>
        <v>265.39999999999998</v>
      </c>
      <c r="AO570" s="26">
        <f t="shared" si="161"/>
        <v>328.59999999999997</v>
      </c>
      <c r="AP570" s="26"/>
      <c r="AQ570" s="26"/>
      <c r="AR570" s="26"/>
      <c r="AS570" s="26">
        <f>292.9+10+9.2+16.5</f>
        <v>328.59999999999997</v>
      </c>
      <c r="AT570" s="26">
        <f t="shared" si="162"/>
        <v>292.89999999999998</v>
      </c>
      <c r="AU570" s="26"/>
      <c r="AV570" s="26"/>
      <c r="AW570" s="26"/>
      <c r="AX570" s="26">
        <v>292.89999999999998</v>
      </c>
      <c r="AY570" s="26">
        <f t="shared" si="163"/>
        <v>292.89999999999998</v>
      </c>
      <c r="AZ570" s="26"/>
      <c r="BA570" s="26"/>
      <c r="BB570" s="26"/>
      <c r="BC570" s="26">
        <v>292.89999999999998</v>
      </c>
      <c r="BD570" s="26">
        <f t="shared" si="164"/>
        <v>292.89999999999998</v>
      </c>
      <c r="BE570" s="26"/>
      <c r="BF570" s="26"/>
      <c r="BG570" s="26"/>
      <c r="BH570" s="26">
        <v>292.89999999999998</v>
      </c>
    </row>
    <row r="571" spans="1:60" ht="35.65" customHeight="1" thickBot="1">
      <c r="A571" s="193" t="s">
        <v>367</v>
      </c>
      <c r="B571" s="174"/>
      <c r="C571" s="194"/>
      <c r="D571" s="192"/>
      <c r="E571" s="192"/>
      <c r="F571" s="26"/>
      <c r="G571" s="26"/>
      <c r="H571" s="26"/>
      <c r="I571" s="26"/>
      <c r="J571" s="26"/>
      <c r="K571" s="26"/>
      <c r="L571" s="26"/>
      <c r="M571" s="20"/>
      <c r="N571" s="30"/>
      <c r="O571" s="176"/>
      <c r="P571" s="26"/>
      <c r="Q571" s="26"/>
      <c r="R571" s="26"/>
      <c r="S571" s="26"/>
      <c r="T571" s="26"/>
      <c r="U571" s="26"/>
      <c r="V571" s="26"/>
      <c r="W571" s="20"/>
      <c r="X571" s="169"/>
      <c r="Y571" s="170"/>
      <c r="Z571" s="26"/>
      <c r="AA571" s="26"/>
      <c r="AB571" s="26"/>
      <c r="AC571" s="26"/>
      <c r="AD571" s="52" t="s">
        <v>1045</v>
      </c>
      <c r="AE571" s="26">
        <f>AI571+AM571</f>
        <v>854.89999999999986</v>
      </c>
      <c r="AF571" s="26">
        <f t="shared" si="160"/>
        <v>854.9</v>
      </c>
      <c r="AG571" s="26"/>
      <c r="AH571" s="26"/>
      <c r="AI571" s="26">
        <v>32.4</v>
      </c>
      <c r="AJ571" s="26">
        <v>32.4</v>
      </c>
      <c r="AK571" s="26"/>
      <c r="AL571" s="26"/>
      <c r="AM571" s="26">
        <f>841.3+32.3-18.7-32.4</f>
        <v>822.49999999999989</v>
      </c>
      <c r="AN571" s="26">
        <f>854.9-32.4</f>
        <v>822.5</v>
      </c>
      <c r="AO571" s="26">
        <f t="shared" si="161"/>
        <v>0</v>
      </c>
      <c r="AP571" s="26"/>
      <c r="AQ571" s="26"/>
      <c r="AR571" s="26"/>
      <c r="AS571" s="26">
        <v>0</v>
      </c>
      <c r="AT571" s="26">
        <f t="shared" si="162"/>
        <v>0</v>
      </c>
      <c r="AU571" s="26"/>
      <c r="AV571" s="26"/>
      <c r="AW571" s="26"/>
      <c r="AX571" s="26">
        <v>0</v>
      </c>
      <c r="AY571" s="26">
        <f t="shared" si="163"/>
        <v>0</v>
      </c>
      <c r="AZ571" s="26"/>
      <c r="BA571" s="26"/>
      <c r="BB571" s="26"/>
      <c r="BC571" s="26">
        <v>0</v>
      </c>
      <c r="BD571" s="26">
        <f t="shared" si="164"/>
        <v>0</v>
      </c>
      <c r="BE571" s="26"/>
      <c r="BF571" s="26"/>
      <c r="BG571" s="26"/>
      <c r="BH571" s="26">
        <v>0</v>
      </c>
    </row>
    <row r="572" spans="1:60" ht="35.65" customHeight="1" thickBot="1">
      <c r="A572" s="193" t="s">
        <v>57</v>
      </c>
      <c r="B572" s="174"/>
      <c r="C572" s="194"/>
      <c r="D572" s="192"/>
      <c r="E572" s="192"/>
      <c r="F572" s="26"/>
      <c r="G572" s="26"/>
      <c r="H572" s="26"/>
      <c r="I572" s="26"/>
      <c r="J572" s="26"/>
      <c r="K572" s="26"/>
      <c r="L572" s="26"/>
      <c r="M572" s="20"/>
      <c r="N572" s="30"/>
      <c r="O572" s="176"/>
      <c r="P572" s="26"/>
      <c r="Q572" s="26"/>
      <c r="R572" s="26"/>
      <c r="S572" s="26"/>
      <c r="T572" s="26"/>
      <c r="U572" s="26"/>
      <c r="V572" s="26"/>
      <c r="W572" s="20"/>
      <c r="X572" s="169"/>
      <c r="Y572" s="170"/>
      <c r="Z572" s="26"/>
      <c r="AA572" s="26"/>
      <c r="AB572" s="26"/>
      <c r="AC572" s="26"/>
      <c r="AD572" s="52" t="s">
        <v>1046</v>
      </c>
      <c r="AE572" s="26">
        <f>AG572+AI572+AK572+AM572</f>
        <v>264.5</v>
      </c>
      <c r="AF572" s="26">
        <f t="shared" si="160"/>
        <v>216.9</v>
      </c>
      <c r="AG572" s="26"/>
      <c r="AH572" s="26"/>
      <c r="AI572" s="26">
        <v>264.5</v>
      </c>
      <c r="AJ572" s="26">
        <v>216.9</v>
      </c>
      <c r="AK572" s="26"/>
      <c r="AL572" s="26"/>
      <c r="AM572" s="26"/>
      <c r="AN572" s="26"/>
      <c r="AO572" s="26"/>
      <c r="AP572" s="26"/>
      <c r="AQ572" s="26"/>
      <c r="AR572" s="26"/>
      <c r="AS572" s="26"/>
      <c r="AT572" s="26"/>
      <c r="AU572" s="26"/>
      <c r="AV572" s="26"/>
      <c r="AW572" s="26"/>
      <c r="AX572" s="26"/>
      <c r="AY572" s="26"/>
      <c r="AZ572" s="26"/>
      <c r="BA572" s="26"/>
      <c r="BB572" s="26"/>
      <c r="BC572" s="26"/>
      <c r="BD572" s="26"/>
      <c r="BE572" s="26"/>
      <c r="BF572" s="26"/>
      <c r="BG572" s="26"/>
      <c r="BH572" s="26"/>
    </row>
    <row r="573" spans="1:60" ht="35.65" customHeight="1" thickBot="1">
      <c r="A573" s="193" t="s">
        <v>57</v>
      </c>
      <c r="B573" s="174"/>
      <c r="C573" s="52" t="s">
        <v>397</v>
      </c>
      <c r="D573" s="192"/>
      <c r="E573" s="192"/>
      <c r="F573" s="26"/>
      <c r="G573" s="26"/>
      <c r="H573" s="26"/>
      <c r="I573" s="26"/>
      <c r="J573" s="26"/>
      <c r="K573" s="26"/>
      <c r="L573" s="26"/>
      <c r="M573" s="26"/>
      <c r="N573" s="26"/>
      <c r="O573" s="26"/>
      <c r="P573" s="26"/>
      <c r="Q573" s="26"/>
      <c r="R573" s="26"/>
      <c r="S573" s="26"/>
      <c r="T573" s="26"/>
      <c r="U573" s="26"/>
      <c r="V573" s="26"/>
      <c r="W573" s="52" t="s">
        <v>398</v>
      </c>
      <c r="X573" s="40"/>
      <c r="Y573" s="40"/>
      <c r="Z573" s="26"/>
      <c r="AA573" s="26"/>
      <c r="AB573" s="26"/>
      <c r="AC573" s="26"/>
      <c r="AD573" s="52" t="s">
        <v>1047</v>
      </c>
      <c r="AE573" s="26">
        <f t="shared" ref="AE573:AE578" si="165">AI573+AM573</f>
        <v>1919.1000000000001</v>
      </c>
      <c r="AF573" s="26">
        <f t="shared" si="160"/>
        <v>1919.1</v>
      </c>
      <c r="AG573" s="26"/>
      <c r="AH573" s="26"/>
      <c r="AI573" s="26">
        <v>64.3</v>
      </c>
      <c r="AJ573" s="26">
        <v>64.3</v>
      </c>
      <c r="AK573" s="26"/>
      <c r="AL573" s="26"/>
      <c r="AM573" s="26">
        <f>1680+64.4+15.5+126.5+27+5.7-64.3</f>
        <v>1854.8000000000002</v>
      </c>
      <c r="AN573" s="26">
        <f>1919.1-64.3</f>
        <v>1854.8</v>
      </c>
      <c r="AO573" s="26">
        <f t="shared" si="161"/>
        <v>1995.8</v>
      </c>
      <c r="AP573" s="26"/>
      <c r="AQ573" s="26"/>
      <c r="AR573" s="26"/>
      <c r="AS573" s="26">
        <f>1785+57.2+153.6</f>
        <v>1995.8</v>
      </c>
      <c r="AT573" s="26">
        <f t="shared" ref="AT573:AT575" si="166">AU573+AV573+AW573+AX573</f>
        <v>1785</v>
      </c>
      <c r="AU573" s="26"/>
      <c r="AV573" s="26"/>
      <c r="AW573" s="26"/>
      <c r="AX573" s="26">
        <v>1785</v>
      </c>
      <c r="AY573" s="26">
        <f t="shared" si="163"/>
        <v>1785</v>
      </c>
      <c r="AZ573" s="26"/>
      <c r="BA573" s="26"/>
      <c r="BB573" s="26"/>
      <c r="BC573" s="26">
        <v>1785</v>
      </c>
      <c r="BD573" s="26">
        <f t="shared" si="164"/>
        <v>1785</v>
      </c>
      <c r="BE573" s="26"/>
      <c r="BF573" s="26"/>
      <c r="BG573" s="26"/>
      <c r="BH573" s="26">
        <v>1785</v>
      </c>
    </row>
    <row r="574" spans="1:60" ht="35.65" customHeight="1" thickBot="1">
      <c r="A574" s="193" t="s">
        <v>57</v>
      </c>
      <c r="B574" s="174"/>
      <c r="C574" s="384"/>
      <c r="D574" s="192"/>
      <c r="E574" s="192"/>
      <c r="F574" s="26"/>
      <c r="G574" s="26"/>
      <c r="H574" s="26"/>
      <c r="I574" s="26"/>
      <c r="J574" s="52" t="s">
        <v>378</v>
      </c>
      <c r="K574" s="26"/>
      <c r="L574" s="26"/>
      <c r="M574" s="26"/>
      <c r="N574" s="26"/>
      <c r="O574" s="26"/>
      <c r="P574" s="26"/>
      <c r="Q574" s="26"/>
      <c r="R574" s="26"/>
      <c r="S574" s="26"/>
      <c r="T574" s="26"/>
      <c r="U574" s="26"/>
      <c r="V574" s="26"/>
      <c r="W574" s="195" t="s">
        <v>380</v>
      </c>
      <c r="X574" s="26"/>
      <c r="Y574" s="26"/>
      <c r="Z574" s="26"/>
      <c r="AA574" s="26"/>
      <c r="AB574" s="26"/>
      <c r="AC574" s="26"/>
      <c r="AD574" s="52" t="s">
        <v>1048</v>
      </c>
      <c r="AE574" s="26">
        <f t="shared" si="165"/>
        <v>20646.2</v>
      </c>
      <c r="AF574" s="26">
        <f t="shared" si="160"/>
        <v>20305.5</v>
      </c>
      <c r="AG574" s="26"/>
      <c r="AH574" s="26"/>
      <c r="AI574" s="26">
        <v>698.2</v>
      </c>
      <c r="AJ574" s="26">
        <v>698.2</v>
      </c>
      <c r="AK574" s="26"/>
      <c r="AL574" s="26"/>
      <c r="AM574" s="26">
        <f>20100+698.2-15.5-136.5-698.2</f>
        <v>19948</v>
      </c>
      <c r="AN574" s="26">
        <f>20305.5-698.2</f>
        <v>19607.3</v>
      </c>
      <c r="AO574" s="26">
        <f t="shared" si="161"/>
        <v>22057.8</v>
      </c>
      <c r="AP574" s="26"/>
      <c r="AQ574" s="26"/>
      <c r="AR574" s="26"/>
      <c r="AS574" s="26">
        <f>21050+623.8+384</f>
        <v>22057.8</v>
      </c>
      <c r="AT574" s="26">
        <f t="shared" si="166"/>
        <v>21050</v>
      </c>
      <c r="AU574" s="26"/>
      <c r="AV574" s="26"/>
      <c r="AW574" s="26"/>
      <c r="AX574" s="26">
        <v>21050</v>
      </c>
      <c r="AY574" s="26">
        <f t="shared" si="163"/>
        <v>21050</v>
      </c>
      <c r="AZ574" s="26"/>
      <c r="BA574" s="26"/>
      <c r="BB574" s="26"/>
      <c r="BC574" s="26">
        <v>21050</v>
      </c>
      <c r="BD574" s="26">
        <f t="shared" si="164"/>
        <v>21050</v>
      </c>
      <c r="BE574" s="26"/>
      <c r="BF574" s="26"/>
      <c r="BG574" s="26"/>
      <c r="BH574" s="26">
        <v>21050</v>
      </c>
    </row>
    <row r="575" spans="1:60" ht="35.65" customHeight="1" thickBot="1">
      <c r="A575" s="193" t="s">
        <v>57</v>
      </c>
      <c r="B575" s="174"/>
      <c r="C575" s="385"/>
      <c r="D575" s="192"/>
      <c r="E575" s="192"/>
      <c r="F575" s="26"/>
      <c r="G575" s="26"/>
      <c r="H575" s="26"/>
      <c r="I575" s="26"/>
      <c r="J575" s="52" t="s">
        <v>378</v>
      </c>
      <c r="K575" s="26"/>
      <c r="L575" s="26"/>
      <c r="M575" s="26"/>
      <c r="N575" s="26"/>
      <c r="O575" s="26"/>
      <c r="P575" s="26"/>
      <c r="Q575" s="26"/>
      <c r="R575" s="26"/>
      <c r="S575" s="26"/>
      <c r="T575" s="26"/>
      <c r="U575" s="26"/>
      <c r="V575" s="26"/>
      <c r="W575" s="195" t="s">
        <v>399</v>
      </c>
      <c r="X575" s="26"/>
      <c r="Y575" s="26"/>
      <c r="Z575" s="26"/>
      <c r="AA575" s="26"/>
      <c r="AB575" s="26"/>
      <c r="AC575" s="26"/>
      <c r="AD575" s="52" t="s">
        <v>1049</v>
      </c>
      <c r="AE575" s="26">
        <f t="shared" si="165"/>
        <v>5632.1</v>
      </c>
      <c r="AF575" s="26">
        <f t="shared" si="160"/>
        <v>5547.7</v>
      </c>
      <c r="AG575" s="26"/>
      <c r="AH575" s="26"/>
      <c r="AI575" s="26">
        <v>426.3</v>
      </c>
      <c r="AJ575" s="26">
        <v>426.3</v>
      </c>
      <c r="AK575" s="26"/>
      <c r="AL575" s="26"/>
      <c r="AM575" s="26">
        <f>4950+132.9+237.1+56.3+245.8+10-426.3</f>
        <v>5205.8</v>
      </c>
      <c r="AN575" s="26">
        <f>5547.7-426.3</f>
        <v>5121.3999999999996</v>
      </c>
      <c r="AO575" s="26">
        <f t="shared" si="161"/>
        <v>6314.2</v>
      </c>
      <c r="AP575" s="26"/>
      <c r="AQ575" s="26">
        <v>203</v>
      </c>
      <c r="AR575" s="26"/>
      <c r="AS575" s="26">
        <f>5771+203-203+51.2+142.9+146.1</f>
        <v>6111.2</v>
      </c>
      <c r="AT575" s="26">
        <f t="shared" si="166"/>
        <v>5771</v>
      </c>
      <c r="AU575" s="26"/>
      <c r="AV575" s="26"/>
      <c r="AW575" s="26"/>
      <c r="AX575" s="26">
        <v>5771</v>
      </c>
      <c r="AY575" s="26">
        <f t="shared" si="163"/>
        <v>5771</v>
      </c>
      <c r="AZ575" s="26"/>
      <c r="BA575" s="26"/>
      <c r="BB575" s="26"/>
      <c r="BC575" s="26">
        <v>5771</v>
      </c>
      <c r="BD575" s="26">
        <f t="shared" si="164"/>
        <v>5771</v>
      </c>
      <c r="BE575" s="26"/>
      <c r="BF575" s="26"/>
      <c r="BG575" s="26"/>
      <c r="BH575" s="26">
        <v>5771</v>
      </c>
    </row>
    <row r="576" spans="1:60" ht="35.65" customHeight="1" thickBot="1">
      <c r="A576" s="193" t="s">
        <v>217</v>
      </c>
      <c r="B576" s="174"/>
      <c r="C576" s="43" t="s">
        <v>181</v>
      </c>
      <c r="D576" s="43" t="s">
        <v>153</v>
      </c>
      <c r="E576" s="43" t="s">
        <v>182</v>
      </c>
      <c r="F576" s="26"/>
      <c r="G576" s="26"/>
      <c r="H576" s="26"/>
      <c r="I576" s="26"/>
      <c r="J576" s="43" t="s">
        <v>183</v>
      </c>
      <c r="K576" s="43" t="s">
        <v>109</v>
      </c>
      <c r="L576" s="43" t="s">
        <v>125</v>
      </c>
      <c r="M576" s="98" t="s">
        <v>381</v>
      </c>
      <c r="N576" s="43" t="s">
        <v>112</v>
      </c>
      <c r="O576" s="26"/>
      <c r="P576" s="26"/>
      <c r="Q576" s="26"/>
      <c r="R576" s="26"/>
      <c r="S576" s="26"/>
      <c r="T576" s="43"/>
      <c r="U576" s="43"/>
      <c r="V576" s="43"/>
      <c r="W576" s="196" t="s">
        <v>383</v>
      </c>
      <c r="X576" s="43" t="s">
        <v>112</v>
      </c>
      <c r="Y576" s="43"/>
      <c r="Z576" s="98" t="s">
        <v>383</v>
      </c>
      <c r="AA576" s="43" t="s">
        <v>112</v>
      </c>
      <c r="AB576" s="26"/>
      <c r="AC576" s="26"/>
      <c r="AD576" s="52" t="s">
        <v>1050</v>
      </c>
      <c r="AE576" s="26">
        <f t="shared" si="165"/>
        <v>1722</v>
      </c>
      <c r="AF576" s="26">
        <f t="shared" si="160"/>
        <v>1721.5</v>
      </c>
      <c r="AG576" s="26"/>
      <c r="AH576" s="26"/>
      <c r="AI576" s="26">
        <v>105.7</v>
      </c>
      <c r="AJ576" s="26">
        <v>105.7</v>
      </c>
      <c r="AK576" s="26"/>
      <c r="AL576" s="26"/>
      <c r="AM576" s="26">
        <f>2496.7+105.7-30.7-34.6-815.1-105.7</f>
        <v>1616.3</v>
      </c>
      <c r="AN576" s="26">
        <f>1721.5-105.7</f>
        <v>1615.8</v>
      </c>
      <c r="AO576" s="26">
        <f>AP576+AQ576+AR576+AS576</f>
        <v>2607.7999999999997</v>
      </c>
      <c r="AP576" s="26"/>
      <c r="AQ576" s="26"/>
      <c r="AR576" s="26"/>
      <c r="AS576" s="26">
        <f>2679.7-0.6+86+23.2-144-36.5</f>
        <v>2607.7999999999997</v>
      </c>
      <c r="AT576" s="26">
        <f>AU576+AV576+AW576+AX576</f>
        <v>2679.7</v>
      </c>
      <c r="AU576" s="26"/>
      <c r="AV576" s="26"/>
      <c r="AW576" s="26"/>
      <c r="AX576" s="26">
        <v>2679.7</v>
      </c>
      <c r="AY576" s="26">
        <f>AZ576+BA576+BB576+BC576</f>
        <v>2679.7</v>
      </c>
      <c r="AZ576" s="26"/>
      <c r="BA576" s="26"/>
      <c r="BB576" s="26"/>
      <c r="BC576" s="26">
        <v>2679.7</v>
      </c>
      <c r="BD576" s="26">
        <f t="shared" si="164"/>
        <v>2679.7</v>
      </c>
      <c r="BE576" s="26"/>
      <c r="BF576" s="26"/>
      <c r="BG576" s="26"/>
      <c r="BH576" s="26">
        <v>2679.7</v>
      </c>
    </row>
    <row r="577" spans="1:60" ht="35.65" customHeight="1" thickBot="1">
      <c r="A577" s="193" t="s">
        <v>217</v>
      </c>
      <c r="B577" s="174"/>
      <c r="C577" s="43" t="s">
        <v>105</v>
      </c>
      <c r="D577" s="43" t="s">
        <v>106</v>
      </c>
      <c r="E577" s="43" t="s">
        <v>107</v>
      </c>
      <c r="F577" s="26"/>
      <c r="G577" s="26"/>
      <c r="H577" s="26"/>
      <c r="I577" s="26"/>
      <c r="J577" s="43" t="s">
        <v>211</v>
      </c>
      <c r="K577" s="43" t="s">
        <v>212</v>
      </c>
      <c r="L577" s="43" t="s">
        <v>213</v>
      </c>
      <c r="M577" s="98"/>
      <c r="N577" s="43"/>
      <c r="O577" s="26"/>
      <c r="P577" s="26"/>
      <c r="Q577" s="26"/>
      <c r="R577" s="26"/>
      <c r="S577" s="26"/>
      <c r="T577" s="43"/>
      <c r="U577" s="43"/>
      <c r="V577" s="43"/>
      <c r="W577" s="132" t="s">
        <v>192</v>
      </c>
      <c r="X577" s="43" t="s">
        <v>112</v>
      </c>
      <c r="Y577" s="43"/>
      <c r="Z577" s="43" t="s">
        <v>384</v>
      </c>
      <c r="AA577" s="43" t="s">
        <v>112</v>
      </c>
      <c r="AB577" s="26"/>
      <c r="AC577" s="26"/>
      <c r="AD577" s="52" t="s">
        <v>1051</v>
      </c>
      <c r="AE577" s="26">
        <f t="shared" si="165"/>
        <v>312.50000000000006</v>
      </c>
      <c r="AF577" s="26">
        <f t="shared" si="160"/>
        <v>312.5</v>
      </c>
      <c r="AG577" s="26"/>
      <c r="AH577" s="26"/>
      <c r="AI577" s="26">
        <v>35.200000000000003</v>
      </c>
      <c r="AJ577" s="26">
        <v>35.200000000000003</v>
      </c>
      <c r="AK577" s="26"/>
      <c r="AL577" s="26"/>
      <c r="AM577" s="26">
        <f>273.6+27.3+11.6-35.2</f>
        <v>277.30000000000007</v>
      </c>
      <c r="AN577" s="26">
        <f>312.5-35.2</f>
        <v>277.3</v>
      </c>
      <c r="AO577" s="26">
        <f t="shared" si="161"/>
        <v>336.3</v>
      </c>
      <c r="AP577" s="26"/>
      <c r="AQ577" s="26"/>
      <c r="AR577" s="26"/>
      <c r="AS577" s="26">
        <f>297.8+10.3+15.3+12.9</f>
        <v>336.3</v>
      </c>
      <c r="AT577" s="26">
        <f t="shared" ref="AT577:AT581" si="167">AU577+AV577+AW577+AX577</f>
        <v>297.8</v>
      </c>
      <c r="AU577" s="26"/>
      <c r="AV577" s="26"/>
      <c r="AW577" s="26"/>
      <c r="AX577" s="26">
        <v>297.8</v>
      </c>
      <c r="AY577" s="26">
        <f t="shared" si="163"/>
        <v>297.8</v>
      </c>
      <c r="AZ577" s="26"/>
      <c r="BA577" s="26"/>
      <c r="BB577" s="26"/>
      <c r="BC577" s="26">
        <v>297.8</v>
      </c>
      <c r="BD577" s="26">
        <f t="shared" si="164"/>
        <v>297.8</v>
      </c>
      <c r="BE577" s="26"/>
      <c r="BF577" s="26"/>
      <c r="BG577" s="26"/>
      <c r="BH577" s="26">
        <v>297.8</v>
      </c>
    </row>
    <row r="578" spans="1:60" ht="35.65" customHeight="1" thickBot="1">
      <c r="A578" s="193" t="s">
        <v>249</v>
      </c>
      <c r="B578" s="174"/>
      <c r="C578" s="20" t="s">
        <v>181</v>
      </c>
      <c r="D578" s="20" t="s">
        <v>153</v>
      </c>
      <c r="E578" s="20" t="s">
        <v>182</v>
      </c>
      <c r="F578" s="20"/>
      <c r="G578" s="20"/>
      <c r="H578" s="20"/>
      <c r="I578" s="20"/>
      <c r="J578" s="20" t="s">
        <v>183</v>
      </c>
      <c r="K578" s="20" t="s">
        <v>109</v>
      </c>
      <c r="L578" s="20" t="s">
        <v>125</v>
      </c>
      <c r="M578" s="175" t="s">
        <v>381</v>
      </c>
      <c r="N578" s="20" t="s">
        <v>112</v>
      </c>
      <c r="O578" s="20"/>
      <c r="P578" s="20"/>
      <c r="Q578" s="20"/>
      <c r="R578" s="20"/>
      <c r="S578" s="20"/>
      <c r="T578" s="20"/>
      <c r="U578" s="20"/>
      <c r="V578" s="10"/>
      <c r="W578" s="175" t="s">
        <v>385</v>
      </c>
      <c r="X578" s="20" t="s">
        <v>112</v>
      </c>
      <c r="Y578" s="10"/>
      <c r="Z578" s="175" t="s">
        <v>385</v>
      </c>
      <c r="AA578" s="20" t="s">
        <v>112</v>
      </c>
      <c r="AB578" s="26"/>
      <c r="AC578" s="26"/>
      <c r="AD578" s="52" t="s">
        <v>1052</v>
      </c>
      <c r="AE578" s="26">
        <f t="shared" si="165"/>
        <v>2437.4</v>
      </c>
      <c r="AF578" s="26">
        <f t="shared" si="160"/>
        <v>2422.6</v>
      </c>
      <c r="AG578" s="26"/>
      <c r="AH578" s="26"/>
      <c r="AI578" s="26">
        <v>101.4</v>
      </c>
      <c r="AJ578" s="26">
        <v>101.4</v>
      </c>
      <c r="AK578" s="26"/>
      <c r="AL578" s="26"/>
      <c r="AM578" s="26">
        <f>2382+101.4-46-101.4</f>
        <v>2336</v>
      </c>
      <c r="AN578" s="26">
        <f>2422.6-101.4</f>
        <v>2321.1999999999998</v>
      </c>
      <c r="AO578" s="26">
        <f t="shared" si="161"/>
        <v>2480.6</v>
      </c>
      <c r="AP578" s="26"/>
      <c r="AQ578" s="26"/>
      <c r="AR578" s="26"/>
      <c r="AS578" s="26">
        <f>2554.5+86.1-160</f>
        <v>2480.6</v>
      </c>
      <c r="AT578" s="26">
        <f t="shared" si="167"/>
        <v>2554.5</v>
      </c>
      <c r="AU578" s="26"/>
      <c r="AV578" s="26"/>
      <c r="AW578" s="26"/>
      <c r="AX578" s="26">
        <v>2554.5</v>
      </c>
      <c r="AY578" s="26">
        <f t="shared" si="163"/>
        <v>2554.5</v>
      </c>
      <c r="AZ578" s="26"/>
      <c r="BA578" s="26"/>
      <c r="BB578" s="26"/>
      <c r="BC578" s="26">
        <v>2554.5</v>
      </c>
      <c r="BD578" s="26">
        <f t="shared" si="164"/>
        <v>2554.5</v>
      </c>
      <c r="BE578" s="26"/>
      <c r="BF578" s="26"/>
      <c r="BG578" s="26"/>
      <c r="BH578" s="26">
        <v>2554.5</v>
      </c>
    </row>
    <row r="579" spans="1:60" ht="35.65" customHeight="1" thickBot="1">
      <c r="A579" s="193" t="s">
        <v>386</v>
      </c>
      <c r="B579" s="174"/>
      <c r="C579" s="20"/>
      <c r="D579" s="20"/>
      <c r="E579" s="20"/>
      <c r="F579" s="20"/>
      <c r="G579" s="20"/>
      <c r="H579" s="20"/>
      <c r="I579" s="20"/>
      <c r="J579" s="20"/>
      <c r="K579" s="20"/>
      <c r="L579" s="20"/>
      <c r="M579" s="175"/>
      <c r="N579" s="20"/>
      <c r="O579" s="20"/>
      <c r="P579" s="20"/>
      <c r="Q579" s="20"/>
      <c r="R579" s="20"/>
      <c r="S579" s="20"/>
      <c r="T579" s="20"/>
      <c r="U579" s="20"/>
      <c r="V579" s="10"/>
      <c r="W579" s="197"/>
      <c r="X579" s="20"/>
      <c r="Y579" s="10"/>
      <c r="Z579" s="175"/>
      <c r="AA579" s="20"/>
      <c r="AB579" s="26"/>
      <c r="AC579" s="26"/>
      <c r="AD579" s="52" t="s">
        <v>1053</v>
      </c>
      <c r="AE579" s="26">
        <f t="shared" ref="AE579" si="168">AM579</f>
        <v>201.4</v>
      </c>
      <c r="AF579" s="26">
        <f>AH579+AJ579+AL579+AN579</f>
        <v>201.4</v>
      </c>
      <c r="AG579" s="26"/>
      <c r="AH579" s="26"/>
      <c r="AI579" s="26"/>
      <c r="AJ579" s="26"/>
      <c r="AK579" s="26"/>
      <c r="AL579" s="26"/>
      <c r="AM579" s="26">
        <v>201.4</v>
      </c>
      <c r="AN579" s="26">
        <v>201.4</v>
      </c>
      <c r="AO579" s="26">
        <f t="shared" si="161"/>
        <v>1606.6999999999998</v>
      </c>
      <c r="AP579" s="26"/>
      <c r="AQ579" s="26"/>
      <c r="AR579" s="26"/>
      <c r="AS579" s="26">
        <f>2209.7-76+43-570</f>
        <v>1606.6999999999998</v>
      </c>
      <c r="AT579" s="26">
        <f t="shared" si="167"/>
        <v>2209.6999999999998</v>
      </c>
      <c r="AU579" s="26"/>
      <c r="AV579" s="26"/>
      <c r="AW579" s="26"/>
      <c r="AX579" s="26">
        <v>2209.6999999999998</v>
      </c>
      <c r="AY579" s="26">
        <f t="shared" si="163"/>
        <v>2209.6999999999998</v>
      </c>
      <c r="AZ579" s="26"/>
      <c r="BA579" s="26"/>
      <c r="BB579" s="26"/>
      <c r="BC579" s="26">
        <v>2209.6999999999998</v>
      </c>
      <c r="BD579" s="26">
        <f t="shared" si="164"/>
        <v>2209.6999999999998</v>
      </c>
      <c r="BE579" s="26"/>
      <c r="BF579" s="26"/>
      <c r="BG579" s="26"/>
      <c r="BH579" s="26">
        <v>2209.6999999999998</v>
      </c>
    </row>
    <row r="580" spans="1:60" ht="35.65" customHeight="1" thickBot="1">
      <c r="A580" s="193" t="s">
        <v>387</v>
      </c>
      <c r="B580" s="174"/>
      <c r="C580" s="20" t="s">
        <v>181</v>
      </c>
      <c r="D580" s="20" t="s">
        <v>153</v>
      </c>
      <c r="E580" s="20" t="s">
        <v>182</v>
      </c>
      <c r="F580" s="26"/>
      <c r="G580" s="26"/>
      <c r="H580" s="26"/>
      <c r="I580" s="26"/>
      <c r="J580" s="20" t="s">
        <v>150</v>
      </c>
      <c r="K580" s="20" t="s">
        <v>109</v>
      </c>
      <c r="L580" s="20" t="s">
        <v>125</v>
      </c>
      <c r="M580" s="20" t="s">
        <v>400</v>
      </c>
      <c r="N580" s="20" t="s">
        <v>112</v>
      </c>
      <c r="O580" s="20" t="s">
        <v>401</v>
      </c>
      <c r="P580" s="26"/>
      <c r="Q580" s="26"/>
      <c r="R580" s="26"/>
      <c r="S580" s="26"/>
      <c r="T580" s="26"/>
      <c r="U580" s="26"/>
      <c r="V580" s="26"/>
      <c r="W580" s="198" t="s">
        <v>115</v>
      </c>
      <c r="X580" s="20" t="s">
        <v>112</v>
      </c>
      <c r="Y580" s="98"/>
      <c r="Z580" s="98" t="s">
        <v>402</v>
      </c>
      <c r="AA580" s="20" t="s">
        <v>112</v>
      </c>
      <c r="AB580" s="26"/>
      <c r="AC580" s="26"/>
      <c r="AD580" s="52" t="s">
        <v>1054</v>
      </c>
      <c r="AE580" s="26">
        <f>AI580+AM580</f>
        <v>2104.4</v>
      </c>
      <c r="AF580" s="26">
        <f t="shared" si="160"/>
        <v>2078.1999999999998</v>
      </c>
      <c r="AG580" s="26"/>
      <c r="AH580" s="26"/>
      <c r="AI580" s="26">
        <v>78.599999999999994</v>
      </c>
      <c r="AJ580" s="26">
        <v>78.599999999999994</v>
      </c>
      <c r="AK580" s="26"/>
      <c r="AL580" s="26"/>
      <c r="AM580" s="26">
        <f>1947.7+78.6+78.1-78.6</f>
        <v>2025.8000000000002</v>
      </c>
      <c r="AN580" s="26">
        <f>2078.2-78.6</f>
        <v>1999.6</v>
      </c>
      <c r="AO580" s="26">
        <f t="shared" si="161"/>
        <v>2270.8999999999996</v>
      </c>
      <c r="AP580" s="26"/>
      <c r="AQ580" s="26"/>
      <c r="AR580" s="26"/>
      <c r="AS580" s="26">
        <f>2069.1+64.6+59.2+78</f>
        <v>2270.8999999999996</v>
      </c>
      <c r="AT580" s="26">
        <f t="shared" si="167"/>
        <v>2069.1</v>
      </c>
      <c r="AU580" s="26"/>
      <c r="AV580" s="26"/>
      <c r="AW580" s="26"/>
      <c r="AX580" s="26">
        <v>2069.1</v>
      </c>
      <c r="AY580" s="26">
        <f t="shared" si="163"/>
        <v>2069.1</v>
      </c>
      <c r="AZ580" s="26"/>
      <c r="BA580" s="26"/>
      <c r="BB580" s="26"/>
      <c r="BC580" s="26">
        <v>2069.1</v>
      </c>
      <c r="BD580" s="26">
        <f t="shared" si="164"/>
        <v>2069.1</v>
      </c>
      <c r="BE580" s="26"/>
      <c r="BF580" s="26"/>
      <c r="BG580" s="26"/>
      <c r="BH580" s="26">
        <v>2069.1</v>
      </c>
    </row>
    <row r="581" spans="1:60" ht="35.65" customHeight="1" thickBot="1">
      <c r="A581" s="193" t="s">
        <v>387</v>
      </c>
      <c r="B581" s="174"/>
      <c r="C581" s="20" t="s">
        <v>181</v>
      </c>
      <c r="D581" s="20" t="s">
        <v>153</v>
      </c>
      <c r="E581" s="20" t="s">
        <v>182</v>
      </c>
      <c r="F581" s="26"/>
      <c r="G581" s="26"/>
      <c r="H581" s="26"/>
      <c r="I581" s="26"/>
      <c r="J581" s="20" t="s">
        <v>150</v>
      </c>
      <c r="K581" s="20" t="s">
        <v>109</v>
      </c>
      <c r="L581" s="20" t="s">
        <v>125</v>
      </c>
      <c r="M581" s="20" t="s">
        <v>400</v>
      </c>
      <c r="N581" s="20" t="s">
        <v>112</v>
      </c>
      <c r="O581" s="20" t="s">
        <v>401</v>
      </c>
      <c r="P581" s="26"/>
      <c r="Q581" s="26"/>
      <c r="R581" s="26"/>
      <c r="S581" s="26"/>
      <c r="T581" s="26"/>
      <c r="U581" s="26"/>
      <c r="V581" s="26"/>
      <c r="W581" s="198" t="s">
        <v>115</v>
      </c>
      <c r="X581" s="20" t="s">
        <v>112</v>
      </c>
      <c r="Y581" s="98"/>
      <c r="Z581" s="98" t="s">
        <v>402</v>
      </c>
      <c r="AA581" s="20" t="s">
        <v>112</v>
      </c>
      <c r="AB581" s="26"/>
      <c r="AC581" s="26"/>
      <c r="AD581" s="52" t="s">
        <v>1055</v>
      </c>
      <c r="AE581" s="26">
        <f>AI581+AM581</f>
        <v>334.40000000000003</v>
      </c>
      <c r="AF581" s="26">
        <f t="shared" si="160"/>
        <v>326.10000000000002</v>
      </c>
      <c r="AG581" s="26"/>
      <c r="AH581" s="26"/>
      <c r="AI581" s="26">
        <v>42.5</v>
      </c>
      <c r="AJ581" s="26">
        <v>42.5</v>
      </c>
      <c r="AK581" s="26"/>
      <c r="AL581" s="26"/>
      <c r="AM581" s="26">
        <f>333.1+33.3+14.1-46-0.1-42.5</f>
        <v>291.90000000000003</v>
      </c>
      <c r="AN581" s="26">
        <f>326.1-42.5</f>
        <v>283.60000000000002</v>
      </c>
      <c r="AO581" s="26">
        <f t="shared" si="161"/>
        <v>416.5</v>
      </c>
      <c r="AP581" s="26"/>
      <c r="AQ581" s="26"/>
      <c r="AR581" s="26"/>
      <c r="AS581" s="26">
        <f>362+12.7+41.8</f>
        <v>416.5</v>
      </c>
      <c r="AT581" s="26">
        <f t="shared" si="167"/>
        <v>362</v>
      </c>
      <c r="AU581" s="26"/>
      <c r="AV581" s="26"/>
      <c r="AW581" s="26"/>
      <c r="AX581" s="26">
        <v>362</v>
      </c>
      <c r="AY581" s="26">
        <f t="shared" si="163"/>
        <v>362</v>
      </c>
      <c r="AZ581" s="26"/>
      <c r="BA581" s="26"/>
      <c r="BB581" s="26"/>
      <c r="BC581" s="26">
        <v>362</v>
      </c>
      <c r="BD581" s="26">
        <f t="shared" si="164"/>
        <v>362</v>
      </c>
      <c r="BE581" s="26"/>
      <c r="BF581" s="26"/>
      <c r="BG581" s="26"/>
      <c r="BH581" s="26">
        <v>362</v>
      </c>
    </row>
    <row r="582" spans="1:60" ht="35.65" customHeight="1">
      <c r="A582" s="177" t="s">
        <v>42</v>
      </c>
      <c r="B582" s="174"/>
      <c r="C582" s="103"/>
      <c r="D582" s="17"/>
      <c r="E582" s="17"/>
      <c r="F582" s="26"/>
      <c r="G582" s="26"/>
      <c r="H582" s="26"/>
      <c r="I582" s="26"/>
      <c r="J582" s="103"/>
      <c r="K582" s="20"/>
      <c r="L582" s="20"/>
      <c r="M582" s="20"/>
      <c r="N582" s="20"/>
      <c r="O582" s="20"/>
      <c r="P582" s="26"/>
      <c r="Q582" s="26"/>
      <c r="R582" s="26"/>
      <c r="S582" s="26"/>
      <c r="T582" s="56"/>
      <c r="U582" s="56"/>
      <c r="V582" s="56"/>
      <c r="W582" s="198"/>
      <c r="X582" s="17"/>
      <c r="Y582" s="104"/>
      <c r="Z582" s="100"/>
      <c r="AA582" s="20"/>
      <c r="AB582" s="26"/>
      <c r="AC582" s="26"/>
      <c r="AD582" s="52" t="s">
        <v>1056</v>
      </c>
      <c r="AE582" s="26">
        <f>AG582+AI582+AK582+AM582</f>
        <v>15.6</v>
      </c>
      <c r="AF582" s="26">
        <f t="shared" si="160"/>
        <v>8.9</v>
      </c>
      <c r="AG582" s="26"/>
      <c r="AH582" s="26"/>
      <c r="AI582" s="26">
        <v>15.6</v>
      </c>
      <c r="AJ582" s="26">
        <v>8.9</v>
      </c>
      <c r="AK582" s="26"/>
      <c r="AL582" s="26"/>
      <c r="AM582" s="26"/>
      <c r="AN582" s="26"/>
      <c r="AO582" s="26"/>
      <c r="AP582" s="26"/>
      <c r="AQ582" s="26"/>
      <c r="AR582" s="26"/>
      <c r="AS582" s="26"/>
      <c r="AT582" s="26"/>
      <c r="AU582" s="26"/>
      <c r="AV582" s="26"/>
      <c r="AW582" s="26"/>
      <c r="AX582" s="26"/>
      <c r="AY582" s="26"/>
      <c r="AZ582" s="26"/>
      <c r="BA582" s="26"/>
      <c r="BB582" s="26"/>
      <c r="BC582" s="26"/>
      <c r="BD582" s="26"/>
      <c r="BE582" s="26"/>
      <c r="BF582" s="26"/>
      <c r="BG582" s="26"/>
      <c r="BH582" s="26"/>
    </row>
    <row r="583" spans="1:60" ht="35.65" customHeight="1">
      <c r="A583" s="179" t="s">
        <v>42</v>
      </c>
      <c r="B583" s="30"/>
      <c r="C583" s="386" t="s">
        <v>181</v>
      </c>
      <c r="D583" s="199"/>
      <c r="E583" s="199"/>
      <c r="F583" s="26"/>
      <c r="G583" s="26"/>
      <c r="H583" s="26"/>
      <c r="I583" s="26"/>
      <c r="J583" s="200" t="s">
        <v>403</v>
      </c>
      <c r="K583" s="96"/>
      <c r="L583" s="117" t="s">
        <v>404</v>
      </c>
      <c r="M583" s="96"/>
      <c r="N583" s="96"/>
      <c r="O583" s="96"/>
      <c r="P583" s="96"/>
      <c r="Q583" s="96"/>
      <c r="R583" s="96"/>
      <c r="S583" s="96"/>
      <c r="T583" s="200" t="s">
        <v>405</v>
      </c>
      <c r="U583" s="200" t="s">
        <v>391</v>
      </c>
      <c r="V583" s="201" t="s">
        <v>392</v>
      </c>
      <c r="W583" s="202" t="s">
        <v>390</v>
      </c>
      <c r="X583" s="203"/>
      <c r="Y583" s="204"/>
      <c r="Z583" s="183"/>
      <c r="AA583" s="26"/>
      <c r="AB583" s="26"/>
      <c r="AC583" s="26"/>
      <c r="AD583" s="52" t="s">
        <v>1057</v>
      </c>
      <c r="AE583" s="26">
        <f>AI583+AM583</f>
        <v>7243.2000000000007</v>
      </c>
      <c r="AF583" s="26">
        <f t="shared" si="160"/>
        <v>7221.2</v>
      </c>
      <c r="AG583" s="26"/>
      <c r="AH583" s="26"/>
      <c r="AI583" s="26">
        <v>252.2</v>
      </c>
      <c r="AJ583" s="26">
        <v>252.2</v>
      </c>
      <c r="AK583" s="26"/>
      <c r="AL583" s="26"/>
      <c r="AM583" s="26">
        <f>7226-3.7+0.1+252.2-231.4-252.2</f>
        <v>6991.0000000000009</v>
      </c>
      <c r="AN583" s="26">
        <f>7221.2-252.2</f>
        <v>6969</v>
      </c>
      <c r="AO583" s="26">
        <f>AP583+AQ583+AR583+AS583</f>
        <v>8001.4</v>
      </c>
      <c r="AP583" s="26"/>
      <c r="AQ583" s="26"/>
      <c r="AR583" s="26"/>
      <c r="AS583" s="26">
        <f>7788+236.9-23.5</f>
        <v>8001.4</v>
      </c>
      <c r="AT583" s="26">
        <f>AU583+AV583+AW583+AX583</f>
        <v>7788</v>
      </c>
      <c r="AU583" s="26"/>
      <c r="AV583" s="26"/>
      <c r="AW583" s="26"/>
      <c r="AX583" s="26">
        <v>7788</v>
      </c>
      <c r="AY583" s="26">
        <f>AZ583+BA583+BB583+BC583</f>
        <v>7788</v>
      </c>
      <c r="AZ583" s="26"/>
      <c r="BA583" s="26"/>
      <c r="BB583" s="26"/>
      <c r="BC583" s="26">
        <v>7788</v>
      </c>
      <c r="BD583" s="26">
        <f>BE583+BF583+BG583+BH583</f>
        <v>7788</v>
      </c>
      <c r="BE583" s="26"/>
      <c r="BF583" s="26"/>
      <c r="BG583" s="26"/>
      <c r="BH583" s="26">
        <v>7788</v>
      </c>
    </row>
    <row r="584" spans="1:60" ht="35.65" customHeight="1">
      <c r="A584" s="179" t="s">
        <v>42</v>
      </c>
      <c r="B584" s="30"/>
      <c r="C584" s="387"/>
      <c r="D584" s="205"/>
      <c r="E584" s="205"/>
      <c r="F584" s="26"/>
      <c r="G584" s="26"/>
      <c r="H584" s="26"/>
      <c r="I584" s="26"/>
      <c r="J584" s="20"/>
      <c r="K584" s="40"/>
      <c r="L584" s="40"/>
      <c r="M584" s="26"/>
      <c r="N584" s="26"/>
      <c r="O584" s="26"/>
      <c r="P584" s="26"/>
      <c r="Q584" s="26"/>
      <c r="R584" s="26"/>
      <c r="S584" s="26"/>
      <c r="T584" s="26"/>
      <c r="U584" s="26"/>
      <c r="V584" s="26"/>
      <c r="W584" s="206" t="s">
        <v>405</v>
      </c>
      <c r="X584" s="207"/>
      <c r="Y584" s="207"/>
      <c r="Z584" s="152"/>
      <c r="AA584" s="208"/>
      <c r="AB584" s="207"/>
      <c r="AC584" s="26"/>
      <c r="AD584" s="52" t="s">
        <v>1058</v>
      </c>
      <c r="AE584" s="26">
        <f>AI584+AM584</f>
        <v>480.5</v>
      </c>
      <c r="AF584" s="26">
        <f t="shared" si="160"/>
        <v>468.6</v>
      </c>
      <c r="AG584" s="26"/>
      <c r="AH584" s="26"/>
      <c r="AI584" s="26">
        <v>46.6</v>
      </c>
      <c r="AJ584" s="26">
        <v>46.6</v>
      </c>
      <c r="AK584" s="26"/>
      <c r="AL584" s="26"/>
      <c r="AM584" s="26">
        <f>433.9+7.9+26.8+0.1+11.8-46.6</f>
        <v>433.9</v>
      </c>
      <c r="AN584" s="26">
        <f>468.6-46.6</f>
        <v>422</v>
      </c>
      <c r="AO584" s="26">
        <f t="shared" si="161"/>
        <v>522.20000000000005</v>
      </c>
      <c r="AP584" s="26"/>
      <c r="AQ584" s="26"/>
      <c r="AR584" s="26"/>
      <c r="AS584" s="26">
        <f>473+10.2+39</f>
        <v>522.20000000000005</v>
      </c>
      <c r="AT584" s="26">
        <f t="shared" ref="AT584" si="169">AU584+AV584+AW584+AX584</f>
        <v>473</v>
      </c>
      <c r="AU584" s="26"/>
      <c r="AV584" s="26"/>
      <c r="AW584" s="26"/>
      <c r="AX584" s="26">
        <v>473</v>
      </c>
      <c r="AY584" s="26">
        <f t="shared" si="163"/>
        <v>473</v>
      </c>
      <c r="AZ584" s="26"/>
      <c r="BA584" s="26"/>
      <c r="BB584" s="26"/>
      <c r="BC584" s="26">
        <v>473</v>
      </c>
      <c r="BD584" s="26">
        <f>BE584+BF584+BG584+BH584</f>
        <v>473</v>
      </c>
      <c r="BE584" s="26"/>
      <c r="BF584" s="26"/>
      <c r="BG584" s="26"/>
      <c r="BH584" s="26">
        <v>473</v>
      </c>
    </row>
    <row r="585" spans="1:60" ht="35.65" customHeight="1" thickBot="1">
      <c r="A585" s="27" t="s">
        <v>406</v>
      </c>
      <c r="B585" s="22">
        <v>2601</v>
      </c>
      <c r="C585" s="183"/>
      <c r="D585" s="205"/>
      <c r="E585" s="205"/>
      <c r="F585" s="64"/>
      <c r="G585" s="64"/>
      <c r="H585" s="64"/>
      <c r="I585" s="64"/>
      <c r="J585" s="18"/>
      <c r="K585" s="183"/>
      <c r="L585" s="183"/>
      <c r="M585" s="64"/>
      <c r="N585" s="64"/>
      <c r="O585" s="64"/>
      <c r="P585" s="64"/>
      <c r="Q585" s="64"/>
      <c r="R585" s="64"/>
      <c r="S585" s="64"/>
      <c r="T585" s="64"/>
      <c r="U585" s="64"/>
      <c r="V585" s="64"/>
      <c r="W585" s="209"/>
      <c r="X585" s="183"/>
      <c r="Y585" s="183"/>
      <c r="Z585" s="183"/>
      <c r="AA585" s="183"/>
      <c r="AB585" s="183"/>
      <c r="AC585" s="64">
        <v>13</v>
      </c>
      <c r="AD585" s="77"/>
      <c r="AE585" s="64"/>
      <c r="AF585" s="64"/>
      <c r="AG585" s="64"/>
      <c r="AH585" s="64"/>
      <c r="AI585" s="64"/>
      <c r="AJ585" s="64"/>
      <c r="AK585" s="64"/>
      <c r="AL585" s="64"/>
      <c r="AM585" s="64"/>
      <c r="AN585" s="64"/>
      <c r="AO585" s="64"/>
      <c r="AP585" s="64"/>
      <c r="AQ585" s="64"/>
      <c r="AR585" s="64"/>
      <c r="AS585" s="64"/>
      <c r="AT585" s="64"/>
      <c r="AU585" s="64"/>
      <c r="AV585" s="64"/>
      <c r="AW585" s="64"/>
      <c r="AX585" s="64"/>
      <c r="AY585" s="64"/>
      <c r="AZ585" s="64"/>
      <c r="BA585" s="64"/>
      <c r="BB585" s="64"/>
      <c r="BC585" s="64"/>
      <c r="BD585" s="64"/>
      <c r="BE585" s="64"/>
      <c r="BF585" s="64"/>
      <c r="BG585" s="64"/>
      <c r="BH585" s="64"/>
    </row>
    <row r="586" spans="1:60" ht="35.65" customHeight="1" thickBot="1">
      <c r="A586" s="31" t="s">
        <v>407</v>
      </c>
      <c r="B586" s="22">
        <v>2602</v>
      </c>
      <c r="C586" s="190"/>
      <c r="D586" s="210"/>
      <c r="E586" s="210"/>
      <c r="F586" s="81"/>
      <c r="G586" s="81"/>
      <c r="H586" s="81"/>
      <c r="I586" s="81"/>
      <c r="J586" s="211"/>
      <c r="K586" s="190"/>
      <c r="L586" s="190"/>
      <c r="M586" s="81"/>
      <c r="N586" s="81"/>
      <c r="O586" s="81"/>
      <c r="P586" s="81"/>
      <c r="Q586" s="81"/>
      <c r="R586" s="81"/>
      <c r="S586" s="81"/>
      <c r="T586" s="81"/>
      <c r="U586" s="81"/>
      <c r="V586" s="81"/>
      <c r="W586" s="212"/>
      <c r="X586" s="190"/>
      <c r="Y586" s="190"/>
      <c r="Z586" s="190"/>
      <c r="AA586" s="190"/>
      <c r="AB586" s="190"/>
      <c r="AC586" s="34"/>
      <c r="AD586" s="34"/>
      <c r="AE586" s="34">
        <f t="shared" ref="AE586:BH586" si="170">AE587</f>
        <v>0</v>
      </c>
      <c r="AF586" s="34"/>
      <c r="AG586" s="34">
        <f t="shared" si="170"/>
        <v>0</v>
      </c>
      <c r="AH586" s="34">
        <f t="shared" si="170"/>
        <v>0</v>
      </c>
      <c r="AI586" s="34">
        <f t="shared" si="170"/>
        <v>0</v>
      </c>
      <c r="AJ586" s="34">
        <f t="shared" si="170"/>
        <v>0</v>
      </c>
      <c r="AK586" s="34">
        <f t="shared" si="170"/>
        <v>0</v>
      </c>
      <c r="AL586" s="34"/>
      <c r="AM586" s="34">
        <f t="shared" si="170"/>
        <v>0</v>
      </c>
      <c r="AN586" s="34">
        <f t="shared" si="170"/>
        <v>0</v>
      </c>
      <c r="AO586" s="34">
        <f t="shared" si="170"/>
        <v>7.6</v>
      </c>
      <c r="AP586" s="34">
        <f t="shared" si="170"/>
        <v>0</v>
      </c>
      <c r="AQ586" s="34">
        <f t="shared" si="170"/>
        <v>0</v>
      </c>
      <c r="AR586" s="34">
        <f t="shared" si="170"/>
        <v>0</v>
      </c>
      <c r="AS586" s="34">
        <f t="shared" si="170"/>
        <v>7.6</v>
      </c>
      <c r="AT586" s="34">
        <f t="shared" si="170"/>
        <v>0</v>
      </c>
      <c r="AU586" s="34">
        <f t="shared" si="170"/>
        <v>0</v>
      </c>
      <c r="AV586" s="34">
        <f t="shared" si="170"/>
        <v>0</v>
      </c>
      <c r="AW586" s="34">
        <f t="shared" si="170"/>
        <v>0</v>
      </c>
      <c r="AX586" s="34">
        <f t="shared" si="170"/>
        <v>0</v>
      </c>
      <c r="AY586" s="34">
        <f t="shared" si="170"/>
        <v>0</v>
      </c>
      <c r="AZ586" s="34">
        <f t="shared" si="170"/>
        <v>0</v>
      </c>
      <c r="BA586" s="34">
        <f t="shared" si="170"/>
        <v>0</v>
      </c>
      <c r="BB586" s="34">
        <f t="shared" si="170"/>
        <v>0</v>
      </c>
      <c r="BC586" s="34">
        <f t="shared" si="170"/>
        <v>0</v>
      </c>
      <c r="BD586" s="34">
        <f t="shared" si="170"/>
        <v>0</v>
      </c>
      <c r="BE586" s="34">
        <f t="shared" si="170"/>
        <v>0</v>
      </c>
      <c r="BF586" s="34">
        <f t="shared" si="170"/>
        <v>0</v>
      </c>
      <c r="BG586" s="34">
        <f t="shared" si="170"/>
        <v>0</v>
      </c>
      <c r="BH586" s="34">
        <f t="shared" si="170"/>
        <v>0</v>
      </c>
    </row>
    <row r="587" spans="1:60" ht="35.65" customHeight="1" thickBot="1">
      <c r="A587" s="27" t="s">
        <v>42</v>
      </c>
      <c r="B587" s="213"/>
      <c r="C587" s="186" t="s">
        <v>408</v>
      </c>
      <c r="D587" s="207" t="s">
        <v>409</v>
      </c>
      <c r="E587" s="214"/>
      <c r="F587" s="90"/>
      <c r="G587" s="90"/>
      <c r="H587" s="90"/>
      <c r="I587" s="90"/>
      <c r="J587" s="215" t="s">
        <v>410</v>
      </c>
      <c r="K587" s="186"/>
      <c r="L587" s="186"/>
      <c r="M587" s="90"/>
      <c r="N587" s="90"/>
      <c r="O587" s="90"/>
      <c r="P587" s="90"/>
      <c r="Q587" s="90"/>
      <c r="R587" s="90"/>
      <c r="S587" s="90"/>
      <c r="T587" s="216" t="s">
        <v>411</v>
      </c>
      <c r="U587" s="90"/>
      <c r="V587" s="90"/>
      <c r="W587" s="217"/>
      <c r="X587" s="186"/>
      <c r="Y587" s="183"/>
      <c r="Z587" s="183"/>
      <c r="AA587" s="183"/>
      <c r="AB587" s="183"/>
      <c r="AC587" s="64">
        <v>13</v>
      </c>
      <c r="AD587" s="77" t="s">
        <v>1059</v>
      </c>
      <c r="AE587" s="64"/>
      <c r="AF587" s="64"/>
      <c r="AG587" s="64"/>
      <c r="AH587" s="64"/>
      <c r="AI587" s="64"/>
      <c r="AJ587" s="64"/>
      <c r="AK587" s="64"/>
      <c r="AL587" s="64"/>
      <c r="AM587" s="64"/>
      <c r="AN587" s="64"/>
      <c r="AO587" s="64">
        <f>AS587</f>
        <v>7.6</v>
      </c>
      <c r="AP587" s="64"/>
      <c r="AQ587" s="64"/>
      <c r="AR587" s="64"/>
      <c r="AS587" s="64">
        <f>12.7-5.1</f>
        <v>7.6</v>
      </c>
      <c r="AT587" s="64"/>
      <c r="AU587" s="64"/>
      <c r="AV587" s="64"/>
      <c r="AW587" s="64"/>
      <c r="AX587" s="64"/>
      <c r="AY587" s="64"/>
      <c r="AZ587" s="64"/>
      <c r="BA587" s="64"/>
      <c r="BB587" s="64"/>
      <c r="BC587" s="64"/>
      <c r="BD587" s="64"/>
      <c r="BE587" s="64"/>
      <c r="BF587" s="64"/>
      <c r="BG587" s="64"/>
      <c r="BH587" s="64"/>
    </row>
    <row r="588" spans="1:60" ht="35.65" customHeight="1" thickBot="1">
      <c r="A588" s="31" t="s">
        <v>412</v>
      </c>
      <c r="B588" s="106">
        <v>2608</v>
      </c>
      <c r="C588" s="80"/>
      <c r="D588" s="81"/>
      <c r="E588" s="81"/>
      <c r="F588" s="81"/>
      <c r="G588" s="81"/>
      <c r="H588" s="81"/>
      <c r="I588" s="81"/>
      <c r="J588" s="81"/>
      <c r="K588" s="81"/>
      <c r="L588" s="81"/>
      <c r="M588" s="81"/>
      <c r="N588" s="81"/>
      <c r="O588" s="81"/>
      <c r="P588" s="81"/>
      <c r="Q588" s="81"/>
      <c r="R588" s="81"/>
      <c r="S588" s="81"/>
      <c r="T588" s="81"/>
      <c r="U588" s="81"/>
      <c r="V588" s="81"/>
      <c r="W588" s="209"/>
      <c r="X588" s="183"/>
      <c r="Y588" s="183"/>
      <c r="Z588" s="81"/>
      <c r="AA588" s="81"/>
      <c r="AB588" s="81"/>
      <c r="AC588" s="81">
        <v>1</v>
      </c>
      <c r="AD588" s="81"/>
      <c r="AE588" s="118">
        <f>AE589+AE590+AE592+AE593+AE594+AE595+AE596+AE597+AE598+AE599+AE600+AE603+AE604+AE605+AE606+VA606+AE601+AE602+AE608+AE609+AE607+AE591</f>
        <v>39299.900000000009</v>
      </c>
      <c r="AF588" s="118">
        <f>AH588+AJ588+AL588+AN588</f>
        <v>38469.300000000003</v>
      </c>
      <c r="AG588" s="118">
        <f>AG589+AG590+AG592+AG593+AG594+AG595+AG596+AG597+AG598+AG599+AG600+AG603+AG604+AG605+AG606+VB606+AG601+AG602+AG608+AG609+AG607+AG591</f>
        <v>0</v>
      </c>
      <c r="AH588" s="118">
        <f>AH589+AH590+AH592+AH593+AH594+AH595+AH596+AH597+AH598+AH599+AH600+AH603+AH604+AH605+AH606+VC606+AH601+AH602+AH608+AH609+AH607+AH591</f>
        <v>0</v>
      </c>
      <c r="AI588" s="118">
        <f>AI589+AI590+AI592+AI593+AI594+AI595+AI596+AI597+AI598+AI599+AI600+AI603+AI604+AI605+AI606+VC606+AI601+AI602+AI608+AI609+AI607+AI591</f>
        <v>4182</v>
      </c>
      <c r="AJ588" s="118">
        <f>AJ589+AJ590+AJ592+AJ593+AJ594+AJ595+AJ596+AJ597+AJ598+AJ599+AJ600+AJ603+AJ604+AJ605+AJ606+VD606+AJ601+AJ602+AJ608+AJ609+AJ607+AJ591</f>
        <v>4158.3</v>
      </c>
      <c r="AK588" s="118">
        <f>AK589+AK590+AK592+AK593+AK594+AK595+AK596+AK597+AK598+AK599+AK600+AK603+AK604+AK605+AK606+VD606+AK601+AK602+AK608+AK609+AK607+AK591</f>
        <v>0</v>
      </c>
      <c r="AL588" s="118"/>
      <c r="AM588" s="118">
        <f>AM589+AM590+AM592+AM593+AM594+AM595+AM596+AM597+AM598+AM599+AM600+AM603+AM604+AM605+AM606+VE606+AM601+AM602+AM608+AM609+AM607+AM591</f>
        <v>35117.900000000009</v>
      </c>
      <c r="AN588" s="118">
        <f>AN589+AN590+AN592+AN593+AN594+AN595+AN596+AN597+AN598+AN599+AN600+AN603+AN604+AN605+AN606+VF606+AN601+AN602+AN608+AN609+AN607+AN591</f>
        <v>34311</v>
      </c>
      <c r="AO588" s="118">
        <f t="shared" ref="AO588:AX588" si="171">AO589+AO590+AO592+AO593+AO594+AO595+AO596+AO597+AO598+AO599+AO600+AO603+AO604+AO605+AO606+KG606+AO601+AO602+AO607+AO608+AO609</f>
        <v>37372.399999999994</v>
      </c>
      <c r="AP588" s="118">
        <f t="shared" si="171"/>
        <v>0</v>
      </c>
      <c r="AQ588" s="118">
        <f t="shared" si="171"/>
        <v>162.5</v>
      </c>
      <c r="AR588" s="118">
        <f t="shared" si="171"/>
        <v>0</v>
      </c>
      <c r="AS588" s="118">
        <f t="shared" si="171"/>
        <v>37209.899999999994</v>
      </c>
      <c r="AT588" s="118">
        <f t="shared" si="171"/>
        <v>32857.700000000004</v>
      </c>
      <c r="AU588" s="118">
        <f t="shared" si="171"/>
        <v>0</v>
      </c>
      <c r="AV588" s="118">
        <f t="shared" si="171"/>
        <v>0</v>
      </c>
      <c r="AW588" s="118">
        <f t="shared" si="171"/>
        <v>0</v>
      </c>
      <c r="AX588" s="118">
        <f t="shared" si="171"/>
        <v>32857.700000000004</v>
      </c>
      <c r="AY588" s="118">
        <f t="shared" ref="AY588:BH588" si="172">AY589+AY590+AY592+AY593+AY594+AY595+AY596+AY597+AY598+AY599+AY600+AY603+AY604+AY605+AY606+JM606+AY601+AY602+AY607+AY608+AY609</f>
        <v>32857.700000000004</v>
      </c>
      <c r="AZ588" s="118">
        <f t="shared" si="172"/>
        <v>0</v>
      </c>
      <c r="BA588" s="118">
        <f t="shared" si="172"/>
        <v>0</v>
      </c>
      <c r="BB588" s="118">
        <f t="shared" si="172"/>
        <v>0</v>
      </c>
      <c r="BC588" s="118">
        <f t="shared" si="172"/>
        <v>32857.700000000004</v>
      </c>
      <c r="BD588" s="118">
        <f t="shared" si="172"/>
        <v>32857.700000000004</v>
      </c>
      <c r="BE588" s="118">
        <f t="shared" si="172"/>
        <v>0</v>
      </c>
      <c r="BF588" s="118">
        <f t="shared" si="172"/>
        <v>0</v>
      </c>
      <c r="BG588" s="118">
        <f t="shared" si="172"/>
        <v>0</v>
      </c>
      <c r="BH588" s="118">
        <f t="shared" si="172"/>
        <v>32857.700000000004</v>
      </c>
    </row>
    <row r="589" spans="1:60" ht="35.65" customHeight="1">
      <c r="A589" s="29" t="s">
        <v>50</v>
      </c>
      <c r="B589" s="62"/>
      <c r="C589" s="25"/>
      <c r="D589" s="26"/>
      <c r="E589" s="26"/>
      <c r="F589" s="26"/>
      <c r="G589" s="26"/>
      <c r="H589" s="26"/>
      <c r="I589" s="26"/>
      <c r="J589" s="26"/>
      <c r="K589" s="26"/>
      <c r="L589" s="26"/>
      <c r="M589" s="26"/>
      <c r="N589" s="26"/>
      <c r="O589" s="26"/>
      <c r="P589" s="43"/>
      <c r="Q589" s="26"/>
      <c r="R589" s="26"/>
      <c r="S589" s="26"/>
      <c r="T589" s="43"/>
      <c r="U589" s="26"/>
      <c r="V589" s="26"/>
      <c r="W589" s="375"/>
      <c r="X589" s="40"/>
      <c r="Y589" s="40"/>
      <c r="Z589" s="389" t="s">
        <v>413</v>
      </c>
      <c r="AA589" s="26"/>
      <c r="AB589" s="26"/>
      <c r="AC589" s="26"/>
      <c r="AD589" s="52" t="s">
        <v>1060</v>
      </c>
      <c r="AE589" s="26">
        <f>AG589+AI589+RM589+RN589</f>
        <v>0</v>
      </c>
      <c r="AF589" s="26">
        <f>AH589+AJ589+AL589+AN589</f>
        <v>0</v>
      </c>
      <c r="AG589" s="26"/>
      <c r="AH589" s="26"/>
      <c r="AI589" s="26"/>
      <c r="AJ589" s="26"/>
      <c r="AK589" s="26"/>
      <c r="AL589" s="26"/>
      <c r="AM589" s="26"/>
      <c r="AN589" s="26"/>
      <c r="AO589" s="26">
        <f>AP589+AQ589+AR589+AS589</f>
        <v>0</v>
      </c>
      <c r="AP589" s="26"/>
      <c r="AQ589" s="26"/>
      <c r="AR589" s="26"/>
      <c r="AS589" s="26"/>
      <c r="AT589" s="26">
        <f>AU589+AV589+AW589+AX589</f>
        <v>0</v>
      </c>
      <c r="AU589" s="26"/>
      <c r="AV589" s="26"/>
      <c r="AW589" s="26"/>
      <c r="AX589" s="26"/>
      <c r="AY589" s="26">
        <f>AZ589+BA589+BB589+BC589</f>
        <v>0</v>
      </c>
      <c r="AZ589" s="26"/>
      <c r="BA589" s="26"/>
      <c r="BB589" s="26"/>
      <c r="BC589" s="26"/>
      <c r="BD589" s="26">
        <f>BE589+BF589+BG589+BH589</f>
        <v>0</v>
      </c>
      <c r="BE589" s="26"/>
      <c r="BF589" s="26"/>
      <c r="BG589" s="26"/>
      <c r="BH589" s="26"/>
    </row>
    <row r="590" spans="1:60" ht="35.65" customHeight="1">
      <c r="A590" s="61" t="s">
        <v>50</v>
      </c>
      <c r="B590" s="53"/>
      <c r="C590" s="25"/>
      <c r="D590" s="26"/>
      <c r="E590" s="26"/>
      <c r="F590" s="26"/>
      <c r="G590" s="26"/>
      <c r="H590" s="26"/>
      <c r="I590" s="26"/>
      <c r="J590" s="26"/>
      <c r="K590" s="26"/>
      <c r="L590" s="26"/>
      <c r="M590" s="26"/>
      <c r="N590" s="26"/>
      <c r="O590" s="26"/>
      <c r="P590" s="26"/>
      <c r="Q590" s="26"/>
      <c r="R590" s="26"/>
      <c r="S590" s="26"/>
      <c r="T590" s="26"/>
      <c r="U590" s="26"/>
      <c r="V590" s="26"/>
      <c r="W590" s="388"/>
      <c r="X590" s="40"/>
      <c r="Y590" s="40"/>
      <c r="Z590" s="390"/>
      <c r="AA590" s="43"/>
      <c r="AB590" s="26"/>
      <c r="AC590" s="26"/>
      <c r="AD590" s="52" t="s">
        <v>1061</v>
      </c>
      <c r="AE590" s="26">
        <f>AG590+AI590+RM590+RN590</f>
        <v>20</v>
      </c>
      <c r="AF590" s="26">
        <f t="shared" ref="AF590:AF609" si="173">AH590+AJ590+AL590+AN590</f>
        <v>20</v>
      </c>
      <c r="AG590" s="26"/>
      <c r="AH590" s="26"/>
      <c r="AI590" s="26">
        <v>20</v>
      </c>
      <c r="AJ590" s="26">
        <v>20</v>
      </c>
      <c r="AK590" s="26"/>
      <c r="AL590" s="26"/>
      <c r="AM590" s="26"/>
      <c r="AN590" s="26"/>
      <c r="AO590" s="26">
        <f t="shared" ref="AO590:AO609" si="174">AP590+AQ590+AR590+AS590</f>
        <v>0</v>
      </c>
      <c r="AP590" s="26"/>
      <c r="AQ590" s="26">
        <v>0</v>
      </c>
      <c r="AR590" s="26"/>
      <c r="AS590" s="26"/>
      <c r="AT590" s="26">
        <f t="shared" ref="AT590" si="175">AU590+AV590+AW590+AX590</f>
        <v>0</v>
      </c>
      <c r="AU590" s="26"/>
      <c r="AV590" s="26">
        <v>0</v>
      </c>
      <c r="AW590" s="26"/>
      <c r="AX590" s="26"/>
      <c r="AY590" s="26">
        <f t="shared" ref="AY590:AY609" si="176">AZ590+BA590+BB590+BC590</f>
        <v>0</v>
      </c>
      <c r="AZ590" s="26"/>
      <c r="BA590" s="26">
        <v>0</v>
      </c>
      <c r="BB590" s="26"/>
      <c r="BC590" s="26"/>
      <c r="BD590" s="26">
        <f t="shared" ref="BD590:BD600" si="177">BE590+BF590+BG590+BH590</f>
        <v>0</v>
      </c>
      <c r="BE590" s="26"/>
      <c r="BF590" s="26">
        <v>0</v>
      </c>
      <c r="BG590" s="26"/>
      <c r="BH590" s="26"/>
    </row>
    <row r="591" spans="1:60" ht="35.65" customHeight="1">
      <c r="A591" s="61" t="s">
        <v>50</v>
      </c>
      <c r="B591" s="97"/>
      <c r="C591" s="25"/>
      <c r="D591" s="26"/>
      <c r="E591" s="26"/>
      <c r="F591" s="26"/>
      <c r="G591" s="26"/>
      <c r="H591" s="26"/>
      <c r="I591" s="26"/>
      <c r="J591" s="26"/>
      <c r="K591" s="26"/>
      <c r="L591" s="26"/>
      <c r="M591" s="26"/>
      <c r="N591" s="26"/>
      <c r="O591" s="26"/>
      <c r="P591" s="26"/>
      <c r="Q591" s="26"/>
      <c r="R591" s="26"/>
      <c r="S591" s="26"/>
      <c r="T591" s="26"/>
      <c r="U591" s="26"/>
      <c r="V591" s="26"/>
      <c r="W591" s="388"/>
      <c r="X591" s="40"/>
      <c r="Y591" s="40"/>
      <c r="Z591" s="148"/>
      <c r="AA591" s="43"/>
      <c r="AB591" s="26"/>
      <c r="AC591" s="26"/>
      <c r="AD591" s="52" t="s">
        <v>1062</v>
      </c>
      <c r="AE591" s="26">
        <f>AG591+AI591+RM591+RN591</f>
        <v>182.3</v>
      </c>
      <c r="AF591" s="26">
        <f t="shared" si="173"/>
        <v>158.6</v>
      </c>
      <c r="AG591" s="26"/>
      <c r="AH591" s="26"/>
      <c r="AI591" s="26">
        <v>182.3</v>
      </c>
      <c r="AJ591" s="26">
        <v>158.6</v>
      </c>
      <c r="AK591" s="26"/>
      <c r="AL591" s="26"/>
      <c r="AM591" s="26"/>
      <c r="AN591" s="26"/>
      <c r="AO591" s="26"/>
      <c r="AP591" s="26"/>
      <c r="AQ591" s="26"/>
      <c r="AR591" s="26"/>
      <c r="AS591" s="26"/>
      <c r="AT591" s="26"/>
      <c r="AU591" s="26"/>
      <c r="AV591" s="26"/>
      <c r="AW591" s="26"/>
      <c r="AX591" s="26"/>
      <c r="AY591" s="26"/>
      <c r="AZ591" s="26"/>
      <c r="BA591" s="26"/>
      <c r="BB591" s="26"/>
      <c r="BC591" s="26"/>
      <c r="BD591" s="26"/>
      <c r="BE591" s="26"/>
      <c r="BF591" s="26"/>
      <c r="BG591" s="26"/>
      <c r="BH591" s="26"/>
    </row>
    <row r="592" spans="1:60" ht="35.65" customHeight="1">
      <c r="A592" s="61" t="s">
        <v>50</v>
      </c>
      <c r="B592" s="97"/>
      <c r="C592" s="25"/>
      <c r="D592" s="26"/>
      <c r="E592" s="26"/>
      <c r="F592" s="26"/>
      <c r="G592" s="26"/>
      <c r="H592" s="26"/>
      <c r="I592" s="26"/>
      <c r="J592" s="26"/>
      <c r="K592" s="26"/>
      <c r="L592" s="26"/>
      <c r="M592" s="26"/>
      <c r="N592" s="26"/>
      <c r="O592" s="26"/>
      <c r="P592" s="26"/>
      <c r="Q592" s="26"/>
      <c r="R592" s="26"/>
      <c r="S592" s="26"/>
      <c r="T592" s="26"/>
      <c r="U592" s="26"/>
      <c r="V592" s="26"/>
      <c r="W592" s="388"/>
      <c r="X592" s="40"/>
      <c r="Y592" s="40"/>
      <c r="Z592" s="71" t="s">
        <v>414</v>
      </c>
      <c r="AA592" s="26"/>
      <c r="AB592" s="26"/>
      <c r="AC592" s="26"/>
      <c r="AD592" s="52" t="s">
        <v>1063</v>
      </c>
      <c r="AE592" s="26">
        <f>AI592+AM592</f>
        <v>4388.2000000000007</v>
      </c>
      <c r="AF592" s="26">
        <f t="shared" si="173"/>
        <v>4377.3</v>
      </c>
      <c r="AG592" s="26"/>
      <c r="AH592" s="26"/>
      <c r="AI592" s="26">
        <v>368.4</v>
      </c>
      <c r="AJ592" s="26">
        <v>368.4</v>
      </c>
      <c r="AK592" s="26"/>
      <c r="AL592" s="26"/>
      <c r="AM592" s="26">
        <f>3969.8+255.8+162.6-368.4</f>
        <v>4019.8000000000006</v>
      </c>
      <c r="AN592" s="26">
        <f>4377.3-368.4</f>
        <v>4008.9</v>
      </c>
      <c r="AO592" s="26">
        <f t="shared" si="174"/>
        <v>5059</v>
      </c>
      <c r="AP592" s="26"/>
      <c r="AQ592" s="26">
        <v>162.5</v>
      </c>
      <c r="AR592" s="26"/>
      <c r="AS592" s="26">
        <f>4187.6+162.5-162.5+138.1+185.9+300.2+84.7</f>
        <v>4896.5</v>
      </c>
      <c r="AT592" s="26">
        <f t="shared" ref="AT592:AT600" si="178">AU592+AV592+AW592+AX592</f>
        <v>4187.6000000000004</v>
      </c>
      <c r="AU592" s="26"/>
      <c r="AV592" s="26"/>
      <c r="AW592" s="26"/>
      <c r="AX592" s="26">
        <v>4187.6000000000004</v>
      </c>
      <c r="AY592" s="26">
        <f t="shared" si="176"/>
        <v>4187.6000000000004</v>
      </c>
      <c r="AZ592" s="26"/>
      <c r="BA592" s="26"/>
      <c r="BB592" s="26"/>
      <c r="BC592" s="26">
        <v>4187.6000000000004</v>
      </c>
      <c r="BD592" s="26">
        <f t="shared" si="177"/>
        <v>4187.6000000000004</v>
      </c>
      <c r="BE592" s="26"/>
      <c r="BF592" s="26"/>
      <c r="BG592" s="26"/>
      <c r="BH592" s="26">
        <v>4187.6000000000004</v>
      </c>
    </row>
    <row r="593" spans="1:60" ht="35.65" customHeight="1">
      <c r="A593" s="61" t="s">
        <v>50</v>
      </c>
      <c r="B593" s="97"/>
      <c r="C593" s="25"/>
      <c r="D593" s="26"/>
      <c r="E593" s="26"/>
      <c r="F593" s="26"/>
      <c r="G593" s="26"/>
      <c r="H593" s="26"/>
      <c r="I593" s="26"/>
      <c r="J593" s="26"/>
      <c r="K593" s="26"/>
      <c r="L593" s="26"/>
      <c r="M593" s="26"/>
      <c r="N593" s="26"/>
      <c r="O593" s="26"/>
      <c r="P593" s="26"/>
      <c r="Q593" s="26"/>
      <c r="R593" s="26"/>
      <c r="S593" s="26"/>
      <c r="T593" s="26"/>
      <c r="U593" s="26"/>
      <c r="V593" s="26"/>
      <c r="W593" s="388"/>
      <c r="X593" s="40"/>
      <c r="Y593" s="40"/>
      <c r="Z593" s="71" t="s">
        <v>414</v>
      </c>
      <c r="AA593" s="26"/>
      <c r="AB593" s="26"/>
      <c r="AC593" s="26"/>
      <c r="AD593" s="52" t="s">
        <v>1064</v>
      </c>
      <c r="AE593" s="26">
        <f t="shared" ref="AE593:AE609" si="179">AM593</f>
        <v>69.2</v>
      </c>
      <c r="AF593" s="26">
        <f t="shared" si="173"/>
        <v>63</v>
      </c>
      <c r="AG593" s="26"/>
      <c r="AH593" s="26"/>
      <c r="AI593" s="26"/>
      <c r="AJ593" s="26"/>
      <c r="AK593" s="26"/>
      <c r="AL593" s="26"/>
      <c r="AM593" s="26">
        <v>69.2</v>
      </c>
      <c r="AN593" s="26">
        <v>63</v>
      </c>
      <c r="AO593" s="26">
        <f t="shared" si="174"/>
        <v>147.9</v>
      </c>
      <c r="AP593" s="26"/>
      <c r="AQ593" s="26"/>
      <c r="AR593" s="26"/>
      <c r="AS593" s="26">
        <f>111.3+43.2-6.6</f>
        <v>147.9</v>
      </c>
      <c r="AT593" s="26">
        <f t="shared" si="178"/>
        <v>111.3</v>
      </c>
      <c r="AU593" s="26"/>
      <c r="AV593" s="26"/>
      <c r="AW593" s="26"/>
      <c r="AX593" s="26">
        <v>111.3</v>
      </c>
      <c r="AY593" s="26">
        <f t="shared" si="176"/>
        <v>111.3</v>
      </c>
      <c r="AZ593" s="26"/>
      <c r="BA593" s="26"/>
      <c r="BB593" s="26"/>
      <c r="BC593" s="26">
        <v>111.3</v>
      </c>
      <c r="BD593" s="26">
        <f t="shared" si="177"/>
        <v>111.3</v>
      </c>
      <c r="BE593" s="26"/>
      <c r="BF593" s="26"/>
      <c r="BG593" s="26"/>
      <c r="BH593" s="26">
        <v>111.3</v>
      </c>
    </row>
    <row r="594" spans="1:60" ht="35.65" customHeight="1">
      <c r="A594" s="61" t="s">
        <v>50</v>
      </c>
      <c r="B594" s="97"/>
      <c r="C594" s="25"/>
      <c r="D594" s="26"/>
      <c r="E594" s="26"/>
      <c r="F594" s="26"/>
      <c r="G594" s="26"/>
      <c r="H594" s="26"/>
      <c r="I594" s="26"/>
      <c r="J594" s="26"/>
      <c r="K594" s="26"/>
      <c r="L594" s="26"/>
      <c r="M594" s="26"/>
      <c r="N594" s="26"/>
      <c r="O594" s="26"/>
      <c r="P594" s="26"/>
      <c r="Q594" s="26"/>
      <c r="R594" s="26"/>
      <c r="S594" s="26"/>
      <c r="T594" s="26"/>
      <c r="U594" s="26"/>
      <c r="V594" s="26"/>
      <c r="W594" s="388"/>
      <c r="X594" s="40"/>
      <c r="Y594" s="40"/>
      <c r="Z594" s="375" t="s">
        <v>413</v>
      </c>
      <c r="AA594" s="43"/>
      <c r="AB594" s="26"/>
      <c r="AC594" s="26"/>
      <c r="AD594" s="52" t="s">
        <v>1065</v>
      </c>
      <c r="AE594" s="26">
        <f t="shared" si="179"/>
        <v>0.1</v>
      </c>
      <c r="AF594" s="26">
        <f t="shared" si="173"/>
        <v>0</v>
      </c>
      <c r="AG594" s="26"/>
      <c r="AH594" s="26"/>
      <c r="AI594" s="26"/>
      <c r="AJ594" s="26"/>
      <c r="AK594" s="26"/>
      <c r="AL594" s="26"/>
      <c r="AM594" s="26">
        <v>0.1</v>
      </c>
      <c r="AN594" s="26">
        <v>0</v>
      </c>
      <c r="AO594" s="26">
        <f t="shared" si="174"/>
        <v>0</v>
      </c>
      <c r="AP594" s="26"/>
      <c r="AQ594" s="26"/>
      <c r="AR594" s="26"/>
      <c r="AS594" s="26">
        <v>0</v>
      </c>
      <c r="AT594" s="26">
        <f t="shared" si="178"/>
        <v>0</v>
      </c>
      <c r="AU594" s="26"/>
      <c r="AV594" s="26"/>
      <c r="AW594" s="26"/>
      <c r="AX594" s="26">
        <v>0</v>
      </c>
      <c r="AY594" s="26">
        <f t="shared" si="176"/>
        <v>0</v>
      </c>
      <c r="AZ594" s="26"/>
      <c r="BA594" s="26"/>
      <c r="BB594" s="26"/>
      <c r="BC594" s="26">
        <v>0</v>
      </c>
      <c r="BD594" s="26">
        <f t="shared" si="177"/>
        <v>0</v>
      </c>
      <c r="BE594" s="26"/>
      <c r="BF594" s="26"/>
      <c r="BG594" s="26"/>
      <c r="BH594" s="26">
        <v>0</v>
      </c>
    </row>
    <row r="595" spans="1:60" ht="35.65" customHeight="1">
      <c r="A595" s="61" t="s">
        <v>50</v>
      </c>
      <c r="B595" s="97"/>
      <c r="C595" s="25"/>
      <c r="D595" s="26"/>
      <c r="E595" s="26"/>
      <c r="F595" s="26"/>
      <c r="G595" s="26"/>
      <c r="H595" s="26"/>
      <c r="I595" s="26"/>
      <c r="J595" s="26"/>
      <c r="K595" s="26"/>
      <c r="L595" s="26"/>
      <c r="M595" s="26"/>
      <c r="N595" s="26"/>
      <c r="O595" s="26"/>
      <c r="P595" s="26"/>
      <c r="Q595" s="26"/>
      <c r="R595" s="26"/>
      <c r="S595" s="26"/>
      <c r="T595" s="26"/>
      <c r="U595" s="26"/>
      <c r="V595" s="26"/>
      <c r="W595" s="388"/>
      <c r="X595" s="40"/>
      <c r="Y595" s="40"/>
      <c r="Z595" s="388"/>
      <c r="AA595" s="43"/>
      <c r="AB595" s="26"/>
      <c r="AC595" s="26"/>
      <c r="AD595" s="52" t="s">
        <v>1066</v>
      </c>
      <c r="AE595" s="26">
        <f t="shared" si="179"/>
        <v>0</v>
      </c>
      <c r="AF595" s="26">
        <f t="shared" si="173"/>
        <v>0</v>
      </c>
      <c r="AG595" s="26"/>
      <c r="AH595" s="26"/>
      <c r="AI595" s="26"/>
      <c r="AJ595" s="26"/>
      <c r="AK595" s="26"/>
      <c r="AL595" s="26"/>
      <c r="AM595" s="26"/>
      <c r="AN595" s="26"/>
      <c r="AO595" s="26">
        <f t="shared" si="174"/>
        <v>0</v>
      </c>
      <c r="AP595" s="26"/>
      <c r="AQ595" s="26"/>
      <c r="AR595" s="26"/>
      <c r="AS595" s="26"/>
      <c r="AT595" s="26">
        <f t="shared" si="178"/>
        <v>0</v>
      </c>
      <c r="AU595" s="26"/>
      <c r="AV595" s="26"/>
      <c r="AW595" s="26"/>
      <c r="AX595" s="26"/>
      <c r="AY595" s="26">
        <f t="shared" si="176"/>
        <v>0</v>
      </c>
      <c r="AZ595" s="26"/>
      <c r="BA595" s="26"/>
      <c r="BB595" s="26"/>
      <c r="BC595" s="26"/>
      <c r="BD595" s="26">
        <f t="shared" si="177"/>
        <v>0</v>
      </c>
      <c r="BE595" s="26"/>
      <c r="BF595" s="26"/>
      <c r="BG595" s="26"/>
      <c r="BH595" s="26"/>
    </row>
    <row r="596" spans="1:60" ht="35.65" customHeight="1">
      <c r="A596" s="61" t="s">
        <v>50</v>
      </c>
      <c r="B596" s="97"/>
      <c r="C596" s="25"/>
      <c r="D596" s="26"/>
      <c r="E596" s="26"/>
      <c r="F596" s="26"/>
      <c r="G596" s="26"/>
      <c r="H596" s="26"/>
      <c r="I596" s="26"/>
      <c r="J596" s="26"/>
      <c r="K596" s="26"/>
      <c r="L596" s="26"/>
      <c r="M596" s="26"/>
      <c r="N596" s="26"/>
      <c r="O596" s="26"/>
      <c r="P596" s="26"/>
      <c r="Q596" s="26"/>
      <c r="R596" s="26"/>
      <c r="S596" s="26"/>
      <c r="T596" s="26"/>
      <c r="U596" s="26"/>
      <c r="V596" s="26"/>
      <c r="W596" s="388"/>
      <c r="X596" s="40"/>
      <c r="Y596" s="40"/>
      <c r="Z596" s="70" t="s">
        <v>413</v>
      </c>
      <c r="AA596" s="26"/>
      <c r="AB596" s="26"/>
      <c r="AC596" s="26"/>
      <c r="AD596" s="52" t="s">
        <v>1067</v>
      </c>
      <c r="AE596" s="26">
        <f>AI596+AM596</f>
        <v>18330.400000000001</v>
      </c>
      <c r="AF596" s="26">
        <f t="shared" si="173"/>
        <v>17940</v>
      </c>
      <c r="AG596" s="26"/>
      <c r="AH596" s="26"/>
      <c r="AI596" s="26">
        <v>858.3</v>
      </c>
      <c r="AJ596" s="26">
        <v>858.3</v>
      </c>
      <c r="AK596" s="26"/>
      <c r="AL596" s="26"/>
      <c r="AM596" s="26">
        <f>8103.9+808.3+9418.2-858.3</f>
        <v>17472.100000000002</v>
      </c>
      <c r="AN596" s="26">
        <f>17940-858.3</f>
        <v>17081.7</v>
      </c>
      <c r="AO596" s="26">
        <f t="shared" si="174"/>
        <v>23855.999999999996</v>
      </c>
      <c r="AP596" s="26"/>
      <c r="AQ596" s="26"/>
      <c r="AR596" s="26"/>
      <c r="AS596" s="26">
        <f>21933.8+746.1+614.1+640.1-78.1</f>
        <v>23855.999999999996</v>
      </c>
      <c r="AT596" s="26">
        <f t="shared" si="178"/>
        <v>21933.8</v>
      </c>
      <c r="AU596" s="26"/>
      <c r="AV596" s="26"/>
      <c r="AW596" s="26"/>
      <c r="AX596" s="26">
        <v>21933.8</v>
      </c>
      <c r="AY596" s="26">
        <f t="shared" si="176"/>
        <v>21933.8</v>
      </c>
      <c r="AZ596" s="26"/>
      <c r="BA596" s="26"/>
      <c r="BB596" s="26"/>
      <c r="BC596" s="26">
        <v>21933.8</v>
      </c>
      <c r="BD596" s="26">
        <f t="shared" si="177"/>
        <v>21933.8</v>
      </c>
      <c r="BE596" s="26"/>
      <c r="BF596" s="26"/>
      <c r="BG596" s="26"/>
      <c r="BH596" s="26">
        <v>21933.8</v>
      </c>
    </row>
    <row r="597" spans="1:60" ht="35.65" customHeight="1">
      <c r="A597" s="218" t="s">
        <v>50</v>
      </c>
      <c r="B597" s="62"/>
      <c r="C597" s="25"/>
      <c r="D597" s="26"/>
      <c r="E597" s="26"/>
      <c r="F597" s="26"/>
      <c r="G597" s="26"/>
      <c r="H597" s="26"/>
      <c r="I597" s="26"/>
      <c r="J597" s="26"/>
      <c r="K597" s="26"/>
      <c r="L597" s="26"/>
      <c r="M597" s="26"/>
      <c r="N597" s="26"/>
      <c r="O597" s="26"/>
      <c r="P597" s="26"/>
      <c r="Q597" s="26"/>
      <c r="R597" s="26"/>
      <c r="S597" s="26"/>
      <c r="T597" s="26"/>
      <c r="U597" s="26"/>
      <c r="V597" s="26"/>
      <c r="W597" s="388"/>
      <c r="X597" s="26"/>
      <c r="Y597" s="26"/>
      <c r="Z597" s="36" t="s">
        <v>414</v>
      </c>
      <c r="AA597" s="26"/>
      <c r="AB597" s="26"/>
      <c r="AC597" s="26"/>
      <c r="AD597" s="52" t="s">
        <v>1068</v>
      </c>
      <c r="AE597" s="26">
        <f t="shared" si="179"/>
        <v>1803.5</v>
      </c>
      <c r="AF597" s="26">
        <f>AH597+AJ597+AL597+AN597</f>
        <v>1717.1</v>
      </c>
      <c r="AG597" s="26"/>
      <c r="AH597" s="26"/>
      <c r="AI597" s="26"/>
      <c r="AJ597" s="26"/>
      <c r="AK597" s="26"/>
      <c r="AL597" s="26"/>
      <c r="AM597" s="26">
        <f>901.3+41+471.5+100+289.7</f>
        <v>1803.5</v>
      </c>
      <c r="AN597" s="26">
        <v>1717.1</v>
      </c>
      <c r="AO597" s="26">
        <f t="shared" si="174"/>
        <v>1748.6</v>
      </c>
      <c r="AP597" s="26"/>
      <c r="AQ597" s="26"/>
      <c r="AR597" s="26"/>
      <c r="AS597" s="26">
        <f>1167.8+200+163+147.8+70</f>
        <v>1748.6</v>
      </c>
      <c r="AT597" s="26">
        <f t="shared" si="178"/>
        <v>1167.8</v>
      </c>
      <c r="AU597" s="26"/>
      <c r="AV597" s="26"/>
      <c r="AW597" s="26"/>
      <c r="AX597" s="26">
        <v>1167.8</v>
      </c>
      <c r="AY597" s="26">
        <f t="shared" si="176"/>
        <v>1167.8</v>
      </c>
      <c r="AZ597" s="26"/>
      <c r="BA597" s="26"/>
      <c r="BB597" s="26"/>
      <c r="BC597" s="26">
        <v>1167.8</v>
      </c>
      <c r="BD597" s="26">
        <f t="shared" si="177"/>
        <v>1167.8</v>
      </c>
      <c r="BE597" s="26"/>
      <c r="BF597" s="26"/>
      <c r="BG597" s="26"/>
      <c r="BH597" s="26">
        <v>1167.8</v>
      </c>
    </row>
    <row r="598" spans="1:60" ht="35.65" customHeight="1">
      <c r="A598" s="218" t="s">
        <v>50</v>
      </c>
      <c r="B598" s="62"/>
      <c r="C598" s="25"/>
      <c r="D598" s="26"/>
      <c r="E598" s="26"/>
      <c r="F598" s="26"/>
      <c r="G598" s="26"/>
      <c r="H598" s="26"/>
      <c r="I598" s="26"/>
      <c r="J598" s="26"/>
      <c r="K598" s="26"/>
      <c r="L598" s="26"/>
      <c r="M598" s="26"/>
      <c r="N598" s="26"/>
      <c r="O598" s="26"/>
      <c r="P598" s="26"/>
      <c r="Q598" s="26"/>
      <c r="R598" s="26"/>
      <c r="S598" s="26"/>
      <c r="T598" s="26"/>
      <c r="U598" s="26"/>
      <c r="V598" s="26"/>
      <c r="W598" s="388"/>
      <c r="X598" s="26"/>
      <c r="Y598" s="26"/>
      <c r="Z598" s="36" t="s">
        <v>414</v>
      </c>
      <c r="AA598" s="26"/>
      <c r="AB598" s="26"/>
      <c r="AC598" s="26"/>
      <c r="AD598" s="52" t="s">
        <v>1069</v>
      </c>
      <c r="AE598" s="26">
        <f t="shared" si="179"/>
        <v>0</v>
      </c>
      <c r="AF598" s="26">
        <f t="shared" si="173"/>
        <v>0</v>
      </c>
      <c r="AG598" s="26"/>
      <c r="AH598" s="26"/>
      <c r="AI598" s="26"/>
      <c r="AJ598" s="26"/>
      <c r="AK598" s="26"/>
      <c r="AL598" s="26"/>
      <c r="AM598" s="26"/>
      <c r="AN598" s="26"/>
      <c r="AO598" s="26">
        <f t="shared" si="174"/>
        <v>0</v>
      </c>
      <c r="AP598" s="26"/>
      <c r="AQ598" s="26"/>
      <c r="AR598" s="26"/>
      <c r="AS598" s="26"/>
      <c r="AT598" s="26">
        <f t="shared" si="178"/>
        <v>0</v>
      </c>
      <c r="AU598" s="26"/>
      <c r="AV598" s="26"/>
      <c r="AW598" s="26"/>
      <c r="AX598" s="26"/>
      <c r="AY598" s="26">
        <f t="shared" si="176"/>
        <v>0</v>
      </c>
      <c r="AZ598" s="26"/>
      <c r="BA598" s="26"/>
      <c r="BB598" s="26"/>
      <c r="BC598" s="26"/>
      <c r="BD598" s="26">
        <f t="shared" si="177"/>
        <v>0</v>
      </c>
      <c r="BE598" s="26"/>
      <c r="BF598" s="26"/>
      <c r="BG598" s="26"/>
      <c r="BH598" s="26"/>
    </row>
    <row r="599" spans="1:60" ht="35.65" customHeight="1">
      <c r="A599" s="218" t="s">
        <v>50</v>
      </c>
      <c r="B599" s="62"/>
      <c r="C599" s="25"/>
      <c r="D599" s="26"/>
      <c r="E599" s="26"/>
      <c r="F599" s="26"/>
      <c r="G599" s="26"/>
      <c r="H599" s="26"/>
      <c r="I599" s="26"/>
      <c r="J599" s="26"/>
      <c r="K599" s="26"/>
      <c r="L599" s="26"/>
      <c r="M599" s="26"/>
      <c r="N599" s="26"/>
      <c r="O599" s="26"/>
      <c r="P599" s="26"/>
      <c r="Q599" s="26"/>
      <c r="R599" s="26"/>
      <c r="S599" s="26"/>
      <c r="T599" s="26"/>
      <c r="U599" s="26"/>
      <c r="V599" s="26"/>
      <c r="W599" s="376"/>
      <c r="X599" s="26"/>
      <c r="Y599" s="26"/>
      <c r="Z599" s="70" t="s">
        <v>413</v>
      </c>
      <c r="AA599" s="43"/>
      <c r="AB599" s="26"/>
      <c r="AC599" s="26"/>
      <c r="AD599" s="52" t="s">
        <v>1070</v>
      </c>
      <c r="AE599" s="26">
        <f t="shared" si="179"/>
        <v>184.79999999999998</v>
      </c>
      <c r="AF599" s="26">
        <f t="shared" si="173"/>
        <v>167</v>
      </c>
      <c r="AG599" s="26"/>
      <c r="AH599" s="26"/>
      <c r="AI599" s="26"/>
      <c r="AJ599" s="26"/>
      <c r="AK599" s="26"/>
      <c r="AL599" s="26"/>
      <c r="AM599" s="26">
        <f>121.9+45.1-17.8+35.6</f>
        <v>184.79999999999998</v>
      </c>
      <c r="AN599" s="26">
        <v>167</v>
      </c>
      <c r="AO599" s="26">
        <f t="shared" si="174"/>
        <v>59.4</v>
      </c>
      <c r="AP599" s="26"/>
      <c r="AQ599" s="26"/>
      <c r="AR599" s="26"/>
      <c r="AS599" s="26">
        <f>20+20+19.4</f>
        <v>59.4</v>
      </c>
      <c r="AT599" s="26">
        <f t="shared" si="178"/>
        <v>20</v>
      </c>
      <c r="AU599" s="26"/>
      <c r="AV599" s="26"/>
      <c r="AW599" s="26"/>
      <c r="AX599" s="26">
        <v>20</v>
      </c>
      <c r="AY599" s="26">
        <f t="shared" si="176"/>
        <v>20</v>
      </c>
      <c r="AZ599" s="26"/>
      <c r="BA599" s="26"/>
      <c r="BB599" s="26"/>
      <c r="BC599" s="26">
        <v>20</v>
      </c>
      <c r="BD599" s="26">
        <f t="shared" si="177"/>
        <v>20</v>
      </c>
      <c r="BE599" s="26"/>
      <c r="BF599" s="26"/>
      <c r="BG599" s="26"/>
      <c r="BH599" s="26">
        <v>20</v>
      </c>
    </row>
    <row r="600" spans="1:60" ht="35.65" customHeight="1">
      <c r="A600" s="61" t="s">
        <v>50</v>
      </c>
      <c r="B600" s="62"/>
      <c r="C600" s="25"/>
      <c r="D600" s="26"/>
      <c r="E600" s="26"/>
      <c r="F600" s="26"/>
      <c r="G600" s="26"/>
      <c r="H600" s="26"/>
      <c r="I600" s="26"/>
      <c r="J600" s="26"/>
      <c r="K600" s="26"/>
      <c r="L600" s="26"/>
      <c r="M600" s="26"/>
      <c r="N600" s="26"/>
      <c r="O600" s="26"/>
      <c r="P600" s="26"/>
      <c r="Q600" s="26"/>
      <c r="R600" s="26"/>
      <c r="S600" s="26"/>
      <c r="T600" s="26"/>
      <c r="U600" s="26"/>
      <c r="V600" s="26"/>
      <c r="W600" s="219"/>
      <c r="X600" s="26"/>
      <c r="Y600" s="26"/>
      <c r="Z600" s="36" t="s">
        <v>414</v>
      </c>
      <c r="AA600" s="26"/>
      <c r="AB600" s="26"/>
      <c r="AC600" s="26"/>
      <c r="AD600" s="52" t="s">
        <v>1071</v>
      </c>
      <c r="AE600" s="26">
        <f t="shared" si="179"/>
        <v>477.19999999999993</v>
      </c>
      <c r="AF600" s="26">
        <f t="shared" si="173"/>
        <v>328.6</v>
      </c>
      <c r="AG600" s="26"/>
      <c r="AH600" s="26"/>
      <c r="AI600" s="26"/>
      <c r="AJ600" s="26"/>
      <c r="AK600" s="26"/>
      <c r="AL600" s="26"/>
      <c r="AM600" s="26">
        <f>540+3+17.8-83.6</f>
        <v>477.19999999999993</v>
      </c>
      <c r="AN600" s="26">
        <v>328.6</v>
      </c>
      <c r="AO600" s="26">
        <f t="shared" si="174"/>
        <v>520</v>
      </c>
      <c r="AP600" s="26"/>
      <c r="AQ600" s="26"/>
      <c r="AR600" s="26"/>
      <c r="AS600" s="26">
        <f>80+80+260+100</f>
        <v>520</v>
      </c>
      <c r="AT600" s="26">
        <f t="shared" si="178"/>
        <v>80</v>
      </c>
      <c r="AU600" s="26"/>
      <c r="AV600" s="26"/>
      <c r="AW600" s="26"/>
      <c r="AX600" s="26">
        <v>80</v>
      </c>
      <c r="AY600" s="26">
        <f t="shared" si="176"/>
        <v>80</v>
      </c>
      <c r="AZ600" s="26"/>
      <c r="BA600" s="26"/>
      <c r="BB600" s="26"/>
      <c r="BC600" s="26">
        <v>80</v>
      </c>
      <c r="BD600" s="26">
        <f t="shared" si="177"/>
        <v>80</v>
      </c>
      <c r="BE600" s="26"/>
      <c r="BF600" s="26"/>
      <c r="BG600" s="26"/>
      <c r="BH600" s="26">
        <v>80</v>
      </c>
    </row>
    <row r="601" spans="1:60" ht="35.65" customHeight="1">
      <c r="A601" s="61" t="s">
        <v>50</v>
      </c>
      <c r="B601" s="53"/>
      <c r="C601" s="55"/>
      <c r="D601" s="26"/>
      <c r="E601" s="26"/>
      <c r="F601" s="26"/>
      <c r="G601" s="26"/>
      <c r="H601" s="26"/>
      <c r="I601" s="26"/>
      <c r="J601" s="26"/>
      <c r="K601" s="26"/>
      <c r="L601" s="26"/>
      <c r="M601" s="56"/>
      <c r="N601" s="26"/>
      <c r="O601" s="26"/>
      <c r="P601" s="56"/>
      <c r="Q601" s="26"/>
      <c r="R601" s="26"/>
      <c r="S601" s="26"/>
      <c r="T601" s="26"/>
      <c r="U601" s="26"/>
      <c r="V601" s="26"/>
      <c r="W601" s="70"/>
      <c r="X601" s="26"/>
      <c r="Y601" s="26"/>
      <c r="Z601" s="36" t="s">
        <v>414</v>
      </c>
      <c r="AA601" s="26"/>
      <c r="AB601" s="26"/>
      <c r="AC601" s="26"/>
      <c r="AD601" s="52" t="s">
        <v>1072</v>
      </c>
      <c r="AE601" s="26">
        <f t="shared" si="179"/>
        <v>0</v>
      </c>
      <c r="AF601" s="26">
        <f t="shared" si="173"/>
        <v>0</v>
      </c>
      <c r="AG601" s="26"/>
      <c r="AH601" s="26"/>
      <c r="AI601" s="26"/>
      <c r="AJ601" s="26"/>
      <c r="AK601" s="26"/>
      <c r="AL601" s="26"/>
      <c r="AM601" s="26"/>
      <c r="AN601" s="26"/>
      <c r="AO601" s="26"/>
      <c r="AP601" s="26"/>
      <c r="AQ601" s="26"/>
      <c r="AR601" s="26"/>
      <c r="AS601" s="26"/>
      <c r="AT601" s="26"/>
      <c r="AU601" s="26"/>
      <c r="AV601" s="26"/>
      <c r="AW601" s="26"/>
      <c r="AX601" s="26"/>
      <c r="AY601" s="26"/>
      <c r="AZ601" s="26"/>
      <c r="BA601" s="26"/>
      <c r="BB601" s="26"/>
      <c r="BC601" s="26"/>
      <c r="BD601" s="26"/>
      <c r="BE601" s="26"/>
      <c r="BF601" s="26"/>
      <c r="BG601" s="26"/>
      <c r="BH601" s="26"/>
    </row>
    <row r="602" spans="1:60" ht="35.65" customHeight="1">
      <c r="A602" s="61" t="s">
        <v>50</v>
      </c>
      <c r="B602" s="62"/>
      <c r="C602" s="55"/>
      <c r="D602" s="56"/>
      <c r="E602" s="56"/>
      <c r="F602" s="26"/>
      <c r="G602" s="26"/>
      <c r="H602" s="26"/>
      <c r="I602" s="26"/>
      <c r="J602" s="26"/>
      <c r="K602" s="26"/>
      <c r="L602" s="26"/>
      <c r="M602" s="56"/>
      <c r="N602" s="26"/>
      <c r="O602" s="26"/>
      <c r="P602" s="56"/>
      <c r="Q602" s="26"/>
      <c r="R602" s="26"/>
      <c r="S602" s="56"/>
      <c r="T602" s="56"/>
      <c r="U602" s="56"/>
      <c r="V602" s="56"/>
      <c r="W602" s="43"/>
      <c r="X602" s="26"/>
      <c r="Y602" s="26"/>
      <c r="Z602" s="36" t="s">
        <v>414</v>
      </c>
      <c r="AA602" s="56"/>
      <c r="AB602" s="56"/>
      <c r="AC602" s="26"/>
      <c r="AD602" s="52" t="s">
        <v>1073</v>
      </c>
      <c r="AE602" s="26"/>
      <c r="AF602" s="26">
        <f>AH602+AJ602+AL602+AN602</f>
        <v>0</v>
      </c>
      <c r="AG602" s="26"/>
      <c r="AH602" s="26"/>
      <c r="AI602" s="26"/>
      <c r="AJ602" s="26"/>
      <c r="AK602" s="26"/>
      <c r="AL602" s="26"/>
      <c r="AM602" s="26"/>
      <c r="AN602" s="26"/>
      <c r="AO602" s="26"/>
      <c r="AP602" s="26"/>
      <c r="AQ602" s="26"/>
      <c r="AR602" s="26"/>
      <c r="AS602" s="26"/>
      <c r="AT602" s="26"/>
      <c r="AU602" s="26"/>
      <c r="AV602" s="26"/>
      <c r="AW602" s="26"/>
      <c r="AX602" s="26"/>
      <c r="AY602" s="26"/>
      <c r="AZ602" s="26"/>
      <c r="BA602" s="26"/>
      <c r="BB602" s="26"/>
      <c r="BC602" s="26"/>
      <c r="BD602" s="26"/>
      <c r="BE602" s="26"/>
      <c r="BF602" s="26"/>
      <c r="BG602" s="26"/>
      <c r="BH602" s="26"/>
    </row>
    <row r="603" spans="1:60" ht="35.65" customHeight="1">
      <c r="A603" s="61" t="s">
        <v>58</v>
      </c>
      <c r="B603" s="97"/>
      <c r="C603" s="377"/>
      <c r="D603" s="378"/>
      <c r="E603" s="378"/>
      <c r="F603" s="26"/>
      <c r="G603" s="26"/>
      <c r="H603" s="26"/>
      <c r="I603" s="26"/>
      <c r="J603" s="26"/>
      <c r="K603" s="26"/>
      <c r="L603" s="26"/>
      <c r="M603" s="26"/>
      <c r="N603" s="26"/>
      <c r="O603" s="26"/>
      <c r="P603" s="26"/>
      <c r="Q603" s="26"/>
      <c r="R603" s="26"/>
      <c r="S603" s="26"/>
      <c r="T603" s="26"/>
      <c r="U603" s="26"/>
      <c r="V603" s="26"/>
      <c r="W603" s="368" t="s">
        <v>415</v>
      </c>
      <c r="X603" s="371" t="s">
        <v>36</v>
      </c>
      <c r="Y603" s="379">
        <v>40179</v>
      </c>
      <c r="Z603" s="368" t="s">
        <v>415</v>
      </c>
      <c r="AA603" s="371"/>
      <c r="AB603" s="371"/>
      <c r="AC603" s="26"/>
      <c r="AD603" s="52" t="s">
        <v>1074</v>
      </c>
      <c r="AE603" s="26">
        <f>AI603+AM603</f>
        <v>2656.3999999999996</v>
      </c>
      <c r="AF603" s="26">
        <f t="shared" si="173"/>
        <v>2656.4</v>
      </c>
      <c r="AG603" s="26"/>
      <c r="AH603" s="26"/>
      <c r="AI603" s="26">
        <v>2071.1</v>
      </c>
      <c r="AJ603" s="26">
        <v>2071.1</v>
      </c>
      <c r="AK603" s="26"/>
      <c r="AL603" s="26"/>
      <c r="AM603" s="26">
        <f>12074.6-9418.2-2071.1</f>
        <v>585.29999999999973</v>
      </c>
      <c r="AN603" s="26">
        <f>2656.4-2071.1</f>
        <v>585.30000000000018</v>
      </c>
      <c r="AO603" s="26">
        <f t="shared" si="174"/>
        <v>0</v>
      </c>
      <c r="AP603" s="26"/>
      <c r="AQ603" s="26"/>
      <c r="AR603" s="26"/>
      <c r="AS603" s="26"/>
      <c r="AT603" s="26">
        <f t="shared" ref="AT603:AT609" si="180">AU603+AV603+AW603+AX603</f>
        <v>0</v>
      </c>
      <c r="AU603" s="26"/>
      <c r="AV603" s="26"/>
      <c r="AW603" s="26"/>
      <c r="AX603" s="26"/>
      <c r="AY603" s="26">
        <f t="shared" si="176"/>
        <v>0</v>
      </c>
      <c r="AZ603" s="26"/>
      <c r="BA603" s="26"/>
      <c r="BB603" s="26"/>
      <c r="BC603" s="26"/>
      <c r="BD603" s="26">
        <f>BE603+BF603+BG603+BH603</f>
        <v>0</v>
      </c>
      <c r="BE603" s="26"/>
      <c r="BF603" s="26"/>
      <c r="BG603" s="26"/>
      <c r="BH603" s="26"/>
    </row>
    <row r="604" spans="1:60" ht="35.65" customHeight="1">
      <c r="A604" s="61" t="s">
        <v>58</v>
      </c>
      <c r="B604" s="62"/>
      <c r="C604" s="377"/>
      <c r="D604" s="378"/>
      <c r="E604" s="378"/>
      <c r="F604" s="26"/>
      <c r="G604" s="26"/>
      <c r="H604" s="26"/>
      <c r="I604" s="26"/>
      <c r="J604" s="26"/>
      <c r="K604" s="26"/>
      <c r="L604" s="26"/>
      <c r="M604" s="26"/>
      <c r="N604" s="26"/>
      <c r="O604" s="26"/>
      <c r="P604" s="26"/>
      <c r="Q604" s="26"/>
      <c r="R604" s="26"/>
      <c r="S604" s="26"/>
      <c r="T604" s="26"/>
      <c r="U604" s="26"/>
      <c r="V604" s="26"/>
      <c r="W604" s="369"/>
      <c r="X604" s="371"/>
      <c r="Y604" s="380"/>
      <c r="Z604" s="369"/>
      <c r="AA604" s="371"/>
      <c r="AB604" s="371"/>
      <c r="AC604" s="26"/>
      <c r="AD604" s="52" t="s">
        <v>1075</v>
      </c>
      <c r="AE604" s="26">
        <f t="shared" si="179"/>
        <v>137.5</v>
      </c>
      <c r="AF604" s="26">
        <f t="shared" si="173"/>
        <v>137.5</v>
      </c>
      <c r="AG604" s="26"/>
      <c r="AH604" s="26"/>
      <c r="AI604" s="26"/>
      <c r="AJ604" s="26"/>
      <c r="AK604" s="26"/>
      <c r="AL604" s="26"/>
      <c r="AM604" s="26">
        <f>609-471.5</f>
        <v>137.5</v>
      </c>
      <c r="AN604" s="26">
        <v>137.5</v>
      </c>
      <c r="AO604" s="26">
        <f t="shared" si="174"/>
        <v>0</v>
      </c>
      <c r="AP604" s="26"/>
      <c r="AQ604" s="26"/>
      <c r="AR604" s="26"/>
      <c r="AS604" s="26"/>
      <c r="AT604" s="26">
        <f t="shared" si="180"/>
        <v>0</v>
      </c>
      <c r="AU604" s="26"/>
      <c r="AV604" s="26"/>
      <c r="AW604" s="26"/>
      <c r="AX604" s="26"/>
      <c r="AY604" s="26">
        <f t="shared" si="176"/>
        <v>0</v>
      </c>
      <c r="AZ604" s="26"/>
      <c r="BA604" s="26"/>
      <c r="BB604" s="26"/>
      <c r="BC604" s="26"/>
      <c r="BD604" s="26">
        <f>BE604+BF604+BG604+BH604</f>
        <v>0</v>
      </c>
      <c r="BE604" s="26"/>
      <c r="BF604" s="26"/>
      <c r="BG604" s="26"/>
      <c r="BH604" s="26"/>
    </row>
    <row r="605" spans="1:60" ht="35.65" customHeight="1">
      <c r="A605" s="61" t="s">
        <v>58</v>
      </c>
      <c r="B605" s="62"/>
      <c r="C605" s="377"/>
      <c r="D605" s="378"/>
      <c r="E605" s="378"/>
      <c r="F605" s="26"/>
      <c r="G605" s="26"/>
      <c r="H605" s="26"/>
      <c r="I605" s="26"/>
      <c r="J605" s="26"/>
      <c r="K605" s="26"/>
      <c r="L605" s="26"/>
      <c r="M605" s="26"/>
      <c r="N605" s="26"/>
      <c r="O605" s="26"/>
      <c r="P605" s="26"/>
      <c r="Q605" s="26"/>
      <c r="R605" s="26"/>
      <c r="S605" s="26"/>
      <c r="T605" s="26"/>
      <c r="U605" s="26"/>
      <c r="V605" s="26"/>
      <c r="W605" s="369"/>
      <c r="X605" s="371"/>
      <c r="Y605" s="380"/>
      <c r="Z605" s="369"/>
      <c r="AA605" s="371"/>
      <c r="AB605" s="371"/>
      <c r="AC605" s="26"/>
      <c r="AD605" s="52" t="s">
        <v>1076</v>
      </c>
      <c r="AE605" s="26">
        <f t="shared" si="179"/>
        <v>361.5</v>
      </c>
      <c r="AF605" s="26">
        <f t="shared" si="173"/>
        <v>361.5</v>
      </c>
      <c r="AG605" s="26"/>
      <c r="AH605" s="26"/>
      <c r="AI605" s="26"/>
      <c r="AJ605" s="26"/>
      <c r="AK605" s="26"/>
      <c r="AL605" s="26"/>
      <c r="AM605" s="26">
        <f>361.4+0.1</f>
        <v>361.5</v>
      </c>
      <c r="AN605" s="26">
        <v>361.5</v>
      </c>
      <c r="AO605" s="26">
        <f t="shared" si="174"/>
        <v>0</v>
      </c>
      <c r="AP605" s="26"/>
      <c r="AQ605" s="26"/>
      <c r="AR605" s="26"/>
      <c r="AS605" s="26"/>
      <c r="AT605" s="26">
        <f t="shared" si="180"/>
        <v>0</v>
      </c>
      <c r="AU605" s="26"/>
      <c r="AV605" s="26"/>
      <c r="AW605" s="26"/>
      <c r="AX605" s="26"/>
      <c r="AY605" s="26">
        <f t="shared" si="176"/>
        <v>0</v>
      </c>
      <c r="AZ605" s="26"/>
      <c r="BA605" s="26"/>
      <c r="BB605" s="26"/>
      <c r="BC605" s="26"/>
      <c r="BD605" s="26">
        <f>BE605+BF605+BG605+BH605</f>
        <v>0</v>
      </c>
      <c r="BE605" s="26"/>
      <c r="BF605" s="26"/>
      <c r="BG605" s="26"/>
      <c r="BH605" s="26"/>
    </row>
    <row r="606" spans="1:60" ht="35.65" customHeight="1">
      <c r="A606" s="88" t="s">
        <v>58</v>
      </c>
      <c r="B606" s="62"/>
      <c r="C606" s="377"/>
      <c r="D606" s="378"/>
      <c r="E606" s="378"/>
      <c r="F606" s="56"/>
      <c r="G606" s="26"/>
      <c r="H606" s="26"/>
      <c r="I606" s="26"/>
      <c r="J606" s="26"/>
      <c r="K606" s="26"/>
      <c r="L606" s="26"/>
      <c r="M606" s="26"/>
      <c r="N606" s="26"/>
      <c r="O606" s="26"/>
      <c r="P606" s="26"/>
      <c r="Q606" s="26"/>
      <c r="R606" s="26"/>
      <c r="S606" s="95"/>
      <c r="T606" s="26"/>
      <c r="U606" s="26"/>
      <c r="V606" s="26"/>
      <c r="W606" s="370"/>
      <c r="X606" s="372"/>
      <c r="Y606" s="381"/>
      <c r="Z606" s="370"/>
      <c r="AA606" s="372"/>
      <c r="AB606" s="372"/>
      <c r="AC606" s="26"/>
      <c r="AD606" s="52" t="s">
        <v>1077</v>
      </c>
      <c r="AE606" s="26">
        <f t="shared" si="179"/>
        <v>0</v>
      </c>
      <c r="AF606" s="26">
        <f t="shared" si="173"/>
        <v>0</v>
      </c>
      <c r="AG606" s="26"/>
      <c r="AH606" s="26"/>
      <c r="AI606" s="26"/>
      <c r="AJ606" s="26"/>
      <c r="AK606" s="26"/>
      <c r="AL606" s="26"/>
      <c r="AM606" s="26">
        <f>3-3</f>
        <v>0</v>
      </c>
      <c r="AN606" s="26"/>
      <c r="AO606" s="26">
        <f t="shared" si="174"/>
        <v>0</v>
      </c>
      <c r="AP606" s="26"/>
      <c r="AQ606" s="26"/>
      <c r="AR606" s="26"/>
      <c r="AS606" s="26"/>
      <c r="AT606" s="26">
        <f t="shared" si="180"/>
        <v>0</v>
      </c>
      <c r="AU606" s="26"/>
      <c r="AV606" s="26"/>
      <c r="AW606" s="26"/>
      <c r="AX606" s="26"/>
      <c r="AY606" s="26">
        <f t="shared" si="176"/>
        <v>0</v>
      </c>
      <c r="AZ606" s="26"/>
      <c r="BA606" s="26"/>
      <c r="BB606" s="26"/>
      <c r="BC606" s="26"/>
      <c r="BD606" s="26">
        <f>BE606+BF606+BG606+BH606</f>
        <v>0</v>
      </c>
      <c r="BE606" s="26"/>
      <c r="BF606" s="26"/>
      <c r="BG606" s="26"/>
      <c r="BH606" s="26"/>
    </row>
    <row r="607" spans="1:60" ht="35.65" customHeight="1">
      <c r="A607" s="88" t="s">
        <v>58</v>
      </c>
      <c r="B607" s="62"/>
      <c r="C607" s="220"/>
      <c r="D607" s="221"/>
      <c r="E607" s="221"/>
      <c r="F607" s="56"/>
      <c r="G607" s="26"/>
      <c r="H607" s="26"/>
      <c r="I607" s="26"/>
      <c r="J607" s="26"/>
      <c r="K607" s="26"/>
      <c r="L607" s="26"/>
      <c r="M607" s="26"/>
      <c r="N607" s="26"/>
      <c r="O607" s="26"/>
      <c r="P607" s="26"/>
      <c r="Q607" s="26"/>
      <c r="R607" s="26"/>
      <c r="S607" s="95"/>
      <c r="T607" s="26"/>
      <c r="U607" s="26"/>
      <c r="V607" s="26"/>
      <c r="W607" s="222"/>
      <c r="X607" s="223"/>
      <c r="Y607" s="224"/>
      <c r="Z607" s="222"/>
      <c r="AA607" s="223"/>
      <c r="AB607" s="223"/>
      <c r="AC607" s="26"/>
      <c r="AD607" s="52" t="s">
        <v>1078</v>
      </c>
      <c r="AE607" s="26">
        <f t="shared" si="179"/>
        <v>5640</v>
      </c>
      <c r="AF607" s="26">
        <f t="shared" si="173"/>
        <v>5640</v>
      </c>
      <c r="AG607" s="26"/>
      <c r="AH607" s="26"/>
      <c r="AI607" s="26"/>
      <c r="AJ607" s="26"/>
      <c r="AK607" s="26"/>
      <c r="AL607" s="26"/>
      <c r="AM607" s="26">
        <f>4674.9+2000-1034.9</f>
        <v>5640</v>
      </c>
      <c r="AN607" s="26">
        <v>5640</v>
      </c>
      <c r="AO607" s="26">
        <f t="shared" si="174"/>
        <v>460</v>
      </c>
      <c r="AP607" s="26"/>
      <c r="AQ607" s="26"/>
      <c r="AR607" s="26"/>
      <c r="AS607" s="26">
        <f>200+260</f>
        <v>460</v>
      </c>
      <c r="AT607" s="26">
        <f t="shared" si="180"/>
        <v>0</v>
      </c>
      <c r="AU607" s="26"/>
      <c r="AV607" s="26"/>
      <c r="AW607" s="26"/>
      <c r="AX607" s="26"/>
      <c r="AY607" s="26">
        <f t="shared" si="176"/>
        <v>0</v>
      </c>
      <c r="AZ607" s="26"/>
      <c r="BA607" s="26"/>
      <c r="BB607" s="26"/>
      <c r="BC607" s="26"/>
      <c r="BD607" s="26">
        <f t="shared" ref="BD607:BD609" si="181">BE607+BF607+BG607+BH607</f>
        <v>0</v>
      </c>
      <c r="BE607" s="26"/>
      <c r="BF607" s="26"/>
      <c r="BG607" s="26"/>
      <c r="BH607" s="26"/>
    </row>
    <row r="608" spans="1:60" ht="35.65" customHeight="1">
      <c r="A608" s="88" t="s">
        <v>416</v>
      </c>
      <c r="B608" s="62"/>
      <c r="C608" s="220"/>
      <c r="D608" s="221"/>
      <c r="E608" s="221"/>
      <c r="F608" s="56"/>
      <c r="G608" s="26"/>
      <c r="H608" s="26"/>
      <c r="I608" s="26"/>
      <c r="J608" s="26"/>
      <c r="K608" s="26"/>
      <c r="L608" s="26"/>
      <c r="M608" s="26"/>
      <c r="N608" s="26"/>
      <c r="O608" s="26"/>
      <c r="P608" s="26"/>
      <c r="Q608" s="26"/>
      <c r="R608" s="26"/>
      <c r="S608" s="95"/>
      <c r="T608" s="26"/>
      <c r="U608" s="26"/>
      <c r="V608" s="26"/>
      <c r="W608" s="223"/>
      <c r="X608" s="223"/>
      <c r="Y608" s="223"/>
      <c r="Z608" s="223"/>
      <c r="AA608" s="223"/>
      <c r="AB608" s="223"/>
      <c r="AC608" s="26"/>
      <c r="AD608" s="52" t="s">
        <v>1079</v>
      </c>
      <c r="AE608" s="26">
        <f>AI608+AM608</f>
        <v>4946.5</v>
      </c>
      <c r="AF608" s="26">
        <f t="shared" si="173"/>
        <v>4805</v>
      </c>
      <c r="AG608" s="26"/>
      <c r="AH608" s="26"/>
      <c r="AI608" s="26">
        <v>681.9</v>
      </c>
      <c r="AJ608" s="26">
        <v>681.9</v>
      </c>
      <c r="AK608" s="26"/>
      <c r="AL608" s="26"/>
      <c r="AM608" s="26">
        <f>5268.8+9.7-12-320-681.9</f>
        <v>4264.6000000000004</v>
      </c>
      <c r="AN608" s="26">
        <f>4805-681.9</f>
        <v>4123.1000000000004</v>
      </c>
      <c r="AO608" s="26">
        <f t="shared" si="174"/>
        <v>5361.2</v>
      </c>
      <c r="AP608" s="26"/>
      <c r="AQ608" s="26"/>
      <c r="AR608" s="26"/>
      <c r="AS608" s="26">
        <f>5196.9+164.3</f>
        <v>5361.2</v>
      </c>
      <c r="AT608" s="26">
        <f t="shared" si="180"/>
        <v>5196.8999999999996</v>
      </c>
      <c r="AU608" s="26"/>
      <c r="AV608" s="26"/>
      <c r="AW608" s="26"/>
      <c r="AX608" s="26">
        <v>5196.8999999999996</v>
      </c>
      <c r="AY608" s="26">
        <f t="shared" si="176"/>
        <v>5196.8999999999996</v>
      </c>
      <c r="AZ608" s="26"/>
      <c r="BA608" s="26"/>
      <c r="BB608" s="26"/>
      <c r="BC608" s="26">
        <v>5196.8999999999996</v>
      </c>
      <c r="BD608" s="26">
        <f t="shared" si="181"/>
        <v>5196.8999999999996</v>
      </c>
      <c r="BE608" s="26"/>
      <c r="BF608" s="26"/>
      <c r="BG608" s="26"/>
      <c r="BH608" s="26">
        <v>5196.8999999999996</v>
      </c>
    </row>
    <row r="609" spans="1:60" ht="35.65" customHeight="1">
      <c r="A609" s="88" t="s">
        <v>416</v>
      </c>
      <c r="B609" s="62"/>
      <c r="C609" s="220"/>
      <c r="D609" s="221"/>
      <c r="E609" s="221"/>
      <c r="F609" s="56"/>
      <c r="G609" s="26"/>
      <c r="H609" s="26"/>
      <c r="I609" s="26"/>
      <c r="J609" s="26"/>
      <c r="K609" s="26"/>
      <c r="L609" s="26"/>
      <c r="M609" s="26"/>
      <c r="N609" s="26"/>
      <c r="O609" s="26"/>
      <c r="P609" s="26"/>
      <c r="Q609" s="26"/>
      <c r="R609" s="26"/>
      <c r="S609" s="95"/>
      <c r="T609" s="26"/>
      <c r="U609" s="26"/>
      <c r="V609" s="26"/>
      <c r="W609" s="223"/>
      <c r="X609" s="223"/>
      <c r="Y609" s="223"/>
      <c r="Z609" s="223"/>
      <c r="AA609" s="223"/>
      <c r="AB609" s="223"/>
      <c r="AC609" s="26"/>
      <c r="AD609" s="52" t="s">
        <v>1080</v>
      </c>
      <c r="AE609" s="26">
        <f t="shared" si="179"/>
        <v>102.3</v>
      </c>
      <c r="AF609" s="26">
        <f t="shared" si="173"/>
        <v>97.3</v>
      </c>
      <c r="AG609" s="26"/>
      <c r="AH609" s="26"/>
      <c r="AI609" s="26"/>
      <c r="AJ609" s="26"/>
      <c r="AK609" s="26"/>
      <c r="AL609" s="26"/>
      <c r="AM609" s="26">
        <f>100-9.7+12</f>
        <v>102.3</v>
      </c>
      <c r="AN609" s="26">
        <v>97.3</v>
      </c>
      <c r="AO609" s="26">
        <f t="shared" si="174"/>
        <v>160.30000000000001</v>
      </c>
      <c r="AP609" s="26"/>
      <c r="AQ609" s="26"/>
      <c r="AR609" s="26"/>
      <c r="AS609" s="26">
        <v>160.30000000000001</v>
      </c>
      <c r="AT609" s="26">
        <f t="shared" si="180"/>
        <v>160.30000000000001</v>
      </c>
      <c r="AU609" s="26"/>
      <c r="AV609" s="26"/>
      <c r="AW609" s="26"/>
      <c r="AX609" s="26">
        <v>160.30000000000001</v>
      </c>
      <c r="AY609" s="26">
        <f t="shared" si="176"/>
        <v>160.30000000000001</v>
      </c>
      <c r="AZ609" s="26"/>
      <c r="BA609" s="26"/>
      <c r="BB609" s="26"/>
      <c r="BC609" s="26">
        <v>160.30000000000001</v>
      </c>
      <c r="BD609" s="26">
        <f t="shared" si="181"/>
        <v>160.30000000000001</v>
      </c>
      <c r="BE609" s="26"/>
      <c r="BF609" s="26"/>
      <c r="BG609" s="26"/>
      <c r="BH609" s="26">
        <v>160.30000000000001</v>
      </c>
    </row>
    <row r="610" spans="1:60" ht="35.65" customHeight="1">
      <c r="A610" s="93" t="s">
        <v>417</v>
      </c>
      <c r="B610" s="68">
        <v>2613</v>
      </c>
      <c r="C610" s="225"/>
      <c r="D610" s="92"/>
      <c r="E610" s="92"/>
      <c r="F610" s="34"/>
      <c r="G610" s="34"/>
      <c r="H610" s="34"/>
      <c r="I610" s="34"/>
      <c r="J610" s="34"/>
      <c r="K610" s="34"/>
      <c r="L610" s="34"/>
      <c r="M610" s="34"/>
      <c r="N610" s="34"/>
      <c r="O610" s="34"/>
      <c r="P610" s="34"/>
      <c r="Q610" s="34"/>
      <c r="R610" s="34"/>
      <c r="S610" s="34"/>
      <c r="T610" s="34"/>
      <c r="U610" s="34"/>
      <c r="V610" s="34"/>
      <c r="W610" s="226"/>
      <c r="X610" s="226"/>
      <c r="Y610" s="226"/>
      <c r="Z610" s="226"/>
      <c r="AA610" s="226"/>
      <c r="AB610" s="226"/>
      <c r="AC610" s="34">
        <v>23</v>
      </c>
      <c r="AD610" s="34"/>
      <c r="AE610" s="34">
        <f t="shared" ref="AE610:BH610" si="182">AE611</f>
        <v>0</v>
      </c>
      <c r="AF610" s="34">
        <f>AH610+AJ610+AL610+AN610</f>
        <v>0</v>
      </c>
      <c r="AG610" s="34">
        <f t="shared" si="182"/>
        <v>0</v>
      </c>
      <c r="AH610" s="34">
        <f t="shared" si="182"/>
        <v>0</v>
      </c>
      <c r="AI610" s="34">
        <f t="shared" si="182"/>
        <v>0</v>
      </c>
      <c r="AJ610" s="34">
        <f t="shared" si="182"/>
        <v>0</v>
      </c>
      <c r="AK610" s="34">
        <f t="shared" si="182"/>
        <v>0</v>
      </c>
      <c r="AL610" s="34"/>
      <c r="AM610" s="34">
        <f t="shared" si="182"/>
        <v>0</v>
      </c>
      <c r="AN610" s="34">
        <f t="shared" si="182"/>
        <v>0</v>
      </c>
      <c r="AO610" s="34">
        <f t="shared" si="182"/>
        <v>0</v>
      </c>
      <c r="AP610" s="34">
        <f t="shared" si="182"/>
        <v>0</v>
      </c>
      <c r="AQ610" s="34">
        <f t="shared" si="182"/>
        <v>0</v>
      </c>
      <c r="AR610" s="34">
        <f t="shared" si="182"/>
        <v>0</v>
      </c>
      <c r="AS610" s="34">
        <f t="shared" si="182"/>
        <v>0</v>
      </c>
      <c r="AT610" s="34">
        <f t="shared" si="182"/>
        <v>0</v>
      </c>
      <c r="AU610" s="34">
        <f t="shared" si="182"/>
        <v>0</v>
      </c>
      <c r="AV610" s="34">
        <f t="shared" si="182"/>
        <v>0</v>
      </c>
      <c r="AW610" s="34">
        <f t="shared" si="182"/>
        <v>0</v>
      </c>
      <c r="AX610" s="34">
        <f t="shared" si="182"/>
        <v>0</v>
      </c>
      <c r="AY610" s="34">
        <f t="shared" si="182"/>
        <v>0</v>
      </c>
      <c r="AZ610" s="34">
        <f t="shared" si="182"/>
        <v>0</v>
      </c>
      <c r="BA610" s="34">
        <f t="shared" si="182"/>
        <v>0</v>
      </c>
      <c r="BB610" s="34">
        <f t="shared" si="182"/>
        <v>0</v>
      </c>
      <c r="BC610" s="34">
        <f t="shared" si="182"/>
        <v>0</v>
      </c>
      <c r="BD610" s="34">
        <f t="shared" si="182"/>
        <v>0</v>
      </c>
      <c r="BE610" s="34">
        <f t="shared" si="182"/>
        <v>0</v>
      </c>
      <c r="BF610" s="34">
        <f t="shared" si="182"/>
        <v>0</v>
      </c>
      <c r="BG610" s="34">
        <f t="shared" si="182"/>
        <v>0</v>
      </c>
      <c r="BH610" s="34">
        <f t="shared" si="182"/>
        <v>0</v>
      </c>
    </row>
    <row r="611" spans="1:60" ht="35.65" customHeight="1" thickBot="1">
      <c r="A611" s="61" t="s">
        <v>57</v>
      </c>
      <c r="B611" s="53"/>
      <c r="C611" s="25"/>
      <c r="D611" s="26"/>
      <c r="E611" s="26"/>
      <c r="F611" s="26"/>
      <c r="G611" s="26"/>
      <c r="H611" s="26"/>
      <c r="I611" s="26"/>
      <c r="J611" s="26"/>
      <c r="K611" s="26"/>
      <c r="L611" s="26"/>
      <c r="M611" s="26"/>
      <c r="N611" s="26"/>
      <c r="O611" s="26"/>
      <c r="P611" s="26"/>
      <c r="Q611" s="26"/>
      <c r="R611" s="26"/>
      <c r="S611" s="26"/>
      <c r="T611" s="26"/>
      <c r="U611" s="26"/>
      <c r="V611" s="26"/>
      <c r="W611" s="227" t="s">
        <v>418</v>
      </c>
      <c r="X611" s="64"/>
      <c r="Y611" s="64"/>
      <c r="Z611" s="228" t="s">
        <v>419</v>
      </c>
      <c r="AA611" s="229" t="s">
        <v>36</v>
      </c>
      <c r="AB611" s="229"/>
      <c r="AC611" s="229"/>
      <c r="AD611" s="52" t="s">
        <v>1081</v>
      </c>
      <c r="AE611" s="26">
        <f>AG611+AI611+RM611+RN611</f>
        <v>0</v>
      </c>
      <c r="AF611" s="26">
        <f>AH611+AJ611+AL611+AN611</f>
        <v>0</v>
      </c>
      <c r="AG611" s="26"/>
      <c r="AH611" s="26"/>
      <c r="AI611" s="26"/>
      <c r="AJ611" s="26"/>
      <c r="AK611" s="26"/>
      <c r="AL611" s="26"/>
      <c r="AM611" s="26"/>
      <c r="AN611" s="26"/>
      <c r="AO611" s="26">
        <f>AP611+AQ611+AR611+AS611</f>
        <v>0</v>
      </c>
      <c r="AP611" s="26"/>
      <c r="AQ611" s="26"/>
      <c r="AR611" s="26"/>
      <c r="AS611" s="26"/>
      <c r="AT611" s="26">
        <f>AU611+AV611+AW611+AX611</f>
        <v>0</v>
      </c>
      <c r="AU611" s="26"/>
      <c r="AV611" s="26"/>
      <c r="AW611" s="26"/>
      <c r="AX611" s="26"/>
      <c r="AY611" s="26">
        <f>AZ611+BA611+BB611+BC611</f>
        <v>0</v>
      </c>
      <c r="AZ611" s="26"/>
      <c r="BA611" s="26"/>
      <c r="BB611" s="26"/>
      <c r="BC611" s="26"/>
      <c r="BD611" s="26">
        <f>BE611+BF611+BG611+BH611</f>
        <v>0</v>
      </c>
      <c r="BE611" s="26"/>
      <c r="BF611" s="26"/>
      <c r="BG611" s="26"/>
      <c r="BH611" s="26"/>
    </row>
    <row r="612" spans="1:60" ht="35.65" customHeight="1">
      <c r="A612" s="61" t="s">
        <v>57</v>
      </c>
      <c r="B612" s="97"/>
      <c r="C612" s="25"/>
      <c r="D612" s="26"/>
      <c r="E612" s="26"/>
      <c r="F612" s="26"/>
      <c r="G612" s="26"/>
      <c r="H612" s="26"/>
      <c r="I612" s="26"/>
      <c r="J612" s="26"/>
      <c r="K612" s="26"/>
      <c r="L612" s="26"/>
      <c r="M612" s="26"/>
      <c r="N612" s="26"/>
      <c r="O612" s="26"/>
      <c r="P612" s="26"/>
      <c r="Q612" s="26"/>
      <c r="R612" s="26"/>
      <c r="S612" s="26"/>
      <c r="T612" s="26"/>
      <c r="U612" s="26"/>
      <c r="V612" s="26"/>
      <c r="W612" s="230"/>
      <c r="X612" s="64"/>
      <c r="Y612" s="64"/>
      <c r="Z612" s="231"/>
      <c r="AA612" s="232"/>
      <c r="AB612" s="232"/>
      <c r="AC612" s="229"/>
      <c r="AD612" s="52" t="s">
        <v>1082</v>
      </c>
      <c r="AE612" s="26">
        <f>AG612+AI612+RM612+RN612</f>
        <v>0</v>
      </c>
      <c r="AF612" s="26">
        <f t="shared" ref="AF612:AF613" si="183">AH612+AJ612+AL612+AN612</f>
        <v>0</v>
      </c>
      <c r="AG612" s="26"/>
      <c r="AH612" s="26"/>
      <c r="AI612" s="26"/>
      <c r="AJ612" s="26"/>
      <c r="AK612" s="26"/>
      <c r="AL612" s="26"/>
      <c r="AM612" s="26"/>
      <c r="AN612" s="26"/>
      <c r="AO612" s="26"/>
      <c r="AP612" s="26"/>
      <c r="AQ612" s="26"/>
      <c r="AR612" s="26"/>
      <c r="AS612" s="26"/>
      <c r="AT612" s="26"/>
      <c r="AU612" s="26"/>
      <c r="AV612" s="26"/>
      <c r="AW612" s="26"/>
      <c r="AX612" s="26"/>
      <c r="AY612" s="26"/>
      <c r="AZ612" s="26"/>
      <c r="BA612" s="26"/>
      <c r="BB612" s="26"/>
      <c r="BC612" s="26"/>
      <c r="BD612" s="26"/>
      <c r="BE612" s="26"/>
      <c r="BF612" s="26"/>
      <c r="BG612" s="26"/>
      <c r="BH612" s="26"/>
    </row>
    <row r="613" spans="1:60" ht="35.65" customHeight="1">
      <c r="A613" s="61" t="s">
        <v>57</v>
      </c>
      <c r="B613" s="97"/>
      <c r="C613" s="25"/>
      <c r="D613" s="26"/>
      <c r="E613" s="26"/>
      <c r="F613" s="26"/>
      <c r="G613" s="26"/>
      <c r="H613" s="26"/>
      <c r="I613" s="26"/>
      <c r="J613" s="26"/>
      <c r="K613" s="26"/>
      <c r="L613" s="26"/>
      <c r="M613" s="26"/>
      <c r="N613" s="26"/>
      <c r="O613" s="26"/>
      <c r="P613" s="26"/>
      <c r="Q613" s="26"/>
      <c r="R613" s="26"/>
      <c r="S613" s="26"/>
      <c r="T613" s="26"/>
      <c r="U613" s="26"/>
      <c r="V613" s="26"/>
      <c r="W613" s="230"/>
      <c r="X613" s="64"/>
      <c r="Y613" s="64"/>
      <c r="Z613" s="64"/>
      <c r="AA613" s="64"/>
      <c r="AB613" s="64"/>
      <c r="AC613" s="26"/>
      <c r="AD613" s="52" t="s">
        <v>1083</v>
      </c>
      <c r="AE613" s="26">
        <f>AG613+AI613+RM613+RN613</f>
        <v>0</v>
      </c>
      <c r="AF613" s="26">
        <f t="shared" si="183"/>
        <v>0</v>
      </c>
      <c r="AG613" s="26"/>
      <c r="AH613" s="26"/>
      <c r="AI613" s="26"/>
      <c r="AJ613" s="26"/>
      <c r="AK613" s="26"/>
      <c r="AL613" s="26"/>
      <c r="AM613" s="26"/>
      <c r="AN613" s="26"/>
      <c r="AO613" s="26"/>
      <c r="AP613" s="26"/>
      <c r="AQ613" s="26"/>
      <c r="AR613" s="26"/>
      <c r="AS613" s="26"/>
      <c r="AT613" s="26"/>
      <c r="AU613" s="26"/>
      <c r="AV613" s="26"/>
      <c r="AW613" s="26"/>
      <c r="AX613" s="26"/>
      <c r="AY613" s="26"/>
      <c r="AZ613" s="26"/>
      <c r="BA613" s="26"/>
      <c r="BB613" s="26"/>
      <c r="BC613" s="26"/>
      <c r="BD613" s="26"/>
      <c r="BE613" s="26"/>
      <c r="BF613" s="26"/>
      <c r="BG613" s="26"/>
      <c r="BH613" s="26"/>
    </row>
    <row r="614" spans="1:60" ht="35.65" customHeight="1">
      <c r="A614" s="233" t="s">
        <v>420</v>
      </c>
      <c r="B614" s="234">
        <v>2623</v>
      </c>
      <c r="C614" s="33"/>
      <c r="D614" s="34"/>
      <c r="E614" s="34"/>
      <c r="F614" s="34"/>
      <c r="G614" s="34"/>
      <c r="H614" s="34"/>
      <c r="I614" s="34"/>
      <c r="J614" s="34"/>
      <c r="K614" s="34"/>
      <c r="L614" s="34"/>
      <c r="M614" s="34"/>
      <c r="N614" s="34"/>
      <c r="O614" s="34"/>
      <c r="P614" s="34"/>
      <c r="Q614" s="34"/>
      <c r="R614" s="34"/>
      <c r="S614" s="34"/>
      <c r="T614" s="34"/>
      <c r="U614" s="34"/>
      <c r="V614" s="34"/>
      <c r="W614" s="235"/>
      <c r="X614" s="34"/>
      <c r="Y614" s="34"/>
      <c r="Z614" s="34"/>
      <c r="AA614" s="34"/>
      <c r="AB614" s="34"/>
      <c r="AC614" s="34">
        <v>23</v>
      </c>
      <c r="AD614" s="34"/>
      <c r="AE614" s="118">
        <f t="shared" ref="AE614:BH614" si="184">AE615+AE616</f>
        <v>1719.1</v>
      </c>
      <c r="AF614" s="118">
        <f>AH614+AJ614+AL614+AN614</f>
        <v>1719.1</v>
      </c>
      <c r="AG614" s="118">
        <f t="shared" si="184"/>
        <v>0</v>
      </c>
      <c r="AH614" s="118">
        <f t="shared" si="184"/>
        <v>0</v>
      </c>
      <c r="AI614" s="118">
        <f t="shared" si="184"/>
        <v>0</v>
      </c>
      <c r="AJ614" s="118">
        <f t="shared" si="184"/>
        <v>0</v>
      </c>
      <c r="AK614" s="118">
        <f t="shared" si="184"/>
        <v>0</v>
      </c>
      <c r="AL614" s="118"/>
      <c r="AM614" s="118">
        <f t="shared" si="184"/>
        <v>1719.1</v>
      </c>
      <c r="AN614" s="118">
        <f t="shared" si="184"/>
        <v>1719.1</v>
      </c>
      <c r="AO614" s="118">
        <f t="shared" si="184"/>
        <v>2310.6000000000004</v>
      </c>
      <c r="AP614" s="118">
        <f t="shared" si="184"/>
        <v>0</v>
      </c>
      <c r="AQ614" s="118">
        <f t="shared" si="184"/>
        <v>0</v>
      </c>
      <c r="AR614" s="118">
        <f t="shared" si="184"/>
        <v>0</v>
      </c>
      <c r="AS614" s="118">
        <f t="shared" si="184"/>
        <v>2310.6000000000004</v>
      </c>
      <c r="AT614" s="118">
        <f t="shared" si="184"/>
        <v>1810</v>
      </c>
      <c r="AU614" s="118">
        <f t="shared" si="184"/>
        <v>0</v>
      </c>
      <c r="AV614" s="118">
        <f t="shared" si="184"/>
        <v>0</v>
      </c>
      <c r="AW614" s="118">
        <f t="shared" si="184"/>
        <v>0</v>
      </c>
      <c r="AX614" s="118">
        <f t="shared" si="184"/>
        <v>1810</v>
      </c>
      <c r="AY614" s="118">
        <f t="shared" si="184"/>
        <v>1810</v>
      </c>
      <c r="AZ614" s="118">
        <f t="shared" si="184"/>
        <v>0</v>
      </c>
      <c r="BA614" s="118">
        <f t="shared" si="184"/>
        <v>0</v>
      </c>
      <c r="BB614" s="118">
        <f t="shared" si="184"/>
        <v>0</v>
      </c>
      <c r="BC614" s="118">
        <f t="shared" si="184"/>
        <v>1810</v>
      </c>
      <c r="BD614" s="118">
        <f t="shared" si="184"/>
        <v>1810</v>
      </c>
      <c r="BE614" s="118">
        <f t="shared" si="184"/>
        <v>0</v>
      </c>
      <c r="BF614" s="118">
        <f t="shared" si="184"/>
        <v>0</v>
      </c>
      <c r="BG614" s="118">
        <f t="shared" si="184"/>
        <v>0</v>
      </c>
      <c r="BH614" s="118">
        <f t="shared" si="184"/>
        <v>1810</v>
      </c>
    </row>
    <row r="615" spans="1:60" ht="35.65" customHeight="1">
      <c r="A615" s="236" t="s">
        <v>421</v>
      </c>
      <c r="B615" s="86"/>
      <c r="C615" s="20" t="s">
        <v>422</v>
      </c>
      <c r="D615" s="20" t="s">
        <v>423</v>
      </c>
      <c r="E615" s="20" t="s">
        <v>424</v>
      </c>
      <c r="F615" s="96"/>
      <c r="G615" s="96"/>
      <c r="H615" s="96"/>
      <c r="I615" s="96"/>
      <c r="J615" s="237" t="s">
        <v>425</v>
      </c>
      <c r="K615" s="237"/>
      <c r="L615" s="237" t="s">
        <v>426</v>
      </c>
      <c r="M615" s="237"/>
      <c r="N615" s="237"/>
      <c r="O615" s="237"/>
      <c r="P615" s="237"/>
      <c r="Q615" s="237"/>
      <c r="R615" s="237"/>
      <c r="S615" s="237"/>
      <c r="T615" s="237"/>
      <c r="U615" s="237"/>
      <c r="V615" s="238"/>
      <c r="W615" s="52" t="s">
        <v>427</v>
      </c>
      <c r="X615" s="185" t="s">
        <v>112</v>
      </c>
      <c r="Y615" s="96"/>
      <c r="Z615" s="185"/>
      <c r="AA615" s="185"/>
      <c r="AB615" s="26"/>
      <c r="AC615" s="26">
        <v>23</v>
      </c>
      <c r="AD615" s="52" t="s">
        <v>1084</v>
      </c>
      <c r="AE615" s="26">
        <f>AM615</f>
        <v>1702.5</v>
      </c>
      <c r="AF615" s="26">
        <f>AH615+AJ615+AL615+AN615</f>
        <v>1702.5</v>
      </c>
      <c r="AG615" s="26"/>
      <c r="AH615" s="26"/>
      <c r="AI615" s="26"/>
      <c r="AJ615" s="26"/>
      <c r="AK615" s="26"/>
      <c r="AL615" s="26"/>
      <c r="AM615" s="26">
        <f>1685.4+17.1</f>
        <v>1702.5</v>
      </c>
      <c r="AN615" s="26">
        <v>1702.5</v>
      </c>
      <c r="AO615" s="26">
        <f>AP615+AQ615+AR615+AS615</f>
        <v>2285.8000000000002</v>
      </c>
      <c r="AP615" s="26"/>
      <c r="AQ615" s="26"/>
      <c r="AR615" s="26"/>
      <c r="AS615" s="26">
        <f>1785.2+250+76.8+173.8</f>
        <v>2285.8000000000002</v>
      </c>
      <c r="AT615" s="26">
        <f>AU615+AV615+AW615+AX615</f>
        <v>1785.2</v>
      </c>
      <c r="AU615" s="26"/>
      <c r="AV615" s="26"/>
      <c r="AW615" s="26"/>
      <c r="AX615" s="26">
        <v>1785.2</v>
      </c>
      <c r="AY615" s="26">
        <f>AZ615+BA615+BB615+BC615</f>
        <v>1785.2</v>
      </c>
      <c r="AZ615" s="26"/>
      <c r="BA615" s="26"/>
      <c r="BB615" s="26"/>
      <c r="BC615" s="26">
        <v>1785.2</v>
      </c>
      <c r="BD615" s="26">
        <f>BE615+BF615+BG615+BH615</f>
        <v>1785.2</v>
      </c>
      <c r="BE615" s="26"/>
      <c r="BF615" s="26"/>
      <c r="BG615" s="26"/>
      <c r="BH615" s="26">
        <v>1785.2</v>
      </c>
    </row>
    <row r="616" spans="1:60" ht="35.65" customHeight="1">
      <c r="A616" s="236" t="s">
        <v>421</v>
      </c>
      <c r="B616" s="86"/>
      <c r="C616" s="20" t="s">
        <v>422</v>
      </c>
      <c r="D616" s="20" t="s">
        <v>423</v>
      </c>
      <c r="E616" s="20" t="s">
        <v>424</v>
      </c>
      <c r="F616" s="96"/>
      <c r="G616" s="96"/>
      <c r="H616" s="96"/>
      <c r="I616" s="96"/>
      <c r="J616" s="237" t="s">
        <v>425</v>
      </c>
      <c r="K616" s="237"/>
      <c r="L616" s="237" t="s">
        <v>426</v>
      </c>
      <c r="M616" s="237"/>
      <c r="N616" s="237"/>
      <c r="O616" s="237"/>
      <c r="P616" s="237"/>
      <c r="Q616" s="237"/>
      <c r="R616" s="237"/>
      <c r="S616" s="237"/>
      <c r="T616" s="237"/>
      <c r="U616" s="237"/>
      <c r="V616" s="238"/>
      <c r="W616" s="52" t="s">
        <v>427</v>
      </c>
      <c r="X616" s="185" t="s">
        <v>112</v>
      </c>
      <c r="Y616" s="96"/>
      <c r="Z616" s="185"/>
      <c r="AA616" s="185"/>
      <c r="AB616" s="26"/>
      <c r="AC616" s="26"/>
      <c r="AD616" s="52" t="s">
        <v>1085</v>
      </c>
      <c r="AE616" s="26">
        <f>AM616</f>
        <v>16.600000000000001</v>
      </c>
      <c r="AF616" s="26">
        <f>AH616+AJ616+AL616+AN616</f>
        <v>16.600000000000001</v>
      </c>
      <c r="AG616" s="26"/>
      <c r="AH616" s="26"/>
      <c r="AI616" s="26"/>
      <c r="AJ616" s="26"/>
      <c r="AK616" s="26"/>
      <c r="AL616" s="26"/>
      <c r="AM616" s="26">
        <f>24-7.4</f>
        <v>16.600000000000001</v>
      </c>
      <c r="AN616" s="26">
        <v>16.600000000000001</v>
      </c>
      <c r="AO616" s="26">
        <f>AP616+AQ616+AR616+AS616</f>
        <v>24.8</v>
      </c>
      <c r="AP616" s="26"/>
      <c r="AQ616" s="26"/>
      <c r="AR616" s="26"/>
      <c r="AS616" s="26">
        <v>24.8</v>
      </c>
      <c r="AT616" s="26">
        <f>AU616+AV616+AW616+AX616</f>
        <v>24.8</v>
      </c>
      <c r="AU616" s="26"/>
      <c r="AV616" s="26"/>
      <c r="AW616" s="26"/>
      <c r="AX616" s="26">
        <v>24.8</v>
      </c>
      <c r="AY616" s="26">
        <f>AZ616+BA616+BB616+BC616</f>
        <v>24.8</v>
      </c>
      <c r="AZ616" s="26"/>
      <c r="BA616" s="26"/>
      <c r="BB616" s="26"/>
      <c r="BC616" s="26">
        <v>24.8</v>
      </c>
      <c r="BD616" s="26">
        <f>BE616+BF616+BG616+BH616</f>
        <v>24.8</v>
      </c>
      <c r="BE616" s="26"/>
      <c r="BF616" s="26"/>
      <c r="BG616" s="26"/>
      <c r="BH616" s="26">
        <v>24.8</v>
      </c>
    </row>
    <row r="617" spans="1:60" ht="35.65" customHeight="1">
      <c r="A617" s="239" t="s">
        <v>428</v>
      </c>
      <c r="B617" s="240">
        <v>2624</v>
      </c>
      <c r="C617" s="241"/>
      <c r="D617" s="241"/>
      <c r="E617" s="241"/>
      <c r="F617" s="118"/>
      <c r="G617" s="118"/>
      <c r="H617" s="118"/>
      <c r="I617" s="118"/>
      <c r="J617" s="242"/>
      <c r="K617" s="242"/>
      <c r="L617" s="242"/>
      <c r="M617" s="242"/>
      <c r="N617" s="242"/>
      <c r="O617" s="242"/>
      <c r="P617" s="242"/>
      <c r="Q617" s="242"/>
      <c r="R617" s="242"/>
      <c r="S617" s="242"/>
      <c r="T617" s="242"/>
      <c r="U617" s="242"/>
      <c r="V617" s="243"/>
      <c r="W617" s="244"/>
      <c r="X617" s="245"/>
      <c r="Y617" s="118"/>
      <c r="Z617" s="245"/>
      <c r="AA617" s="245"/>
      <c r="AB617" s="34"/>
      <c r="AC617" s="34">
        <v>23</v>
      </c>
      <c r="AD617" s="260"/>
      <c r="AE617" s="34">
        <f>AG617+AI617+AK617+AM617</f>
        <v>14724.6</v>
      </c>
      <c r="AF617" s="34">
        <f>AH617+AJ617+AL617+AN617</f>
        <v>13636.1</v>
      </c>
      <c r="AG617" s="34">
        <f t="shared" ref="AG617:BH617" si="185">AG618+AG619+AG620</f>
        <v>9673.6</v>
      </c>
      <c r="AH617" s="34">
        <f t="shared" si="185"/>
        <v>9671.9</v>
      </c>
      <c r="AI617" s="34">
        <f t="shared" si="185"/>
        <v>5033.5999999999995</v>
      </c>
      <c r="AJ617" s="34">
        <f t="shared" si="185"/>
        <v>3950.5</v>
      </c>
      <c r="AK617" s="34">
        <f t="shared" si="185"/>
        <v>0</v>
      </c>
      <c r="AL617" s="34"/>
      <c r="AM617" s="34">
        <f t="shared" si="185"/>
        <v>17.400000000000002</v>
      </c>
      <c r="AN617" s="34">
        <f t="shared" si="185"/>
        <v>13.7</v>
      </c>
      <c r="AO617" s="34">
        <f t="shared" si="185"/>
        <v>15567.7</v>
      </c>
      <c r="AP617" s="34">
        <f t="shared" si="185"/>
        <v>10918.2</v>
      </c>
      <c r="AQ617" s="34">
        <f t="shared" si="185"/>
        <v>4633.5</v>
      </c>
      <c r="AR617" s="34">
        <f t="shared" si="185"/>
        <v>0</v>
      </c>
      <c r="AS617" s="34">
        <f t="shared" si="185"/>
        <v>16</v>
      </c>
      <c r="AT617" s="34">
        <f t="shared" si="185"/>
        <v>14920.599999999999</v>
      </c>
      <c r="AU617" s="34">
        <f t="shared" si="185"/>
        <v>10583</v>
      </c>
      <c r="AV617" s="34">
        <f t="shared" si="185"/>
        <v>4322.7</v>
      </c>
      <c r="AW617" s="34">
        <f t="shared" si="185"/>
        <v>0</v>
      </c>
      <c r="AX617" s="34">
        <f t="shared" si="185"/>
        <v>14.9</v>
      </c>
      <c r="AY617" s="34">
        <f t="shared" si="185"/>
        <v>15202.000000000002</v>
      </c>
      <c r="AZ617" s="34">
        <f t="shared" si="185"/>
        <v>10479</v>
      </c>
      <c r="BA617" s="34">
        <f t="shared" si="185"/>
        <v>4707.8999999999996</v>
      </c>
      <c r="BB617" s="34">
        <f t="shared" si="185"/>
        <v>0</v>
      </c>
      <c r="BC617" s="34">
        <f t="shared" si="185"/>
        <v>15.1</v>
      </c>
      <c r="BD617" s="34">
        <f t="shared" si="185"/>
        <v>15202.000000000002</v>
      </c>
      <c r="BE617" s="34">
        <f t="shared" si="185"/>
        <v>10479</v>
      </c>
      <c r="BF617" s="34">
        <f t="shared" si="185"/>
        <v>4707.8999999999996</v>
      </c>
      <c r="BG617" s="34">
        <f t="shared" si="185"/>
        <v>0</v>
      </c>
      <c r="BH617" s="34">
        <f t="shared" si="185"/>
        <v>15.1</v>
      </c>
    </row>
    <row r="618" spans="1:60" ht="35.65" customHeight="1" thickBot="1">
      <c r="A618" s="27" t="s">
        <v>131</v>
      </c>
      <c r="B618" s="35"/>
      <c r="C618" s="121" t="s">
        <v>105</v>
      </c>
      <c r="D618" s="121" t="s">
        <v>106</v>
      </c>
      <c r="E618" s="121" t="s">
        <v>107</v>
      </c>
      <c r="F618" s="121"/>
      <c r="G618" s="121"/>
      <c r="H618" s="121"/>
      <c r="I618" s="121"/>
      <c r="J618" s="121" t="s">
        <v>429</v>
      </c>
      <c r="K618" s="121" t="s">
        <v>109</v>
      </c>
      <c r="L618" s="123">
        <v>43831</v>
      </c>
      <c r="M618" s="246" t="s">
        <v>430</v>
      </c>
      <c r="N618" s="121" t="s">
        <v>112</v>
      </c>
      <c r="O618" s="121"/>
      <c r="P618" s="121"/>
      <c r="Q618" s="121"/>
      <c r="R618" s="121"/>
      <c r="S618" s="121"/>
      <c r="T618" s="121" t="s">
        <v>431</v>
      </c>
      <c r="U618" s="121" t="s">
        <v>112</v>
      </c>
      <c r="V618" s="124"/>
      <c r="W618" s="124"/>
      <c r="X618" s="121"/>
      <c r="Y618" s="43"/>
      <c r="Z618" s="247"/>
      <c r="AA618" s="20"/>
      <c r="AB618" s="98"/>
      <c r="AC618" s="26"/>
      <c r="AD618" s="52" t="s">
        <v>1086</v>
      </c>
      <c r="AE618" s="26">
        <f>AG618+AI618+AK618+AM618</f>
        <v>10919.7</v>
      </c>
      <c r="AF618" s="26">
        <f>AH618+AJ618+AL618+AN618</f>
        <v>10441.799999999999</v>
      </c>
      <c r="AG618" s="26">
        <f>9046.4-473.9-934-232.3</f>
        <v>7406.2</v>
      </c>
      <c r="AH618" s="26">
        <v>7406.2</v>
      </c>
      <c r="AI618" s="26">
        <f>3015.5+485.9</f>
        <v>3501.4</v>
      </c>
      <c r="AJ618" s="26">
        <v>3025.1</v>
      </c>
      <c r="AK618" s="26"/>
      <c r="AL618" s="26"/>
      <c r="AM618" s="26">
        <f>24.2-12.1</f>
        <v>12.1</v>
      </c>
      <c r="AN618" s="26">
        <v>10.5</v>
      </c>
      <c r="AO618" s="26">
        <f>AP618+AQ618+AR618+AS618</f>
        <v>11869.2</v>
      </c>
      <c r="AP618" s="26">
        <f>8158.8+561.3+0.7-425.9</f>
        <v>8294.9000000000015</v>
      </c>
      <c r="AQ618" s="26">
        <f>3332.5+229.5</f>
        <v>3562</v>
      </c>
      <c r="AR618" s="26"/>
      <c r="AS618" s="26">
        <f>11.5+0.8</f>
        <v>12.3</v>
      </c>
      <c r="AT618" s="26">
        <f>AU618+AV618+AW618+AX618</f>
        <v>11502.8</v>
      </c>
      <c r="AU618" s="26">
        <v>8158.8</v>
      </c>
      <c r="AV618" s="26">
        <v>3332.5</v>
      </c>
      <c r="AW618" s="26"/>
      <c r="AX618" s="26">
        <v>11.5</v>
      </c>
      <c r="AY618" s="26">
        <f>AZ618+BA618+BB618+BC618</f>
        <v>11719.800000000001</v>
      </c>
      <c r="AZ618" s="26">
        <v>8078.6</v>
      </c>
      <c r="BA618" s="26">
        <v>3629.5</v>
      </c>
      <c r="BB618" s="26"/>
      <c r="BC618" s="26">
        <v>11.7</v>
      </c>
      <c r="BD618" s="26">
        <f>BE618+BF618+BG618+BH618</f>
        <v>11719.800000000001</v>
      </c>
      <c r="BE618" s="26">
        <v>8078.6</v>
      </c>
      <c r="BF618" s="26">
        <v>3629.5</v>
      </c>
      <c r="BG618" s="26"/>
      <c r="BH618" s="26">
        <v>11.7</v>
      </c>
    </row>
    <row r="619" spans="1:60" ht="35.65" customHeight="1" thickBot="1">
      <c r="A619" s="27" t="s">
        <v>131</v>
      </c>
      <c r="B619" s="35"/>
      <c r="C619" s="121" t="s">
        <v>105</v>
      </c>
      <c r="D619" s="121" t="s">
        <v>106</v>
      </c>
      <c r="E619" s="121" t="s">
        <v>107</v>
      </c>
      <c r="F619" s="121"/>
      <c r="G619" s="121"/>
      <c r="H619" s="121"/>
      <c r="I619" s="121"/>
      <c r="J619" s="121" t="s">
        <v>429</v>
      </c>
      <c r="K619" s="121" t="s">
        <v>109</v>
      </c>
      <c r="L619" s="123">
        <v>43831</v>
      </c>
      <c r="M619" s="246" t="s">
        <v>430</v>
      </c>
      <c r="N619" s="121" t="s">
        <v>112</v>
      </c>
      <c r="O619" s="121"/>
      <c r="P619" s="121"/>
      <c r="Q619" s="121"/>
      <c r="R619" s="121"/>
      <c r="S619" s="121"/>
      <c r="T619" s="121" t="s">
        <v>431</v>
      </c>
      <c r="U619" s="121" t="s">
        <v>112</v>
      </c>
      <c r="V619" s="43"/>
      <c r="W619" s="247"/>
      <c r="X619" s="121"/>
      <c r="Y619" s="43"/>
      <c r="Z619" s="247"/>
      <c r="AA619" s="20"/>
      <c r="AB619" s="98"/>
      <c r="AC619" s="26"/>
      <c r="AD619" s="52" t="s">
        <v>1087</v>
      </c>
      <c r="AE619" s="26">
        <f>AG619+AI619+AK619+AM619</f>
        <v>3344.2</v>
      </c>
      <c r="AF619" s="26">
        <f t="shared" ref="AF619:AF620" si="186">AH619+AJ619+AL619+AN619</f>
        <v>3194.2999999999997</v>
      </c>
      <c r="AG619" s="26">
        <f>2776.8-145.5-365.6</f>
        <v>2265.7000000000003</v>
      </c>
      <c r="AH619" s="26">
        <v>2265.6999999999998</v>
      </c>
      <c r="AI619" s="26">
        <f>925.6+149.2</f>
        <v>1074.8</v>
      </c>
      <c r="AJ619" s="26">
        <v>925.4</v>
      </c>
      <c r="AK619" s="26"/>
      <c r="AL619" s="26"/>
      <c r="AM619" s="26">
        <f>7.4-3.7</f>
        <v>3.7</v>
      </c>
      <c r="AN619" s="26">
        <v>3.2</v>
      </c>
      <c r="AO619" s="26">
        <f>AP619+AQ619+AR619+AS619</f>
        <v>3698.4999999999995</v>
      </c>
      <c r="AP619" s="26">
        <f>2424.2+199.1</f>
        <v>2623.2999999999997</v>
      </c>
      <c r="AQ619" s="26">
        <f>990.2+81.3</f>
        <v>1071.5</v>
      </c>
      <c r="AR619" s="26"/>
      <c r="AS619" s="26">
        <f>3.4+0.3</f>
        <v>3.6999999999999997</v>
      </c>
      <c r="AT619" s="26">
        <f>AU619+AV619+AW619+AX619</f>
        <v>3417.7999999999997</v>
      </c>
      <c r="AU619" s="26">
        <v>2424.1999999999998</v>
      </c>
      <c r="AV619" s="26">
        <v>990.2</v>
      </c>
      <c r="AW619" s="26"/>
      <c r="AX619" s="26">
        <v>3.4</v>
      </c>
      <c r="AY619" s="26">
        <f>AZ619+BA619+BB619+BC619</f>
        <v>3482.2000000000003</v>
      </c>
      <c r="AZ619" s="26">
        <v>2400.4</v>
      </c>
      <c r="BA619" s="26">
        <v>1078.4000000000001</v>
      </c>
      <c r="BB619" s="26"/>
      <c r="BC619" s="26">
        <f>3.5-0.1</f>
        <v>3.4</v>
      </c>
      <c r="BD619" s="26">
        <f>BE619+BF619+BG619+BH619</f>
        <v>3482.2000000000003</v>
      </c>
      <c r="BE619" s="26">
        <v>2400.4</v>
      </c>
      <c r="BF619" s="26">
        <v>1078.4000000000001</v>
      </c>
      <c r="BG619" s="26"/>
      <c r="BH619" s="26">
        <f>3.5-0.1</f>
        <v>3.4</v>
      </c>
    </row>
    <row r="620" spans="1:60" ht="35.65" customHeight="1" thickBot="1">
      <c r="A620" s="27" t="s">
        <v>131</v>
      </c>
      <c r="B620" s="35"/>
      <c r="C620" s="121" t="s">
        <v>105</v>
      </c>
      <c r="D620" s="121" t="s">
        <v>106</v>
      </c>
      <c r="E620" s="121" t="s">
        <v>107</v>
      </c>
      <c r="F620" s="121"/>
      <c r="G620" s="121"/>
      <c r="H620" s="121"/>
      <c r="I620" s="121"/>
      <c r="J620" s="121" t="s">
        <v>429</v>
      </c>
      <c r="K620" s="121" t="s">
        <v>109</v>
      </c>
      <c r="L620" s="123">
        <v>43831</v>
      </c>
      <c r="M620" s="246" t="s">
        <v>430</v>
      </c>
      <c r="N620" s="121" t="s">
        <v>112</v>
      </c>
      <c r="O620" s="121"/>
      <c r="P620" s="121"/>
      <c r="Q620" s="121"/>
      <c r="R620" s="121"/>
      <c r="S620" s="121"/>
      <c r="T620" s="121" t="s">
        <v>431</v>
      </c>
      <c r="U620" s="121" t="s">
        <v>112</v>
      </c>
      <c r="V620" s="43"/>
      <c r="W620" s="247"/>
      <c r="X620" s="121"/>
      <c r="Y620" s="43"/>
      <c r="Z620" s="247"/>
      <c r="AA620" s="20"/>
      <c r="AB620" s="98"/>
      <c r="AC620" s="26"/>
      <c r="AD620" s="52" t="s">
        <v>1088</v>
      </c>
      <c r="AE620" s="26">
        <f>AG620+AI620+AK620+AM620</f>
        <v>460.69999999999993</v>
      </c>
      <c r="AF620" s="26">
        <f t="shared" si="186"/>
        <v>0</v>
      </c>
      <c r="AG620" s="26">
        <f>500.4+619.4-1017.7-100.4</f>
        <v>1.6999999999999034</v>
      </c>
      <c r="AH620" s="26">
        <v>0</v>
      </c>
      <c r="AI620" s="26">
        <f>1092.5-635.1</f>
        <v>457.4</v>
      </c>
      <c r="AJ620" s="26">
        <v>0</v>
      </c>
      <c r="AK620" s="26"/>
      <c r="AL620" s="26"/>
      <c r="AM620" s="26">
        <f>2.8-1.2</f>
        <v>1.5999999999999999</v>
      </c>
      <c r="AN620" s="26">
        <v>0</v>
      </c>
      <c r="AO620" s="26">
        <f>AP620+AQ620+AR620+AS620</f>
        <v>0</v>
      </c>
      <c r="AP620" s="26"/>
      <c r="AQ620" s="26"/>
      <c r="AR620" s="26"/>
      <c r="AS620" s="26"/>
      <c r="AT620" s="26">
        <f>AU620+AV620+AW620+AX620</f>
        <v>0</v>
      </c>
      <c r="AU620" s="26"/>
      <c r="AV620" s="26"/>
      <c r="AW620" s="26"/>
      <c r="AX620" s="26"/>
      <c r="AY620" s="26">
        <f>AZ620+BA620+BB620+BC620</f>
        <v>0</v>
      </c>
      <c r="AZ620" s="26"/>
      <c r="BA620" s="26"/>
      <c r="BB620" s="26"/>
      <c r="BC620" s="26"/>
      <c r="BD620" s="26">
        <f>BE620+BF620+BG620+BH620</f>
        <v>0</v>
      </c>
      <c r="BE620" s="26"/>
      <c r="BF620" s="26"/>
      <c r="BG620" s="26"/>
      <c r="BH620" s="26"/>
    </row>
    <row r="621" spans="1:60" ht="35.65" customHeight="1" thickBot="1">
      <c r="A621" s="248" t="s">
        <v>432</v>
      </c>
      <c r="B621" s="249">
        <v>2625</v>
      </c>
      <c r="C621" s="33"/>
      <c r="D621" s="34"/>
      <c r="E621" s="34"/>
      <c r="F621" s="34"/>
      <c r="G621" s="34"/>
      <c r="H621" s="34"/>
      <c r="I621" s="34"/>
      <c r="J621" s="150"/>
      <c r="K621" s="150"/>
      <c r="L621" s="150"/>
      <c r="M621" s="150"/>
      <c r="N621" s="150"/>
      <c r="O621" s="150"/>
      <c r="P621" s="150"/>
      <c r="Q621" s="34"/>
      <c r="R621" s="34"/>
      <c r="S621" s="34"/>
      <c r="T621" s="34"/>
      <c r="U621" s="34"/>
      <c r="V621" s="34"/>
      <c r="W621" s="150"/>
      <c r="X621" s="150"/>
      <c r="Y621" s="150"/>
      <c r="Z621" s="150"/>
      <c r="AA621" s="150"/>
      <c r="AB621" s="150"/>
      <c r="AC621" s="150"/>
      <c r="AD621" s="244"/>
      <c r="AE621" s="34">
        <f>AE622+AE623+AE624+AE625+AE626</f>
        <v>315.79999999999995</v>
      </c>
      <c r="AF621" s="34">
        <f>AF622+AF623+AF624+AF625+AF626</f>
        <v>85.4</v>
      </c>
      <c r="AG621" s="34">
        <f t="shared" ref="AG621:BH621" si="187">AG622+AG623+AG624+AG625+AG626</f>
        <v>0</v>
      </c>
      <c r="AH621" s="34">
        <f t="shared" si="187"/>
        <v>0</v>
      </c>
      <c r="AI621" s="34">
        <f t="shared" si="187"/>
        <v>315.79999999999995</v>
      </c>
      <c r="AJ621" s="34">
        <f t="shared" si="187"/>
        <v>85.4</v>
      </c>
      <c r="AK621" s="34">
        <f t="shared" si="187"/>
        <v>0</v>
      </c>
      <c r="AL621" s="34">
        <f t="shared" si="187"/>
        <v>0</v>
      </c>
      <c r="AM621" s="34">
        <f t="shared" si="187"/>
        <v>0</v>
      </c>
      <c r="AN621" s="34">
        <f t="shared" si="187"/>
        <v>0</v>
      </c>
      <c r="AO621" s="34">
        <f>AO622+AO623+AO624+AO625+AO626</f>
        <v>742.00000000000011</v>
      </c>
      <c r="AP621" s="34">
        <f t="shared" si="187"/>
        <v>0</v>
      </c>
      <c r="AQ621" s="34">
        <f t="shared" si="187"/>
        <v>742.00000000000011</v>
      </c>
      <c r="AR621" s="34">
        <f t="shared" si="187"/>
        <v>0</v>
      </c>
      <c r="AS621" s="34">
        <f t="shared" si="187"/>
        <v>0</v>
      </c>
      <c r="AT621" s="34">
        <f t="shared" si="187"/>
        <v>0</v>
      </c>
      <c r="AU621" s="34">
        <f t="shared" si="187"/>
        <v>0</v>
      </c>
      <c r="AV621" s="34">
        <f t="shared" si="187"/>
        <v>0</v>
      </c>
      <c r="AW621" s="34">
        <f t="shared" si="187"/>
        <v>0</v>
      </c>
      <c r="AX621" s="34">
        <f t="shared" si="187"/>
        <v>0</v>
      </c>
      <c r="AY621" s="34">
        <f t="shared" si="187"/>
        <v>0</v>
      </c>
      <c r="AZ621" s="34">
        <f t="shared" si="187"/>
        <v>0</v>
      </c>
      <c r="BA621" s="34">
        <f t="shared" si="187"/>
        <v>0</v>
      </c>
      <c r="BB621" s="34">
        <f t="shared" si="187"/>
        <v>0</v>
      </c>
      <c r="BC621" s="34">
        <f t="shared" si="187"/>
        <v>0</v>
      </c>
      <c r="BD621" s="34">
        <f t="shared" si="187"/>
        <v>0</v>
      </c>
      <c r="BE621" s="34">
        <f t="shared" si="187"/>
        <v>0</v>
      </c>
      <c r="BF621" s="34">
        <f t="shared" si="187"/>
        <v>0</v>
      </c>
      <c r="BG621" s="34">
        <f t="shared" si="187"/>
        <v>0</v>
      </c>
      <c r="BH621" s="34">
        <f t="shared" si="187"/>
        <v>0</v>
      </c>
    </row>
    <row r="622" spans="1:60" ht="35.65" customHeight="1" thickBot="1">
      <c r="A622" s="27" t="s">
        <v>104</v>
      </c>
      <c r="B622" s="35"/>
      <c r="C622" s="20"/>
      <c r="D622" s="20"/>
      <c r="E622" s="20"/>
      <c r="F622" s="98"/>
      <c r="G622" s="98"/>
      <c r="H622" s="98"/>
      <c r="I622" s="98"/>
      <c r="J622" s="20"/>
      <c r="K622" s="20"/>
      <c r="L622" s="43"/>
      <c r="M622" s="98"/>
      <c r="N622" s="20"/>
      <c r="O622" s="98"/>
      <c r="P622" s="98"/>
      <c r="Q622" s="20"/>
      <c r="R622" s="98"/>
      <c r="S622" s="98"/>
      <c r="T622" s="99"/>
      <c r="U622" s="20"/>
      <c r="V622" s="98"/>
      <c r="W622" s="99"/>
      <c r="X622" s="20"/>
      <c r="Y622" s="98"/>
      <c r="Z622" s="98"/>
      <c r="AA622" s="20"/>
      <c r="AB622" s="98"/>
      <c r="AC622" s="26"/>
      <c r="AD622" s="52" t="s">
        <v>1089</v>
      </c>
      <c r="AE622" s="26">
        <f t="shared" ref="AE622:AF626" si="188">AG622+AI622+AK622+AM622</f>
        <v>129</v>
      </c>
      <c r="AF622" s="26">
        <f t="shared" si="188"/>
        <v>40.200000000000003</v>
      </c>
      <c r="AG622" s="26"/>
      <c r="AH622" s="26"/>
      <c r="AI622" s="26">
        <v>129</v>
      </c>
      <c r="AJ622" s="26">
        <v>40.200000000000003</v>
      </c>
      <c r="AK622" s="26"/>
      <c r="AL622" s="26"/>
      <c r="AM622" s="26"/>
      <c r="AN622" s="26"/>
      <c r="AO622" s="26">
        <f t="shared" ref="AO622:AO626" si="189">AP622+AQ622+AR622+AS622</f>
        <v>319.60000000000002</v>
      </c>
      <c r="AP622" s="26"/>
      <c r="AQ622" s="26">
        <f>321.3+45-46.7</f>
        <v>319.60000000000002</v>
      </c>
      <c r="AR622" s="26"/>
      <c r="AS622" s="26"/>
      <c r="AT622" s="26"/>
      <c r="AU622" s="26"/>
      <c r="AV622" s="26"/>
      <c r="AW622" s="26"/>
      <c r="AX622" s="26"/>
      <c r="AY622" s="34"/>
      <c r="AZ622" s="26"/>
      <c r="BA622" s="26"/>
      <c r="BB622" s="26"/>
      <c r="BC622" s="26"/>
      <c r="BD622" s="34"/>
      <c r="BE622" s="26"/>
      <c r="BF622" s="26"/>
      <c r="BG622" s="26"/>
      <c r="BH622" s="26"/>
    </row>
    <row r="623" spans="1:60" ht="35.65" customHeight="1" thickBot="1">
      <c r="A623" s="27" t="s">
        <v>104</v>
      </c>
      <c r="B623" s="35"/>
      <c r="C623" s="20"/>
      <c r="D623" s="20"/>
      <c r="E623" s="20"/>
      <c r="F623" s="98"/>
      <c r="G623" s="98"/>
      <c r="H623" s="98"/>
      <c r="I623" s="98"/>
      <c r="J623" s="20"/>
      <c r="K623" s="20"/>
      <c r="L623" s="43"/>
      <c r="M623" s="98"/>
      <c r="N623" s="20"/>
      <c r="O623" s="98"/>
      <c r="P623" s="98"/>
      <c r="Q623" s="20"/>
      <c r="R623" s="98"/>
      <c r="S623" s="98"/>
      <c r="T623" s="99"/>
      <c r="U623" s="20"/>
      <c r="V623" s="98"/>
      <c r="W623" s="99"/>
      <c r="X623" s="20"/>
      <c r="Y623" s="98"/>
      <c r="Z623" s="98"/>
      <c r="AA623" s="20"/>
      <c r="AB623" s="98"/>
      <c r="AC623" s="26"/>
      <c r="AD623" s="52" t="s">
        <v>1090</v>
      </c>
      <c r="AE623" s="26">
        <f t="shared" si="188"/>
        <v>11.1</v>
      </c>
      <c r="AF623" s="26">
        <f t="shared" si="188"/>
        <v>3.7</v>
      </c>
      <c r="AG623" s="26"/>
      <c r="AH623" s="26"/>
      <c r="AI623" s="26">
        <v>11.1</v>
      </c>
      <c r="AJ623" s="26">
        <v>3.7</v>
      </c>
      <c r="AK623" s="26"/>
      <c r="AL623" s="26"/>
      <c r="AM623" s="26"/>
      <c r="AN623" s="26"/>
      <c r="AO623" s="26">
        <f t="shared" si="189"/>
        <v>48.6</v>
      </c>
      <c r="AP623" s="26"/>
      <c r="AQ623" s="26">
        <f>42.9+5.7</f>
        <v>48.6</v>
      </c>
      <c r="AR623" s="26"/>
      <c r="AS623" s="26"/>
      <c r="AT623" s="26"/>
      <c r="AU623" s="26"/>
      <c r="AV623" s="26"/>
      <c r="AW623" s="26"/>
      <c r="AX623" s="26"/>
      <c r="AY623" s="34"/>
      <c r="AZ623" s="26"/>
      <c r="BA623" s="26"/>
      <c r="BB623" s="26"/>
      <c r="BC623" s="26"/>
      <c r="BD623" s="34"/>
      <c r="BE623" s="26"/>
      <c r="BF623" s="26"/>
      <c r="BG623" s="26"/>
      <c r="BH623" s="26"/>
    </row>
    <row r="624" spans="1:60" ht="35.65" customHeight="1" thickBot="1">
      <c r="A624" s="27" t="s">
        <v>131</v>
      </c>
      <c r="B624" s="35"/>
      <c r="C624" s="111"/>
      <c r="D624" s="111"/>
      <c r="E624" s="111"/>
      <c r="F624" s="111"/>
      <c r="G624" s="111"/>
      <c r="H624" s="111"/>
      <c r="I624" s="111"/>
      <c r="J624" s="53"/>
      <c r="K624" s="111"/>
      <c r="L624" s="111"/>
      <c r="M624" s="111"/>
      <c r="N624" s="111"/>
      <c r="O624" s="111"/>
      <c r="P624" s="52"/>
      <c r="Q624" s="111"/>
      <c r="R624" s="111"/>
      <c r="S624" s="111"/>
      <c r="T624" s="101"/>
      <c r="U624" s="20"/>
      <c r="V624" s="98"/>
      <c r="W624" s="113"/>
      <c r="X624" s="20"/>
      <c r="Y624" s="98"/>
      <c r="Z624" s="98"/>
      <c r="AA624" s="20"/>
      <c r="AB624" s="98"/>
      <c r="AC624" s="26"/>
      <c r="AD624" s="52" t="s">
        <v>1091</v>
      </c>
      <c r="AE624" s="26">
        <f t="shared" si="188"/>
        <v>52.8</v>
      </c>
      <c r="AF624" s="26">
        <f t="shared" si="188"/>
        <v>29</v>
      </c>
      <c r="AG624" s="26"/>
      <c r="AH624" s="26"/>
      <c r="AI624" s="26">
        <v>52.8</v>
      </c>
      <c r="AJ624" s="26">
        <v>29</v>
      </c>
      <c r="AK624" s="26"/>
      <c r="AL624" s="26"/>
      <c r="AM624" s="26"/>
      <c r="AN624" s="26"/>
      <c r="AO624" s="26">
        <f t="shared" si="189"/>
        <v>193.5</v>
      </c>
      <c r="AP624" s="26"/>
      <c r="AQ624" s="26">
        <f>158-5.5+41</f>
        <v>193.5</v>
      </c>
      <c r="AR624" s="26"/>
      <c r="AS624" s="26"/>
      <c r="AT624" s="26"/>
      <c r="AU624" s="26"/>
      <c r="AV624" s="26"/>
      <c r="AW624" s="26"/>
      <c r="AX624" s="26"/>
      <c r="AY624" s="26"/>
      <c r="AZ624" s="26"/>
      <c r="BA624" s="26"/>
      <c r="BB624" s="26"/>
      <c r="BC624" s="26"/>
      <c r="BD624" s="26"/>
      <c r="BE624" s="26"/>
      <c r="BF624" s="26"/>
      <c r="BG624" s="26"/>
      <c r="BH624" s="26"/>
    </row>
    <row r="625" spans="1:60" ht="35.65" customHeight="1" thickBot="1">
      <c r="A625" s="27" t="s">
        <v>131</v>
      </c>
      <c r="B625" s="35"/>
      <c r="C625" s="111"/>
      <c r="D625" s="111"/>
      <c r="E625" s="111"/>
      <c r="F625" s="111"/>
      <c r="G625" s="111"/>
      <c r="H625" s="111"/>
      <c r="I625" s="111"/>
      <c r="J625" s="53"/>
      <c r="K625" s="111"/>
      <c r="L625" s="111"/>
      <c r="M625" s="111"/>
      <c r="N625" s="111"/>
      <c r="O625" s="111"/>
      <c r="P625" s="52"/>
      <c r="Q625" s="111"/>
      <c r="R625" s="111"/>
      <c r="S625" s="111"/>
      <c r="T625" s="101"/>
      <c r="U625" s="20"/>
      <c r="V625" s="98"/>
      <c r="W625" s="113"/>
      <c r="X625" s="20"/>
      <c r="Y625" s="98"/>
      <c r="Z625" s="98"/>
      <c r="AA625" s="20"/>
      <c r="AB625" s="98"/>
      <c r="AC625" s="26"/>
      <c r="AD625" s="52" t="s">
        <v>1092</v>
      </c>
      <c r="AE625" s="26">
        <f t="shared" si="188"/>
        <v>22.9</v>
      </c>
      <c r="AF625" s="26">
        <f>AH625+AJ625+AL625+AN625</f>
        <v>12.5</v>
      </c>
      <c r="AG625" s="26"/>
      <c r="AH625" s="26"/>
      <c r="AI625" s="26">
        <v>22.9</v>
      </c>
      <c r="AJ625" s="26">
        <v>12.5</v>
      </c>
      <c r="AK625" s="26"/>
      <c r="AL625" s="26"/>
      <c r="AM625" s="26"/>
      <c r="AN625" s="26"/>
      <c r="AO625" s="26">
        <f t="shared" si="189"/>
        <v>69.599999999999994</v>
      </c>
      <c r="AP625" s="26"/>
      <c r="AQ625" s="26">
        <f>109.1-39.5</f>
        <v>69.599999999999994</v>
      </c>
      <c r="AR625" s="26"/>
      <c r="AS625" s="26"/>
      <c r="AT625" s="26"/>
      <c r="AU625" s="26"/>
      <c r="AV625" s="26"/>
      <c r="AW625" s="26"/>
      <c r="AX625" s="26"/>
      <c r="AY625" s="26"/>
      <c r="AZ625" s="26"/>
      <c r="BA625" s="26"/>
      <c r="BB625" s="26"/>
      <c r="BC625" s="26"/>
      <c r="BD625" s="26"/>
      <c r="BE625" s="26"/>
      <c r="BF625" s="26"/>
      <c r="BG625" s="26"/>
      <c r="BH625" s="26"/>
    </row>
    <row r="626" spans="1:60" ht="35.65" customHeight="1" thickBot="1">
      <c r="A626" s="27" t="s">
        <v>131</v>
      </c>
      <c r="B626" s="35"/>
      <c r="C626" s="111"/>
      <c r="D626" s="111"/>
      <c r="E626" s="111"/>
      <c r="F626" s="111"/>
      <c r="G626" s="111"/>
      <c r="H626" s="111"/>
      <c r="I626" s="111"/>
      <c r="J626" s="53"/>
      <c r="K626" s="111"/>
      <c r="L626" s="111"/>
      <c r="M626" s="111"/>
      <c r="N626" s="111"/>
      <c r="O626" s="111"/>
      <c r="P626" s="52"/>
      <c r="Q626" s="111"/>
      <c r="R626" s="111"/>
      <c r="S626" s="111"/>
      <c r="T626" s="101"/>
      <c r="U626" s="20"/>
      <c r="V626" s="98"/>
      <c r="W626" s="113"/>
      <c r="X626" s="20"/>
      <c r="Y626" s="98"/>
      <c r="Z626" s="98"/>
      <c r="AA626" s="20"/>
      <c r="AB626" s="98"/>
      <c r="AC626" s="26"/>
      <c r="AD626" s="52" t="s">
        <v>1093</v>
      </c>
      <c r="AE626" s="26">
        <f t="shared" si="188"/>
        <v>100</v>
      </c>
      <c r="AF626" s="26">
        <f t="shared" si="188"/>
        <v>0</v>
      </c>
      <c r="AG626" s="26"/>
      <c r="AH626" s="26"/>
      <c r="AI626" s="26">
        <v>100</v>
      </c>
      <c r="AJ626" s="26">
        <v>0</v>
      </c>
      <c r="AK626" s="26"/>
      <c r="AL626" s="26"/>
      <c r="AM626" s="26"/>
      <c r="AN626" s="26"/>
      <c r="AO626" s="26">
        <f t="shared" si="189"/>
        <v>110.7</v>
      </c>
      <c r="AP626" s="26"/>
      <c r="AQ626" s="26">
        <v>110.7</v>
      </c>
      <c r="AR626" s="26"/>
      <c r="AS626" s="26"/>
      <c r="AT626" s="26"/>
      <c r="AU626" s="26"/>
      <c r="AV626" s="26"/>
      <c r="AW626" s="26"/>
      <c r="AX626" s="26"/>
      <c r="AY626" s="26"/>
      <c r="AZ626" s="26"/>
      <c r="BA626" s="26"/>
      <c r="BB626" s="26"/>
      <c r="BC626" s="26"/>
      <c r="BD626" s="26"/>
      <c r="BE626" s="26"/>
      <c r="BF626" s="26"/>
      <c r="BG626" s="26"/>
      <c r="BH626" s="26"/>
    </row>
    <row r="627" spans="1:60" ht="35.65" customHeight="1">
      <c r="A627" s="239"/>
      <c r="B627" s="240"/>
      <c r="C627" s="241"/>
      <c r="D627" s="241"/>
      <c r="E627" s="241"/>
      <c r="F627" s="118"/>
      <c r="G627" s="118"/>
      <c r="H627" s="118"/>
      <c r="I627" s="118"/>
      <c r="J627" s="242"/>
      <c r="K627" s="242"/>
      <c r="L627" s="242"/>
      <c r="M627" s="242"/>
      <c r="N627" s="242"/>
      <c r="O627" s="242"/>
      <c r="P627" s="242"/>
      <c r="Q627" s="242"/>
      <c r="R627" s="242"/>
      <c r="S627" s="242"/>
      <c r="T627" s="242"/>
      <c r="U627" s="242"/>
      <c r="V627" s="243"/>
      <c r="W627" s="244"/>
      <c r="X627" s="245"/>
      <c r="Y627" s="118"/>
      <c r="Z627" s="245"/>
      <c r="AA627" s="245"/>
      <c r="AB627" s="34"/>
      <c r="AC627" s="34"/>
      <c r="AD627" s="260"/>
      <c r="AE627" s="34"/>
      <c r="AF627" s="34"/>
      <c r="AG627" s="34"/>
      <c r="AH627" s="34"/>
      <c r="AI627" s="34"/>
      <c r="AJ627" s="34"/>
      <c r="AK627" s="34"/>
      <c r="AL627" s="34"/>
      <c r="AM627" s="34"/>
      <c r="AN627" s="34"/>
      <c r="AO627" s="34"/>
      <c r="AP627" s="34"/>
      <c r="AQ627" s="34"/>
      <c r="AR627" s="34"/>
      <c r="AS627" s="34"/>
      <c r="AT627" s="34"/>
      <c r="AU627" s="34"/>
      <c r="AV627" s="34"/>
      <c r="AW627" s="34"/>
      <c r="AX627" s="34"/>
      <c r="AY627" s="34"/>
      <c r="AZ627" s="34"/>
      <c r="BA627" s="34"/>
      <c r="BB627" s="34"/>
      <c r="BC627" s="34"/>
      <c r="BD627" s="34"/>
      <c r="BE627" s="34"/>
      <c r="BF627" s="34"/>
      <c r="BG627" s="34"/>
      <c r="BH627" s="34"/>
    </row>
    <row r="628" spans="1:60" ht="35.65" customHeight="1">
      <c r="A628" s="167" t="s">
        <v>433</v>
      </c>
      <c r="B628" s="234">
        <v>2700</v>
      </c>
      <c r="C628" s="22" t="s">
        <v>25</v>
      </c>
      <c r="D628" s="22" t="s">
        <v>25</v>
      </c>
      <c r="E628" s="22" t="s">
        <v>25</v>
      </c>
      <c r="F628" s="22" t="s">
        <v>25</v>
      </c>
      <c r="G628" s="22" t="s">
        <v>25</v>
      </c>
      <c r="H628" s="22" t="s">
        <v>25</v>
      </c>
      <c r="I628" s="22" t="s">
        <v>25</v>
      </c>
      <c r="J628" s="22"/>
      <c r="K628" s="22"/>
      <c r="L628" s="22"/>
      <c r="M628" s="22" t="s">
        <v>25</v>
      </c>
      <c r="N628" s="22" t="s">
        <v>25</v>
      </c>
      <c r="O628" s="22" t="s">
        <v>25</v>
      </c>
      <c r="P628" s="22" t="s">
        <v>25</v>
      </c>
      <c r="Q628" s="22" t="s">
        <v>25</v>
      </c>
      <c r="R628" s="22" t="s">
        <v>25</v>
      </c>
      <c r="S628" s="22" t="s">
        <v>25</v>
      </c>
      <c r="T628" s="22" t="s">
        <v>25</v>
      </c>
      <c r="U628" s="22" t="s">
        <v>25</v>
      </c>
      <c r="V628" s="22" t="s">
        <v>25</v>
      </c>
      <c r="W628" s="250" t="s">
        <v>25</v>
      </c>
      <c r="X628" s="22" t="s">
        <v>25</v>
      </c>
      <c r="Y628" s="22" t="s">
        <v>25</v>
      </c>
      <c r="Z628" s="22" t="s">
        <v>25</v>
      </c>
      <c r="AA628" s="22" t="s">
        <v>25</v>
      </c>
      <c r="AB628" s="22" t="s">
        <v>25</v>
      </c>
      <c r="AC628" s="22" t="s">
        <v>25</v>
      </c>
      <c r="AD628" s="22" t="s">
        <v>25</v>
      </c>
      <c r="AE628" s="118">
        <f>AE629+AE640</f>
        <v>358.5</v>
      </c>
      <c r="AF628" s="118">
        <f>AH628+AJ628+AL628+AN628</f>
        <v>330.9</v>
      </c>
      <c r="AG628" s="118">
        <f t="shared" ref="AG628:BH628" si="190">AG629+AG640</f>
        <v>0</v>
      </c>
      <c r="AH628" s="118">
        <f t="shared" si="190"/>
        <v>0</v>
      </c>
      <c r="AI628" s="118">
        <f t="shared" si="190"/>
        <v>0</v>
      </c>
      <c r="AJ628" s="118">
        <f t="shared" si="190"/>
        <v>0</v>
      </c>
      <c r="AK628" s="118">
        <f t="shared" si="190"/>
        <v>0</v>
      </c>
      <c r="AL628" s="118"/>
      <c r="AM628" s="118">
        <f t="shared" si="190"/>
        <v>358.5</v>
      </c>
      <c r="AN628" s="118">
        <f t="shared" si="190"/>
        <v>330.9</v>
      </c>
      <c r="AO628" s="118">
        <f t="shared" si="190"/>
        <v>394.1</v>
      </c>
      <c r="AP628" s="118">
        <f t="shared" si="190"/>
        <v>0</v>
      </c>
      <c r="AQ628" s="118">
        <f t="shared" si="190"/>
        <v>0</v>
      </c>
      <c r="AR628" s="118">
        <f t="shared" si="190"/>
        <v>0</v>
      </c>
      <c r="AS628" s="118">
        <f t="shared" si="190"/>
        <v>394.1</v>
      </c>
      <c r="AT628" s="118">
        <f t="shared" si="190"/>
        <v>114.1</v>
      </c>
      <c r="AU628" s="118">
        <f t="shared" si="190"/>
        <v>0</v>
      </c>
      <c r="AV628" s="118">
        <f t="shared" si="190"/>
        <v>0</v>
      </c>
      <c r="AW628" s="118">
        <f t="shared" si="190"/>
        <v>0</v>
      </c>
      <c r="AX628" s="118">
        <f t="shared" si="190"/>
        <v>114.1</v>
      </c>
      <c r="AY628" s="118">
        <f t="shared" si="190"/>
        <v>114.1</v>
      </c>
      <c r="AZ628" s="118">
        <f t="shared" si="190"/>
        <v>0</v>
      </c>
      <c r="BA628" s="118">
        <f t="shared" si="190"/>
        <v>0</v>
      </c>
      <c r="BB628" s="118">
        <f t="shared" si="190"/>
        <v>0</v>
      </c>
      <c r="BC628" s="118">
        <f t="shared" si="190"/>
        <v>114.1</v>
      </c>
      <c r="BD628" s="118">
        <f t="shared" si="190"/>
        <v>114.1</v>
      </c>
      <c r="BE628" s="118">
        <f t="shared" si="190"/>
        <v>0</v>
      </c>
      <c r="BF628" s="118">
        <f t="shared" si="190"/>
        <v>0</v>
      </c>
      <c r="BG628" s="118">
        <f t="shared" si="190"/>
        <v>0</v>
      </c>
      <c r="BH628" s="118">
        <f t="shared" si="190"/>
        <v>114.1</v>
      </c>
    </row>
    <row r="629" spans="1:60" ht="35.65" customHeight="1">
      <c r="A629" s="167" t="s">
        <v>434</v>
      </c>
      <c r="B629" s="234">
        <v>2701</v>
      </c>
      <c r="C629" s="22" t="s">
        <v>25</v>
      </c>
      <c r="D629" s="22" t="s">
        <v>25</v>
      </c>
      <c r="E629" s="22" t="s">
        <v>25</v>
      </c>
      <c r="F629" s="22" t="s">
        <v>25</v>
      </c>
      <c r="G629" s="22" t="s">
        <v>25</v>
      </c>
      <c r="H629" s="22" t="s">
        <v>25</v>
      </c>
      <c r="I629" s="22" t="s">
        <v>25</v>
      </c>
      <c r="J629" s="22"/>
      <c r="K629" s="22"/>
      <c r="L629" s="22"/>
      <c r="M629" s="22" t="s">
        <v>25</v>
      </c>
      <c r="N629" s="22" t="s">
        <v>25</v>
      </c>
      <c r="O629" s="22" t="s">
        <v>25</v>
      </c>
      <c r="P629" s="22" t="s">
        <v>25</v>
      </c>
      <c r="Q629" s="22" t="s">
        <v>25</v>
      </c>
      <c r="R629" s="22" t="s">
        <v>25</v>
      </c>
      <c r="S629" s="22" t="s">
        <v>25</v>
      </c>
      <c r="T629" s="22" t="s">
        <v>25</v>
      </c>
      <c r="U629" s="22" t="s">
        <v>25</v>
      </c>
      <c r="V629" s="22" t="s">
        <v>25</v>
      </c>
      <c r="W629" s="250" t="s">
        <v>25</v>
      </c>
      <c r="X629" s="22" t="s">
        <v>25</v>
      </c>
      <c r="Y629" s="22" t="s">
        <v>25</v>
      </c>
      <c r="Z629" s="22" t="s">
        <v>25</v>
      </c>
      <c r="AA629" s="22" t="s">
        <v>25</v>
      </c>
      <c r="AB629" s="22" t="s">
        <v>25</v>
      </c>
      <c r="AC629" s="22" t="s">
        <v>25</v>
      </c>
      <c r="AD629" s="22" t="s">
        <v>25</v>
      </c>
      <c r="AE629" s="34"/>
      <c r="AF629" s="34"/>
      <c r="AG629" s="34"/>
      <c r="AH629" s="34"/>
      <c r="AI629" s="34"/>
      <c r="AJ629" s="34"/>
      <c r="AK629" s="34"/>
      <c r="AL629" s="34"/>
      <c r="AM629" s="34"/>
      <c r="AN629" s="34"/>
      <c r="AO629" s="34"/>
      <c r="AP629" s="34"/>
      <c r="AQ629" s="34"/>
      <c r="AR629" s="34"/>
      <c r="AS629" s="34"/>
      <c r="AT629" s="34"/>
      <c r="AU629" s="34"/>
      <c r="AV629" s="34"/>
      <c r="AW629" s="34"/>
      <c r="AX629" s="34"/>
      <c r="AY629" s="34"/>
      <c r="AZ629" s="34"/>
      <c r="BA629" s="34"/>
      <c r="BB629" s="34"/>
      <c r="BC629" s="34"/>
      <c r="BD629" s="34"/>
      <c r="BE629" s="34"/>
      <c r="BF629" s="34"/>
      <c r="BG629" s="34"/>
      <c r="BH629" s="34"/>
    </row>
    <row r="630" spans="1:60" ht="35.65" customHeight="1">
      <c r="A630" s="23" t="s">
        <v>27</v>
      </c>
      <c r="B630" s="251">
        <v>2702</v>
      </c>
      <c r="C630" s="25"/>
      <c r="D630" s="26"/>
      <c r="E630" s="26"/>
      <c r="F630" s="26"/>
      <c r="G630" s="26"/>
      <c r="H630" s="26"/>
      <c r="I630" s="26"/>
      <c r="J630" s="26"/>
      <c r="K630" s="26"/>
      <c r="L630" s="26"/>
      <c r="M630" s="26"/>
      <c r="N630" s="26"/>
      <c r="O630" s="26"/>
      <c r="P630" s="26"/>
      <c r="Q630" s="26"/>
      <c r="R630" s="26"/>
      <c r="S630" s="26"/>
      <c r="T630" s="26"/>
      <c r="U630" s="26"/>
      <c r="V630" s="26"/>
      <c r="W630" s="219"/>
      <c r="X630" s="26"/>
      <c r="Y630" s="26"/>
      <c r="Z630" s="26"/>
      <c r="AA630" s="26"/>
      <c r="AB630" s="26"/>
      <c r="AC630" s="26"/>
      <c r="AD630" s="26"/>
      <c r="AE630" s="26"/>
      <c r="AF630" s="26"/>
      <c r="AG630" s="26"/>
      <c r="AH630" s="26"/>
      <c r="AI630" s="26"/>
      <c r="AJ630" s="26"/>
      <c r="AK630" s="26"/>
      <c r="AL630" s="26"/>
      <c r="AM630" s="26"/>
      <c r="AN630" s="26"/>
      <c r="AO630" s="26"/>
      <c r="AP630" s="26"/>
      <c r="AQ630" s="26"/>
      <c r="AR630" s="26"/>
      <c r="AS630" s="26"/>
      <c r="AT630" s="26"/>
      <c r="AU630" s="26"/>
      <c r="AV630" s="26"/>
      <c r="AW630" s="26"/>
      <c r="AX630" s="26"/>
      <c r="AY630" s="26"/>
      <c r="AZ630" s="26"/>
      <c r="BA630" s="26"/>
      <c r="BB630" s="26"/>
      <c r="BC630" s="26"/>
      <c r="BD630" s="26"/>
      <c r="BE630" s="26"/>
      <c r="BF630" s="26"/>
      <c r="BG630" s="26"/>
      <c r="BH630" s="26"/>
    </row>
    <row r="631" spans="1:60" ht="35.65" customHeight="1">
      <c r="A631" s="164" t="s">
        <v>435</v>
      </c>
      <c r="B631" s="252">
        <v>2714</v>
      </c>
      <c r="C631" s="33"/>
      <c r="D631" s="34"/>
      <c r="E631" s="34"/>
      <c r="F631" s="34"/>
      <c r="G631" s="34"/>
      <c r="H631" s="34"/>
      <c r="I631" s="34"/>
      <c r="J631" s="34"/>
      <c r="K631" s="34"/>
      <c r="L631" s="34"/>
      <c r="M631" s="34"/>
      <c r="N631" s="34"/>
      <c r="O631" s="34"/>
      <c r="P631" s="34"/>
      <c r="Q631" s="34"/>
      <c r="R631" s="34"/>
      <c r="S631" s="34"/>
      <c r="T631" s="34"/>
      <c r="U631" s="34"/>
      <c r="V631" s="34"/>
      <c r="W631" s="235"/>
      <c r="X631" s="34"/>
      <c r="Y631" s="34"/>
      <c r="Z631" s="34"/>
      <c r="AA631" s="34"/>
      <c r="AB631" s="34"/>
      <c r="AC631" s="34">
        <v>24</v>
      </c>
      <c r="AD631" s="260"/>
      <c r="AE631" s="34"/>
      <c r="AF631" s="34"/>
      <c r="AG631" s="34"/>
      <c r="AH631" s="34"/>
      <c r="AI631" s="34"/>
      <c r="AJ631" s="34"/>
      <c r="AK631" s="34"/>
      <c r="AL631" s="34"/>
      <c r="AM631" s="34"/>
      <c r="AN631" s="34"/>
      <c r="AO631" s="34"/>
      <c r="AP631" s="34"/>
      <c r="AQ631" s="34"/>
      <c r="AR631" s="34"/>
      <c r="AS631" s="34"/>
      <c r="AT631" s="34"/>
      <c r="AU631" s="34"/>
      <c r="AV631" s="34"/>
      <c r="AW631" s="34"/>
      <c r="AX631" s="34"/>
      <c r="AY631" s="34"/>
      <c r="AZ631" s="34"/>
      <c r="BA631" s="34"/>
      <c r="BB631" s="34"/>
      <c r="BC631" s="34"/>
      <c r="BD631" s="34"/>
      <c r="BE631" s="34"/>
      <c r="BF631" s="34"/>
      <c r="BG631" s="34"/>
      <c r="BH631" s="34"/>
    </row>
    <row r="632" spans="1:60" ht="35.65" customHeight="1">
      <c r="A632" s="164" t="s">
        <v>436</v>
      </c>
      <c r="B632" s="251"/>
      <c r="C632" s="25"/>
      <c r="D632" s="26"/>
      <c r="E632" s="26"/>
      <c r="F632" s="26"/>
      <c r="G632" s="26"/>
      <c r="H632" s="26"/>
      <c r="I632" s="26"/>
      <c r="J632" s="26"/>
      <c r="K632" s="26"/>
      <c r="L632" s="26"/>
      <c r="M632" s="26"/>
      <c r="N632" s="26"/>
      <c r="O632" s="26"/>
      <c r="P632" s="26"/>
      <c r="Q632" s="26"/>
      <c r="R632" s="26"/>
      <c r="S632" s="26"/>
      <c r="T632" s="26"/>
      <c r="U632" s="26"/>
      <c r="V632" s="26"/>
      <c r="W632" s="219"/>
      <c r="X632" s="26"/>
      <c r="Y632" s="26"/>
      <c r="Z632" s="26"/>
      <c r="AA632" s="26"/>
      <c r="AB632" s="26"/>
      <c r="AC632" s="26"/>
      <c r="AD632" s="52" t="s">
        <v>1094</v>
      </c>
      <c r="AE632" s="26"/>
      <c r="AF632" s="26"/>
      <c r="AG632" s="26"/>
      <c r="AH632" s="26"/>
      <c r="AI632" s="26"/>
      <c r="AJ632" s="26"/>
      <c r="AK632" s="26"/>
      <c r="AL632" s="26"/>
      <c r="AM632" s="26"/>
      <c r="AN632" s="26"/>
      <c r="AO632" s="26"/>
      <c r="AP632" s="26"/>
      <c r="AQ632" s="26"/>
      <c r="AR632" s="26"/>
      <c r="AS632" s="26"/>
      <c r="AT632" s="26"/>
      <c r="AU632" s="26"/>
      <c r="AV632" s="26"/>
      <c r="AW632" s="26"/>
      <c r="AX632" s="26"/>
      <c r="AY632" s="26"/>
      <c r="AZ632" s="26"/>
      <c r="BA632" s="26"/>
      <c r="BB632" s="26"/>
      <c r="BC632" s="26"/>
      <c r="BD632" s="26"/>
      <c r="BE632" s="26"/>
      <c r="BF632" s="26"/>
      <c r="BG632" s="26"/>
      <c r="BH632" s="26"/>
    </row>
    <row r="633" spans="1:60" ht="35.65" customHeight="1">
      <c r="A633" s="57" t="s">
        <v>437</v>
      </c>
      <c r="B633" s="234">
        <v>2716</v>
      </c>
      <c r="C633" s="33"/>
      <c r="D633" s="34"/>
      <c r="E633" s="34"/>
      <c r="F633" s="34"/>
      <c r="G633" s="34"/>
      <c r="H633" s="34"/>
      <c r="I633" s="34"/>
      <c r="J633" s="34"/>
      <c r="K633" s="34"/>
      <c r="L633" s="34"/>
      <c r="M633" s="34"/>
      <c r="N633" s="34"/>
      <c r="O633" s="34"/>
      <c r="P633" s="34"/>
      <c r="Q633" s="34"/>
      <c r="R633" s="34"/>
      <c r="S633" s="34"/>
      <c r="T633" s="34"/>
      <c r="U633" s="34"/>
      <c r="V633" s="34"/>
      <c r="W633" s="235"/>
      <c r="X633" s="34"/>
      <c r="Y633" s="34"/>
      <c r="Z633" s="34"/>
      <c r="AA633" s="34"/>
      <c r="AB633" s="34"/>
      <c r="AC633" s="34">
        <v>24</v>
      </c>
      <c r="AD633" s="34"/>
      <c r="AE633" s="34">
        <f>AE634</f>
        <v>0</v>
      </c>
      <c r="AF633" s="34">
        <f>AH633+AJ633+AL633+AN633</f>
        <v>0</v>
      </c>
      <c r="AG633" s="34">
        <f t="shared" ref="AG633:BH633" si="191">AG634</f>
        <v>0</v>
      </c>
      <c r="AH633" s="34">
        <f t="shared" si="191"/>
        <v>0</v>
      </c>
      <c r="AI633" s="34">
        <f t="shared" si="191"/>
        <v>0</v>
      </c>
      <c r="AJ633" s="34">
        <f t="shared" si="191"/>
        <v>0</v>
      </c>
      <c r="AK633" s="34">
        <f t="shared" si="191"/>
        <v>0</v>
      </c>
      <c r="AL633" s="34"/>
      <c r="AM633" s="34">
        <f t="shared" si="191"/>
        <v>0</v>
      </c>
      <c r="AN633" s="34">
        <f t="shared" si="191"/>
        <v>0</v>
      </c>
      <c r="AO633" s="34">
        <f t="shared" si="191"/>
        <v>0</v>
      </c>
      <c r="AP633" s="34">
        <f t="shared" si="191"/>
        <v>0</v>
      </c>
      <c r="AQ633" s="34">
        <f t="shared" si="191"/>
        <v>0</v>
      </c>
      <c r="AR633" s="34">
        <f t="shared" si="191"/>
        <v>0</v>
      </c>
      <c r="AS633" s="34">
        <f t="shared" si="191"/>
        <v>0</v>
      </c>
      <c r="AT633" s="34">
        <f t="shared" si="191"/>
        <v>0</v>
      </c>
      <c r="AU633" s="34">
        <f t="shared" si="191"/>
        <v>0</v>
      </c>
      <c r="AV633" s="34">
        <f t="shared" si="191"/>
        <v>0</v>
      </c>
      <c r="AW633" s="34">
        <f t="shared" si="191"/>
        <v>0</v>
      </c>
      <c r="AX633" s="34">
        <f t="shared" si="191"/>
        <v>0</v>
      </c>
      <c r="AY633" s="34">
        <f t="shared" si="191"/>
        <v>0</v>
      </c>
      <c r="AZ633" s="34">
        <f t="shared" si="191"/>
        <v>0</v>
      </c>
      <c r="BA633" s="34">
        <f t="shared" si="191"/>
        <v>0</v>
      </c>
      <c r="BB633" s="34">
        <f t="shared" si="191"/>
        <v>0</v>
      </c>
      <c r="BC633" s="34">
        <f t="shared" si="191"/>
        <v>0</v>
      </c>
      <c r="BD633" s="34">
        <f t="shared" si="191"/>
        <v>0</v>
      </c>
      <c r="BE633" s="34">
        <f t="shared" si="191"/>
        <v>0</v>
      </c>
      <c r="BF633" s="34">
        <f t="shared" si="191"/>
        <v>0</v>
      </c>
      <c r="BG633" s="34">
        <f t="shared" si="191"/>
        <v>0</v>
      </c>
      <c r="BH633" s="34">
        <f t="shared" si="191"/>
        <v>0</v>
      </c>
    </row>
    <row r="634" spans="1:60" ht="35.65" customHeight="1">
      <c r="A634" s="61" t="s">
        <v>249</v>
      </c>
      <c r="B634" s="174"/>
      <c r="C634" s="373" t="s">
        <v>105</v>
      </c>
      <c r="D634" s="352" t="s">
        <v>117</v>
      </c>
      <c r="E634" s="352" t="s">
        <v>107</v>
      </c>
      <c r="F634" s="20"/>
      <c r="G634" s="20"/>
      <c r="H634" s="20"/>
      <c r="I634" s="20"/>
      <c r="J634" s="352" t="s">
        <v>183</v>
      </c>
      <c r="K634" s="352" t="s">
        <v>109</v>
      </c>
      <c r="L634" s="352" t="s">
        <v>125</v>
      </c>
      <c r="M634" s="375" t="s">
        <v>438</v>
      </c>
      <c r="N634" s="352" t="s">
        <v>112</v>
      </c>
      <c r="O634" s="352" t="s">
        <v>121</v>
      </c>
      <c r="P634" s="352" t="s">
        <v>254</v>
      </c>
      <c r="Q634" s="352" t="s">
        <v>112</v>
      </c>
      <c r="R634" s="20"/>
      <c r="S634" s="20"/>
      <c r="T634" s="352" t="s">
        <v>439</v>
      </c>
      <c r="U634" s="352" t="s">
        <v>112</v>
      </c>
      <c r="V634" s="10"/>
      <c r="W634" s="352" t="s">
        <v>439</v>
      </c>
      <c r="X634" s="352" t="s">
        <v>112</v>
      </c>
      <c r="Y634" s="26"/>
      <c r="Z634" s="26"/>
      <c r="AA634" s="26"/>
      <c r="AB634" s="26"/>
      <c r="AC634" s="26"/>
      <c r="AD634" s="52" t="s">
        <v>1095</v>
      </c>
      <c r="AE634" s="26">
        <f>AG634+AI634+RM634+RN634</f>
        <v>0</v>
      </c>
      <c r="AF634" s="26">
        <f>AH634+AJ634+AL634+AN634</f>
        <v>0</v>
      </c>
      <c r="AG634" s="26"/>
      <c r="AH634" s="26"/>
      <c r="AI634" s="26"/>
      <c r="AJ634" s="26"/>
      <c r="AK634" s="26"/>
      <c r="AL634" s="26"/>
      <c r="AM634" s="26"/>
      <c r="AN634" s="26"/>
      <c r="AO634" s="26">
        <f>AP634+AQ634+AR634+AS634</f>
        <v>0</v>
      </c>
      <c r="AP634" s="26"/>
      <c r="AQ634" s="26"/>
      <c r="AR634" s="26"/>
      <c r="AS634" s="26"/>
      <c r="AT634" s="26">
        <f>AU634+AV634+AW634+AX634</f>
        <v>0</v>
      </c>
      <c r="AU634" s="26"/>
      <c r="AV634" s="26"/>
      <c r="AW634" s="26"/>
      <c r="AX634" s="26"/>
      <c r="AY634" s="26">
        <f>AZ634+BA634+BB634+BC634</f>
        <v>0</v>
      </c>
      <c r="AZ634" s="26"/>
      <c r="BA634" s="26"/>
      <c r="BB634" s="26"/>
      <c r="BC634" s="26"/>
      <c r="BD634" s="26">
        <f>BE634+BF634+BG634+BH634</f>
        <v>0</v>
      </c>
      <c r="BE634" s="26"/>
      <c r="BF634" s="26"/>
      <c r="BG634" s="26"/>
      <c r="BH634" s="26"/>
    </row>
    <row r="635" spans="1:60" ht="35.65" customHeight="1">
      <c r="A635" s="61" t="s">
        <v>249</v>
      </c>
      <c r="B635" s="174"/>
      <c r="C635" s="374"/>
      <c r="D635" s="353"/>
      <c r="E635" s="353"/>
      <c r="F635" s="20"/>
      <c r="G635" s="20"/>
      <c r="H635" s="20"/>
      <c r="I635" s="20"/>
      <c r="J635" s="353"/>
      <c r="K635" s="353"/>
      <c r="L635" s="353"/>
      <c r="M635" s="376"/>
      <c r="N635" s="353"/>
      <c r="O635" s="353"/>
      <c r="P635" s="353"/>
      <c r="Q635" s="353"/>
      <c r="R635" s="20"/>
      <c r="S635" s="20"/>
      <c r="T635" s="353"/>
      <c r="U635" s="353"/>
      <c r="V635" s="10"/>
      <c r="W635" s="353"/>
      <c r="X635" s="353"/>
      <c r="Y635" s="26"/>
      <c r="Z635" s="26"/>
      <c r="AA635" s="26"/>
      <c r="AB635" s="26"/>
      <c r="AC635" s="26"/>
      <c r="AD635" s="52" t="s">
        <v>1096</v>
      </c>
      <c r="AE635" s="26"/>
      <c r="AF635" s="26"/>
      <c r="AG635" s="26"/>
      <c r="AH635" s="26"/>
      <c r="AI635" s="26"/>
      <c r="AJ635" s="26"/>
      <c r="AK635" s="26"/>
      <c r="AL635" s="26"/>
      <c r="AM635" s="26"/>
      <c r="AN635" s="26"/>
      <c r="AO635" s="26"/>
      <c r="AP635" s="26"/>
      <c r="AQ635" s="26"/>
      <c r="AR635" s="26"/>
      <c r="AS635" s="26"/>
      <c r="AT635" s="26"/>
      <c r="AU635" s="26"/>
      <c r="AV635" s="26"/>
      <c r="AW635" s="26"/>
      <c r="AX635" s="26"/>
      <c r="AY635" s="26"/>
      <c r="AZ635" s="26"/>
      <c r="BA635" s="26"/>
      <c r="BB635" s="26"/>
      <c r="BC635" s="26"/>
      <c r="BD635" s="26"/>
      <c r="BE635" s="26"/>
      <c r="BF635" s="26"/>
      <c r="BG635" s="26"/>
      <c r="BH635" s="26"/>
    </row>
    <row r="636" spans="1:60" ht="35.65" customHeight="1">
      <c r="A636" s="179" t="s">
        <v>440</v>
      </c>
      <c r="B636" s="174">
        <v>2800</v>
      </c>
      <c r="C636" s="30" t="s">
        <v>25</v>
      </c>
      <c r="D636" s="30" t="s">
        <v>25</v>
      </c>
      <c r="E636" s="30" t="s">
        <v>25</v>
      </c>
      <c r="F636" s="30" t="s">
        <v>25</v>
      </c>
      <c r="G636" s="30" t="s">
        <v>25</v>
      </c>
      <c r="H636" s="30" t="s">
        <v>25</v>
      </c>
      <c r="I636" s="30" t="s">
        <v>25</v>
      </c>
      <c r="J636" s="30"/>
      <c r="K636" s="30"/>
      <c r="L636" s="30"/>
      <c r="M636" s="30" t="s">
        <v>25</v>
      </c>
      <c r="N636" s="30" t="s">
        <v>25</v>
      </c>
      <c r="O636" s="30" t="s">
        <v>25</v>
      </c>
      <c r="P636" s="30" t="s">
        <v>25</v>
      </c>
      <c r="Q636" s="30" t="s">
        <v>25</v>
      </c>
      <c r="R636" s="30" t="s">
        <v>25</v>
      </c>
      <c r="S636" s="30" t="s">
        <v>25</v>
      </c>
      <c r="T636" s="30" t="s">
        <v>25</v>
      </c>
      <c r="U636" s="30" t="s">
        <v>25</v>
      </c>
      <c r="V636" s="30" t="s">
        <v>25</v>
      </c>
      <c r="W636" s="253" t="s">
        <v>25</v>
      </c>
      <c r="X636" s="30" t="s">
        <v>25</v>
      </c>
      <c r="Y636" s="30" t="s">
        <v>25</v>
      </c>
      <c r="Z636" s="30" t="s">
        <v>25</v>
      </c>
      <c r="AA636" s="30" t="s">
        <v>25</v>
      </c>
      <c r="AB636" s="30" t="s">
        <v>25</v>
      </c>
      <c r="AC636" s="30" t="s">
        <v>25</v>
      </c>
      <c r="AD636" s="30" t="s">
        <v>25</v>
      </c>
      <c r="AE636" s="26"/>
      <c r="AF636" s="26"/>
      <c r="AG636" s="26"/>
      <c r="AH636" s="26"/>
      <c r="AI636" s="26"/>
      <c r="AJ636" s="26"/>
      <c r="AK636" s="26"/>
      <c r="AL636" s="26"/>
      <c r="AM636" s="26"/>
      <c r="AN636" s="26"/>
      <c r="AO636" s="26"/>
      <c r="AP636" s="26"/>
      <c r="AQ636" s="26"/>
      <c r="AR636" s="26"/>
      <c r="AS636" s="26"/>
      <c r="AT636" s="26"/>
      <c r="AU636" s="26"/>
      <c r="AV636" s="26"/>
      <c r="AW636" s="26"/>
      <c r="AX636" s="26"/>
      <c r="AY636" s="26"/>
      <c r="AZ636" s="26"/>
      <c r="BA636" s="26"/>
      <c r="BB636" s="26"/>
      <c r="BC636" s="26"/>
      <c r="BD636" s="26"/>
      <c r="BE636" s="26"/>
      <c r="BF636" s="26"/>
      <c r="BG636" s="26"/>
      <c r="BH636" s="26"/>
    </row>
    <row r="637" spans="1:60" ht="35.65" customHeight="1">
      <c r="A637" s="21" t="s">
        <v>441</v>
      </c>
      <c r="B637" s="252">
        <v>2801</v>
      </c>
      <c r="C637" s="33"/>
      <c r="D637" s="34"/>
      <c r="E637" s="34"/>
      <c r="F637" s="34"/>
      <c r="G637" s="34"/>
      <c r="H637" s="34"/>
      <c r="I637" s="34"/>
      <c r="J637" s="34"/>
      <c r="K637" s="34"/>
      <c r="L637" s="34"/>
      <c r="M637" s="34"/>
      <c r="N637" s="34"/>
      <c r="O637" s="34"/>
      <c r="P637" s="34"/>
      <c r="Q637" s="34"/>
      <c r="R637" s="34"/>
      <c r="S637" s="34"/>
      <c r="T637" s="34"/>
      <c r="U637" s="34"/>
      <c r="V637" s="34"/>
      <c r="W637" s="235"/>
      <c r="X637" s="34"/>
      <c r="Y637" s="34"/>
      <c r="Z637" s="34"/>
      <c r="AA637" s="34"/>
      <c r="AB637" s="34"/>
      <c r="AC637" s="34"/>
      <c r="AD637" s="34"/>
      <c r="AE637" s="34"/>
      <c r="AF637" s="34"/>
      <c r="AG637" s="34"/>
      <c r="AH637" s="34"/>
      <c r="AI637" s="34"/>
      <c r="AJ637" s="34"/>
      <c r="AK637" s="34"/>
      <c r="AL637" s="34"/>
      <c r="AM637" s="34"/>
      <c r="AN637" s="34"/>
      <c r="AO637" s="34"/>
      <c r="AP637" s="34"/>
      <c r="AQ637" s="34"/>
      <c r="AR637" s="34"/>
      <c r="AS637" s="34"/>
      <c r="AT637" s="34"/>
      <c r="AU637" s="34"/>
      <c r="AV637" s="34"/>
      <c r="AW637" s="34"/>
      <c r="AX637" s="34"/>
      <c r="AY637" s="34"/>
      <c r="AZ637" s="34"/>
      <c r="BA637" s="34"/>
      <c r="BB637" s="34"/>
      <c r="BC637" s="34"/>
      <c r="BD637" s="34"/>
      <c r="BE637" s="34"/>
      <c r="BF637" s="34"/>
      <c r="BG637" s="34"/>
      <c r="BH637" s="34"/>
    </row>
    <row r="638" spans="1:60" ht="35.65" customHeight="1">
      <c r="A638" s="23" t="s">
        <v>27</v>
      </c>
      <c r="B638" s="5"/>
      <c r="C638" s="25"/>
      <c r="D638" s="26"/>
      <c r="E638" s="26"/>
      <c r="F638" s="26"/>
      <c r="G638" s="26"/>
      <c r="H638" s="26"/>
      <c r="I638" s="26"/>
      <c r="J638" s="26"/>
      <c r="K638" s="26"/>
      <c r="L638" s="26"/>
      <c r="M638" s="26"/>
      <c r="N638" s="26"/>
      <c r="O638" s="26"/>
      <c r="P638" s="26"/>
      <c r="Q638" s="26"/>
      <c r="R638" s="26"/>
      <c r="S638" s="26"/>
      <c r="T638" s="26"/>
      <c r="U638" s="26"/>
      <c r="V638" s="26"/>
      <c r="W638" s="219"/>
      <c r="X638" s="26"/>
      <c r="Y638" s="26"/>
      <c r="Z638" s="26"/>
      <c r="AA638" s="26"/>
      <c r="AB638" s="26"/>
      <c r="AC638" s="26"/>
      <c r="AD638" s="26"/>
      <c r="AE638" s="26"/>
      <c r="AF638" s="26"/>
      <c r="AG638" s="26"/>
      <c r="AH638" s="26"/>
      <c r="AI638" s="26"/>
      <c r="AJ638" s="26"/>
      <c r="AK638" s="26"/>
      <c r="AL638" s="26"/>
      <c r="AM638" s="26"/>
      <c r="AN638" s="26"/>
      <c r="AO638" s="26"/>
      <c r="AP638" s="26"/>
      <c r="AQ638" s="26"/>
      <c r="AR638" s="26"/>
      <c r="AS638" s="26"/>
      <c r="AT638" s="26"/>
      <c r="AU638" s="26"/>
      <c r="AV638" s="26"/>
      <c r="AW638" s="26"/>
      <c r="AX638" s="26"/>
      <c r="AY638" s="26"/>
      <c r="AZ638" s="26"/>
      <c r="BA638" s="26"/>
      <c r="BB638" s="26"/>
      <c r="BC638" s="26"/>
      <c r="BD638" s="26"/>
      <c r="BE638" s="26"/>
      <c r="BF638" s="26"/>
      <c r="BG638" s="26"/>
      <c r="BH638" s="26"/>
    </row>
    <row r="639" spans="1:60" ht="35.65" customHeight="1">
      <c r="A639" s="254" t="s">
        <v>440</v>
      </c>
      <c r="B639" s="174">
        <v>2802</v>
      </c>
      <c r="C639" s="25"/>
      <c r="D639" s="26"/>
      <c r="E639" s="26"/>
      <c r="F639" s="26"/>
      <c r="G639" s="26"/>
      <c r="H639" s="26"/>
      <c r="I639" s="26"/>
      <c r="J639" s="26"/>
      <c r="K639" s="26"/>
      <c r="L639" s="26"/>
      <c r="M639" s="26"/>
      <c r="N639" s="26"/>
      <c r="O639" s="26"/>
      <c r="P639" s="26"/>
      <c r="Q639" s="26"/>
      <c r="R639" s="26"/>
      <c r="S639" s="26"/>
      <c r="T639" s="26"/>
      <c r="U639" s="26"/>
      <c r="V639" s="26"/>
      <c r="W639" s="219"/>
      <c r="X639" s="26"/>
      <c r="Y639" s="26"/>
      <c r="Z639" s="26"/>
      <c r="AA639" s="26"/>
      <c r="AB639" s="26"/>
      <c r="AC639" s="26"/>
      <c r="AD639" s="26"/>
      <c r="AE639" s="26"/>
      <c r="AF639" s="26"/>
      <c r="AG639" s="26"/>
      <c r="AH639" s="26"/>
      <c r="AI639" s="26"/>
      <c r="AJ639" s="26"/>
      <c r="AK639" s="26"/>
      <c r="AL639" s="26"/>
      <c r="AM639" s="26"/>
      <c r="AN639" s="26"/>
      <c r="AO639" s="26"/>
      <c r="AP639" s="26"/>
      <c r="AQ639" s="26"/>
      <c r="AR639" s="26"/>
      <c r="AS639" s="26"/>
      <c r="AT639" s="26"/>
      <c r="AU639" s="26"/>
      <c r="AV639" s="26"/>
      <c r="AW639" s="26"/>
      <c r="AX639" s="26"/>
      <c r="AY639" s="26"/>
      <c r="AZ639" s="26"/>
      <c r="BA639" s="26"/>
      <c r="BB639" s="26"/>
      <c r="BC639" s="26"/>
      <c r="BD639" s="26"/>
      <c r="BE639" s="26"/>
      <c r="BF639" s="26"/>
      <c r="BG639" s="26"/>
      <c r="BH639" s="26"/>
    </row>
    <row r="640" spans="1:60" ht="35.65" customHeight="1">
      <c r="A640" s="167" t="s">
        <v>442</v>
      </c>
      <c r="B640" s="234">
        <v>2900</v>
      </c>
      <c r="C640" s="22" t="s">
        <v>25</v>
      </c>
      <c r="D640" s="22" t="s">
        <v>25</v>
      </c>
      <c r="E640" s="22" t="s">
        <v>25</v>
      </c>
      <c r="F640" s="22" t="s">
        <v>25</v>
      </c>
      <c r="G640" s="22" t="s">
        <v>25</v>
      </c>
      <c r="H640" s="22" t="s">
        <v>25</v>
      </c>
      <c r="I640" s="22" t="s">
        <v>25</v>
      </c>
      <c r="J640" s="22"/>
      <c r="K640" s="22"/>
      <c r="L640" s="22"/>
      <c r="M640" s="22" t="s">
        <v>25</v>
      </c>
      <c r="N640" s="22" t="s">
        <v>25</v>
      </c>
      <c r="O640" s="22" t="s">
        <v>25</v>
      </c>
      <c r="P640" s="22" t="s">
        <v>25</v>
      </c>
      <c r="Q640" s="22" t="s">
        <v>25</v>
      </c>
      <c r="R640" s="22" t="s">
        <v>25</v>
      </c>
      <c r="S640" s="22" t="s">
        <v>25</v>
      </c>
      <c r="T640" s="22" t="s">
        <v>25</v>
      </c>
      <c r="U640" s="22" t="s">
        <v>25</v>
      </c>
      <c r="V640" s="22" t="s">
        <v>25</v>
      </c>
      <c r="W640" s="250" t="s">
        <v>25</v>
      </c>
      <c r="X640" s="22" t="s">
        <v>25</v>
      </c>
      <c r="Y640" s="22" t="s">
        <v>25</v>
      </c>
      <c r="Z640" s="22" t="s">
        <v>25</v>
      </c>
      <c r="AA640" s="22" t="s">
        <v>25</v>
      </c>
      <c r="AB640" s="22" t="s">
        <v>25</v>
      </c>
      <c r="AC640" s="22" t="s">
        <v>25</v>
      </c>
      <c r="AD640" s="22" t="s">
        <v>25</v>
      </c>
      <c r="AE640" s="118">
        <f t="shared" ref="AE640:BH640" si="192">AE642</f>
        <v>358.5</v>
      </c>
      <c r="AF640" s="118">
        <f>AH640+AJ640+AL640+AN640</f>
        <v>330.9</v>
      </c>
      <c r="AG640" s="118">
        <f t="shared" si="192"/>
        <v>0</v>
      </c>
      <c r="AH640" s="118">
        <f t="shared" si="192"/>
        <v>0</v>
      </c>
      <c r="AI640" s="118">
        <f t="shared" si="192"/>
        <v>0</v>
      </c>
      <c r="AJ640" s="118">
        <f t="shared" si="192"/>
        <v>0</v>
      </c>
      <c r="AK640" s="118">
        <f t="shared" si="192"/>
        <v>0</v>
      </c>
      <c r="AL640" s="118"/>
      <c r="AM640" s="118">
        <f t="shared" si="192"/>
        <v>358.5</v>
      </c>
      <c r="AN640" s="118">
        <f t="shared" si="192"/>
        <v>330.9</v>
      </c>
      <c r="AO640" s="118">
        <f t="shared" si="192"/>
        <v>394.1</v>
      </c>
      <c r="AP640" s="118">
        <f t="shared" si="192"/>
        <v>0</v>
      </c>
      <c r="AQ640" s="118">
        <f t="shared" si="192"/>
        <v>0</v>
      </c>
      <c r="AR640" s="118">
        <f t="shared" si="192"/>
        <v>0</v>
      </c>
      <c r="AS640" s="118">
        <f t="shared" si="192"/>
        <v>394.1</v>
      </c>
      <c r="AT640" s="118">
        <f t="shared" si="192"/>
        <v>114.1</v>
      </c>
      <c r="AU640" s="118">
        <f t="shared" si="192"/>
        <v>0</v>
      </c>
      <c r="AV640" s="118">
        <f t="shared" si="192"/>
        <v>0</v>
      </c>
      <c r="AW640" s="118">
        <f t="shared" si="192"/>
        <v>0</v>
      </c>
      <c r="AX640" s="118">
        <f t="shared" si="192"/>
        <v>114.1</v>
      </c>
      <c r="AY640" s="118">
        <f t="shared" si="192"/>
        <v>114.1</v>
      </c>
      <c r="AZ640" s="118">
        <f t="shared" si="192"/>
        <v>0</v>
      </c>
      <c r="BA640" s="118">
        <f t="shared" si="192"/>
        <v>0</v>
      </c>
      <c r="BB640" s="118">
        <f t="shared" si="192"/>
        <v>0</v>
      </c>
      <c r="BC640" s="118">
        <f t="shared" si="192"/>
        <v>114.1</v>
      </c>
      <c r="BD640" s="118">
        <f t="shared" si="192"/>
        <v>114.1</v>
      </c>
      <c r="BE640" s="118">
        <f t="shared" si="192"/>
        <v>0</v>
      </c>
      <c r="BF640" s="118">
        <f t="shared" si="192"/>
        <v>0</v>
      </c>
      <c r="BG640" s="118">
        <f t="shared" si="192"/>
        <v>0</v>
      </c>
      <c r="BH640" s="118">
        <f t="shared" si="192"/>
        <v>114.1</v>
      </c>
    </row>
    <row r="641" spans="1:60" ht="35.65" customHeight="1">
      <c r="A641" s="179" t="s">
        <v>27</v>
      </c>
      <c r="B641" s="174">
        <v>2901</v>
      </c>
      <c r="C641" s="25"/>
      <c r="D641" s="26"/>
      <c r="E641" s="26"/>
      <c r="F641" s="26"/>
      <c r="G641" s="26"/>
      <c r="H641" s="26"/>
      <c r="I641" s="26"/>
      <c r="J641" s="26"/>
      <c r="K641" s="26"/>
      <c r="L641" s="26"/>
      <c r="M641" s="26"/>
      <c r="N641" s="26"/>
      <c r="O641" s="26"/>
      <c r="P641" s="26"/>
      <c r="Q641" s="26"/>
      <c r="R641" s="26"/>
      <c r="S641" s="26"/>
      <c r="T641" s="26"/>
      <c r="U641" s="26"/>
      <c r="V641" s="26"/>
      <c r="W641" s="219"/>
      <c r="X641" s="26"/>
      <c r="Y641" s="26"/>
      <c r="Z641" s="26"/>
      <c r="AA641" s="26"/>
      <c r="AB641" s="26"/>
      <c r="AC641" s="26"/>
      <c r="AD641" s="26"/>
      <c r="AE641" s="26"/>
      <c r="AF641" s="26"/>
      <c r="AG641" s="26"/>
      <c r="AH641" s="26"/>
      <c r="AI641" s="26"/>
      <c r="AJ641" s="26"/>
      <c r="AK641" s="26"/>
      <c r="AL641" s="26"/>
      <c r="AM641" s="26"/>
      <c r="AN641" s="26"/>
      <c r="AO641" s="26"/>
      <c r="AP641" s="26"/>
      <c r="AQ641" s="26"/>
      <c r="AR641" s="26"/>
      <c r="AS641" s="26"/>
      <c r="AT641" s="26"/>
      <c r="AU641" s="26"/>
      <c r="AV641" s="26"/>
      <c r="AW641" s="26"/>
      <c r="AX641" s="26"/>
      <c r="AY641" s="26"/>
      <c r="AZ641" s="26"/>
      <c r="BA641" s="26"/>
      <c r="BB641" s="26"/>
      <c r="BC641" s="26"/>
      <c r="BD641" s="26"/>
      <c r="BE641" s="26"/>
      <c r="BF641" s="26"/>
      <c r="BG641" s="26"/>
      <c r="BH641" s="26"/>
    </row>
    <row r="642" spans="1:60" ht="35.65" customHeight="1">
      <c r="A642" s="57" t="s">
        <v>443</v>
      </c>
      <c r="B642" s="252">
        <v>2902</v>
      </c>
      <c r="C642" s="59"/>
      <c r="D642" s="60"/>
      <c r="E642" s="60"/>
      <c r="F642" s="60"/>
      <c r="G642" s="60"/>
      <c r="H642" s="60"/>
      <c r="I642" s="60"/>
      <c r="J642" s="60"/>
      <c r="K642" s="60"/>
      <c r="L642" s="60"/>
      <c r="M642" s="60"/>
      <c r="N642" s="60"/>
      <c r="O642" s="60"/>
      <c r="P642" s="60"/>
      <c r="Q642" s="60"/>
      <c r="R642" s="60"/>
      <c r="S642" s="60"/>
      <c r="T642" s="60"/>
      <c r="U642" s="60"/>
      <c r="V642" s="60"/>
      <c r="W642" s="255"/>
      <c r="X642" s="60"/>
      <c r="Y642" s="60"/>
      <c r="Z642" s="60"/>
      <c r="AA642" s="60"/>
      <c r="AB642" s="60"/>
      <c r="AC642" s="60">
        <v>24</v>
      </c>
      <c r="AD642" s="60"/>
      <c r="AE642" s="118">
        <f t="shared" ref="AE642:AN642" si="193">AE643+AE645+AE646+AE647</f>
        <v>358.5</v>
      </c>
      <c r="AF642" s="118">
        <f>AH642+AJ642+AL642+AN642</f>
        <v>330.9</v>
      </c>
      <c r="AG642" s="118">
        <f t="shared" si="193"/>
        <v>0</v>
      </c>
      <c r="AH642" s="118">
        <f t="shared" si="193"/>
        <v>0</v>
      </c>
      <c r="AI642" s="118">
        <f t="shared" si="193"/>
        <v>0</v>
      </c>
      <c r="AJ642" s="118">
        <f t="shared" si="193"/>
        <v>0</v>
      </c>
      <c r="AK642" s="118">
        <f t="shared" si="193"/>
        <v>0</v>
      </c>
      <c r="AL642" s="118"/>
      <c r="AM642" s="118">
        <f t="shared" si="193"/>
        <v>358.5</v>
      </c>
      <c r="AN642" s="118">
        <f t="shared" si="193"/>
        <v>330.9</v>
      </c>
      <c r="AO642" s="118">
        <f>AO643+AO645+AO646+AO647+AO644</f>
        <v>394.1</v>
      </c>
      <c r="AP642" s="118">
        <f t="shared" ref="AP642:AS642" si="194">AP643+AP645+AP646+AP647+AP644</f>
        <v>0</v>
      </c>
      <c r="AQ642" s="118">
        <f t="shared" si="194"/>
        <v>0</v>
      </c>
      <c r="AR642" s="118">
        <f t="shared" si="194"/>
        <v>0</v>
      </c>
      <c r="AS642" s="118">
        <f t="shared" si="194"/>
        <v>394.1</v>
      </c>
      <c r="AT642" s="118">
        <f t="shared" ref="AT642:BH642" si="195">AT643+AT645+AT646+AT647</f>
        <v>114.1</v>
      </c>
      <c r="AU642" s="118">
        <f t="shared" si="195"/>
        <v>0</v>
      </c>
      <c r="AV642" s="118">
        <f t="shared" si="195"/>
        <v>0</v>
      </c>
      <c r="AW642" s="118">
        <f t="shared" si="195"/>
        <v>0</v>
      </c>
      <c r="AX642" s="118">
        <f t="shared" si="195"/>
        <v>114.1</v>
      </c>
      <c r="AY642" s="118">
        <f t="shared" si="195"/>
        <v>114.1</v>
      </c>
      <c r="AZ642" s="118">
        <f t="shared" si="195"/>
        <v>0</v>
      </c>
      <c r="BA642" s="118">
        <f t="shared" si="195"/>
        <v>0</v>
      </c>
      <c r="BB642" s="118">
        <f t="shared" si="195"/>
        <v>0</v>
      </c>
      <c r="BC642" s="118">
        <f t="shared" si="195"/>
        <v>114.1</v>
      </c>
      <c r="BD642" s="118">
        <f t="shared" si="195"/>
        <v>114.1</v>
      </c>
      <c r="BE642" s="118">
        <f t="shared" si="195"/>
        <v>0</v>
      </c>
      <c r="BF642" s="118">
        <f t="shared" si="195"/>
        <v>0</v>
      </c>
      <c r="BG642" s="118">
        <f t="shared" si="195"/>
        <v>0</v>
      </c>
      <c r="BH642" s="118">
        <f t="shared" si="195"/>
        <v>114.1</v>
      </c>
    </row>
    <row r="643" spans="1:60" ht="35.65" customHeight="1">
      <c r="A643" s="61" t="s">
        <v>444</v>
      </c>
      <c r="B643" s="30"/>
      <c r="C643" s="53"/>
      <c r="D643" s="25"/>
      <c r="E643" s="52"/>
      <c r="F643" s="26"/>
      <c r="G643" s="26"/>
      <c r="H643" s="26"/>
      <c r="I643" s="26"/>
      <c r="J643" s="52"/>
      <c r="K643" s="52"/>
      <c r="L643" s="52"/>
      <c r="M643" s="52"/>
      <c r="N643" s="25"/>
      <c r="O643" s="256"/>
      <c r="P643" s="26"/>
      <c r="Q643" s="26"/>
      <c r="R643" s="26"/>
      <c r="S643" s="26"/>
      <c r="T643" s="26"/>
      <c r="U643" s="26"/>
      <c r="V643" s="26"/>
      <c r="W643" s="26"/>
      <c r="X643" s="26"/>
      <c r="Y643" s="26"/>
      <c r="Z643" s="26"/>
      <c r="AA643" s="26"/>
      <c r="AB643" s="26"/>
      <c r="AC643" s="26"/>
      <c r="AD643" s="52" t="s">
        <v>1097</v>
      </c>
      <c r="AE643" s="26">
        <f>AG643+AI643+AK643+AM643</f>
        <v>32.1</v>
      </c>
      <c r="AF643" s="26">
        <f>AH643+AJ643+AL643+AN643</f>
        <v>32.1</v>
      </c>
      <c r="AG643" s="26"/>
      <c r="AH643" s="26"/>
      <c r="AI643" s="26"/>
      <c r="AJ643" s="26"/>
      <c r="AK643" s="26"/>
      <c r="AL643" s="26"/>
      <c r="AM643" s="26">
        <f>15.4+16.7</f>
        <v>32.1</v>
      </c>
      <c r="AN643" s="26">
        <v>32.1</v>
      </c>
      <c r="AO643" s="26">
        <f>AP643+AQ643+AR643+AS643</f>
        <v>0</v>
      </c>
      <c r="AP643" s="26"/>
      <c r="AQ643" s="26"/>
      <c r="AR643" s="26"/>
      <c r="AS643" s="26"/>
      <c r="AT643" s="26">
        <f>AU643+AV643+AW643+AX643</f>
        <v>0</v>
      </c>
      <c r="AU643" s="26"/>
      <c r="AV643" s="26"/>
      <c r="AW643" s="26"/>
      <c r="AX643" s="26"/>
      <c r="AY643" s="26">
        <f>AZ643+BA643+BB643+BC643</f>
        <v>0</v>
      </c>
      <c r="AZ643" s="26"/>
      <c r="BA643" s="26"/>
      <c r="BB643" s="26"/>
      <c r="BC643" s="26"/>
      <c r="BD643" s="26">
        <f>BE643+BF643+BG643+BH643</f>
        <v>0</v>
      </c>
      <c r="BE643" s="26"/>
      <c r="BF643" s="26"/>
      <c r="BG643" s="26"/>
      <c r="BH643" s="26"/>
    </row>
    <row r="644" spans="1:60" ht="35.65" customHeight="1">
      <c r="A644" s="61" t="s">
        <v>445</v>
      </c>
      <c r="B644" s="30"/>
      <c r="C644" s="53"/>
      <c r="D644" s="25"/>
      <c r="E644" s="52"/>
      <c r="F644" s="26"/>
      <c r="G644" s="26"/>
      <c r="H644" s="26"/>
      <c r="I644" s="26"/>
      <c r="J644" s="52"/>
      <c r="K644" s="52"/>
      <c r="L644" s="52"/>
      <c r="M644" s="52"/>
      <c r="N644" s="25"/>
      <c r="O644" s="256"/>
      <c r="P644" s="26"/>
      <c r="Q644" s="26"/>
      <c r="R644" s="26"/>
      <c r="S644" s="26"/>
      <c r="T644" s="26"/>
      <c r="U644" s="26"/>
      <c r="V644" s="26"/>
      <c r="W644" s="26"/>
      <c r="X644" s="26"/>
      <c r="Y644" s="26"/>
      <c r="Z644" s="26"/>
      <c r="AA644" s="26"/>
      <c r="AB644" s="26"/>
      <c r="AC644" s="26"/>
      <c r="AD644" s="52" t="s">
        <v>1098</v>
      </c>
      <c r="AE644" s="26"/>
      <c r="AF644" s="26"/>
      <c r="AG644" s="26"/>
      <c r="AH644" s="26"/>
      <c r="AI644" s="26"/>
      <c r="AJ644" s="26"/>
      <c r="AK644" s="26"/>
      <c r="AL644" s="26"/>
      <c r="AM644" s="26"/>
      <c r="AN644" s="26"/>
      <c r="AO644" s="26">
        <f>AP644+AQ644+AR644+AS644</f>
        <v>80</v>
      </c>
      <c r="AP644" s="26"/>
      <c r="AQ644" s="26"/>
      <c r="AR644" s="26"/>
      <c r="AS644" s="26">
        <v>80</v>
      </c>
      <c r="AT644" s="26"/>
      <c r="AU644" s="26"/>
      <c r="AV644" s="26"/>
      <c r="AW644" s="26"/>
      <c r="AX644" s="26"/>
      <c r="AY644" s="26"/>
      <c r="AZ644" s="26"/>
      <c r="BA644" s="26"/>
      <c r="BB644" s="26"/>
      <c r="BC644" s="26"/>
      <c r="BD644" s="26"/>
      <c r="BE644" s="26"/>
      <c r="BF644" s="26"/>
      <c r="BG644" s="26"/>
      <c r="BH644" s="26"/>
    </row>
    <row r="645" spans="1:60" ht="35.65" customHeight="1">
      <c r="A645" s="61" t="s">
        <v>446</v>
      </c>
      <c r="B645" s="30"/>
      <c r="C645" s="53"/>
      <c r="D645" s="25"/>
      <c r="E645" s="52"/>
      <c r="F645" s="26"/>
      <c r="G645" s="26"/>
      <c r="H645" s="26"/>
      <c r="I645" s="26"/>
      <c r="J645" s="52"/>
      <c r="K645" s="52"/>
      <c r="L645" s="52"/>
      <c r="M645" s="52"/>
      <c r="N645" s="25"/>
      <c r="O645" s="256"/>
      <c r="P645" s="26"/>
      <c r="Q645" s="26"/>
      <c r="R645" s="26"/>
      <c r="S645" s="26"/>
      <c r="T645" s="26"/>
      <c r="U645" s="26"/>
      <c r="V645" s="26"/>
      <c r="W645" s="26"/>
      <c r="X645" s="26"/>
      <c r="Y645" s="26"/>
      <c r="Z645" s="26"/>
      <c r="AA645" s="26"/>
      <c r="AB645" s="26"/>
      <c r="AC645" s="26"/>
      <c r="AD645" s="52" t="s">
        <v>1099</v>
      </c>
      <c r="AE645" s="26">
        <f>AG645+AI645+AK645+AM645</f>
        <v>114.1</v>
      </c>
      <c r="AF645" s="26">
        <f t="shared" ref="AF645:AF647" si="196">AH645+AJ645+AL645+AN645</f>
        <v>86.8</v>
      </c>
      <c r="AG645" s="26"/>
      <c r="AH645" s="26"/>
      <c r="AI645" s="26"/>
      <c r="AJ645" s="26"/>
      <c r="AK645" s="26"/>
      <c r="AL645" s="26"/>
      <c r="AM645" s="26">
        <v>114.1</v>
      </c>
      <c r="AN645" s="26">
        <v>86.8</v>
      </c>
      <c r="AO645" s="26">
        <f>AP645+AQ645+AR645+AS645</f>
        <v>114.1</v>
      </c>
      <c r="AP645" s="26"/>
      <c r="AQ645" s="26"/>
      <c r="AR645" s="26"/>
      <c r="AS645" s="26">
        <v>114.1</v>
      </c>
      <c r="AT645" s="26">
        <f>AU645+AV645+AW645+AX645</f>
        <v>114.1</v>
      </c>
      <c r="AU645" s="26"/>
      <c r="AV645" s="26"/>
      <c r="AW645" s="26"/>
      <c r="AX645" s="26">
        <v>114.1</v>
      </c>
      <c r="AY645" s="26">
        <f>AZ645+BA645+BB645+BC645</f>
        <v>114.1</v>
      </c>
      <c r="AZ645" s="26"/>
      <c r="BA645" s="26"/>
      <c r="BB645" s="26"/>
      <c r="BC645" s="26">
        <v>114.1</v>
      </c>
      <c r="BD645" s="26">
        <f>BE645+BF645+BG645+BH645</f>
        <v>114.1</v>
      </c>
      <c r="BE645" s="26"/>
      <c r="BF645" s="26"/>
      <c r="BG645" s="26"/>
      <c r="BH645" s="26">
        <v>114.1</v>
      </c>
    </row>
    <row r="646" spans="1:60" ht="35.65" customHeight="1">
      <c r="A646" s="93" t="s">
        <v>447</v>
      </c>
      <c r="B646" s="30"/>
      <c r="C646" s="25"/>
      <c r="D646" s="26"/>
      <c r="E646" s="26"/>
      <c r="F646" s="26"/>
      <c r="G646" s="26"/>
      <c r="H646" s="26"/>
      <c r="I646" s="26"/>
      <c r="J646" s="26"/>
      <c r="K646" s="26"/>
      <c r="L646" s="26"/>
      <c r="M646" s="26"/>
      <c r="N646" s="26"/>
      <c r="O646" s="26"/>
      <c r="P646" s="26"/>
      <c r="Q646" s="26"/>
      <c r="R646" s="26"/>
      <c r="S646" s="26"/>
      <c r="T646" s="26"/>
      <c r="U646" s="26"/>
      <c r="V646" s="26"/>
      <c r="W646" s="52" t="s">
        <v>448</v>
      </c>
      <c r="X646" s="26"/>
      <c r="Y646" s="26"/>
      <c r="Z646" s="26"/>
      <c r="AA646" s="26"/>
      <c r="AB646" s="26"/>
      <c r="AC646" s="26"/>
      <c r="AD646" s="52" t="s">
        <v>1100</v>
      </c>
      <c r="AE646" s="26">
        <f>AG646+AI646+AK646+AM646</f>
        <v>0</v>
      </c>
      <c r="AF646" s="26">
        <f t="shared" si="196"/>
        <v>0</v>
      </c>
      <c r="AG646" s="26"/>
      <c r="AH646" s="26"/>
      <c r="AI646" s="26"/>
      <c r="AJ646" s="26"/>
      <c r="AK646" s="26"/>
      <c r="AL646" s="26"/>
      <c r="AM646" s="26"/>
      <c r="AN646" s="26"/>
      <c r="AO646" s="26">
        <f>AP646+AQ646+AR646+AS646</f>
        <v>0</v>
      </c>
      <c r="AP646" s="26"/>
      <c r="AQ646" s="26"/>
      <c r="AR646" s="26"/>
      <c r="AS646" s="26"/>
      <c r="AT646" s="26">
        <f>AU646+AV646+AW646+AX646</f>
        <v>0</v>
      </c>
      <c r="AU646" s="26"/>
      <c r="AV646" s="26"/>
      <c r="AW646" s="26"/>
      <c r="AX646" s="26"/>
      <c r="AY646" s="26">
        <f>AZ646+BA646+BB646+BC646</f>
        <v>0</v>
      </c>
      <c r="AZ646" s="26"/>
      <c r="BA646" s="26"/>
      <c r="BB646" s="26"/>
      <c r="BC646" s="26"/>
      <c r="BD646" s="26">
        <f>BE646+BF646+BG646+BH646</f>
        <v>0</v>
      </c>
      <c r="BE646" s="26"/>
      <c r="BF646" s="26"/>
      <c r="BG646" s="26"/>
      <c r="BH646" s="26"/>
    </row>
    <row r="647" spans="1:60" ht="35.65" customHeight="1">
      <c r="A647" s="93" t="s">
        <v>449</v>
      </c>
      <c r="B647" s="86"/>
      <c r="C647" s="82"/>
      <c r="D647" s="64"/>
      <c r="E647" s="64"/>
      <c r="F647" s="64"/>
      <c r="G647" s="64"/>
      <c r="H647" s="64"/>
      <c r="I647" s="64"/>
      <c r="J647" s="64"/>
      <c r="K647" s="64"/>
      <c r="L647" s="64"/>
      <c r="M647" s="64"/>
      <c r="N647" s="64"/>
      <c r="O647" s="64"/>
      <c r="P647" s="64"/>
      <c r="Q647" s="64"/>
      <c r="R647" s="64"/>
      <c r="S647" s="64"/>
      <c r="T647" s="64"/>
      <c r="U647" s="64"/>
      <c r="V647" s="64"/>
      <c r="W647" s="158"/>
      <c r="X647" s="64"/>
      <c r="Y647" s="64"/>
      <c r="Z647" s="64"/>
      <c r="AA647" s="64"/>
      <c r="AB647" s="64"/>
      <c r="AC647" s="64"/>
      <c r="AD647" s="77" t="s">
        <v>1101</v>
      </c>
      <c r="AE647" s="26">
        <f>AG647+AI647+AK647+AM647</f>
        <v>212.29999999999998</v>
      </c>
      <c r="AF647" s="26">
        <f t="shared" si="196"/>
        <v>212</v>
      </c>
      <c r="AG647" s="64"/>
      <c r="AH647" s="64"/>
      <c r="AI647" s="64"/>
      <c r="AJ647" s="64"/>
      <c r="AK647" s="64"/>
      <c r="AL647" s="64"/>
      <c r="AM647" s="64">
        <f>112+0.2+100+0.1</f>
        <v>212.29999999999998</v>
      </c>
      <c r="AN647" s="64">
        <v>212</v>
      </c>
      <c r="AO647" s="26">
        <f>AP647+AQ647+AR647+AS647</f>
        <v>200</v>
      </c>
      <c r="AP647" s="64"/>
      <c r="AQ647" s="64"/>
      <c r="AR647" s="64"/>
      <c r="AS647" s="64">
        <v>200</v>
      </c>
      <c r="AT647" s="26">
        <f>AU647+AV647+AW647+AX647</f>
        <v>0</v>
      </c>
      <c r="AU647" s="64"/>
      <c r="AV647" s="64"/>
      <c r="AW647" s="64"/>
      <c r="AX647" s="64"/>
      <c r="AY647" s="26">
        <f>AZ647+BA647+BB647+BC647</f>
        <v>0</v>
      </c>
      <c r="AZ647" s="64"/>
      <c r="BA647" s="64"/>
      <c r="BB647" s="64"/>
      <c r="BC647" s="64"/>
      <c r="BD647" s="26">
        <f>BE647+BF647+BG647+BH647</f>
        <v>0</v>
      </c>
      <c r="BE647" s="64"/>
      <c r="BF647" s="64"/>
      <c r="BG647" s="64"/>
      <c r="BH647" s="64"/>
    </row>
    <row r="648" spans="1:60" ht="35.65" customHeight="1">
      <c r="A648" s="257"/>
      <c r="B648" s="86">
        <v>3000</v>
      </c>
      <c r="C648" s="28" t="s">
        <v>25</v>
      </c>
      <c r="D648" s="28" t="s">
        <v>25</v>
      </c>
      <c r="E648" s="28" t="s">
        <v>25</v>
      </c>
      <c r="F648" s="28" t="s">
        <v>25</v>
      </c>
      <c r="G648" s="28" t="s">
        <v>25</v>
      </c>
      <c r="H648" s="28" t="s">
        <v>25</v>
      </c>
      <c r="I648" s="28" t="s">
        <v>25</v>
      </c>
      <c r="J648" s="28"/>
      <c r="K648" s="28"/>
      <c r="L648" s="28"/>
      <c r="M648" s="28" t="s">
        <v>25</v>
      </c>
      <c r="N648" s="28" t="s">
        <v>25</v>
      </c>
      <c r="O648" s="28" t="s">
        <v>25</v>
      </c>
      <c r="P648" s="28" t="s">
        <v>25</v>
      </c>
      <c r="Q648" s="28" t="s">
        <v>25</v>
      </c>
      <c r="R648" s="28" t="s">
        <v>25</v>
      </c>
      <c r="S648" s="28" t="s">
        <v>25</v>
      </c>
      <c r="T648" s="28" t="s">
        <v>25</v>
      </c>
      <c r="U648" s="28" t="s">
        <v>25</v>
      </c>
      <c r="V648" s="28" t="s">
        <v>25</v>
      </c>
      <c r="W648" s="258" t="s">
        <v>25</v>
      </c>
      <c r="X648" s="28" t="s">
        <v>25</v>
      </c>
      <c r="Y648" s="28" t="s">
        <v>25</v>
      </c>
      <c r="Z648" s="28" t="s">
        <v>25</v>
      </c>
      <c r="AA648" s="28" t="s">
        <v>25</v>
      </c>
      <c r="AB648" s="28" t="s">
        <v>25</v>
      </c>
      <c r="AC648" s="28" t="s">
        <v>25</v>
      </c>
      <c r="AD648" s="28" t="s">
        <v>25</v>
      </c>
      <c r="AE648" s="64"/>
      <c r="AF648" s="64"/>
      <c r="AG648" s="64"/>
      <c r="AH648" s="64"/>
      <c r="AI648" s="64"/>
      <c r="AJ648" s="64"/>
      <c r="AK648" s="64"/>
      <c r="AL648" s="64"/>
      <c r="AM648" s="64"/>
      <c r="AN648" s="64"/>
      <c r="AO648" s="64"/>
      <c r="AP648" s="64"/>
      <c r="AQ648" s="64"/>
      <c r="AR648" s="64"/>
      <c r="AS648" s="64"/>
      <c r="AT648" s="64"/>
      <c r="AU648" s="64"/>
      <c r="AV648" s="64"/>
      <c r="AW648" s="64"/>
      <c r="AX648" s="64"/>
      <c r="AY648" s="64"/>
      <c r="AZ648" s="64"/>
      <c r="BA648" s="64"/>
      <c r="BB648" s="64"/>
      <c r="BC648" s="64"/>
      <c r="BD648" s="64"/>
      <c r="BE648" s="64"/>
      <c r="BF648" s="64"/>
      <c r="BG648" s="64"/>
      <c r="BH648" s="64"/>
    </row>
    <row r="649" spans="1:60" ht="35.65" customHeight="1">
      <c r="A649" s="259" t="s">
        <v>27</v>
      </c>
      <c r="B649" s="251">
        <v>3001</v>
      </c>
      <c r="C649" s="25"/>
      <c r="D649" s="26"/>
      <c r="E649" s="26"/>
      <c r="F649" s="26"/>
      <c r="G649" s="26"/>
      <c r="H649" s="26"/>
      <c r="I649" s="26"/>
      <c r="J649" s="26"/>
      <c r="K649" s="26"/>
      <c r="L649" s="26"/>
      <c r="M649" s="26"/>
      <c r="N649" s="26"/>
      <c r="O649" s="26"/>
      <c r="P649" s="26"/>
      <c r="Q649" s="26"/>
      <c r="R649" s="26"/>
      <c r="S649" s="26"/>
      <c r="T649" s="26"/>
      <c r="U649" s="26"/>
      <c r="V649" s="26"/>
      <c r="W649" s="219"/>
      <c r="X649" s="26"/>
      <c r="Y649" s="26"/>
      <c r="Z649" s="26"/>
      <c r="AA649" s="26"/>
      <c r="AB649" s="26"/>
      <c r="AC649" s="26"/>
      <c r="AD649" s="26"/>
      <c r="AE649" s="26"/>
      <c r="AF649" s="26"/>
      <c r="AG649" s="26"/>
      <c r="AH649" s="26"/>
      <c r="AI649" s="26"/>
      <c r="AJ649" s="26"/>
      <c r="AK649" s="26"/>
      <c r="AL649" s="26"/>
      <c r="AM649" s="26"/>
      <c r="AN649" s="26"/>
      <c r="AO649" s="26"/>
      <c r="AP649" s="26"/>
      <c r="AQ649" s="26"/>
      <c r="AR649" s="26"/>
      <c r="AS649" s="26"/>
      <c r="AT649" s="26"/>
      <c r="AU649" s="26"/>
      <c r="AV649" s="26"/>
      <c r="AW649" s="26"/>
      <c r="AX649" s="26"/>
      <c r="AY649" s="26"/>
      <c r="AZ649" s="26"/>
      <c r="BA649" s="26"/>
      <c r="BB649" s="26"/>
      <c r="BC649" s="26"/>
      <c r="BD649" s="26"/>
      <c r="BE649" s="26"/>
      <c r="BF649" s="26"/>
      <c r="BG649" s="26"/>
      <c r="BH649" s="26"/>
    </row>
    <row r="650" spans="1:60" ht="35.65" customHeight="1">
      <c r="A650" s="254" t="s">
        <v>440</v>
      </c>
      <c r="B650" s="86"/>
      <c r="C650" s="25"/>
      <c r="D650" s="26"/>
      <c r="E650" s="26"/>
      <c r="F650" s="26"/>
      <c r="G650" s="26"/>
      <c r="H650" s="26"/>
      <c r="I650" s="26"/>
      <c r="J650" s="26"/>
      <c r="K650" s="26"/>
      <c r="L650" s="26"/>
      <c r="M650" s="26"/>
      <c r="N650" s="26"/>
      <c r="O650" s="26"/>
      <c r="P650" s="26"/>
      <c r="Q650" s="26"/>
      <c r="R650" s="26"/>
      <c r="S650" s="26"/>
      <c r="T650" s="26"/>
      <c r="U650" s="26"/>
      <c r="V650" s="26"/>
      <c r="W650" s="219"/>
      <c r="X650" s="26"/>
      <c r="Y650" s="26"/>
      <c r="Z650" s="26"/>
      <c r="AA650" s="26"/>
      <c r="AB650" s="26"/>
      <c r="AC650" s="26"/>
      <c r="AD650" s="26"/>
      <c r="AE650" s="26"/>
      <c r="AF650" s="26"/>
      <c r="AG650" s="26"/>
      <c r="AH650" s="26"/>
      <c r="AI650" s="26"/>
      <c r="AJ650" s="26"/>
      <c r="AK650" s="26"/>
      <c r="AL650" s="26"/>
      <c r="AM650" s="26"/>
      <c r="AN650" s="26"/>
      <c r="AO650" s="26"/>
      <c r="AP650" s="26"/>
      <c r="AQ650" s="26"/>
      <c r="AR650" s="26"/>
      <c r="AS650" s="26"/>
      <c r="AT650" s="26"/>
      <c r="AU650" s="26"/>
      <c r="AV650" s="26"/>
      <c r="AW650" s="26"/>
      <c r="AX650" s="26"/>
      <c r="AY650" s="26"/>
      <c r="AZ650" s="26"/>
      <c r="BA650" s="26"/>
      <c r="BB650" s="26"/>
      <c r="BC650" s="26"/>
      <c r="BD650" s="26"/>
      <c r="BE650" s="26"/>
      <c r="BF650" s="26"/>
      <c r="BG650" s="26"/>
      <c r="BH650" s="26"/>
    </row>
    <row r="651" spans="1:60" ht="35.65" customHeight="1">
      <c r="A651" s="173" t="s">
        <v>440</v>
      </c>
      <c r="B651" s="174">
        <v>3002</v>
      </c>
      <c r="C651" s="25"/>
      <c r="D651" s="26"/>
      <c r="E651" s="26"/>
      <c r="F651" s="26"/>
      <c r="G651" s="26"/>
      <c r="H651" s="26"/>
      <c r="I651" s="26"/>
      <c r="J651" s="26"/>
      <c r="K651" s="26"/>
      <c r="L651" s="26"/>
      <c r="M651" s="26"/>
      <c r="N651" s="26"/>
      <c r="O651" s="26"/>
      <c r="P651" s="26"/>
      <c r="Q651" s="26"/>
      <c r="R651" s="26"/>
      <c r="S651" s="26"/>
      <c r="T651" s="26"/>
      <c r="U651" s="26"/>
      <c r="V651" s="26"/>
      <c r="W651" s="219"/>
      <c r="X651" s="26"/>
      <c r="Y651" s="26"/>
      <c r="Z651" s="26"/>
      <c r="AA651" s="26"/>
      <c r="AB651" s="26"/>
      <c r="AC651" s="26"/>
      <c r="AD651" s="26"/>
      <c r="AE651" s="26"/>
      <c r="AF651" s="26"/>
      <c r="AG651" s="26"/>
      <c r="AH651" s="26"/>
      <c r="AI651" s="26"/>
      <c r="AJ651" s="26"/>
      <c r="AK651" s="26"/>
      <c r="AL651" s="26"/>
      <c r="AM651" s="26"/>
      <c r="AN651" s="26"/>
      <c r="AO651" s="26"/>
      <c r="AP651" s="26"/>
      <c r="AQ651" s="26"/>
      <c r="AR651" s="26"/>
      <c r="AS651" s="26"/>
      <c r="AT651" s="26"/>
      <c r="AU651" s="26"/>
      <c r="AV651" s="26"/>
      <c r="AW651" s="26"/>
      <c r="AX651" s="26"/>
      <c r="AY651" s="26"/>
      <c r="AZ651" s="26"/>
      <c r="BA651" s="26"/>
      <c r="BB651" s="26"/>
      <c r="BC651" s="26"/>
      <c r="BD651" s="26"/>
      <c r="BE651" s="26"/>
      <c r="BF651" s="26"/>
      <c r="BG651" s="26"/>
      <c r="BH651" s="26"/>
    </row>
    <row r="652" spans="1:60" ht="35.65" customHeight="1">
      <c r="A652" s="167" t="s">
        <v>450</v>
      </c>
      <c r="B652" s="234">
        <v>3100</v>
      </c>
      <c r="C652" s="22" t="s">
        <v>25</v>
      </c>
      <c r="D652" s="22" t="s">
        <v>25</v>
      </c>
      <c r="E652" s="22" t="s">
        <v>25</v>
      </c>
      <c r="F652" s="22" t="s">
        <v>25</v>
      </c>
      <c r="G652" s="22" t="s">
        <v>25</v>
      </c>
      <c r="H652" s="22" t="s">
        <v>25</v>
      </c>
      <c r="I652" s="22" t="s">
        <v>25</v>
      </c>
      <c r="J652" s="22"/>
      <c r="K652" s="22"/>
      <c r="L652" s="22"/>
      <c r="M652" s="22" t="s">
        <v>25</v>
      </c>
      <c r="N652" s="22" t="s">
        <v>25</v>
      </c>
      <c r="O652" s="22" t="s">
        <v>25</v>
      </c>
      <c r="P652" s="22" t="s">
        <v>25</v>
      </c>
      <c r="Q652" s="22" t="s">
        <v>25</v>
      </c>
      <c r="R652" s="22" t="s">
        <v>25</v>
      </c>
      <c r="S652" s="22" t="s">
        <v>25</v>
      </c>
      <c r="T652" s="22" t="s">
        <v>25</v>
      </c>
      <c r="U652" s="22" t="s">
        <v>25</v>
      </c>
      <c r="V652" s="22" t="s">
        <v>25</v>
      </c>
      <c r="W652" s="250" t="s">
        <v>25</v>
      </c>
      <c r="X652" s="22" t="s">
        <v>25</v>
      </c>
      <c r="Y652" s="22" t="s">
        <v>25</v>
      </c>
      <c r="Z652" s="22" t="s">
        <v>25</v>
      </c>
      <c r="AA652" s="22" t="s">
        <v>25</v>
      </c>
      <c r="AB652" s="22" t="s">
        <v>25</v>
      </c>
      <c r="AC652" s="22" t="s">
        <v>25</v>
      </c>
      <c r="AD652" s="22" t="s">
        <v>25</v>
      </c>
      <c r="AE652" s="118">
        <f t="shared" ref="AE652:AN652" si="197">AE656+AE658+AE665+AE685+AE695+AE700+AE702+AE706+AE711+AE720+AE723+AE661+AE621</f>
        <v>74065.3</v>
      </c>
      <c r="AF652" s="118">
        <f t="shared" si="197"/>
        <v>69730.39999999998</v>
      </c>
      <c r="AG652" s="118">
        <f t="shared" si="197"/>
        <v>5045.8999999999996</v>
      </c>
      <c r="AH652" s="118">
        <f t="shared" si="197"/>
        <v>5045.8999999999996</v>
      </c>
      <c r="AI652" s="118">
        <f t="shared" si="197"/>
        <v>69019.399999999994</v>
      </c>
      <c r="AJ652" s="118">
        <f t="shared" si="197"/>
        <v>64684.499999999993</v>
      </c>
      <c r="AK652" s="118">
        <f t="shared" si="197"/>
        <v>0</v>
      </c>
      <c r="AL652" s="118">
        <f t="shared" si="197"/>
        <v>0</v>
      </c>
      <c r="AM652" s="118">
        <f t="shared" si="197"/>
        <v>0</v>
      </c>
      <c r="AN652" s="118">
        <f t="shared" si="197"/>
        <v>0</v>
      </c>
      <c r="AO652" s="118">
        <f>AO656+AO658+AO665+AO685+AO695+AO700+AO702+AO706+AO711+AO720+AO723+AO661</f>
        <v>65592.099999999991</v>
      </c>
      <c r="AP652" s="118">
        <f t="shared" ref="AP652:BH652" si="198">AP656+AP658+AP665+AP685+AP695+AP700+AP702+AP706+AP711+AP720+AP723+AP661</f>
        <v>9563.7000000000007</v>
      </c>
      <c r="AQ652" s="118">
        <f t="shared" si="198"/>
        <v>56028.399999999994</v>
      </c>
      <c r="AR652" s="118">
        <f t="shared" si="198"/>
        <v>0</v>
      </c>
      <c r="AS652" s="118">
        <f t="shared" si="198"/>
        <v>0</v>
      </c>
      <c r="AT652" s="118">
        <f t="shared" si="198"/>
        <v>75095.799999999988</v>
      </c>
      <c r="AU652" s="118">
        <f t="shared" si="198"/>
        <v>13484.599999999999</v>
      </c>
      <c r="AV652" s="118">
        <f t="shared" si="198"/>
        <v>61611.199999999997</v>
      </c>
      <c r="AW652" s="118">
        <f t="shared" si="198"/>
        <v>0</v>
      </c>
      <c r="AX652" s="118">
        <f t="shared" si="198"/>
        <v>0</v>
      </c>
      <c r="AY652" s="118">
        <f t="shared" si="198"/>
        <v>75277.099999999991</v>
      </c>
      <c r="AZ652" s="118">
        <f t="shared" si="198"/>
        <v>13421.2</v>
      </c>
      <c r="BA652" s="118">
        <f t="shared" si="198"/>
        <v>61855.899999999994</v>
      </c>
      <c r="BB652" s="118">
        <f t="shared" si="198"/>
        <v>0</v>
      </c>
      <c r="BC652" s="118">
        <f t="shared" si="198"/>
        <v>0</v>
      </c>
      <c r="BD652" s="118">
        <f t="shared" si="198"/>
        <v>75277.099999999991</v>
      </c>
      <c r="BE652" s="118">
        <f t="shared" si="198"/>
        <v>13421.2</v>
      </c>
      <c r="BF652" s="118">
        <f t="shared" si="198"/>
        <v>61855.899999999994</v>
      </c>
      <c r="BG652" s="118">
        <f t="shared" si="198"/>
        <v>0</v>
      </c>
      <c r="BH652" s="118">
        <f t="shared" si="198"/>
        <v>0</v>
      </c>
    </row>
    <row r="653" spans="1:60" ht="35.65" customHeight="1">
      <c r="A653" s="173" t="s">
        <v>451</v>
      </c>
      <c r="B653" s="174">
        <v>3101</v>
      </c>
      <c r="C653" s="30" t="s">
        <v>25</v>
      </c>
      <c r="D653" s="30" t="s">
        <v>25</v>
      </c>
      <c r="E653" s="30" t="s">
        <v>25</v>
      </c>
      <c r="F653" s="30" t="s">
        <v>25</v>
      </c>
      <c r="G653" s="30" t="s">
        <v>25</v>
      </c>
      <c r="H653" s="30" t="s">
        <v>25</v>
      </c>
      <c r="I653" s="30" t="s">
        <v>25</v>
      </c>
      <c r="J653" s="30"/>
      <c r="K653" s="30"/>
      <c r="L653" s="30"/>
      <c r="M653" s="30" t="s">
        <v>25</v>
      </c>
      <c r="N653" s="30" t="s">
        <v>25</v>
      </c>
      <c r="O653" s="30" t="s">
        <v>25</v>
      </c>
      <c r="P653" s="30" t="s">
        <v>25</v>
      </c>
      <c r="Q653" s="30" t="s">
        <v>25</v>
      </c>
      <c r="R653" s="30" t="s">
        <v>25</v>
      </c>
      <c r="S653" s="30" t="s">
        <v>25</v>
      </c>
      <c r="T653" s="30" t="s">
        <v>25</v>
      </c>
      <c r="U653" s="30" t="s">
        <v>25</v>
      </c>
      <c r="V653" s="30" t="s">
        <v>25</v>
      </c>
      <c r="W653" s="253" t="s">
        <v>25</v>
      </c>
      <c r="X653" s="30" t="s">
        <v>25</v>
      </c>
      <c r="Y653" s="30" t="s">
        <v>25</v>
      </c>
      <c r="Z653" s="30" t="s">
        <v>25</v>
      </c>
      <c r="AA653" s="30" t="s">
        <v>25</v>
      </c>
      <c r="AB653" s="30" t="s">
        <v>25</v>
      </c>
      <c r="AC653" s="30" t="s">
        <v>25</v>
      </c>
      <c r="AD653" s="30" t="s">
        <v>25</v>
      </c>
      <c r="AE653" s="26"/>
      <c r="AF653" s="26"/>
      <c r="AG653" s="26"/>
      <c r="AH653" s="26"/>
      <c r="AI653" s="26"/>
      <c r="AJ653" s="26"/>
      <c r="AK653" s="26"/>
      <c r="AL653" s="26"/>
      <c r="AM653" s="26"/>
      <c r="AN653" s="26"/>
      <c r="AO653" s="26"/>
      <c r="AP653" s="26"/>
      <c r="AQ653" s="26"/>
      <c r="AR653" s="26"/>
      <c r="AS653" s="26"/>
      <c r="AT653" s="26"/>
      <c r="AU653" s="26"/>
      <c r="AV653" s="26"/>
      <c r="AW653" s="26"/>
      <c r="AX653" s="26"/>
      <c r="AY653" s="26"/>
      <c r="AZ653" s="26"/>
      <c r="BA653" s="26"/>
      <c r="BB653" s="26"/>
      <c r="BC653" s="26"/>
      <c r="BD653" s="26"/>
      <c r="BE653" s="26"/>
      <c r="BF653" s="26"/>
      <c r="BG653" s="26"/>
      <c r="BH653" s="26"/>
    </row>
    <row r="654" spans="1:60" ht="35.65" customHeight="1">
      <c r="A654" s="23" t="s">
        <v>27</v>
      </c>
      <c r="B654" s="251">
        <v>3102</v>
      </c>
      <c r="C654" s="25"/>
      <c r="D654" s="26"/>
      <c r="E654" s="26"/>
      <c r="F654" s="26"/>
      <c r="G654" s="26"/>
      <c r="H654" s="26"/>
      <c r="I654" s="26"/>
      <c r="J654" s="26"/>
      <c r="K654" s="26"/>
      <c r="L654" s="26"/>
      <c r="M654" s="26"/>
      <c r="N654" s="26"/>
      <c r="O654" s="26"/>
      <c r="P654" s="26"/>
      <c r="Q654" s="26"/>
      <c r="R654" s="26"/>
      <c r="S654" s="26"/>
      <c r="T654" s="26"/>
      <c r="U654" s="26"/>
      <c r="V654" s="26"/>
      <c r="W654" s="219"/>
      <c r="X654" s="26"/>
      <c r="Y654" s="26"/>
      <c r="Z654" s="26"/>
      <c r="AA654" s="26"/>
      <c r="AB654" s="26"/>
      <c r="AC654" s="26"/>
      <c r="AD654" s="26"/>
      <c r="AE654" s="26"/>
      <c r="AF654" s="26"/>
      <c r="AG654" s="26"/>
      <c r="AH654" s="26"/>
      <c r="AI654" s="26"/>
      <c r="AJ654" s="26"/>
      <c r="AK654" s="26"/>
      <c r="AL654" s="26"/>
      <c r="AM654" s="26"/>
      <c r="AN654" s="26"/>
      <c r="AO654" s="26"/>
      <c r="AP654" s="26"/>
      <c r="AQ654" s="26"/>
      <c r="AR654" s="26"/>
      <c r="AS654" s="26"/>
      <c r="AT654" s="26"/>
      <c r="AU654" s="26"/>
      <c r="AV654" s="26"/>
      <c r="AW654" s="26"/>
      <c r="AX654" s="26"/>
      <c r="AY654" s="26"/>
      <c r="AZ654" s="26"/>
      <c r="BA654" s="26"/>
      <c r="BB654" s="26"/>
      <c r="BC654" s="26"/>
      <c r="BD654" s="26"/>
      <c r="BE654" s="26"/>
      <c r="BF654" s="26"/>
      <c r="BG654" s="26"/>
      <c r="BH654" s="26"/>
    </row>
    <row r="655" spans="1:60" ht="35.65" customHeight="1">
      <c r="A655" s="254" t="s">
        <v>440</v>
      </c>
      <c r="B655" s="86"/>
      <c r="C655" s="25"/>
      <c r="D655" s="26"/>
      <c r="E655" s="26"/>
      <c r="F655" s="26"/>
      <c r="G655" s="26"/>
      <c r="H655" s="26"/>
      <c r="I655" s="26"/>
      <c r="J655" s="26"/>
      <c r="K655" s="26"/>
      <c r="L655" s="26"/>
      <c r="M655" s="26"/>
      <c r="N655" s="26"/>
      <c r="O655" s="26"/>
      <c r="P655" s="26"/>
      <c r="Q655" s="26"/>
      <c r="R655" s="26"/>
      <c r="S655" s="26"/>
      <c r="T655" s="26"/>
      <c r="U655" s="26"/>
      <c r="V655" s="26"/>
      <c r="W655" s="219"/>
      <c r="X655" s="26"/>
      <c r="Y655" s="26"/>
      <c r="Z655" s="26"/>
      <c r="AA655" s="26"/>
      <c r="AB655" s="26"/>
      <c r="AC655" s="26"/>
      <c r="AD655" s="26"/>
      <c r="AE655" s="26"/>
      <c r="AF655" s="26"/>
      <c r="AG655" s="26"/>
      <c r="AH655" s="26"/>
      <c r="AI655" s="26"/>
      <c r="AJ655" s="26"/>
      <c r="AK655" s="26"/>
      <c r="AL655" s="26"/>
      <c r="AM655" s="26"/>
      <c r="AN655" s="26"/>
      <c r="AO655" s="26"/>
      <c r="AP655" s="26"/>
      <c r="AQ655" s="26"/>
      <c r="AR655" s="26"/>
      <c r="AS655" s="26"/>
      <c r="AT655" s="26"/>
      <c r="AU655" s="26"/>
      <c r="AV655" s="26"/>
      <c r="AW655" s="26"/>
      <c r="AX655" s="26"/>
      <c r="AY655" s="26"/>
      <c r="AZ655" s="26"/>
      <c r="BA655" s="26"/>
      <c r="BB655" s="26"/>
      <c r="BC655" s="26"/>
      <c r="BD655" s="26"/>
      <c r="BE655" s="26"/>
      <c r="BF655" s="26"/>
      <c r="BG655" s="26"/>
      <c r="BH655" s="26"/>
    </row>
    <row r="656" spans="1:60" ht="35.65" customHeight="1" thickBot="1">
      <c r="A656" s="31" t="s">
        <v>452</v>
      </c>
      <c r="B656" s="234">
        <v>3103</v>
      </c>
      <c r="C656" s="33"/>
      <c r="D656" s="34"/>
      <c r="E656" s="34"/>
      <c r="F656" s="34"/>
      <c r="G656" s="34"/>
      <c r="H656" s="34"/>
      <c r="I656" s="34"/>
      <c r="J656" s="34"/>
      <c r="K656" s="34"/>
      <c r="L656" s="34"/>
      <c r="M656" s="34"/>
      <c r="N656" s="34"/>
      <c r="O656" s="34"/>
      <c r="P656" s="34"/>
      <c r="Q656" s="34"/>
      <c r="R656" s="34"/>
      <c r="S656" s="34"/>
      <c r="T656" s="34"/>
      <c r="U656" s="34"/>
      <c r="V656" s="34"/>
      <c r="W656" s="235"/>
      <c r="X656" s="34"/>
      <c r="Y656" s="34"/>
      <c r="Z656" s="34"/>
      <c r="AA656" s="34"/>
      <c r="AB656" s="34"/>
      <c r="AC656" s="34"/>
      <c r="AD656" s="34"/>
      <c r="AE656" s="34">
        <f>AE657</f>
        <v>94.7</v>
      </c>
      <c r="AF656" s="34">
        <f>AH656+AJ656+AL656+AN656</f>
        <v>94.7</v>
      </c>
      <c r="AG656" s="34">
        <f t="shared" ref="AG656:AM656" si="199">AG657</f>
        <v>94.7</v>
      </c>
      <c r="AH656" s="34">
        <f t="shared" si="199"/>
        <v>94.7</v>
      </c>
      <c r="AI656" s="34">
        <f t="shared" si="199"/>
        <v>0</v>
      </c>
      <c r="AJ656" s="34">
        <f t="shared" si="199"/>
        <v>0</v>
      </c>
      <c r="AK656" s="34">
        <f t="shared" si="199"/>
        <v>0</v>
      </c>
      <c r="AL656" s="34"/>
      <c r="AM656" s="34">
        <f t="shared" si="199"/>
        <v>0</v>
      </c>
      <c r="AN656" s="34"/>
      <c r="AO656" s="34">
        <f t="shared" ref="AO656:BH656" si="200">AO657</f>
        <v>3.6</v>
      </c>
      <c r="AP656" s="34">
        <f t="shared" si="200"/>
        <v>3.6</v>
      </c>
      <c r="AQ656" s="34">
        <f t="shared" si="200"/>
        <v>0</v>
      </c>
      <c r="AR656" s="34">
        <f t="shared" si="200"/>
        <v>0</v>
      </c>
      <c r="AS656" s="34">
        <f t="shared" si="200"/>
        <v>0</v>
      </c>
      <c r="AT656" s="34">
        <f t="shared" si="200"/>
        <v>1.2</v>
      </c>
      <c r="AU656" s="34">
        <f t="shared" si="200"/>
        <v>1.2</v>
      </c>
      <c r="AV656" s="34">
        <f t="shared" si="200"/>
        <v>0</v>
      </c>
      <c r="AW656" s="34">
        <f t="shared" si="200"/>
        <v>0</v>
      </c>
      <c r="AX656" s="34">
        <f t="shared" si="200"/>
        <v>0</v>
      </c>
      <c r="AY656" s="34">
        <f t="shared" si="200"/>
        <v>1</v>
      </c>
      <c r="AZ656" s="34">
        <f t="shared" si="200"/>
        <v>1</v>
      </c>
      <c r="BA656" s="34">
        <f t="shared" si="200"/>
        <v>0</v>
      </c>
      <c r="BB656" s="34">
        <f t="shared" si="200"/>
        <v>0</v>
      </c>
      <c r="BC656" s="34">
        <f t="shared" si="200"/>
        <v>0</v>
      </c>
      <c r="BD656" s="34">
        <f t="shared" si="200"/>
        <v>1</v>
      </c>
      <c r="BE656" s="34">
        <f t="shared" si="200"/>
        <v>1</v>
      </c>
      <c r="BF656" s="34">
        <f t="shared" si="200"/>
        <v>0</v>
      </c>
      <c r="BG656" s="34">
        <f t="shared" si="200"/>
        <v>0</v>
      </c>
      <c r="BH656" s="34">
        <f t="shared" si="200"/>
        <v>0</v>
      </c>
    </row>
    <row r="657" spans="1:60" ht="35.65" customHeight="1" thickBot="1">
      <c r="A657" s="27" t="s">
        <v>57</v>
      </c>
      <c r="B657" s="174"/>
      <c r="C657" s="25"/>
      <c r="D657" s="26"/>
      <c r="E657" s="26"/>
      <c r="F657" s="26"/>
      <c r="G657" s="26"/>
      <c r="H657" s="26"/>
      <c r="I657" s="26"/>
      <c r="J657" s="26"/>
      <c r="K657" s="26"/>
      <c r="L657" s="26"/>
      <c r="M657" s="26"/>
      <c r="N657" s="26"/>
      <c r="O657" s="26"/>
      <c r="P657" s="26"/>
      <c r="Q657" s="26"/>
      <c r="R657" s="26"/>
      <c r="S657" s="26"/>
      <c r="T657" s="26"/>
      <c r="U657" s="26"/>
      <c r="V657" s="26"/>
      <c r="W657" s="219"/>
      <c r="X657" s="26"/>
      <c r="Y657" s="26"/>
      <c r="Z657" s="26"/>
      <c r="AA657" s="26"/>
      <c r="AB657" s="26"/>
      <c r="AC657" s="26"/>
      <c r="AD657" s="52" t="s">
        <v>1102</v>
      </c>
      <c r="AE657" s="26">
        <f>AG657+AI657+RM657+RN657</f>
        <v>94.7</v>
      </c>
      <c r="AF657" s="26">
        <f>AH657+AJ657+AL657+AN657</f>
        <v>94.7</v>
      </c>
      <c r="AG657" s="26">
        <v>94.7</v>
      </c>
      <c r="AH657" s="26">
        <v>94.7</v>
      </c>
      <c r="AI657" s="26"/>
      <c r="AJ657" s="26"/>
      <c r="AK657" s="26"/>
      <c r="AL657" s="26"/>
      <c r="AM657" s="26"/>
      <c r="AN657" s="26"/>
      <c r="AO657" s="26">
        <f>AP657+AQ657+AR657+AS657</f>
        <v>3.6</v>
      </c>
      <c r="AP657" s="26">
        <f>1.1+2.5</f>
        <v>3.6</v>
      </c>
      <c r="AQ657" s="26"/>
      <c r="AR657" s="26"/>
      <c r="AS657" s="26"/>
      <c r="AT657" s="26">
        <f>AU657+AV657+AW657+AX657</f>
        <v>1.2</v>
      </c>
      <c r="AU657" s="26">
        <v>1.2</v>
      </c>
      <c r="AV657" s="26"/>
      <c r="AW657" s="26"/>
      <c r="AX657" s="26"/>
      <c r="AY657" s="26">
        <f>AZ657+BA657+BB657+BC657</f>
        <v>1</v>
      </c>
      <c r="AZ657" s="26">
        <v>1</v>
      </c>
      <c r="BA657" s="26"/>
      <c r="BB657" s="26"/>
      <c r="BC657" s="26"/>
      <c r="BD657" s="26">
        <f>BE657+BF657+BG657+BH657</f>
        <v>1</v>
      </c>
      <c r="BE657" s="26">
        <v>1</v>
      </c>
      <c r="BF657" s="26"/>
      <c r="BG657" s="26"/>
      <c r="BH657" s="26"/>
    </row>
    <row r="658" spans="1:60" ht="35.65" customHeight="1">
      <c r="A658" s="57" t="s">
        <v>453</v>
      </c>
      <c r="B658" s="234">
        <v>3104</v>
      </c>
      <c r="C658" s="33"/>
      <c r="D658" s="34"/>
      <c r="E658" s="34"/>
      <c r="F658" s="34"/>
      <c r="G658" s="34"/>
      <c r="H658" s="34"/>
      <c r="I658" s="34"/>
      <c r="J658" s="34"/>
      <c r="K658" s="34"/>
      <c r="L658" s="34"/>
      <c r="M658" s="34"/>
      <c r="N658" s="34"/>
      <c r="O658" s="34"/>
      <c r="P658" s="34"/>
      <c r="Q658" s="34"/>
      <c r="R658" s="34"/>
      <c r="S658" s="34"/>
      <c r="T658" s="34"/>
      <c r="U658" s="34"/>
      <c r="V658" s="34"/>
      <c r="W658" s="235"/>
      <c r="X658" s="34"/>
      <c r="Y658" s="34"/>
      <c r="Z658" s="34"/>
      <c r="AA658" s="34"/>
      <c r="AB658" s="34"/>
      <c r="AC658" s="34"/>
      <c r="AD658" s="34"/>
      <c r="AE658" s="34">
        <f t="shared" ref="AE658:AM658" si="201">AE659+AE660</f>
        <v>4031.2</v>
      </c>
      <c r="AF658" s="34">
        <f>AH658+AJ658+AL658+AN658</f>
        <v>4031.2</v>
      </c>
      <c r="AG658" s="34">
        <f t="shared" si="201"/>
        <v>4031.2</v>
      </c>
      <c r="AH658" s="34">
        <f t="shared" si="201"/>
        <v>4031.2</v>
      </c>
      <c r="AI658" s="34">
        <f t="shared" si="201"/>
        <v>0</v>
      </c>
      <c r="AJ658" s="34">
        <f t="shared" si="201"/>
        <v>0</v>
      </c>
      <c r="AK658" s="34">
        <f t="shared" si="201"/>
        <v>0</v>
      </c>
      <c r="AL658" s="34"/>
      <c r="AM658" s="34">
        <f t="shared" si="201"/>
        <v>0</v>
      </c>
      <c r="AN658" s="34"/>
      <c r="AO658" s="34">
        <f t="shared" ref="AO658:BH658" si="202">AO659+AO660</f>
        <v>4585.4000000000005</v>
      </c>
      <c r="AP658" s="34">
        <f t="shared" si="202"/>
        <v>4585.4000000000005</v>
      </c>
      <c r="AQ658" s="34">
        <f t="shared" si="202"/>
        <v>0</v>
      </c>
      <c r="AR658" s="34">
        <f t="shared" si="202"/>
        <v>0</v>
      </c>
      <c r="AS658" s="34">
        <f t="shared" si="202"/>
        <v>0</v>
      </c>
      <c r="AT658" s="34">
        <f t="shared" si="202"/>
        <v>4797.5</v>
      </c>
      <c r="AU658" s="34">
        <f t="shared" si="202"/>
        <v>4797.5</v>
      </c>
      <c r="AV658" s="34">
        <f t="shared" si="202"/>
        <v>0</v>
      </c>
      <c r="AW658" s="34">
        <f t="shared" si="202"/>
        <v>0</v>
      </c>
      <c r="AX658" s="34">
        <f t="shared" si="202"/>
        <v>0</v>
      </c>
      <c r="AY658" s="34">
        <f t="shared" si="202"/>
        <v>4979</v>
      </c>
      <c r="AZ658" s="34">
        <f t="shared" si="202"/>
        <v>4979</v>
      </c>
      <c r="BA658" s="34">
        <f t="shared" si="202"/>
        <v>0</v>
      </c>
      <c r="BB658" s="34">
        <f t="shared" si="202"/>
        <v>0</v>
      </c>
      <c r="BC658" s="34">
        <f t="shared" si="202"/>
        <v>0</v>
      </c>
      <c r="BD658" s="34">
        <f t="shared" si="202"/>
        <v>4979</v>
      </c>
      <c r="BE658" s="34">
        <f t="shared" si="202"/>
        <v>4979</v>
      </c>
      <c r="BF658" s="34">
        <f t="shared" si="202"/>
        <v>0</v>
      </c>
      <c r="BG658" s="34">
        <f t="shared" si="202"/>
        <v>0</v>
      </c>
      <c r="BH658" s="34">
        <f t="shared" si="202"/>
        <v>0</v>
      </c>
    </row>
    <row r="659" spans="1:60" ht="35.65" customHeight="1">
      <c r="A659" s="61" t="s">
        <v>57</v>
      </c>
      <c r="B659" s="174"/>
      <c r="C659" s="52" t="s">
        <v>454</v>
      </c>
      <c r="D659" s="52"/>
      <c r="E659" s="52"/>
      <c r="F659" s="52" t="s">
        <v>455</v>
      </c>
      <c r="G659" s="52"/>
      <c r="H659" s="52"/>
      <c r="I659" s="52"/>
      <c r="J659" s="52"/>
      <c r="K659" s="52"/>
      <c r="L659" s="52"/>
      <c r="M659" s="52"/>
      <c r="N659" s="52"/>
      <c r="O659" s="52"/>
      <c r="P659" s="52"/>
      <c r="Q659" s="52"/>
      <c r="R659" s="52"/>
      <c r="S659" s="52"/>
      <c r="T659" s="52"/>
      <c r="U659" s="52"/>
      <c r="V659" s="52"/>
      <c r="W659" s="195" t="s">
        <v>456</v>
      </c>
      <c r="X659" s="52"/>
      <c r="Y659" s="52"/>
      <c r="Z659" s="52"/>
      <c r="AA659" s="52"/>
      <c r="AB659" s="26"/>
      <c r="AC659" s="26"/>
      <c r="AD659" s="52" t="s">
        <v>1103</v>
      </c>
      <c r="AE659" s="26">
        <f>AG659+AI659+RM659+RN659</f>
        <v>3785.6</v>
      </c>
      <c r="AF659" s="26">
        <f>AH659</f>
        <v>3785.6</v>
      </c>
      <c r="AG659" s="26">
        <f>3445.4+240.2+100</f>
        <v>3785.6</v>
      </c>
      <c r="AH659" s="26">
        <v>3785.6</v>
      </c>
      <c r="AI659" s="26"/>
      <c r="AJ659" s="26"/>
      <c r="AK659" s="26"/>
      <c r="AL659" s="26"/>
      <c r="AM659" s="26"/>
      <c r="AN659" s="26"/>
      <c r="AO659" s="26">
        <f>AP659+AQ659+AR659+AS659</f>
        <v>4311.1000000000004</v>
      </c>
      <c r="AP659" s="26">
        <f>4221.1+90</f>
        <v>4311.1000000000004</v>
      </c>
      <c r="AQ659" s="26"/>
      <c r="AR659" s="26"/>
      <c r="AS659" s="26"/>
      <c r="AT659" s="26">
        <f>AU659+AV659+AW659+AX659</f>
        <v>4433.2</v>
      </c>
      <c r="AU659" s="26">
        <v>4433.2</v>
      </c>
      <c r="AV659" s="26"/>
      <c r="AW659" s="26"/>
      <c r="AX659" s="26"/>
      <c r="AY659" s="26">
        <f>AZ659+BA659+BB659+BC659</f>
        <v>4614.7</v>
      </c>
      <c r="AZ659" s="26">
        <v>4614.7</v>
      </c>
      <c r="BA659" s="26"/>
      <c r="BB659" s="26"/>
      <c r="BC659" s="26"/>
      <c r="BD659" s="26">
        <f>BE659+BF659+BG659+BH659</f>
        <v>4614.7</v>
      </c>
      <c r="BE659" s="26">
        <v>4614.7</v>
      </c>
      <c r="BF659" s="26"/>
      <c r="BG659" s="26"/>
      <c r="BH659" s="26"/>
    </row>
    <row r="660" spans="1:60" ht="35.65" customHeight="1">
      <c r="A660" s="61" t="s">
        <v>57</v>
      </c>
      <c r="B660" s="174"/>
      <c r="C660" s="52" t="s">
        <v>454</v>
      </c>
      <c r="D660" s="52"/>
      <c r="E660" s="52"/>
      <c r="F660" s="52" t="s">
        <v>455</v>
      </c>
      <c r="G660" s="52"/>
      <c r="H660" s="52"/>
      <c r="I660" s="52"/>
      <c r="J660" s="52"/>
      <c r="K660" s="52"/>
      <c r="L660" s="52"/>
      <c r="M660" s="52"/>
      <c r="N660" s="52"/>
      <c r="O660" s="52"/>
      <c r="P660" s="52"/>
      <c r="Q660" s="52"/>
      <c r="R660" s="52"/>
      <c r="S660" s="52"/>
      <c r="T660" s="52"/>
      <c r="U660" s="52"/>
      <c r="V660" s="52"/>
      <c r="W660" s="195" t="s">
        <v>456</v>
      </c>
      <c r="X660" s="52"/>
      <c r="Y660" s="52"/>
      <c r="Z660" s="52"/>
      <c r="AA660" s="52"/>
      <c r="AB660" s="26"/>
      <c r="AC660" s="26"/>
      <c r="AD660" s="52" t="s">
        <v>1104</v>
      </c>
      <c r="AE660" s="26">
        <f>AG660+AI660+RM660+RN660</f>
        <v>245.60000000000002</v>
      </c>
      <c r="AF660" s="26">
        <f>AH660</f>
        <v>245.6</v>
      </c>
      <c r="AG660" s="26">
        <f>345.6-100</f>
        <v>245.60000000000002</v>
      </c>
      <c r="AH660" s="26">
        <v>245.6</v>
      </c>
      <c r="AI660" s="26"/>
      <c r="AJ660" s="26"/>
      <c r="AK660" s="26"/>
      <c r="AL660" s="26"/>
      <c r="AM660" s="26"/>
      <c r="AN660" s="26"/>
      <c r="AO660" s="26">
        <f>AP660+AQ660+AR660+AS660</f>
        <v>274.3</v>
      </c>
      <c r="AP660" s="26">
        <f>364.3-90</f>
        <v>274.3</v>
      </c>
      <c r="AQ660" s="26"/>
      <c r="AR660" s="26"/>
      <c r="AS660" s="26"/>
      <c r="AT660" s="26">
        <f>AU660+AV660+AW660+AX660</f>
        <v>364.3</v>
      </c>
      <c r="AU660" s="26">
        <v>364.3</v>
      </c>
      <c r="AV660" s="26"/>
      <c r="AW660" s="26"/>
      <c r="AX660" s="26"/>
      <c r="AY660" s="26">
        <f>AZ660+BA660+BB660+BC660</f>
        <v>364.3</v>
      </c>
      <c r="AZ660" s="26">
        <v>364.3</v>
      </c>
      <c r="BA660" s="26"/>
      <c r="BB660" s="26"/>
      <c r="BC660" s="26"/>
      <c r="BD660" s="26">
        <f>BE660+BF660+BG660+BH660</f>
        <v>364.3</v>
      </c>
      <c r="BE660" s="26">
        <v>364.3</v>
      </c>
      <c r="BF660" s="26"/>
      <c r="BG660" s="26"/>
      <c r="BH660" s="26"/>
    </row>
    <row r="661" spans="1:60" ht="35.65" customHeight="1">
      <c r="A661" s="167" t="s">
        <v>457</v>
      </c>
      <c r="B661" s="234"/>
      <c r="C661" s="260"/>
      <c r="D661" s="260"/>
      <c r="E661" s="260"/>
      <c r="F661" s="260"/>
      <c r="G661" s="260"/>
      <c r="H661" s="260"/>
      <c r="I661" s="260"/>
      <c r="J661" s="260"/>
      <c r="K661" s="260"/>
      <c r="L661" s="260"/>
      <c r="M661" s="260"/>
      <c r="N661" s="260"/>
      <c r="O661" s="260"/>
      <c r="P661" s="260"/>
      <c r="Q661" s="260"/>
      <c r="R661" s="260"/>
      <c r="S661" s="260"/>
      <c r="T661" s="260"/>
      <c r="U661" s="260"/>
      <c r="V661" s="260"/>
      <c r="W661" s="244"/>
      <c r="X661" s="260"/>
      <c r="Y661" s="260"/>
      <c r="Z661" s="260"/>
      <c r="AA661" s="260"/>
      <c r="AB661" s="34"/>
      <c r="AC661" s="34"/>
      <c r="AD661" s="260"/>
      <c r="AE661" s="34"/>
      <c r="AF661" s="34"/>
      <c r="AG661" s="34"/>
      <c r="AH661" s="34"/>
      <c r="AI661" s="34"/>
      <c r="AJ661" s="34"/>
      <c r="AK661" s="34"/>
      <c r="AL661" s="34"/>
      <c r="AM661" s="34"/>
      <c r="AN661" s="34"/>
      <c r="AO661" s="34"/>
      <c r="AP661" s="34"/>
      <c r="AQ661" s="34"/>
      <c r="AR661" s="34"/>
      <c r="AS661" s="34"/>
      <c r="AT661" s="34"/>
      <c r="AU661" s="34"/>
      <c r="AV661" s="34"/>
      <c r="AW661" s="34"/>
      <c r="AX661" s="34"/>
      <c r="AY661" s="34"/>
      <c r="AZ661" s="34"/>
      <c r="BA661" s="34"/>
      <c r="BB661" s="34"/>
      <c r="BC661" s="34"/>
      <c r="BD661" s="34"/>
      <c r="BE661" s="34"/>
      <c r="BF661" s="34"/>
      <c r="BG661" s="34"/>
      <c r="BH661" s="34"/>
    </row>
    <row r="662" spans="1:60" ht="35.65" customHeight="1">
      <c r="A662" s="261" t="s">
        <v>57</v>
      </c>
      <c r="B662" s="174"/>
      <c r="C662" s="52" t="s">
        <v>458</v>
      </c>
      <c r="D662" s="52"/>
      <c r="E662" s="52"/>
      <c r="F662" s="43" t="s">
        <v>459</v>
      </c>
      <c r="G662" s="43" t="s">
        <v>460</v>
      </c>
      <c r="H662" s="43" t="s">
        <v>461</v>
      </c>
      <c r="I662" s="52"/>
      <c r="J662" s="52"/>
      <c r="K662" s="52"/>
      <c r="L662" s="52"/>
      <c r="M662" s="52"/>
      <c r="N662" s="52"/>
      <c r="O662" s="52"/>
      <c r="P662" s="52"/>
      <c r="Q662" s="52"/>
      <c r="R662" s="52"/>
      <c r="S662" s="52"/>
      <c r="T662" s="52"/>
      <c r="U662" s="52"/>
      <c r="V662" s="52"/>
      <c r="W662" s="195" t="s">
        <v>462</v>
      </c>
      <c r="X662" s="52"/>
      <c r="Y662" s="52"/>
      <c r="Z662" s="52"/>
      <c r="AA662" s="52"/>
      <c r="AB662" s="26"/>
      <c r="AC662" s="26"/>
      <c r="AD662" s="52" t="s">
        <v>1105</v>
      </c>
      <c r="AE662" s="26"/>
      <c r="AF662" s="26"/>
      <c r="AG662" s="26"/>
      <c r="AH662" s="26"/>
      <c r="AI662" s="26"/>
      <c r="AJ662" s="26"/>
      <c r="AK662" s="26"/>
      <c r="AL662" s="26"/>
      <c r="AM662" s="26"/>
      <c r="AN662" s="26"/>
      <c r="AO662" s="26"/>
      <c r="AP662" s="26"/>
      <c r="AQ662" s="26"/>
      <c r="AR662" s="26"/>
      <c r="AS662" s="26"/>
      <c r="AT662" s="26"/>
      <c r="AU662" s="26"/>
      <c r="AV662" s="26"/>
      <c r="AW662" s="26"/>
      <c r="AX662" s="26"/>
      <c r="AY662" s="26"/>
      <c r="AZ662" s="26"/>
      <c r="BA662" s="26"/>
      <c r="BB662" s="26"/>
      <c r="BC662" s="26"/>
      <c r="BD662" s="26"/>
      <c r="BE662" s="26"/>
      <c r="BF662" s="26"/>
      <c r="BG662" s="26"/>
      <c r="BH662" s="26"/>
    </row>
    <row r="663" spans="1:60" ht="35.65" customHeight="1">
      <c r="A663" s="173" t="s">
        <v>463</v>
      </c>
      <c r="B663" s="174">
        <v>3200</v>
      </c>
      <c r="C663" s="30" t="s">
        <v>25</v>
      </c>
      <c r="D663" s="30" t="s">
        <v>25</v>
      </c>
      <c r="E663" s="30" t="s">
        <v>25</v>
      </c>
      <c r="F663" s="30" t="s">
        <v>25</v>
      </c>
      <c r="G663" s="30" t="s">
        <v>25</v>
      </c>
      <c r="H663" s="30" t="s">
        <v>25</v>
      </c>
      <c r="I663" s="30" t="s">
        <v>25</v>
      </c>
      <c r="J663" s="30"/>
      <c r="K663" s="30"/>
      <c r="L663" s="30"/>
      <c r="M663" s="30" t="s">
        <v>25</v>
      </c>
      <c r="N663" s="30" t="s">
        <v>25</v>
      </c>
      <c r="O663" s="30" t="s">
        <v>25</v>
      </c>
      <c r="P663" s="30" t="s">
        <v>25</v>
      </c>
      <c r="Q663" s="30" t="s">
        <v>25</v>
      </c>
      <c r="R663" s="30" t="s">
        <v>25</v>
      </c>
      <c r="S663" s="30" t="s">
        <v>25</v>
      </c>
      <c r="T663" s="30" t="s">
        <v>25</v>
      </c>
      <c r="U663" s="30" t="s">
        <v>25</v>
      </c>
      <c r="V663" s="30" t="s">
        <v>25</v>
      </c>
      <c r="W663" s="253" t="s">
        <v>25</v>
      </c>
      <c r="X663" s="30" t="s">
        <v>25</v>
      </c>
      <c r="Y663" s="30" t="s">
        <v>25</v>
      </c>
      <c r="Z663" s="30" t="s">
        <v>25</v>
      </c>
      <c r="AA663" s="30" t="s">
        <v>25</v>
      </c>
      <c r="AB663" s="30" t="s">
        <v>25</v>
      </c>
      <c r="AC663" s="30" t="s">
        <v>25</v>
      </c>
      <c r="AD663" s="30" t="s">
        <v>25</v>
      </c>
      <c r="AE663" s="26"/>
      <c r="AF663" s="26"/>
      <c r="AG663" s="26"/>
      <c r="AH663" s="26"/>
      <c r="AI663" s="26"/>
      <c r="AJ663" s="26"/>
      <c r="AK663" s="26"/>
      <c r="AL663" s="26"/>
      <c r="AM663" s="26"/>
      <c r="AN663" s="26"/>
      <c r="AO663" s="26"/>
      <c r="AP663" s="26"/>
      <c r="AQ663" s="26"/>
      <c r="AR663" s="26"/>
      <c r="AS663" s="26"/>
      <c r="AT663" s="26"/>
      <c r="AU663" s="26"/>
      <c r="AV663" s="26"/>
      <c r="AW663" s="26"/>
      <c r="AX663" s="26"/>
      <c r="AY663" s="26"/>
      <c r="AZ663" s="26"/>
      <c r="BA663" s="26"/>
      <c r="BB663" s="26"/>
      <c r="BC663" s="26"/>
      <c r="BD663" s="26"/>
      <c r="BE663" s="26"/>
      <c r="BF663" s="26"/>
      <c r="BG663" s="26"/>
      <c r="BH663" s="26"/>
    </row>
    <row r="664" spans="1:60" ht="35.65" customHeight="1">
      <c r="A664" s="23" t="s">
        <v>27</v>
      </c>
      <c r="B664" s="251">
        <v>3201</v>
      </c>
      <c r="C664" s="25"/>
      <c r="D664" s="26"/>
      <c r="E664" s="26"/>
      <c r="F664" s="26"/>
      <c r="G664" s="26"/>
      <c r="H664" s="26"/>
      <c r="I664" s="26"/>
      <c r="J664" s="26"/>
      <c r="K664" s="26"/>
      <c r="L664" s="26"/>
      <c r="M664" s="26"/>
      <c r="N664" s="26"/>
      <c r="O664" s="26"/>
      <c r="P664" s="26"/>
      <c r="Q664" s="26"/>
      <c r="R664" s="26"/>
      <c r="S664" s="26"/>
      <c r="T664" s="26"/>
      <c r="U664" s="26"/>
      <c r="V664" s="26"/>
      <c r="W664" s="219"/>
      <c r="X664" s="26"/>
      <c r="Y664" s="26"/>
      <c r="Z664" s="26"/>
      <c r="AA664" s="26"/>
      <c r="AB664" s="26"/>
      <c r="AC664" s="26"/>
      <c r="AD664" s="26"/>
      <c r="AE664" s="26"/>
      <c r="AF664" s="26"/>
      <c r="AG664" s="26"/>
      <c r="AH664" s="26"/>
      <c r="AI664" s="26"/>
      <c r="AJ664" s="26"/>
      <c r="AK664" s="26"/>
      <c r="AL664" s="26"/>
      <c r="AM664" s="26"/>
      <c r="AN664" s="26"/>
      <c r="AO664" s="26"/>
      <c r="AP664" s="26"/>
      <c r="AQ664" s="26"/>
      <c r="AR664" s="26"/>
      <c r="AS664" s="26"/>
      <c r="AT664" s="26"/>
      <c r="AU664" s="26"/>
      <c r="AV664" s="26"/>
      <c r="AW664" s="26"/>
      <c r="AX664" s="26"/>
      <c r="AY664" s="26"/>
      <c r="AZ664" s="26"/>
      <c r="BA664" s="26"/>
      <c r="BB664" s="26"/>
      <c r="BC664" s="26"/>
      <c r="BD664" s="26"/>
      <c r="BE664" s="26"/>
      <c r="BF664" s="26"/>
      <c r="BG664" s="26"/>
      <c r="BH664" s="26"/>
    </row>
    <row r="665" spans="1:60" ht="35.65" customHeight="1" thickBot="1">
      <c r="A665" s="31" t="s">
        <v>464</v>
      </c>
      <c r="B665" s="240"/>
      <c r="C665" s="33"/>
      <c r="D665" s="34"/>
      <c r="E665" s="34"/>
      <c r="F665" s="34"/>
      <c r="G665" s="34"/>
      <c r="H665" s="34"/>
      <c r="I665" s="34"/>
      <c r="J665" s="34"/>
      <c r="K665" s="34"/>
      <c r="L665" s="34"/>
      <c r="M665" s="34"/>
      <c r="N665" s="34"/>
      <c r="O665" s="34"/>
      <c r="P665" s="34"/>
      <c r="Q665" s="34"/>
      <c r="R665" s="34"/>
      <c r="S665" s="34"/>
      <c r="T665" s="34"/>
      <c r="U665" s="34"/>
      <c r="V665" s="34"/>
      <c r="W665" s="235"/>
      <c r="X665" s="34"/>
      <c r="Y665" s="34"/>
      <c r="Z665" s="34"/>
      <c r="AA665" s="34"/>
      <c r="AB665" s="34"/>
      <c r="AC665" s="34">
        <v>1</v>
      </c>
      <c r="AD665" s="34"/>
      <c r="AE665" s="118">
        <f>AE666+AE667+AE668+AE669+AE670+AE671+AE680++AE681+AE682+AE683+AE684+AE673+AE672+AE676+AE679+AE677+AE678+AE674+AE675</f>
        <v>1978.6</v>
      </c>
      <c r="AF665" s="118">
        <f t="shared" ref="AF665:AN665" si="203">AF666+AF667+AF668+AF669+AF670+AF671+AF680++AF681+AF682+AF683+AF684+AF673+AF672+AF676+AF679+AF677+AF678+AF674+AF675</f>
        <v>1712.4999999999998</v>
      </c>
      <c r="AG665" s="118">
        <f t="shared" si="203"/>
        <v>0</v>
      </c>
      <c r="AH665" s="118">
        <f t="shared" si="203"/>
        <v>0</v>
      </c>
      <c r="AI665" s="118">
        <f t="shared" si="203"/>
        <v>1978.6</v>
      </c>
      <c r="AJ665" s="118">
        <f t="shared" si="203"/>
        <v>1712.4999999999998</v>
      </c>
      <c r="AK665" s="118">
        <f t="shared" si="203"/>
        <v>0</v>
      </c>
      <c r="AL665" s="118">
        <f t="shared" si="203"/>
        <v>0</v>
      </c>
      <c r="AM665" s="118">
        <f t="shared" si="203"/>
        <v>0</v>
      </c>
      <c r="AN665" s="118">
        <f t="shared" si="203"/>
        <v>0</v>
      </c>
      <c r="AO665" s="118">
        <f>AO666+AO667+AO668+AO669+AO670+AO671+AO680++AO681+AO682+AO683+AO684+AO673+AO672+AO676+AO679+AO677+AO678+AO674+AO675</f>
        <v>2327.6000000000004</v>
      </c>
      <c r="AP665" s="118">
        <f t="shared" ref="AP665:BH665" si="204">AP666+AP667+AP668+AP669+AP670+AP671+AP680++AP681+AP682+AP683+AP684+AP673+AP672+AP676+AP679+AP677+AP678+AP674+AP675</f>
        <v>0</v>
      </c>
      <c r="AQ665" s="118">
        <f t="shared" si="204"/>
        <v>2327.6000000000004</v>
      </c>
      <c r="AR665" s="118">
        <f t="shared" si="204"/>
        <v>0</v>
      </c>
      <c r="AS665" s="118">
        <f t="shared" si="204"/>
        <v>0</v>
      </c>
      <c r="AT665" s="118">
        <f t="shared" si="204"/>
        <v>2012.5000000000002</v>
      </c>
      <c r="AU665" s="118">
        <f t="shared" si="204"/>
        <v>0</v>
      </c>
      <c r="AV665" s="118">
        <f t="shared" si="204"/>
        <v>2012.5000000000002</v>
      </c>
      <c r="AW665" s="118">
        <f t="shared" si="204"/>
        <v>0</v>
      </c>
      <c r="AX665" s="118">
        <f t="shared" si="204"/>
        <v>0</v>
      </c>
      <c r="AY665" s="118">
        <f t="shared" si="204"/>
        <v>2012.5000000000002</v>
      </c>
      <c r="AZ665" s="118">
        <f t="shared" si="204"/>
        <v>0</v>
      </c>
      <c r="BA665" s="118">
        <f t="shared" si="204"/>
        <v>2012.5000000000002</v>
      </c>
      <c r="BB665" s="118">
        <f t="shared" si="204"/>
        <v>0</v>
      </c>
      <c r="BC665" s="118">
        <f t="shared" si="204"/>
        <v>0</v>
      </c>
      <c r="BD665" s="118">
        <f t="shared" si="204"/>
        <v>2012.5000000000002</v>
      </c>
      <c r="BE665" s="118">
        <f t="shared" si="204"/>
        <v>0</v>
      </c>
      <c r="BF665" s="118">
        <f t="shared" si="204"/>
        <v>2012.5000000000002</v>
      </c>
      <c r="BG665" s="118">
        <f t="shared" si="204"/>
        <v>0</v>
      </c>
      <c r="BH665" s="118">
        <f t="shared" si="204"/>
        <v>0</v>
      </c>
    </row>
    <row r="666" spans="1:60" ht="35.65" customHeight="1" thickBot="1">
      <c r="A666" s="27" t="s">
        <v>57</v>
      </c>
      <c r="B666" s="86"/>
      <c r="C666" s="25"/>
      <c r="D666" s="26"/>
      <c r="E666" s="26"/>
      <c r="F666" s="26"/>
      <c r="G666" s="26"/>
      <c r="H666" s="26"/>
      <c r="I666" s="26"/>
      <c r="J666" s="52" t="s">
        <v>465</v>
      </c>
      <c r="K666" s="26"/>
      <c r="L666" s="26"/>
      <c r="M666" s="26"/>
      <c r="N666" s="26"/>
      <c r="O666" s="26"/>
      <c r="P666" s="26"/>
      <c r="Q666" s="26"/>
      <c r="R666" s="26"/>
      <c r="S666" s="26"/>
      <c r="T666" s="26"/>
      <c r="U666" s="26"/>
      <c r="V666" s="26"/>
      <c r="W666" s="262" t="s">
        <v>466</v>
      </c>
      <c r="X666" s="26"/>
      <c r="Y666" s="26"/>
      <c r="Z666" s="26"/>
      <c r="AA666" s="26"/>
      <c r="AB666" s="26"/>
      <c r="AC666" s="26"/>
      <c r="AD666" s="52" t="s">
        <v>1106</v>
      </c>
      <c r="AE666" s="26">
        <f t="shared" ref="AE666:AE672" si="205">AG666+AI666+RM666+RN666</f>
        <v>12.899999999999999</v>
      </c>
      <c r="AF666" s="26">
        <f>AH666+AJ666</f>
        <v>12.9</v>
      </c>
      <c r="AG666" s="26"/>
      <c r="AH666" s="26"/>
      <c r="AI666" s="26">
        <f>11.2+1.1+0.6</f>
        <v>12.899999999999999</v>
      </c>
      <c r="AJ666" s="26">
        <v>12.9</v>
      </c>
      <c r="AK666" s="26"/>
      <c r="AL666" s="26"/>
      <c r="AM666" s="26"/>
      <c r="AN666" s="26"/>
      <c r="AO666" s="26">
        <f>AP666+AQ666+AR666+AS666</f>
        <v>13.8</v>
      </c>
      <c r="AP666" s="26"/>
      <c r="AQ666" s="26">
        <f>13.4+0.4</f>
        <v>13.8</v>
      </c>
      <c r="AR666" s="26"/>
      <c r="AS666" s="26"/>
      <c r="AT666" s="26">
        <f>AU666+AV666+AW666+AX666</f>
        <v>13.4</v>
      </c>
      <c r="AU666" s="26"/>
      <c r="AV666" s="26">
        <v>13.4</v>
      </c>
      <c r="AW666" s="26"/>
      <c r="AX666" s="26"/>
      <c r="AY666" s="26">
        <f>AZ666+BA666+BB666+BC666</f>
        <v>13.4</v>
      </c>
      <c r="AZ666" s="26"/>
      <c r="BA666" s="26">
        <v>13.4</v>
      </c>
      <c r="BB666" s="26"/>
      <c r="BC666" s="26"/>
      <c r="BD666" s="26">
        <f>BE666+BF666+BG666+BH666</f>
        <v>13.4</v>
      </c>
      <c r="BE666" s="26"/>
      <c r="BF666" s="26">
        <v>13.4</v>
      </c>
      <c r="BG666" s="26"/>
      <c r="BH666" s="26"/>
    </row>
    <row r="667" spans="1:60" ht="35.65" customHeight="1" thickBot="1">
      <c r="A667" s="27" t="s">
        <v>57</v>
      </c>
      <c r="B667" s="86"/>
      <c r="C667" s="25"/>
      <c r="D667" s="26"/>
      <c r="E667" s="26"/>
      <c r="F667" s="26"/>
      <c r="G667" s="26"/>
      <c r="H667" s="26"/>
      <c r="I667" s="26"/>
      <c r="J667" s="52"/>
      <c r="K667" s="26"/>
      <c r="L667" s="26"/>
      <c r="M667" s="26"/>
      <c r="N667" s="26"/>
      <c r="O667" s="26"/>
      <c r="P667" s="26"/>
      <c r="Q667" s="26"/>
      <c r="R667" s="26"/>
      <c r="S667" s="26"/>
      <c r="T667" s="26"/>
      <c r="U667" s="26"/>
      <c r="V667" s="26"/>
      <c r="W667" s="158"/>
      <c r="X667" s="26"/>
      <c r="Y667" s="26"/>
      <c r="Z667" s="26"/>
      <c r="AA667" s="26"/>
      <c r="AB667" s="26"/>
      <c r="AC667" s="26"/>
      <c r="AD667" s="52" t="s">
        <v>1107</v>
      </c>
      <c r="AE667" s="26">
        <f t="shared" si="205"/>
        <v>2.2000000000000002</v>
      </c>
      <c r="AF667" s="26">
        <f t="shared" ref="AF667:AF684" si="206">AH667+AJ667</f>
        <v>2.2000000000000002</v>
      </c>
      <c r="AG667" s="26"/>
      <c r="AH667" s="26"/>
      <c r="AI667" s="26">
        <v>2.2000000000000002</v>
      </c>
      <c r="AJ667" s="26">
        <v>2.2000000000000002</v>
      </c>
      <c r="AK667" s="26"/>
      <c r="AL667" s="26"/>
      <c r="AM667" s="26"/>
      <c r="AN667" s="26"/>
      <c r="AO667" s="26">
        <f t="shared" ref="AO667:AO684" si="207">AP667+AQ667+AR667+AS667</f>
        <v>2.2999999999999998</v>
      </c>
      <c r="AP667" s="26"/>
      <c r="AQ667" s="26">
        <v>2.2999999999999998</v>
      </c>
      <c r="AR667" s="26"/>
      <c r="AS667" s="26"/>
      <c r="AT667" s="26">
        <f t="shared" ref="AT667:AT672" si="208">AU667+AV667+AW667+AX667</f>
        <v>2.2999999999999998</v>
      </c>
      <c r="AU667" s="26"/>
      <c r="AV667" s="26">
        <v>2.2999999999999998</v>
      </c>
      <c r="AW667" s="26"/>
      <c r="AX667" s="26"/>
      <c r="AY667" s="26">
        <f t="shared" ref="AY667:AY684" si="209">AZ667+BA667+BB667+BC667</f>
        <v>2.2999999999999998</v>
      </c>
      <c r="AZ667" s="26"/>
      <c r="BA667" s="26">
        <v>2.2999999999999998</v>
      </c>
      <c r="BB667" s="26"/>
      <c r="BC667" s="26"/>
      <c r="BD667" s="26">
        <f t="shared" ref="BD667:BD672" si="210">BE667+BF667+BG667+BH667</f>
        <v>2.2999999999999998</v>
      </c>
      <c r="BE667" s="26"/>
      <c r="BF667" s="26">
        <v>2.2999999999999998</v>
      </c>
      <c r="BG667" s="26"/>
      <c r="BH667" s="26"/>
    </row>
    <row r="668" spans="1:60" ht="35.65" customHeight="1" thickBot="1">
      <c r="A668" s="27" t="s">
        <v>57</v>
      </c>
      <c r="B668" s="86"/>
      <c r="C668" s="25"/>
      <c r="D668" s="26"/>
      <c r="E668" s="26"/>
      <c r="F668" s="26"/>
      <c r="G668" s="26"/>
      <c r="H668" s="26"/>
      <c r="I668" s="26"/>
      <c r="J668" s="52" t="s">
        <v>467</v>
      </c>
      <c r="K668" s="26"/>
      <c r="L668" s="26"/>
      <c r="M668" s="26"/>
      <c r="N668" s="26"/>
      <c r="O668" s="26"/>
      <c r="P668" s="26"/>
      <c r="Q668" s="26"/>
      <c r="R668" s="26"/>
      <c r="S668" s="26"/>
      <c r="T668" s="26"/>
      <c r="U668" s="26"/>
      <c r="V668" s="26"/>
      <c r="W668" s="195" t="s">
        <v>468</v>
      </c>
      <c r="X668" s="26"/>
      <c r="Y668" s="26"/>
      <c r="Z668" s="26"/>
      <c r="AA668" s="26"/>
      <c r="AB668" s="26"/>
      <c r="AC668" s="26"/>
      <c r="AD668" s="52" t="s">
        <v>1108</v>
      </c>
      <c r="AE668" s="26">
        <f t="shared" si="205"/>
        <v>183.79999999999998</v>
      </c>
      <c r="AF668" s="26">
        <f t="shared" si="206"/>
        <v>165.6</v>
      </c>
      <c r="AG668" s="26"/>
      <c r="AH668" s="26"/>
      <c r="AI668" s="26">
        <f>160.2+16+7.6</f>
        <v>183.79999999999998</v>
      </c>
      <c r="AJ668" s="26">
        <v>165.6</v>
      </c>
      <c r="AK668" s="26"/>
      <c r="AL668" s="26"/>
      <c r="AM668" s="26"/>
      <c r="AN668" s="26"/>
      <c r="AO668" s="26">
        <f t="shared" si="207"/>
        <v>197.3</v>
      </c>
      <c r="AP668" s="26"/>
      <c r="AQ668" s="26">
        <f>191.3+6</f>
        <v>197.3</v>
      </c>
      <c r="AR668" s="26"/>
      <c r="AS668" s="26"/>
      <c r="AT668" s="26">
        <f t="shared" si="208"/>
        <v>191.3</v>
      </c>
      <c r="AU668" s="26"/>
      <c r="AV668" s="26">
        <v>191.3</v>
      </c>
      <c r="AW668" s="26"/>
      <c r="AX668" s="26"/>
      <c r="AY668" s="26">
        <f t="shared" si="209"/>
        <v>191.3</v>
      </c>
      <c r="AZ668" s="26"/>
      <c r="BA668" s="26">
        <v>191.3</v>
      </c>
      <c r="BB668" s="26"/>
      <c r="BC668" s="26"/>
      <c r="BD668" s="26">
        <f t="shared" si="210"/>
        <v>191.3</v>
      </c>
      <c r="BE668" s="26"/>
      <c r="BF668" s="26">
        <v>191.3</v>
      </c>
      <c r="BG668" s="26"/>
      <c r="BH668" s="26"/>
    </row>
    <row r="669" spans="1:60" ht="35.65" customHeight="1" thickBot="1">
      <c r="A669" s="27" t="s">
        <v>57</v>
      </c>
      <c r="B669" s="86"/>
      <c r="C669" s="25"/>
      <c r="D669" s="26"/>
      <c r="E669" s="26"/>
      <c r="F669" s="26"/>
      <c r="G669" s="26"/>
      <c r="H669" s="26"/>
      <c r="I669" s="26"/>
      <c r="J669" s="52" t="s">
        <v>467</v>
      </c>
      <c r="K669" s="26"/>
      <c r="L669" s="26"/>
      <c r="M669" s="26"/>
      <c r="N669" s="26"/>
      <c r="O669" s="26"/>
      <c r="P669" s="26"/>
      <c r="Q669" s="26"/>
      <c r="R669" s="26"/>
      <c r="S669" s="26"/>
      <c r="T669" s="26"/>
      <c r="U669" s="26"/>
      <c r="V669" s="26"/>
      <c r="W669" s="195" t="s">
        <v>468</v>
      </c>
      <c r="X669" s="26"/>
      <c r="Y669" s="26"/>
      <c r="Z669" s="26"/>
      <c r="AA669" s="26"/>
      <c r="AB669" s="26"/>
      <c r="AC669" s="26"/>
      <c r="AD669" s="52" t="s">
        <v>1109</v>
      </c>
      <c r="AE669" s="26">
        <f t="shared" si="205"/>
        <v>46.2</v>
      </c>
      <c r="AF669" s="26">
        <f t="shared" si="206"/>
        <v>45.4</v>
      </c>
      <c r="AG669" s="26"/>
      <c r="AH669" s="26"/>
      <c r="AI669" s="26">
        <v>46.2</v>
      </c>
      <c r="AJ669" s="26">
        <v>45.4</v>
      </c>
      <c r="AK669" s="26"/>
      <c r="AL669" s="26"/>
      <c r="AM669" s="26"/>
      <c r="AN669" s="26"/>
      <c r="AO669" s="26">
        <f t="shared" si="207"/>
        <v>48.7</v>
      </c>
      <c r="AP669" s="26"/>
      <c r="AQ669" s="26">
        <v>48.7</v>
      </c>
      <c r="AR669" s="26"/>
      <c r="AS669" s="26"/>
      <c r="AT669" s="26">
        <f t="shared" si="208"/>
        <v>48.7</v>
      </c>
      <c r="AU669" s="26"/>
      <c r="AV669" s="26">
        <v>48.7</v>
      </c>
      <c r="AW669" s="26"/>
      <c r="AX669" s="26"/>
      <c r="AY669" s="26">
        <f t="shared" si="209"/>
        <v>48.7</v>
      </c>
      <c r="AZ669" s="26"/>
      <c r="BA669" s="26">
        <v>48.7</v>
      </c>
      <c r="BB669" s="26"/>
      <c r="BC669" s="26"/>
      <c r="BD669" s="26">
        <f t="shared" si="210"/>
        <v>48.7</v>
      </c>
      <c r="BE669" s="26"/>
      <c r="BF669" s="26">
        <v>48.7</v>
      </c>
      <c r="BG669" s="26"/>
      <c r="BH669" s="26"/>
    </row>
    <row r="670" spans="1:60" ht="35.65" customHeight="1" thickBot="1">
      <c r="A670" s="27" t="s">
        <v>57</v>
      </c>
      <c r="B670" s="86"/>
      <c r="C670" s="25"/>
      <c r="D670" s="26"/>
      <c r="E670" s="26"/>
      <c r="F670" s="26"/>
      <c r="G670" s="26"/>
      <c r="H670" s="26"/>
      <c r="I670" s="26"/>
      <c r="J670" s="52" t="s">
        <v>469</v>
      </c>
      <c r="K670" s="26"/>
      <c r="L670" s="26"/>
      <c r="M670" s="26"/>
      <c r="N670" s="26"/>
      <c r="O670" s="26"/>
      <c r="P670" s="26"/>
      <c r="Q670" s="26"/>
      <c r="R670" s="26"/>
      <c r="S670" s="26"/>
      <c r="T670" s="26"/>
      <c r="U670" s="26"/>
      <c r="V670" s="26"/>
      <c r="W670" s="52" t="s">
        <v>470</v>
      </c>
      <c r="X670" s="26"/>
      <c r="Y670" s="26"/>
      <c r="Z670" s="26"/>
      <c r="AA670" s="26"/>
      <c r="AB670" s="26"/>
      <c r="AC670" s="26"/>
      <c r="AD670" s="195" t="s">
        <v>1110</v>
      </c>
      <c r="AE670" s="26">
        <f t="shared" si="205"/>
        <v>183.79999999999998</v>
      </c>
      <c r="AF670" s="26">
        <f t="shared" si="206"/>
        <v>176.4</v>
      </c>
      <c r="AG670" s="26"/>
      <c r="AH670" s="26"/>
      <c r="AI670" s="26">
        <f>160.2+16+7.6</f>
        <v>183.79999999999998</v>
      </c>
      <c r="AJ670" s="26">
        <v>176.4</v>
      </c>
      <c r="AK670" s="26"/>
      <c r="AL670" s="26"/>
      <c r="AM670" s="26"/>
      <c r="AN670" s="26"/>
      <c r="AO670" s="26">
        <f t="shared" si="207"/>
        <v>197.4</v>
      </c>
      <c r="AP670" s="26"/>
      <c r="AQ670" s="26">
        <f>191.4+6</f>
        <v>197.4</v>
      </c>
      <c r="AR670" s="26"/>
      <c r="AS670" s="26"/>
      <c r="AT670" s="26">
        <f t="shared" si="208"/>
        <v>191.4</v>
      </c>
      <c r="AU670" s="26"/>
      <c r="AV670" s="26">
        <v>191.4</v>
      </c>
      <c r="AW670" s="26"/>
      <c r="AX670" s="26"/>
      <c r="AY670" s="26">
        <f t="shared" si="209"/>
        <v>191.4</v>
      </c>
      <c r="AZ670" s="26"/>
      <c r="BA670" s="26">
        <v>191.4</v>
      </c>
      <c r="BB670" s="26"/>
      <c r="BC670" s="26"/>
      <c r="BD670" s="26">
        <f t="shared" si="210"/>
        <v>191.4</v>
      </c>
      <c r="BE670" s="26"/>
      <c r="BF670" s="26">
        <v>191.4</v>
      </c>
      <c r="BG670" s="26"/>
      <c r="BH670" s="26"/>
    </row>
    <row r="671" spans="1:60" ht="35.65" customHeight="1" thickBot="1">
      <c r="A671" s="27" t="s">
        <v>57</v>
      </c>
      <c r="B671" s="86"/>
      <c r="C671" s="25"/>
      <c r="D671" s="26"/>
      <c r="E671" s="26"/>
      <c r="F671" s="26"/>
      <c r="G671" s="26"/>
      <c r="H671" s="26"/>
      <c r="I671" s="26"/>
      <c r="J671" s="52" t="s">
        <v>469</v>
      </c>
      <c r="K671" s="26"/>
      <c r="L671" s="26"/>
      <c r="M671" s="26"/>
      <c r="N671" s="26"/>
      <c r="O671" s="26"/>
      <c r="P671" s="26"/>
      <c r="Q671" s="26"/>
      <c r="R671" s="26"/>
      <c r="S671" s="26"/>
      <c r="T671" s="26"/>
      <c r="U671" s="26"/>
      <c r="V671" s="26"/>
      <c r="W671" s="52" t="s">
        <v>470</v>
      </c>
      <c r="X671" s="26"/>
      <c r="Y671" s="26"/>
      <c r="Z671" s="26"/>
      <c r="AA671" s="26"/>
      <c r="AB671" s="26"/>
      <c r="AC671" s="26"/>
      <c r="AD671" s="195" t="s">
        <v>1111</v>
      </c>
      <c r="AE671" s="26">
        <f t="shared" si="205"/>
        <v>61.3</v>
      </c>
      <c r="AF671" s="26">
        <f t="shared" si="206"/>
        <v>61.3</v>
      </c>
      <c r="AG671" s="26"/>
      <c r="AH671" s="26"/>
      <c r="AI671" s="26">
        <v>61.3</v>
      </c>
      <c r="AJ671" s="26">
        <v>61.3</v>
      </c>
      <c r="AK671" s="26"/>
      <c r="AL671" s="26"/>
      <c r="AM671" s="26"/>
      <c r="AN671" s="26"/>
      <c r="AO671" s="26">
        <f t="shared" si="207"/>
        <v>64.599999999999994</v>
      </c>
      <c r="AP671" s="26"/>
      <c r="AQ671" s="26">
        <f>64.6</f>
        <v>64.599999999999994</v>
      </c>
      <c r="AR671" s="26"/>
      <c r="AS671" s="26"/>
      <c r="AT671" s="26">
        <f t="shared" si="208"/>
        <v>64.599999999999994</v>
      </c>
      <c r="AU671" s="26"/>
      <c r="AV671" s="26">
        <v>64.599999999999994</v>
      </c>
      <c r="AW671" s="26"/>
      <c r="AX671" s="26"/>
      <c r="AY671" s="26">
        <f t="shared" si="209"/>
        <v>64.599999999999994</v>
      </c>
      <c r="AZ671" s="26"/>
      <c r="BA671" s="26">
        <v>64.599999999999994</v>
      </c>
      <c r="BB671" s="26"/>
      <c r="BC671" s="26"/>
      <c r="BD671" s="26">
        <f t="shared" si="210"/>
        <v>64.599999999999994</v>
      </c>
      <c r="BE671" s="26"/>
      <c r="BF671" s="26">
        <v>64.599999999999994</v>
      </c>
      <c r="BG671" s="26"/>
      <c r="BH671" s="26"/>
    </row>
    <row r="672" spans="1:60" ht="35.65" customHeight="1" thickBot="1">
      <c r="A672" s="27" t="s">
        <v>57</v>
      </c>
      <c r="B672" s="263"/>
      <c r="C672" s="25"/>
      <c r="D672" s="26"/>
      <c r="E672" s="26"/>
      <c r="F672" s="26"/>
      <c r="G672" s="26"/>
      <c r="H672" s="26"/>
      <c r="I672" s="26"/>
      <c r="J672" s="52"/>
      <c r="K672" s="26"/>
      <c r="L672" s="26"/>
      <c r="M672" s="26"/>
      <c r="N672" s="26"/>
      <c r="O672" s="26"/>
      <c r="P672" s="26"/>
      <c r="Q672" s="26"/>
      <c r="R672" s="26"/>
      <c r="S672" s="26"/>
      <c r="T672" s="26"/>
      <c r="U672" s="26"/>
      <c r="V672" s="26"/>
      <c r="W672" s="52"/>
      <c r="X672" s="26"/>
      <c r="Y672" s="26"/>
      <c r="Z672" s="26"/>
      <c r="AA672" s="26"/>
      <c r="AB672" s="26"/>
      <c r="AC672" s="26"/>
      <c r="AD672" s="195" t="s">
        <v>1112</v>
      </c>
      <c r="AE672" s="26">
        <f t="shared" si="205"/>
        <v>183.79999999999998</v>
      </c>
      <c r="AF672" s="26">
        <f t="shared" si="206"/>
        <v>119.1</v>
      </c>
      <c r="AG672" s="26"/>
      <c r="AH672" s="26"/>
      <c r="AI672" s="26">
        <f>160.2+16+7.6</f>
        <v>183.79999999999998</v>
      </c>
      <c r="AJ672" s="26">
        <v>119.1</v>
      </c>
      <c r="AK672" s="26"/>
      <c r="AL672" s="26"/>
      <c r="AM672" s="26"/>
      <c r="AN672" s="26"/>
      <c r="AO672" s="26">
        <f t="shared" si="207"/>
        <v>197.4</v>
      </c>
      <c r="AP672" s="26"/>
      <c r="AQ672" s="26">
        <f>191.4+6</f>
        <v>197.4</v>
      </c>
      <c r="AR672" s="26"/>
      <c r="AS672" s="26"/>
      <c r="AT672" s="26">
        <f t="shared" si="208"/>
        <v>191.4</v>
      </c>
      <c r="AU672" s="26"/>
      <c r="AV672" s="26">
        <v>191.4</v>
      </c>
      <c r="AW672" s="26"/>
      <c r="AX672" s="26"/>
      <c r="AY672" s="26">
        <f t="shared" si="209"/>
        <v>191.4</v>
      </c>
      <c r="AZ672" s="26"/>
      <c r="BA672" s="26">
        <v>191.4</v>
      </c>
      <c r="BB672" s="26"/>
      <c r="BC672" s="26"/>
      <c r="BD672" s="26">
        <f t="shared" si="210"/>
        <v>191.4</v>
      </c>
      <c r="BE672" s="26"/>
      <c r="BF672" s="26">
        <v>191.4</v>
      </c>
      <c r="BG672" s="26"/>
      <c r="BH672" s="26"/>
    </row>
    <row r="673" spans="1:60" ht="35.65" customHeight="1" thickBot="1">
      <c r="A673" s="27" t="s">
        <v>100</v>
      </c>
      <c r="B673" s="35"/>
      <c r="C673" s="43"/>
      <c r="D673" s="43"/>
      <c r="E673" s="43"/>
      <c r="F673" s="43"/>
      <c r="G673" s="43"/>
      <c r="H673" s="43"/>
      <c r="I673" s="43"/>
      <c r="J673" s="264"/>
      <c r="K673" s="43"/>
      <c r="L673" s="43"/>
      <c r="M673" s="43"/>
      <c r="N673" s="43"/>
      <c r="O673" s="43"/>
      <c r="P673" s="43"/>
      <c r="Q673" s="43"/>
      <c r="R673" s="43"/>
      <c r="S673" s="43"/>
      <c r="T673" s="43"/>
      <c r="U673" s="43"/>
      <c r="V673" s="43"/>
      <c r="W673" s="43"/>
      <c r="X673" s="20"/>
      <c r="Y673" s="43"/>
      <c r="Z673" s="43"/>
      <c r="AA673" s="20"/>
      <c r="AB673" s="43"/>
      <c r="AC673" s="26"/>
      <c r="AD673" s="195" t="s">
        <v>1113</v>
      </c>
      <c r="AE673" s="26">
        <f>AI673</f>
        <v>66.3</v>
      </c>
      <c r="AF673" s="26">
        <f t="shared" si="206"/>
        <v>58</v>
      </c>
      <c r="AG673" s="26"/>
      <c r="AH673" s="26"/>
      <c r="AI673" s="26">
        <v>66.3</v>
      </c>
      <c r="AJ673" s="26">
        <v>58</v>
      </c>
      <c r="AK673" s="26"/>
      <c r="AL673" s="26"/>
      <c r="AM673" s="26"/>
      <c r="AN673" s="26"/>
      <c r="AO673" s="26">
        <f>AQ673</f>
        <v>69.900000000000006</v>
      </c>
      <c r="AP673" s="26"/>
      <c r="AQ673" s="26">
        <v>69.900000000000006</v>
      </c>
      <c r="AR673" s="26"/>
      <c r="AS673" s="26"/>
      <c r="AT673" s="26">
        <f>AV673</f>
        <v>69.900000000000006</v>
      </c>
      <c r="AU673" s="26"/>
      <c r="AV673" s="26">
        <v>69.900000000000006</v>
      </c>
      <c r="AW673" s="26"/>
      <c r="AX673" s="26"/>
      <c r="AY673" s="26">
        <f>BA673</f>
        <v>69.900000000000006</v>
      </c>
      <c r="AZ673" s="26"/>
      <c r="BA673" s="26">
        <v>69.900000000000006</v>
      </c>
      <c r="BB673" s="26"/>
      <c r="BC673" s="26"/>
      <c r="BD673" s="26">
        <f>BF673</f>
        <v>69.900000000000006</v>
      </c>
      <c r="BE673" s="26"/>
      <c r="BF673" s="26">
        <v>69.900000000000006</v>
      </c>
      <c r="BG673" s="26"/>
      <c r="BH673" s="26"/>
    </row>
    <row r="674" spans="1:60" ht="35.65" customHeight="1">
      <c r="A674" s="61" t="s">
        <v>57</v>
      </c>
      <c r="B674" s="97"/>
      <c r="C674" s="25"/>
      <c r="D674" s="26"/>
      <c r="E674" s="26"/>
      <c r="F674" s="26"/>
      <c r="G674" s="26"/>
      <c r="H674" s="26"/>
      <c r="I674" s="26"/>
      <c r="J674" s="52"/>
      <c r="K674" s="52"/>
      <c r="L674" s="52"/>
      <c r="M674" s="52"/>
      <c r="N674" s="52"/>
      <c r="O674" s="52"/>
      <c r="P674" s="52"/>
      <c r="Q674" s="52"/>
      <c r="R674" s="52"/>
      <c r="S674" s="52"/>
      <c r="T674" s="52"/>
      <c r="U674" s="52"/>
      <c r="V674" s="52"/>
      <c r="W674" s="52"/>
      <c r="X674" s="26"/>
      <c r="Y674" s="26"/>
      <c r="Z674" s="26"/>
      <c r="AA674" s="26"/>
      <c r="AB674" s="26"/>
      <c r="AC674" s="26"/>
      <c r="AD674" s="195" t="s">
        <v>1114</v>
      </c>
      <c r="AE674" s="26">
        <f>AG674+AI674+RM674+RN674</f>
        <v>116.3</v>
      </c>
      <c r="AF674" s="26">
        <f>AH674+AJ674</f>
        <v>116.3</v>
      </c>
      <c r="AG674" s="26"/>
      <c r="AH674" s="26"/>
      <c r="AI674" s="26">
        <v>116.3</v>
      </c>
      <c r="AJ674" s="26">
        <v>116.3</v>
      </c>
      <c r="AK674" s="26"/>
      <c r="AL674" s="26"/>
      <c r="AM674" s="26"/>
      <c r="AN674" s="26"/>
      <c r="AO674" s="26">
        <f t="shared" ref="AO674:AO675" si="211">AP674+AQ674+AR674+AS674</f>
        <v>88.3</v>
      </c>
      <c r="AP674" s="26"/>
      <c r="AQ674" s="26">
        <f>85.1+3.2</f>
        <v>88.3</v>
      </c>
      <c r="AR674" s="26"/>
      <c r="AS674" s="26"/>
      <c r="AT674" s="26">
        <f t="shared" ref="AT674:AT675" si="212">AU674+AV674+AW674+AX674</f>
        <v>85.1</v>
      </c>
      <c r="AU674" s="26"/>
      <c r="AV674" s="26">
        <v>85.1</v>
      </c>
      <c r="AW674" s="26"/>
      <c r="AX674" s="26"/>
      <c r="AY674" s="26">
        <f t="shared" ref="AY674:AY675" si="213">AZ674+BA674+BB674+BC674</f>
        <v>85.1</v>
      </c>
      <c r="AZ674" s="26"/>
      <c r="BA674" s="26">
        <v>85.1</v>
      </c>
      <c r="BB674" s="26"/>
      <c r="BC674" s="26"/>
      <c r="BD674" s="26">
        <f t="shared" ref="BD674:BD675" si="214">BE674+BF674+BG674+BH674</f>
        <v>85.1</v>
      </c>
      <c r="BE674" s="26"/>
      <c r="BF674" s="26">
        <v>85.1</v>
      </c>
      <c r="BG674" s="26"/>
      <c r="BH674" s="26"/>
    </row>
    <row r="675" spans="1:60" ht="35.65" customHeight="1">
      <c r="A675" s="61" t="s">
        <v>57</v>
      </c>
      <c r="B675" s="97"/>
      <c r="C675" s="25"/>
      <c r="D675" s="26"/>
      <c r="E675" s="26"/>
      <c r="F675" s="26"/>
      <c r="G675" s="26"/>
      <c r="H675" s="26"/>
      <c r="I675" s="26"/>
      <c r="J675" s="52"/>
      <c r="K675" s="52"/>
      <c r="L675" s="52"/>
      <c r="M675" s="52"/>
      <c r="N675" s="52"/>
      <c r="O675" s="52"/>
      <c r="P675" s="52"/>
      <c r="Q675" s="52"/>
      <c r="R675" s="52"/>
      <c r="S675" s="52"/>
      <c r="T675" s="52"/>
      <c r="U675" s="52"/>
      <c r="V675" s="52"/>
      <c r="W675" s="52"/>
      <c r="X675" s="26"/>
      <c r="Y675" s="26"/>
      <c r="Z675" s="26"/>
      <c r="AA675" s="26"/>
      <c r="AB675" s="26"/>
      <c r="AC675" s="26"/>
      <c r="AD675" s="195" t="s">
        <v>1115</v>
      </c>
      <c r="AE675" s="26">
        <f>AG675+AI675+RM675+RN675</f>
        <v>27.7</v>
      </c>
      <c r="AF675" s="26">
        <f>AH675+AJ675</f>
        <v>27.7</v>
      </c>
      <c r="AG675" s="26"/>
      <c r="AH675" s="26"/>
      <c r="AI675" s="26">
        <v>27.7</v>
      </c>
      <c r="AJ675" s="26">
        <v>27.7</v>
      </c>
      <c r="AK675" s="26"/>
      <c r="AL675" s="26"/>
      <c r="AM675" s="26"/>
      <c r="AN675" s="26"/>
      <c r="AO675" s="26">
        <f t="shared" si="211"/>
        <v>92.5</v>
      </c>
      <c r="AP675" s="26"/>
      <c r="AQ675" s="26">
        <v>92.5</v>
      </c>
      <c r="AR675" s="26"/>
      <c r="AS675" s="26"/>
      <c r="AT675" s="26">
        <f t="shared" si="212"/>
        <v>0</v>
      </c>
      <c r="AU675" s="26"/>
      <c r="AV675" s="26">
        <v>0</v>
      </c>
      <c r="AW675" s="26"/>
      <c r="AX675" s="26"/>
      <c r="AY675" s="26">
        <f t="shared" si="213"/>
        <v>0</v>
      </c>
      <c r="AZ675" s="26"/>
      <c r="BA675" s="26">
        <v>0</v>
      </c>
      <c r="BB675" s="26"/>
      <c r="BC675" s="26"/>
      <c r="BD675" s="26">
        <f t="shared" si="214"/>
        <v>0</v>
      </c>
      <c r="BE675" s="26"/>
      <c r="BF675" s="26">
        <v>0</v>
      </c>
      <c r="BG675" s="26"/>
      <c r="BH675" s="26"/>
    </row>
    <row r="676" spans="1:60" ht="35.65" customHeight="1" thickBot="1">
      <c r="A676" s="27" t="s">
        <v>100</v>
      </c>
      <c r="B676" s="62"/>
      <c r="C676" s="43"/>
      <c r="D676" s="43"/>
      <c r="E676" s="43"/>
      <c r="F676" s="43"/>
      <c r="G676" s="43"/>
      <c r="H676" s="43"/>
      <c r="I676" s="43"/>
      <c r="J676" s="264"/>
      <c r="K676" s="43"/>
      <c r="L676" s="43"/>
      <c r="M676" s="43"/>
      <c r="N676" s="43"/>
      <c r="O676" s="43"/>
      <c r="P676" s="43"/>
      <c r="Q676" s="43"/>
      <c r="R676" s="43"/>
      <c r="S676" s="43"/>
      <c r="T676" s="43"/>
      <c r="U676" s="43"/>
      <c r="V676" s="43"/>
      <c r="W676" s="43"/>
      <c r="X676" s="20"/>
      <c r="Y676" s="43"/>
      <c r="Z676" s="43"/>
      <c r="AA676" s="20"/>
      <c r="AB676" s="43"/>
      <c r="AC676" s="26"/>
      <c r="AD676" s="195" t="s">
        <v>1116</v>
      </c>
      <c r="AE676" s="26">
        <f>AI676</f>
        <v>10.299999999999997</v>
      </c>
      <c r="AF676" s="26">
        <f t="shared" si="206"/>
        <v>10.3</v>
      </c>
      <c r="AG676" s="26"/>
      <c r="AH676" s="26"/>
      <c r="AI676" s="26">
        <f>29.8+3+1.4-23.9</f>
        <v>10.299999999999997</v>
      </c>
      <c r="AJ676" s="26">
        <v>10.3</v>
      </c>
      <c r="AK676" s="26"/>
      <c r="AL676" s="26"/>
      <c r="AM676" s="26"/>
      <c r="AN676" s="26"/>
      <c r="AO676" s="26">
        <f>AQ676</f>
        <v>13.6</v>
      </c>
      <c r="AP676" s="26"/>
      <c r="AQ676" s="26">
        <f>43.9-30.7+0.4</f>
        <v>13.6</v>
      </c>
      <c r="AR676" s="26"/>
      <c r="AS676" s="26"/>
      <c r="AT676" s="26">
        <f>AV676</f>
        <v>43.9</v>
      </c>
      <c r="AU676" s="26"/>
      <c r="AV676" s="26">
        <v>43.9</v>
      </c>
      <c r="AW676" s="26"/>
      <c r="AX676" s="26"/>
      <c r="AY676" s="26">
        <f>BA676</f>
        <v>43.9</v>
      </c>
      <c r="AZ676" s="26"/>
      <c r="BA676" s="26">
        <v>43.9</v>
      </c>
      <c r="BB676" s="26"/>
      <c r="BC676" s="26"/>
      <c r="BD676" s="26">
        <f>BF676</f>
        <v>43.9</v>
      </c>
      <c r="BE676" s="26"/>
      <c r="BF676" s="26">
        <v>43.9</v>
      </c>
      <c r="BG676" s="26"/>
      <c r="BH676" s="26"/>
    </row>
    <row r="677" spans="1:60" ht="35.65" customHeight="1" thickBot="1">
      <c r="A677" s="27" t="s">
        <v>387</v>
      </c>
      <c r="B677" s="62"/>
      <c r="C677" s="43"/>
      <c r="D677" s="43"/>
      <c r="E677" s="43"/>
      <c r="F677" s="43"/>
      <c r="G677" s="43"/>
      <c r="H677" s="43"/>
      <c r="I677" s="43"/>
      <c r="J677" s="264"/>
      <c r="K677" s="43"/>
      <c r="L677" s="43"/>
      <c r="M677" s="43"/>
      <c r="N677" s="43"/>
      <c r="O677" s="43"/>
      <c r="P677" s="43"/>
      <c r="Q677" s="43"/>
      <c r="R677" s="43"/>
      <c r="S677" s="43"/>
      <c r="T677" s="43"/>
      <c r="U677" s="43"/>
      <c r="V677" s="43"/>
      <c r="W677" s="43"/>
      <c r="X677" s="20"/>
      <c r="Y677" s="43"/>
      <c r="Z677" s="43"/>
      <c r="AA677" s="20"/>
      <c r="AB677" s="43"/>
      <c r="AC677" s="26"/>
      <c r="AD677" s="195" t="s">
        <v>1117</v>
      </c>
      <c r="AE677" s="26">
        <f t="shared" ref="AE677:AE678" si="215">AI677</f>
        <v>23.9</v>
      </c>
      <c r="AF677" s="26">
        <f t="shared" si="206"/>
        <v>23.9</v>
      </c>
      <c r="AG677" s="26"/>
      <c r="AH677" s="26"/>
      <c r="AI677" s="26">
        <v>23.9</v>
      </c>
      <c r="AJ677" s="26">
        <v>23.9</v>
      </c>
      <c r="AK677" s="26"/>
      <c r="AL677" s="26"/>
      <c r="AM677" s="26"/>
      <c r="AN677" s="26"/>
      <c r="AO677" s="26">
        <f>AQ677</f>
        <v>31.7</v>
      </c>
      <c r="AP677" s="26"/>
      <c r="AQ677" s="26">
        <f>30.7+1</f>
        <v>31.7</v>
      </c>
      <c r="AR677" s="26"/>
      <c r="AS677" s="26"/>
      <c r="AT677" s="26"/>
      <c r="AU677" s="26"/>
      <c r="AV677" s="26"/>
      <c r="AW677" s="26"/>
      <c r="AX677" s="26"/>
      <c r="AY677" s="26"/>
      <c r="AZ677" s="26"/>
      <c r="BA677" s="26"/>
      <c r="BB677" s="26"/>
      <c r="BC677" s="26"/>
      <c r="BD677" s="26"/>
      <c r="BE677" s="26"/>
      <c r="BF677" s="26"/>
      <c r="BG677" s="26"/>
      <c r="BH677" s="26"/>
    </row>
    <row r="678" spans="1:60" ht="35.65" customHeight="1" thickBot="1">
      <c r="A678" s="27" t="s">
        <v>387</v>
      </c>
      <c r="B678" s="62"/>
      <c r="C678" s="43"/>
      <c r="D678" s="43"/>
      <c r="E678" s="43"/>
      <c r="F678" s="43"/>
      <c r="G678" s="43"/>
      <c r="H678" s="43"/>
      <c r="I678" s="43"/>
      <c r="J678" s="264"/>
      <c r="K678" s="43"/>
      <c r="L678" s="43"/>
      <c r="M678" s="43"/>
      <c r="N678" s="43"/>
      <c r="O678" s="43"/>
      <c r="P678" s="43"/>
      <c r="Q678" s="43"/>
      <c r="R678" s="43"/>
      <c r="S678" s="43"/>
      <c r="T678" s="43"/>
      <c r="U678" s="43"/>
      <c r="V678" s="43"/>
      <c r="W678" s="43"/>
      <c r="X678" s="20"/>
      <c r="Y678" s="43"/>
      <c r="Z678" s="43"/>
      <c r="AA678" s="20"/>
      <c r="AB678" s="43"/>
      <c r="AC678" s="26"/>
      <c r="AD678" s="195" t="s">
        <v>1118</v>
      </c>
      <c r="AE678" s="26">
        <f t="shared" si="215"/>
        <v>4.0999999999999996</v>
      </c>
      <c r="AF678" s="26">
        <f t="shared" si="206"/>
        <v>4.0999999999999996</v>
      </c>
      <c r="AG678" s="26"/>
      <c r="AH678" s="26"/>
      <c r="AI678" s="26">
        <v>4.0999999999999996</v>
      </c>
      <c r="AJ678" s="26">
        <v>4.0999999999999996</v>
      </c>
      <c r="AK678" s="26"/>
      <c r="AL678" s="26"/>
      <c r="AM678" s="26"/>
      <c r="AN678" s="26"/>
      <c r="AO678" s="26">
        <f>AQ678</f>
        <v>4.3</v>
      </c>
      <c r="AP678" s="26"/>
      <c r="AQ678" s="26">
        <v>4.3</v>
      </c>
      <c r="AR678" s="26"/>
      <c r="AS678" s="26"/>
      <c r="AT678" s="26"/>
      <c r="AU678" s="26"/>
      <c r="AV678" s="26"/>
      <c r="AW678" s="26"/>
      <c r="AX678" s="26"/>
      <c r="AY678" s="26"/>
      <c r="AZ678" s="26"/>
      <c r="BA678" s="26"/>
      <c r="BB678" s="26"/>
      <c r="BC678" s="26"/>
      <c r="BD678" s="26"/>
      <c r="BE678" s="26"/>
      <c r="BF678" s="26"/>
      <c r="BG678" s="26"/>
      <c r="BH678" s="26"/>
    </row>
    <row r="679" spans="1:60" ht="35.65" customHeight="1" thickBot="1">
      <c r="A679" s="27" t="s">
        <v>100</v>
      </c>
      <c r="B679" s="62"/>
      <c r="C679" s="43"/>
      <c r="D679" s="43"/>
      <c r="E679" s="43"/>
      <c r="F679" s="43"/>
      <c r="G679" s="43"/>
      <c r="H679" s="43"/>
      <c r="I679" s="43"/>
      <c r="J679" s="264"/>
      <c r="K679" s="43"/>
      <c r="L679" s="43"/>
      <c r="M679" s="43"/>
      <c r="N679" s="43"/>
      <c r="O679" s="43"/>
      <c r="P679" s="43"/>
      <c r="Q679" s="43"/>
      <c r="R679" s="43"/>
      <c r="S679" s="43"/>
      <c r="T679" s="43"/>
      <c r="U679" s="43"/>
      <c r="V679" s="43"/>
      <c r="W679" s="43"/>
      <c r="X679" s="20"/>
      <c r="Y679" s="43"/>
      <c r="Z679" s="43"/>
      <c r="AA679" s="20"/>
      <c r="AB679" s="43"/>
      <c r="AC679" s="26"/>
      <c r="AD679" s="195" t="s">
        <v>1119</v>
      </c>
      <c r="AE679" s="26">
        <f>AI679</f>
        <v>0</v>
      </c>
      <c r="AF679" s="26">
        <f t="shared" si="206"/>
        <v>0</v>
      </c>
      <c r="AG679" s="26"/>
      <c r="AH679" s="26"/>
      <c r="AI679" s="26">
        <f>4.1-4.1</f>
        <v>0</v>
      </c>
      <c r="AJ679" s="26"/>
      <c r="AK679" s="26"/>
      <c r="AL679" s="26"/>
      <c r="AM679" s="26"/>
      <c r="AN679" s="26"/>
      <c r="AO679" s="26">
        <f>AQ679</f>
        <v>0</v>
      </c>
      <c r="AP679" s="26"/>
      <c r="AQ679" s="26">
        <f>4.3-4.3</f>
        <v>0</v>
      </c>
      <c r="AR679" s="26"/>
      <c r="AS679" s="26"/>
      <c r="AT679" s="26">
        <f>AV679</f>
        <v>4.3</v>
      </c>
      <c r="AU679" s="26"/>
      <c r="AV679" s="26">
        <v>4.3</v>
      </c>
      <c r="AW679" s="26"/>
      <c r="AX679" s="26"/>
      <c r="AY679" s="26">
        <f>BA679</f>
        <v>4.3</v>
      </c>
      <c r="AZ679" s="26"/>
      <c r="BA679" s="26">
        <v>4.3</v>
      </c>
      <c r="BB679" s="26"/>
      <c r="BC679" s="26"/>
      <c r="BD679" s="26">
        <f>BF679</f>
        <v>4.3</v>
      </c>
      <c r="BE679" s="26"/>
      <c r="BF679" s="26">
        <v>4.3</v>
      </c>
      <c r="BG679" s="26"/>
      <c r="BH679" s="26"/>
    </row>
    <row r="680" spans="1:60" ht="35.65" customHeight="1" thickBot="1">
      <c r="A680" s="27" t="s">
        <v>217</v>
      </c>
      <c r="B680" s="86"/>
      <c r="C680" s="71" t="s">
        <v>471</v>
      </c>
      <c r="D680" s="43" t="s">
        <v>472</v>
      </c>
      <c r="E680" s="43" t="s">
        <v>473</v>
      </c>
      <c r="F680" s="26"/>
      <c r="G680" s="26"/>
      <c r="H680" s="26"/>
      <c r="I680" s="26"/>
      <c r="J680" s="43" t="s">
        <v>474</v>
      </c>
      <c r="K680" s="43" t="s">
        <v>112</v>
      </c>
      <c r="L680" s="43" t="s">
        <v>475</v>
      </c>
      <c r="M680" s="26"/>
      <c r="N680" s="26"/>
      <c r="O680" s="26"/>
      <c r="P680" s="26"/>
      <c r="Q680" s="26"/>
      <c r="R680" s="26"/>
      <c r="S680" s="26"/>
      <c r="T680" s="26"/>
      <c r="U680" s="26"/>
      <c r="V680" s="26"/>
      <c r="W680" s="71" t="s">
        <v>476</v>
      </c>
      <c r="X680" s="43" t="s">
        <v>112</v>
      </c>
      <c r="Y680" s="43"/>
      <c r="Z680" s="71" t="s">
        <v>476</v>
      </c>
      <c r="AA680" s="43" t="s">
        <v>112</v>
      </c>
      <c r="AB680" s="26"/>
      <c r="AC680" s="26"/>
      <c r="AD680" s="195" t="s">
        <v>1120</v>
      </c>
      <c r="AE680" s="26">
        <f>AG680+AI680+RM680+RN680</f>
        <v>29.8</v>
      </c>
      <c r="AF680" s="26">
        <f t="shared" si="206"/>
        <v>21.9</v>
      </c>
      <c r="AG680" s="26"/>
      <c r="AH680" s="26"/>
      <c r="AI680" s="26">
        <f>26+2.6+1.2</f>
        <v>29.8</v>
      </c>
      <c r="AJ680" s="26">
        <v>21.9</v>
      </c>
      <c r="AK680" s="26"/>
      <c r="AL680" s="26"/>
      <c r="AM680" s="26"/>
      <c r="AN680" s="26"/>
      <c r="AO680" s="26">
        <f t="shared" si="207"/>
        <v>32.299999999999997</v>
      </c>
      <c r="AP680" s="26"/>
      <c r="AQ680" s="26">
        <f>31.4+0.9</f>
        <v>32.299999999999997</v>
      </c>
      <c r="AR680" s="26"/>
      <c r="AS680" s="26"/>
      <c r="AT680" s="26">
        <f t="shared" ref="AT680:AT684" si="216">AU680+AV680+AW680+AX680</f>
        <v>31.4</v>
      </c>
      <c r="AU680" s="26"/>
      <c r="AV680" s="26">
        <v>31.4</v>
      </c>
      <c r="AW680" s="26"/>
      <c r="AX680" s="26"/>
      <c r="AY680" s="26">
        <f t="shared" si="209"/>
        <v>31.4</v>
      </c>
      <c r="AZ680" s="26"/>
      <c r="BA680" s="26">
        <v>31.4</v>
      </c>
      <c r="BB680" s="26"/>
      <c r="BC680" s="26"/>
      <c r="BD680" s="26">
        <f>BE680+BF680+BG680+BH680</f>
        <v>31.4</v>
      </c>
      <c r="BE680" s="26"/>
      <c r="BF680" s="26">
        <v>31.4</v>
      </c>
      <c r="BG680" s="26"/>
      <c r="BH680" s="26"/>
    </row>
    <row r="681" spans="1:60" ht="35.65" customHeight="1">
      <c r="A681" s="29" t="s">
        <v>217</v>
      </c>
      <c r="B681" s="265"/>
      <c r="C681" s="266" t="s">
        <v>471</v>
      </c>
      <c r="D681" s="70" t="s">
        <v>472</v>
      </c>
      <c r="E681" s="70" t="s">
        <v>473</v>
      </c>
      <c r="F681" s="56"/>
      <c r="G681" s="56"/>
      <c r="H681" s="56"/>
      <c r="I681" s="56"/>
      <c r="J681" s="70" t="s">
        <v>474</v>
      </c>
      <c r="K681" s="70" t="s">
        <v>112</v>
      </c>
      <c r="L681" s="70" t="s">
        <v>475</v>
      </c>
      <c r="M681" s="56"/>
      <c r="N681" s="56"/>
      <c r="O681" s="56"/>
      <c r="P681" s="56"/>
      <c r="Q681" s="56"/>
      <c r="R681" s="56"/>
      <c r="S681" s="56"/>
      <c r="T681" s="56"/>
      <c r="U681" s="56"/>
      <c r="V681" s="56"/>
      <c r="W681" s="266" t="s">
        <v>476</v>
      </c>
      <c r="X681" s="70" t="s">
        <v>112</v>
      </c>
      <c r="Y681" s="70"/>
      <c r="Z681" s="266" t="s">
        <v>476</v>
      </c>
      <c r="AA681" s="70" t="s">
        <v>112</v>
      </c>
      <c r="AB681" s="56"/>
      <c r="AC681" s="56"/>
      <c r="AD681" s="262" t="s">
        <v>1121</v>
      </c>
      <c r="AE681" s="56">
        <f>AG681+AI681+RM681+RN681</f>
        <v>25.7</v>
      </c>
      <c r="AF681" s="26">
        <f t="shared" si="206"/>
        <v>25.7</v>
      </c>
      <c r="AG681" s="56"/>
      <c r="AH681" s="56"/>
      <c r="AI681" s="56">
        <v>25.7</v>
      </c>
      <c r="AJ681" s="56">
        <v>25.7</v>
      </c>
      <c r="AK681" s="56"/>
      <c r="AL681" s="56"/>
      <c r="AM681" s="56"/>
      <c r="AN681" s="56"/>
      <c r="AO681" s="56">
        <f t="shared" si="207"/>
        <v>27.4</v>
      </c>
      <c r="AP681" s="56"/>
      <c r="AQ681" s="56">
        <v>27.4</v>
      </c>
      <c r="AR681" s="56"/>
      <c r="AS681" s="56"/>
      <c r="AT681" s="56">
        <f t="shared" si="216"/>
        <v>27.4</v>
      </c>
      <c r="AU681" s="56"/>
      <c r="AV681" s="56">
        <v>27.4</v>
      </c>
      <c r="AW681" s="56"/>
      <c r="AX681" s="56"/>
      <c r="AY681" s="56">
        <f t="shared" si="209"/>
        <v>27.4</v>
      </c>
      <c r="AZ681" s="56"/>
      <c r="BA681" s="56">
        <v>27.4</v>
      </c>
      <c r="BB681" s="56"/>
      <c r="BC681" s="56"/>
      <c r="BD681" s="56">
        <f>BE681+BF681+BG681+BH681</f>
        <v>27.4</v>
      </c>
      <c r="BE681" s="56"/>
      <c r="BF681" s="56">
        <v>27.4</v>
      </c>
      <c r="BG681" s="56"/>
      <c r="BH681" s="56"/>
    </row>
    <row r="682" spans="1:60" ht="35.65" customHeight="1">
      <c r="A682" s="61" t="s">
        <v>387</v>
      </c>
      <c r="B682" s="30"/>
      <c r="C682" s="43" t="s">
        <v>477</v>
      </c>
      <c r="D682" s="20" t="s">
        <v>112</v>
      </c>
      <c r="E682" s="20" t="s">
        <v>478</v>
      </c>
      <c r="F682" s="43"/>
      <c r="G682" s="43"/>
      <c r="H682" s="43"/>
      <c r="I682" s="43"/>
      <c r="J682" s="43" t="s">
        <v>479</v>
      </c>
      <c r="K682" s="43"/>
      <c r="L682" s="43"/>
      <c r="M682" s="43" t="s">
        <v>480</v>
      </c>
      <c r="N682" s="43"/>
      <c r="O682" s="43"/>
      <c r="P682" s="43"/>
      <c r="Q682" s="43"/>
      <c r="R682" s="43"/>
      <c r="S682" s="43"/>
      <c r="T682" s="43"/>
      <c r="U682" s="43"/>
      <c r="V682" s="43"/>
      <c r="W682" s="43" t="s">
        <v>481</v>
      </c>
      <c r="X682" s="20" t="s">
        <v>112</v>
      </c>
      <c r="Y682" s="43"/>
      <c r="Z682" s="43" t="s">
        <v>481</v>
      </c>
      <c r="AA682" s="20" t="s">
        <v>112</v>
      </c>
      <c r="AB682" s="43"/>
      <c r="AC682" s="26"/>
      <c r="AD682" s="52" t="s">
        <v>1122</v>
      </c>
      <c r="AE682" s="26">
        <f>AG682+AI682+RM682+RN682</f>
        <v>551.5</v>
      </c>
      <c r="AF682" s="26">
        <f t="shared" si="206"/>
        <v>464.1</v>
      </c>
      <c r="AG682" s="26"/>
      <c r="AH682" s="26"/>
      <c r="AI682" s="26">
        <f>480.7+48.2+22.6</f>
        <v>551.5</v>
      </c>
      <c r="AJ682" s="26">
        <v>464.1</v>
      </c>
      <c r="AK682" s="26"/>
      <c r="AL682" s="26"/>
      <c r="AM682" s="26"/>
      <c r="AN682" s="26"/>
      <c r="AO682" s="26">
        <f t="shared" si="207"/>
        <v>694.00000000000011</v>
      </c>
      <c r="AP682" s="26"/>
      <c r="AQ682" s="26">
        <f>574.2+95.7+24.1</f>
        <v>694.00000000000011</v>
      </c>
      <c r="AR682" s="26"/>
      <c r="AS682" s="26"/>
      <c r="AT682" s="26">
        <f t="shared" si="216"/>
        <v>574.20000000000005</v>
      </c>
      <c r="AU682" s="26"/>
      <c r="AV682" s="26">
        <v>574.20000000000005</v>
      </c>
      <c r="AW682" s="26"/>
      <c r="AX682" s="26"/>
      <c r="AY682" s="26">
        <f t="shared" si="209"/>
        <v>574.20000000000005</v>
      </c>
      <c r="AZ682" s="26"/>
      <c r="BA682" s="26">
        <v>574.20000000000005</v>
      </c>
      <c r="BB682" s="26"/>
      <c r="BC682" s="26"/>
      <c r="BD682" s="26">
        <f>BE682+BF682+BG682+BH682</f>
        <v>574.20000000000005</v>
      </c>
      <c r="BE682" s="26"/>
      <c r="BF682" s="26">
        <v>574.20000000000005</v>
      </c>
      <c r="BG682" s="26"/>
      <c r="BH682" s="26"/>
    </row>
    <row r="683" spans="1:60" ht="35.65" customHeight="1">
      <c r="A683" s="61" t="s">
        <v>387</v>
      </c>
      <c r="B683" s="30"/>
      <c r="C683" s="43" t="s">
        <v>477</v>
      </c>
      <c r="D683" s="20" t="s">
        <v>112</v>
      </c>
      <c r="E683" s="20" t="s">
        <v>478</v>
      </c>
      <c r="F683" s="43"/>
      <c r="G683" s="43"/>
      <c r="H683" s="43"/>
      <c r="I683" s="43"/>
      <c r="J683" s="43" t="s">
        <v>479</v>
      </c>
      <c r="K683" s="43"/>
      <c r="L683" s="43"/>
      <c r="M683" s="43" t="s">
        <v>480</v>
      </c>
      <c r="N683" s="43"/>
      <c r="O683" s="43"/>
      <c r="P683" s="43"/>
      <c r="Q683" s="43"/>
      <c r="R683" s="43"/>
      <c r="S683" s="43"/>
      <c r="T683" s="43"/>
      <c r="U683" s="43"/>
      <c r="V683" s="43"/>
      <c r="W683" s="43" t="s">
        <v>481</v>
      </c>
      <c r="X683" s="20" t="s">
        <v>112</v>
      </c>
      <c r="Y683" s="43"/>
      <c r="Z683" s="43" t="s">
        <v>481</v>
      </c>
      <c r="AA683" s="20" t="s">
        <v>112</v>
      </c>
      <c r="AB683" s="43"/>
      <c r="AC683" s="26"/>
      <c r="AD683" s="52" t="s">
        <v>1123</v>
      </c>
      <c r="AE683" s="26">
        <f>AG683+AI683+RM683+RN683</f>
        <v>449</v>
      </c>
      <c r="AF683" s="26">
        <f t="shared" si="206"/>
        <v>377.6</v>
      </c>
      <c r="AG683" s="26"/>
      <c r="AH683" s="26"/>
      <c r="AI683" s="26">
        <v>449</v>
      </c>
      <c r="AJ683" s="26">
        <v>377.6</v>
      </c>
      <c r="AK683" s="26"/>
      <c r="AL683" s="26"/>
      <c r="AM683" s="26"/>
      <c r="AN683" s="26"/>
      <c r="AO683" s="26">
        <f t="shared" si="207"/>
        <v>552.1</v>
      </c>
      <c r="AP683" s="26"/>
      <c r="AQ683" s="26">
        <f>473.2+78.9</f>
        <v>552.1</v>
      </c>
      <c r="AR683" s="26"/>
      <c r="AS683" s="26"/>
      <c r="AT683" s="26">
        <f t="shared" si="216"/>
        <v>473.2</v>
      </c>
      <c r="AU683" s="26"/>
      <c r="AV683" s="26">
        <v>473.2</v>
      </c>
      <c r="AW683" s="26"/>
      <c r="AX683" s="26"/>
      <c r="AY683" s="26">
        <f t="shared" si="209"/>
        <v>473.2</v>
      </c>
      <c r="AZ683" s="26"/>
      <c r="BA683" s="26">
        <v>473.2</v>
      </c>
      <c r="BB683" s="26"/>
      <c r="BC683" s="26"/>
      <c r="BD683" s="26">
        <f>BE683+BF683+BG683+BH683</f>
        <v>473.2</v>
      </c>
      <c r="BE683" s="26"/>
      <c r="BF683" s="26">
        <v>473.2</v>
      </c>
      <c r="BG683" s="26"/>
      <c r="BH683" s="26"/>
    </row>
    <row r="684" spans="1:60" ht="35.65" customHeight="1">
      <c r="A684" s="61" t="s">
        <v>387</v>
      </c>
      <c r="B684" s="263"/>
      <c r="C684" s="43" t="s">
        <v>477</v>
      </c>
      <c r="D684" s="20" t="s">
        <v>112</v>
      </c>
      <c r="E684" s="20" t="s">
        <v>478</v>
      </c>
      <c r="F684" s="43"/>
      <c r="G684" s="43"/>
      <c r="H684" s="43"/>
      <c r="I684" s="43"/>
      <c r="J684" s="43" t="s">
        <v>479</v>
      </c>
      <c r="K684" s="43"/>
      <c r="L684" s="43"/>
      <c r="M684" s="43" t="s">
        <v>480</v>
      </c>
      <c r="N684" s="43"/>
      <c r="O684" s="43"/>
      <c r="P684" s="43"/>
      <c r="Q684" s="43"/>
      <c r="R684" s="43"/>
      <c r="S684" s="43"/>
      <c r="T684" s="43"/>
      <c r="U684" s="43"/>
      <c r="V684" s="43"/>
      <c r="W684" s="43" t="s">
        <v>481</v>
      </c>
      <c r="X684" s="20" t="s">
        <v>112</v>
      </c>
      <c r="Y684" s="43"/>
      <c r="Z684" s="43" t="s">
        <v>481</v>
      </c>
      <c r="AA684" s="20" t="s">
        <v>112</v>
      </c>
      <c r="AB684" s="36"/>
      <c r="AC684" s="64"/>
      <c r="AD684" s="52" t="s">
        <v>1124</v>
      </c>
      <c r="AE684" s="64">
        <f>AG684+AI684+RM684+RN684</f>
        <v>0</v>
      </c>
      <c r="AF684" s="26">
        <f t="shared" si="206"/>
        <v>0</v>
      </c>
      <c r="AG684" s="64"/>
      <c r="AH684" s="64"/>
      <c r="AI684" s="64"/>
      <c r="AJ684" s="64"/>
      <c r="AK684" s="64"/>
      <c r="AL684" s="64"/>
      <c r="AM684" s="64"/>
      <c r="AN684" s="64"/>
      <c r="AO684" s="64">
        <f t="shared" si="207"/>
        <v>0</v>
      </c>
      <c r="AP684" s="64"/>
      <c r="AQ684" s="64"/>
      <c r="AR684" s="64"/>
      <c r="AS684" s="64"/>
      <c r="AT684" s="64">
        <f t="shared" si="216"/>
        <v>0</v>
      </c>
      <c r="AU684" s="64"/>
      <c r="AV684" s="64"/>
      <c r="AW684" s="64"/>
      <c r="AX684" s="64"/>
      <c r="AY684" s="64">
        <f t="shared" si="209"/>
        <v>0</v>
      </c>
      <c r="AZ684" s="64"/>
      <c r="BA684" s="64"/>
      <c r="BB684" s="64"/>
      <c r="BC684" s="64"/>
      <c r="BD684" s="64">
        <f>BE684+BF684+BG684+BH684</f>
        <v>0</v>
      </c>
      <c r="BE684" s="64"/>
      <c r="BF684" s="64"/>
      <c r="BG684" s="64"/>
      <c r="BH684" s="64"/>
    </row>
    <row r="685" spans="1:60" ht="35.65" customHeight="1">
      <c r="A685" s="187" t="s">
        <v>482</v>
      </c>
      <c r="B685" s="213">
        <v>3202</v>
      </c>
      <c r="C685" s="80"/>
      <c r="D685" s="81"/>
      <c r="E685" s="81"/>
      <c r="F685" s="81"/>
      <c r="G685" s="81"/>
      <c r="H685" s="81"/>
      <c r="I685" s="81"/>
      <c r="J685" s="81"/>
      <c r="K685" s="81"/>
      <c r="L685" s="81"/>
      <c r="M685" s="81"/>
      <c r="N685" s="81"/>
      <c r="O685" s="81"/>
      <c r="P685" s="81"/>
      <c r="Q685" s="81"/>
      <c r="R685" s="81"/>
      <c r="S685" s="81"/>
      <c r="T685" s="81"/>
      <c r="U685" s="81"/>
      <c r="V685" s="81"/>
      <c r="W685" s="81"/>
      <c r="X685" s="81"/>
      <c r="Y685" s="81"/>
      <c r="Z685" s="81"/>
      <c r="AA685" s="81"/>
      <c r="AB685" s="81"/>
      <c r="AC685" s="81">
        <v>1</v>
      </c>
      <c r="AD685" s="296"/>
      <c r="AE685" s="118">
        <f>AE686+AE687+AE688+AE693+AE694+AE689+AE690+AE692+AE691</f>
        <v>4292.1000000000013</v>
      </c>
      <c r="AF685" s="118">
        <f t="shared" ref="AF685:AN685" si="217">AF686+AF687+AF688+AF693+AF694+AF689+AF690+AF692+AF691</f>
        <v>3726.1</v>
      </c>
      <c r="AG685" s="118">
        <f t="shared" si="217"/>
        <v>0</v>
      </c>
      <c r="AH685" s="118">
        <f t="shared" si="217"/>
        <v>0</v>
      </c>
      <c r="AI685" s="118">
        <f t="shared" si="217"/>
        <v>4292.1000000000013</v>
      </c>
      <c r="AJ685" s="118">
        <f t="shared" si="217"/>
        <v>3726.1</v>
      </c>
      <c r="AK685" s="118">
        <f t="shared" si="217"/>
        <v>0</v>
      </c>
      <c r="AL685" s="118">
        <f t="shared" si="217"/>
        <v>0</v>
      </c>
      <c r="AM685" s="118">
        <f t="shared" si="217"/>
        <v>0</v>
      </c>
      <c r="AN685" s="118">
        <f t="shared" si="217"/>
        <v>0</v>
      </c>
      <c r="AO685" s="118">
        <f>AO686+AO687+AO688+AO693+AO694+AO689+AO690+AO692+AO691</f>
        <v>4854.6000000000004</v>
      </c>
      <c r="AP685" s="118">
        <f t="shared" ref="AP685:BH685" si="218">AP686+AP687+AP688+AP693+AP694+AP689+AP690+AP692+AP691</f>
        <v>0</v>
      </c>
      <c r="AQ685" s="118">
        <f t="shared" si="218"/>
        <v>4854.6000000000004</v>
      </c>
      <c r="AR685" s="118">
        <f t="shared" si="218"/>
        <v>0</v>
      </c>
      <c r="AS685" s="118">
        <f t="shared" si="218"/>
        <v>0</v>
      </c>
      <c r="AT685" s="118">
        <f t="shared" si="218"/>
        <v>4377.8</v>
      </c>
      <c r="AU685" s="118">
        <f t="shared" si="218"/>
        <v>0</v>
      </c>
      <c r="AV685" s="118">
        <f t="shared" si="218"/>
        <v>4377.8</v>
      </c>
      <c r="AW685" s="118">
        <f t="shared" si="218"/>
        <v>0</v>
      </c>
      <c r="AX685" s="118">
        <f t="shared" si="218"/>
        <v>0</v>
      </c>
      <c r="AY685" s="118">
        <f t="shared" si="218"/>
        <v>4377.8</v>
      </c>
      <c r="AZ685" s="118">
        <f t="shared" si="218"/>
        <v>0</v>
      </c>
      <c r="BA685" s="118">
        <f t="shared" si="218"/>
        <v>4377.8</v>
      </c>
      <c r="BB685" s="118">
        <f t="shared" si="218"/>
        <v>0</v>
      </c>
      <c r="BC685" s="118">
        <f t="shared" si="218"/>
        <v>0</v>
      </c>
      <c r="BD685" s="118">
        <f t="shared" si="218"/>
        <v>4377.8</v>
      </c>
      <c r="BE685" s="118">
        <f t="shared" si="218"/>
        <v>0</v>
      </c>
      <c r="BF685" s="118">
        <f t="shared" si="218"/>
        <v>4377.8</v>
      </c>
      <c r="BG685" s="118">
        <f t="shared" si="218"/>
        <v>0</v>
      </c>
      <c r="BH685" s="118">
        <f t="shared" si="218"/>
        <v>0</v>
      </c>
    </row>
    <row r="686" spans="1:60" ht="35.65" customHeight="1">
      <c r="A686" s="61" t="s">
        <v>57</v>
      </c>
      <c r="B686" s="174"/>
      <c r="C686" s="25"/>
      <c r="D686" s="26"/>
      <c r="E686" s="26"/>
      <c r="F686" s="26"/>
      <c r="G686" s="26"/>
      <c r="H686" s="26"/>
      <c r="I686" s="26"/>
      <c r="J686" s="52" t="s">
        <v>465</v>
      </c>
      <c r="K686" s="52"/>
      <c r="L686" s="52"/>
      <c r="M686" s="52"/>
      <c r="N686" s="52"/>
      <c r="O686" s="52"/>
      <c r="P686" s="52"/>
      <c r="Q686" s="52"/>
      <c r="R686" s="52"/>
      <c r="S686" s="52"/>
      <c r="T686" s="52"/>
      <c r="U686" s="52"/>
      <c r="V686" s="52"/>
      <c r="W686" s="52" t="s">
        <v>466</v>
      </c>
      <c r="X686" s="26"/>
      <c r="Y686" s="26"/>
      <c r="Z686" s="26"/>
      <c r="AA686" s="26"/>
      <c r="AB686" s="26"/>
      <c r="AC686" s="26"/>
      <c r="AD686" s="195" t="s">
        <v>1125</v>
      </c>
      <c r="AE686" s="26">
        <f>AG686+AI686+RM686+RN686</f>
        <v>42.600000000000009</v>
      </c>
      <c r="AF686" s="26">
        <f>AH686+AJ686</f>
        <v>42.6</v>
      </c>
      <c r="AG686" s="26"/>
      <c r="AH686" s="26"/>
      <c r="AI686" s="26">
        <f>37.2+3.7+1.7</f>
        <v>42.600000000000009</v>
      </c>
      <c r="AJ686" s="26">
        <v>42.6</v>
      </c>
      <c r="AK686" s="26"/>
      <c r="AL686" s="26"/>
      <c r="AM686" s="26"/>
      <c r="AN686" s="26"/>
      <c r="AO686" s="26">
        <f>AP686+AQ686+AR686+AS686</f>
        <v>45.8</v>
      </c>
      <c r="AP686" s="26"/>
      <c r="AQ686" s="26">
        <f>44.4+1.4</f>
        <v>45.8</v>
      </c>
      <c r="AR686" s="26"/>
      <c r="AS686" s="26"/>
      <c r="AT686" s="26">
        <f>AU686+AV686+AW686+AX686</f>
        <v>44.4</v>
      </c>
      <c r="AU686" s="26"/>
      <c r="AV686" s="26">
        <v>44.4</v>
      </c>
      <c r="AW686" s="26"/>
      <c r="AX686" s="26"/>
      <c r="AY686" s="26">
        <f>AZ686+BA686+BB686+BC686</f>
        <v>44.4</v>
      </c>
      <c r="AZ686" s="26"/>
      <c r="BA686" s="26">
        <v>44.4</v>
      </c>
      <c r="BB686" s="26"/>
      <c r="BC686" s="26"/>
      <c r="BD686" s="26">
        <f>BE686+BF686+BG686+BH686</f>
        <v>44.4</v>
      </c>
      <c r="BE686" s="26"/>
      <c r="BF686" s="26">
        <v>44.4</v>
      </c>
      <c r="BG686" s="26"/>
      <c r="BH686" s="26"/>
    </row>
    <row r="687" spans="1:60" ht="35.65" customHeight="1">
      <c r="A687" s="61" t="s">
        <v>57</v>
      </c>
      <c r="B687" s="174"/>
      <c r="C687" s="25"/>
      <c r="D687" s="26"/>
      <c r="E687" s="26"/>
      <c r="F687" s="26"/>
      <c r="G687" s="26"/>
      <c r="H687" s="26"/>
      <c r="I687" s="26"/>
      <c r="J687" s="52" t="s">
        <v>483</v>
      </c>
      <c r="K687" s="52"/>
      <c r="L687" s="52"/>
      <c r="M687" s="52"/>
      <c r="N687" s="52"/>
      <c r="O687" s="52"/>
      <c r="P687" s="52"/>
      <c r="Q687" s="52"/>
      <c r="R687" s="52"/>
      <c r="S687" s="52"/>
      <c r="T687" s="52"/>
      <c r="U687" s="52"/>
      <c r="V687" s="52"/>
      <c r="W687" s="52" t="s">
        <v>468</v>
      </c>
      <c r="X687" s="26"/>
      <c r="Y687" s="26"/>
      <c r="Z687" s="26"/>
      <c r="AA687" s="26"/>
      <c r="AB687" s="26"/>
      <c r="AC687" s="26"/>
      <c r="AD687" s="195" t="s">
        <v>1126</v>
      </c>
      <c r="AE687" s="26">
        <f>AG687+AI687+RM687+RN687</f>
        <v>608.80000000000007</v>
      </c>
      <c r="AF687" s="26">
        <f t="shared" ref="AF687:AF694" si="219">AH687+AJ687</f>
        <v>550.79999999999995</v>
      </c>
      <c r="AG687" s="26"/>
      <c r="AH687" s="26"/>
      <c r="AI687" s="26">
        <f>530.6+53.1+25.1</f>
        <v>608.80000000000007</v>
      </c>
      <c r="AJ687" s="26">
        <v>550.79999999999995</v>
      </c>
      <c r="AK687" s="26"/>
      <c r="AL687" s="26"/>
      <c r="AM687" s="26"/>
      <c r="AN687" s="26"/>
      <c r="AO687" s="26">
        <f t="shared" ref="AO687:AO694" si="220">AP687+AQ687+AR687+AS687</f>
        <v>653.5</v>
      </c>
      <c r="AP687" s="26"/>
      <c r="AQ687" s="26">
        <f>633.5+20</f>
        <v>653.5</v>
      </c>
      <c r="AR687" s="26"/>
      <c r="AS687" s="26"/>
      <c r="AT687" s="26">
        <f t="shared" ref="AT687:AT688" si="221">AU687+AV687+AW687+AX687</f>
        <v>633.5</v>
      </c>
      <c r="AU687" s="26"/>
      <c r="AV687" s="26">
        <v>633.5</v>
      </c>
      <c r="AW687" s="26"/>
      <c r="AX687" s="26"/>
      <c r="AY687" s="26">
        <f t="shared" ref="AY687:AY694" si="222">AZ687+BA687+BB687+BC687</f>
        <v>633.5</v>
      </c>
      <c r="AZ687" s="26"/>
      <c r="BA687" s="26">
        <v>633.5</v>
      </c>
      <c r="BB687" s="26"/>
      <c r="BC687" s="26"/>
      <c r="BD687" s="26">
        <f>BE687+BF687+BG687+BH687</f>
        <v>633.5</v>
      </c>
      <c r="BE687" s="26"/>
      <c r="BF687" s="26">
        <v>633.5</v>
      </c>
      <c r="BG687" s="26"/>
      <c r="BH687" s="26"/>
    </row>
    <row r="688" spans="1:60" ht="35.65" customHeight="1">
      <c r="A688" s="61" t="s">
        <v>57</v>
      </c>
      <c r="B688" s="174"/>
      <c r="C688" s="25"/>
      <c r="D688" s="26"/>
      <c r="E688" s="26"/>
      <c r="F688" s="26"/>
      <c r="G688" s="26"/>
      <c r="H688" s="26"/>
      <c r="I688" s="26"/>
      <c r="J688" s="52" t="s">
        <v>469</v>
      </c>
      <c r="K688" s="52"/>
      <c r="L688" s="52"/>
      <c r="M688" s="52"/>
      <c r="N688" s="52"/>
      <c r="O688" s="52"/>
      <c r="P688" s="52"/>
      <c r="Q688" s="52"/>
      <c r="R688" s="52"/>
      <c r="S688" s="52"/>
      <c r="T688" s="52"/>
      <c r="U688" s="52"/>
      <c r="V688" s="52"/>
      <c r="W688" s="52" t="s">
        <v>470</v>
      </c>
      <c r="X688" s="26"/>
      <c r="Y688" s="26"/>
      <c r="Z688" s="26"/>
      <c r="AA688" s="26"/>
      <c r="AB688" s="26"/>
      <c r="AC688" s="26"/>
      <c r="AD688" s="195" t="s">
        <v>1127</v>
      </c>
      <c r="AE688" s="26">
        <f>AG688+AI688+RM688+RN688</f>
        <v>608.80000000000007</v>
      </c>
      <c r="AF688" s="26">
        <f t="shared" si="219"/>
        <v>588</v>
      </c>
      <c r="AG688" s="26"/>
      <c r="AH688" s="26"/>
      <c r="AI688" s="26">
        <f>530.6+53.1+25.1</f>
        <v>608.80000000000007</v>
      </c>
      <c r="AJ688" s="26">
        <v>588</v>
      </c>
      <c r="AK688" s="26"/>
      <c r="AL688" s="26"/>
      <c r="AM688" s="26"/>
      <c r="AN688" s="26"/>
      <c r="AO688" s="26">
        <f t="shared" si="220"/>
        <v>653.9</v>
      </c>
      <c r="AP688" s="26"/>
      <c r="AQ688" s="26">
        <f>633.9+20</f>
        <v>653.9</v>
      </c>
      <c r="AR688" s="26"/>
      <c r="AS688" s="26"/>
      <c r="AT688" s="26">
        <f t="shared" si="221"/>
        <v>633.9</v>
      </c>
      <c r="AU688" s="26"/>
      <c r="AV688" s="26">
        <v>633.9</v>
      </c>
      <c r="AW688" s="26"/>
      <c r="AX688" s="26"/>
      <c r="AY688" s="26">
        <f t="shared" si="222"/>
        <v>633.9</v>
      </c>
      <c r="AZ688" s="26"/>
      <c r="BA688" s="26">
        <v>633.9</v>
      </c>
      <c r="BB688" s="26"/>
      <c r="BC688" s="26"/>
      <c r="BD688" s="26">
        <f>BE688+BF688+BG688+BH688</f>
        <v>633.9</v>
      </c>
      <c r="BE688" s="26"/>
      <c r="BF688" s="26">
        <v>633.9</v>
      </c>
      <c r="BG688" s="26"/>
      <c r="BH688" s="26"/>
    </row>
    <row r="689" spans="1:60" ht="35.65" customHeight="1" thickBot="1">
      <c r="A689" s="27" t="s">
        <v>100</v>
      </c>
      <c r="B689" s="35"/>
      <c r="C689" s="43"/>
      <c r="D689" s="43"/>
      <c r="E689" s="43"/>
      <c r="F689" s="43"/>
      <c r="G689" s="43"/>
      <c r="H689" s="43"/>
      <c r="I689" s="43"/>
      <c r="J689" s="264"/>
      <c r="K689" s="43"/>
      <c r="L689" s="43"/>
      <c r="M689" s="43"/>
      <c r="N689" s="43"/>
      <c r="O689" s="43"/>
      <c r="P689" s="43"/>
      <c r="Q689" s="43"/>
      <c r="R689" s="43"/>
      <c r="S689" s="43"/>
      <c r="T689" s="43"/>
      <c r="U689" s="43"/>
      <c r="V689" s="43"/>
      <c r="W689" s="43"/>
      <c r="X689" s="20"/>
      <c r="Y689" s="43"/>
      <c r="Z689" s="43"/>
      <c r="AA689" s="20"/>
      <c r="AB689" s="43"/>
      <c r="AC689" s="26"/>
      <c r="AD689" s="195" t="s">
        <v>1128</v>
      </c>
      <c r="AE689" s="26">
        <f>AI689</f>
        <v>608.80000000000007</v>
      </c>
      <c r="AF689" s="26">
        <f t="shared" si="219"/>
        <v>437.4</v>
      </c>
      <c r="AG689" s="26"/>
      <c r="AH689" s="26"/>
      <c r="AI689" s="26">
        <f>530.6+53.1+25.1</f>
        <v>608.80000000000007</v>
      </c>
      <c r="AJ689" s="26">
        <v>437.4</v>
      </c>
      <c r="AK689" s="26"/>
      <c r="AL689" s="26"/>
      <c r="AM689" s="26"/>
      <c r="AN689" s="26"/>
      <c r="AO689" s="26">
        <f>AQ689</f>
        <v>653.79999999999995</v>
      </c>
      <c r="AP689" s="26"/>
      <c r="AQ689" s="26">
        <f>633.8+20</f>
        <v>653.79999999999995</v>
      </c>
      <c r="AR689" s="26"/>
      <c r="AS689" s="26"/>
      <c r="AT689" s="26">
        <f>AV689</f>
        <v>633.79999999999995</v>
      </c>
      <c r="AU689" s="26"/>
      <c r="AV689" s="26">
        <v>633.79999999999995</v>
      </c>
      <c r="AW689" s="26"/>
      <c r="AX689" s="26"/>
      <c r="AY689" s="26">
        <f>BA689</f>
        <v>633.79999999999995</v>
      </c>
      <c r="AZ689" s="26"/>
      <c r="BA689" s="26">
        <v>633.79999999999995</v>
      </c>
      <c r="BB689" s="26"/>
      <c r="BC689" s="26"/>
      <c r="BD689" s="26">
        <f>BF689</f>
        <v>633.79999999999995</v>
      </c>
      <c r="BE689" s="26"/>
      <c r="BF689" s="26">
        <v>633.79999999999995</v>
      </c>
      <c r="BG689" s="26"/>
      <c r="BH689" s="26"/>
    </row>
    <row r="690" spans="1:60" ht="35.65" customHeight="1" thickBot="1">
      <c r="A690" s="27" t="s">
        <v>100</v>
      </c>
      <c r="B690" s="62"/>
      <c r="C690" s="43"/>
      <c r="D690" s="43"/>
      <c r="E690" s="43"/>
      <c r="F690" s="43"/>
      <c r="G690" s="43"/>
      <c r="H690" s="43"/>
      <c r="I690" s="43"/>
      <c r="J690" s="264"/>
      <c r="K690" s="43"/>
      <c r="L690" s="43"/>
      <c r="M690" s="43"/>
      <c r="N690" s="43"/>
      <c r="O690" s="43"/>
      <c r="P690" s="43"/>
      <c r="Q690" s="43"/>
      <c r="R690" s="43"/>
      <c r="S690" s="43"/>
      <c r="T690" s="43"/>
      <c r="U690" s="43"/>
      <c r="V690" s="43"/>
      <c r="W690" s="43"/>
      <c r="X690" s="20"/>
      <c r="Y690" s="43"/>
      <c r="Z690" s="43"/>
      <c r="AA690" s="20"/>
      <c r="AB690" s="43"/>
      <c r="AC690" s="26"/>
      <c r="AD690" s="195" t="s">
        <v>1129</v>
      </c>
      <c r="AE690" s="26">
        <f>AI690</f>
        <v>34.000000000000014</v>
      </c>
      <c r="AF690" s="26">
        <f t="shared" si="219"/>
        <v>34</v>
      </c>
      <c r="AG690" s="26"/>
      <c r="AH690" s="26"/>
      <c r="AI690" s="26">
        <f>98.7+9.9+4.7-79.3</f>
        <v>34.000000000000014</v>
      </c>
      <c r="AJ690" s="26">
        <v>34</v>
      </c>
      <c r="AK690" s="26"/>
      <c r="AL690" s="26"/>
      <c r="AM690" s="26"/>
      <c r="AN690" s="26"/>
      <c r="AO690" s="26">
        <f>AQ690</f>
        <v>44.799999999999983</v>
      </c>
      <c r="AP690" s="26"/>
      <c r="AQ690" s="26">
        <f>145.2-101.7+1.3</f>
        <v>44.799999999999983</v>
      </c>
      <c r="AR690" s="26"/>
      <c r="AS690" s="26"/>
      <c r="AT690" s="26">
        <f>AV690</f>
        <v>145.19999999999999</v>
      </c>
      <c r="AU690" s="26"/>
      <c r="AV690" s="26">
        <v>145.19999999999999</v>
      </c>
      <c r="AW690" s="26"/>
      <c r="AX690" s="26"/>
      <c r="AY690" s="26">
        <f>BA690</f>
        <v>145.19999999999999</v>
      </c>
      <c r="AZ690" s="26"/>
      <c r="BA690" s="26">
        <v>145.19999999999999</v>
      </c>
      <c r="BB690" s="26"/>
      <c r="BC690" s="26"/>
      <c r="BD690" s="26">
        <f>BF690</f>
        <v>145.19999999999999</v>
      </c>
      <c r="BE690" s="26"/>
      <c r="BF690" s="26">
        <v>145.19999999999999</v>
      </c>
      <c r="BG690" s="26"/>
      <c r="BH690" s="26"/>
    </row>
    <row r="691" spans="1:60" ht="35.65" customHeight="1">
      <c r="A691" s="61" t="s">
        <v>57</v>
      </c>
      <c r="B691" s="97"/>
      <c r="C691" s="25"/>
      <c r="D691" s="26"/>
      <c r="E691" s="26"/>
      <c r="F691" s="26"/>
      <c r="G691" s="26"/>
      <c r="H691" s="26"/>
      <c r="I691" s="26"/>
      <c r="J691" s="52"/>
      <c r="K691" s="52"/>
      <c r="L691" s="52"/>
      <c r="M691" s="52"/>
      <c r="N691" s="52"/>
      <c r="O691" s="52"/>
      <c r="P691" s="52"/>
      <c r="Q691" s="52"/>
      <c r="R691" s="52"/>
      <c r="S691" s="52"/>
      <c r="T691" s="52"/>
      <c r="U691" s="52"/>
      <c r="V691" s="52"/>
      <c r="W691" s="52"/>
      <c r="X691" s="26"/>
      <c r="Y691" s="26"/>
      <c r="Z691" s="26"/>
      <c r="AA691" s="26"/>
      <c r="AB691" s="26"/>
      <c r="AC691" s="26"/>
      <c r="AD691" s="195" t="s">
        <v>1130</v>
      </c>
      <c r="AE691" s="26">
        <f>AG691+AI691+RM691+RN691</f>
        <v>385.1</v>
      </c>
      <c r="AF691" s="26">
        <f>AH691+AJ691</f>
        <v>385.1</v>
      </c>
      <c r="AG691" s="26"/>
      <c r="AH691" s="26"/>
      <c r="AI691" s="26">
        <v>385.1</v>
      </c>
      <c r="AJ691" s="26">
        <v>385.1</v>
      </c>
      <c r="AK691" s="26"/>
      <c r="AL691" s="26"/>
      <c r="AM691" s="26"/>
      <c r="AN691" s="26"/>
      <c r="AO691" s="26">
        <f t="shared" ref="AO691:AO692" si="223">AP691+AQ691+AR691+AS691</f>
        <v>292.3</v>
      </c>
      <c r="AP691" s="26"/>
      <c r="AQ691" s="26">
        <f>281.6+10.7</f>
        <v>292.3</v>
      </c>
      <c r="AR691" s="26"/>
      <c r="AS691" s="26"/>
      <c r="AT691" s="26">
        <f t="shared" ref="AT691" si="224">AU691+AV691+AW691+AX691</f>
        <v>281.60000000000002</v>
      </c>
      <c r="AU691" s="26"/>
      <c r="AV691" s="26">
        <v>281.60000000000002</v>
      </c>
      <c r="AW691" s="26"/>
      <c r="AX691" s="26"/>
      <c r="AY691" s="26">
        <f t="shared" ref="AY691" si="225">AZ691+BA691+BB691+BC691</f>
        <v>281.60000000000002</v>
      </c>
      <c r="AZ691" s="26"/>
      <c r="BA691" s="26">
        <v>281.60000000000002</v>
      </c>
      <c r="BB691" s="26"/>
      <c r="BC691" s="26"/>
      <c r="BD691" s="26">
        <f t="shared" ref="BD691" si="226">BE691+BF691+BG691+BH691</f>
        <v>281.60000000000002</v>
      </c>
      <c r="BE691" s="26"/>
      <c r="BF691" s="26">
        <v>281.60000000000002</v>
      </c>
      <c r="BG691" s="26"/>
      <c r="BH691" s="26"/>
    </row>
    <row r="692" spans="1:60" ht="35.65" customHeight="1">
      <c r="A692" s="166" t="s">
        <v>387</v>
      </c>
      <c r="B692" s="62"/>
      <c r="C692" s="43"/>
      <c r="D692" s="43"/>
      <c r="E692" s="43"/>
      <c r="F692" s="43"/>
      <c r="G692" s="43"/>
      <c r="H692" s="43"/>
      <c r="I692" s="43"/>
      <c r="J692" s="264"/>
      <c r="K692" s="43"/>
      <c r="L692" s="43"/>
      <c r="M692" s="43"/>
      <c r="N692" s="43"/>
      <c r="O692" s="43"/>
      <c r="P692" s="43"/>
      <c r="Q692" s="43"/>
      <c r="R692" s="43"/>
      <c r="S692" s="43"/>
      <c r="T692" s="43"/>
      <c r="U692" s="43"/>
      <c r="V692" s="43"/>
      <c r="W692" s="43"/>
      <c r="X692" s="20"/>
      <c r="Y692" s="43"/>
      <c r="Z692" s="43"/>
      <c r="AA692" s="20"/>
      <c r="AB692" s="43"/>
      <c r="AC692" s="26"/>
      <c r="AD692" s="195" t="s">
        <v>1131</v>
      </c>
      <c r="AE692" s="26">
        <f>AI692</f>
        <v>79.3</v>
      </c>
      <c r="AF692" s="26">
        <f t="shared" si="219"/>
        <v>79.2</v>
      </c>
      <c r="AG692" s="26"/>
      <c r="AH692" s="26"/>
      <c r="AI692" s="26">
        <v>79.3</v>
      </c>
      <c r="AJ692" s="26">
        <v>79.2</v>
      </c>
      <c r="AK692" s="26"/>
      <c r="AL692" s="26"/>
      <c r="AM692" s="26"/>
      <c r="AN692" s="26"/>
      <c r="AO692" s="26">
        <f t="shared" si="223"/>
        <v>105</v>
      </c>
      <c r="AP692" s="26"/>
      <c r="AQ692" s="26">
        <f>101.7+3.3</f>
        <v>105</v>
      </c>
      <c r="AR692" s="26"/>
      <c r="AS692" s="26"/>
      <c r="AT692" s="26"/>
      <c r="AU692" s="26"/>
      <c r="AV692" s="26"/>
      <c r="AW692" s="26"/>
      <c r="AX692" s="26"/>
      <c r="AY692" s="26"/>
      <c r="AZ692" s="26"/>
      <c r="BA692" s="26"/>
      <c r="BB692" s="26"/>
      <c r="BC692" s="26"/>
      <c r="BD692" s="26"/>
      <c r="BE692" s="26"/>
      <c r="BF692" s="26"/>
      <c r="BG692" s="26"/>
      <c r="BH692" s="26"/>
    </row>
    <row r="693" spans="1:60" ht="35.65" customHeight="1">
      <c r="A693" s="61" t="s">
        <v>217</v>
      </c>
      <c r="B693" s="174"/>
      <c r="C693" s="71" t="s">
        <v>471</v>
      </c>
      <c r="D693" s="43" t="s">
        <v>472</v>
      </c>
      <c r="E693" s="43" t="s">
        <v>473</v>
      </c>
      <c r="F693" s="26"/>
      <c r="G693" s="26"/>
      <c r="H693" s="26"/>
      <c r="I693" s="26"/>
      <c r="J693" s="43" t="s">
        <v>474</v>
      </c>
      <c r="K693" s="43" t="s">
        <v>112</v>
      </c>
      <c r="L693" s="43" t="s">
        <v>475</v>
      </c>
      <c r="M693" s="26"/>
      <c r="N693" s="26"/>
      <c r="O693" s="26"/>
      <c r="P693" s="26"/>
      <c r="Q693" s="26"/>
      <c r="R693" s="26"/>
      <c r="S693" s="26"/>
      <c r="T693" s="26"/>
      <c r="U693" s="26"/>
      <c r="V693" s="26"/>
      <c r="W693" s="71" t="s">
        <v>476</v>
      </c>
      <c r="X693" s="43" t="s">
        <v>112</v>
      </c>
      <c r="Y693" s="71"/>
      <c r="Z693" s="71" t="s">
        <v>476</v>
      </c>
      <c r="AA693" s="43" t="s">
        <v>112</v>
      </c>
      <c r="AB693" s="26"/>
      <c r="AC693" s="26"/>
      <c r="AD693" s="195" t="s">
        <v>1132</v>
      </c>
      <c r="AE693" s="26">
        <f>AG693+AI693+RM693+RN693</f>
        <v>98.6</v>
      </c>
      <c r="AF693" s="26">
        <f t="shared" si="219"/>
        <v>68.7</v>
      </c>
      <c r="AG693" s="26"/>
      <c r="AH693" s="26"/>
      <c r="AI693" s="26">
        <f>85.9+8.6+4.1</f>
        <v>98.6</v>
      </c>
      <c r="AJ693" s="26">
        <v>68.7</v>
      </c>
      <c r="AK693" s="26"/>
      <c r="AL693" s="26"/>
      <c r="AM693" s="26"/>
      <c r="AN693" s="26"/>
      <c r="AO693" s="26">
        <f t="shared" si="220"/>
        <v>107.2</v>
      </c>
      <c r="AP693" s="26"/>
      <c r="AQ693" s="26">
        <f>103.9+3.3</f>
        <v>107.2</v>
      </c>
      <c r="AR693" s="26"/>
      <c r="AS693" s="26"/>
      <c r="AT693" s="26">
        <f>AV693</f>
        <v>103.9</v>
      </c>
      <c r="AU693" s="26"/>
      <c r="AV693" s="26">
        <v>103.9</v>
      </c>
      <c r="AW693" s="26"/>
      <c r="AX693" s="26"/>
      <c r="AY693" s="26">
        <f t="shared" si="222"/>
        <v>103.9</v>
      </c>
      <c r="AZ693" s="26"/>
      <c r="BA693" s="26">
        <v>103.9</v>
      </c>
      <c r="BB693" s="26"/>
      <c r="BC693" s="26"/>
      <c r="BD693" s="26">
        <f>BE693+BF693+BG693+BH693</f>
        <v>103.9</v>
      </c>
      <c r="BE693" s="26"/>
      <c r="BF693" s="26">
        <v>103.9</v>
      </c>
      <c r="BG693" s="26"/>
      <c r="BH693" s="26"/>
    </row>
    <row r="694" spans="1:60" ht="35.65" customHeight="1">
      <c r="A694" s="61" t="s">
        <v>387</v>
      </c>
      <c r="B694" s="174"/>
      <c r="C694" s="43" t="s">
        <v>477</v>
      </c>
      <c r="D694" s="20" t="s">
        <v>112</v>
      </c>
      <c r="E694" s="20" t="s">
        <v>478</v>
      </c>
      <c r="F694" s="43"/>
      <c r="G694" s="43"/>
      <c r="H694" s="43"/>
      <c r="I694" s="43"/>
      <c r="J694" s="43" t="s">
        <v>479</v>
      </c>
      <c r="K694" s="43"/>
      <c r="L694" s="43"/>
      <c r="M694" s="43" t="s">
        <v>480</v>
      </c>
      <c r="N694" s="43"/>
      <c r="O694" s="43"/>
      <c r="P694" s="43"/>
      <c r="Q694" s="43"/>
      <c r="R694" s="43"/>
      <c r="S694" s="43"/>
      <c r="T694" s="43"/>
      <c r="U694" s="43"/>
      <c r="V694" s="43"/>
      <c r="W694" s="43" t="s">
        <v>481</v>
      </c>
      <c r="X694" s="20" t="s">
        <v>112</v>
      </c>
      <c r="Y694" s="43"/>
      <c r="Z694" s="43" t="s">
        <v>481</v>
      </c>
      <c r="AA694" s="20" t="s">
        <v>112</v>
      </c>
      <c r="AB694" s="43"/>
      <c r="AC694" s="26"/>
      <c r="AD694" s="195" t="s">
        <v>1133</v>
      </c>
      <c r="AE694" s="26">
        <f>AG694+AI694+RM694+RN694</f>
        <v>1826.1000000000001</v>
      </c>
      <c r="AF694" s="26">
        <f t="shared" si="219"/>
        <v>1540.3</v>
      </c>
      <c r="AG694" s="26"/>
      <c r="AH694" s="26"/>
      <c r="AI694" s="26">
        <f>1591.7+159+75.4</f>
        <v>1826.1000000000001</v>
      </c>
      <c r="AJ694" s="26">
        <v>1540.3</v>
      </c>
      <c r="AK694" s="26"/>
      <c r="AL694" s="26"/>
      <c r="AM694" s="26"/>
      <c r="AN694" s="26"/>
      <c r="AO694" s="26">
        <f t="shared" si="220"/>
        <v>2298.3000000000002</v>
      </c>
      <c r="AP694" s="26"/>
      <c r="AQ694" s="26">
        <f>1901.5+316.9+79.9</f>
        <v>2298.3000000000002</v>
      </c>
      <c r="AR694" s="26"/>
      <c r="AS694" s="26"/>
      <c r="AT694" s="26">
        <f t="shared" ref="AT694" si="227">AU694+AV694+AW694+AX694</f>
        <v>1901.5</v>
      </c>
      <c r="AU694" s="26"/>
      <c r="AV694" s="26">
        <v>1901.5</v>
      </c>
      <c r="AW694" s="26"/>
      <c r="AX694" s="26"/>
      <c r="AY694" s="26">
        <f t="shared" si="222"/>
        <v>1901.5</v>
      </c>
      <c r="AZ694" s="26"/>
      <c r="BA694" s="26">
        <v>1901.5</v>
      </c>
      <c r="BB694" s="26"/>
      <c r="BC694" s="26"/>
      <c r="BD694" s="26">
        <f>BE694+BF694+BG694+BH694</f>
        <v>1901.5</v>
      </c>
      <c r="BE694" s="26"/>
      <c r="BF694" s="26">
        <v>1901.5</v>
      </c>
      <c r="BG694" s="26"/>
      <c r="BH694" s="26"/>
    </row>
    <row r="695" spans="1:60" ht="35.65" customHeight="1">
      <c r="A695" s="57" t="s">
        <v>484</v>
      </c>
      <c r="B695" s="165">
        <v>3228</v>
      </c>
      <c r="C695" s="33"/>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c r="AB695" s="34"/>
      <c r="AC695" s="34">
        <v>10</v>
      </c>
      <c r="AD695" s="235"/>
      <c r="AE695" s="34">
        <f>AE696+AE697+AE698+AE699</f>
        <v>27092.499999999996</v>
      </c>
      <c r="AF695" s="34">
        <f t="shared" ref="AF695:BH695" si="228">AF696+AF697+AF698+AF699</f>
        <v>26359.200000000001</v>
      </c>
      <c r="AG695" s="34">
        <f t="shared" si="228"/>
        <v>920</v>
      </c>
      <c r="AH695" s="34">
        <f t="shared" si="228"/>
        <v>920</v>
      </c>
      <c r="AI695" s="34">
        <f t="shared" si="228"/>
        <v>26172.499999999996</v>
      </c>
      <c r="AJ695" s="34">
        <f t="shared" si="228"/>
        <v>25439.200000000001</v>
      </c>
      <c r="AK695" s="34">
        <f t="shared" si="228"/>
        <v>0</v>
      </c>
      <c r="AL695" s="34">
        <f t="shared" si="228"/>
        <v>0</v>
      </c>
      <c r="AM695" s="34">
        <f t="shared" si="228"/>
        <v>0</v>
      </c>
      <c r="AN695" s="34">
        <f t="shared" si="228"/>
        <v>0</v>
      </c>
      <c r="AO695" s="34">
        <f t="shared" si="228"/>
        <v>25672.800000000003</v>
      </c>
      <c r="AP695" s="34">
        <f t="shared" si="228"/>
        <v>4974.7</v>
      </c>
      <c r="AQ695" s="34">
        <f t="shared" si="228"/>
        <v>20698.100000000002</v>
      </c>
      <c r="AR695" s="34">
        <f t="shared" si="228"/>
        <v>0</v>
      </c>
      <c r="AS695" s="34">
        <f t="shared" si="228"/>
        <v>0</v>
      </c>
      <c r="AT695" s="34">
        <f t="shared" si="228"/>
        <v>19573.699999999997</v>
      </c>
      <c r="AU695" s="34">
        <f t="shared" si="228"/>
        <v>8685.9</v>
      </c>
      <c r="AV695" s="34">
        <f t="shared" si="228"/>
        <v>10887.8</v>
      </c>
      <c r="AW695" s="34">
        <f t="shared" si="228"/>
        <v>0</v>
      </c>
      <c r="AX695" s="34">
        <f t="shared" si="228"/>
        <v>0</v>
      </c>
      <c r="AY695" s="34">
        <f t="shared" si="228"/>
        <v>19573.7</v>
      </c>
      <c r="AZ695" s="34">
        <f t="shared" si="228"/>
        <v>8441.2000000000007</v>
      </c>
      <c r="BA695" s="34">
        <f t="shared" si="228"/>
        <v>11132.5</v>
      </c>
      <c r="BB695" s="34">
        <f t="shared" si="228"/>
        <v>0</v>
      </c>
      <c r="BC695" s="34">
        <f t="shared" si="228"/>
        <v>0</v>
      </c>
      <c r="BD695" s="34">
        <f t="shared" si="228"/>
        <v>19573.7</v>
      </c>
      <c r="BE695" s="34">
        <f t="shared" si="228"/>
        <v>8441.2000000000007</v>
      </c>
      <c r="BF695" s="34">
        <f t="shared" si="228"/>
        <v>11132.5</v>
      </c>
      <c r="BG695" s="34">
        <f t="shared" si="228"/>
        <v>0</v>
      </c>
      <c r="BH695" s="34">
        <f t="shared" si="228"/>
        <v>0</v>
      </c>
    </row>
    <row r="696" spans="1:60" ht="35.65" customHeight="1">
      <c r="A696" s="61" t="s">
        <v>57</v>
      </c>
      <c r="B696" s="97"/>
      <c r="C696" s="25"/>
      <c r="D696" s="26"/>
      <c r="E696" s="26"/>
      <c r="F696" s="26"/>
      <c r="G696" s="26"/>
      <c r="H696" s="26"/>
      <c r="I696" s="26"/>
      <c r="J696" s="52" t="s">
        <v>485</v>
      </c>
      <c r="K696" s="52"/>
      <c r="L696" s="52"/>
      <c r="M696" s="52"/>
      <c r="N696" s="52"/>
      <c r="O696" s="52"/>
      <c r="P696" s="52"/>
      <c r="Q696" s="52"/>
      <c r="R696" s="52"/>
      <c r="S696" s="52"/>
      <c r="T696" s="52"/>
      <c r="U696" s="52"/>
      <c r="V696" s="52"/>
      <c r="W696" s="52" t="s">
        <v>486</v>
      </c>
      <c r="X696" s="26"/>
      <c r="Y696" s="26"/>
      <c r="Z696" s="26"/>
      <c r="AA696" s="26"/>
      <c r="AB696" s="26"/>
      <c r="AC696" s="26"/>
      <c r="AD696" s="195" t="s">
        <v>1134</v>
      </c>
      <c r="AE696" s="26">
        <f>AG696+AI696+RM696+RN696</f>
        <v>25796.699999999997</v>
      </c>
      <c r="AF696" s="26">
        <f>AH696+AJ696</f>
        <v>25063.4</v>
      </c>
      <c r="AG696" s="26"/>
      <c r="AH696" s="26"/>
      <c r="AI696" s="26">
        <f>1686.6+24110+0.1</f>
        <v>25796.699999999997</v>
      </c>
      <c r="AJ696" s="26">
        <v>25063.4</v>
      </c>
      <c r="AK696" s="26"/>
      <c r="AL696" s="26"/>
      <c r="AM696" s="26"/>
      <c r="AN696" s="26"/>
      <c r="AO696" s="26">
        <f>AP696+AQ696+AR696+AS696</f>
        <v>18666.300000000003</v>
      </c>
      <c r="AP696" s="26"/>
      <c r="AQ696" s="26">
        <f>22020.4-4559.8+1205.7</f>
        <v>18666.300000000003</v>
      </c>
      <c r="AR696" s="26"/>
      <c r="AS696" s="26"/>
      <c r="AT696" s="26">
        <f>AU696+AV696+AW696+AX696</f>
        <v>7340.1</v>
      </c>
      <c r="AU696" s="26"/>
      <c r="AV696" s="26">
        <v>7340.1</v>
      </c>
      <c r="AW696" s="26"/>
      <c r="AX696" s="26"/>
      <c r="AY696" s="26">
        <f>AZ696+BA696+BB696+BC696</f>
        <v>7340.1</v>
      </c>
      <c r="AZ696" s="26"/>
      <c r="BA696" s="26">
        <v>7340.1</v>
      </c>
      <c r="BB696" s="26"/>
      <c r="BC696" s="26"/>
      <c r="BD696" s="26">
        <f>BE696+BF696+BG696+BH696</f>
        <v>7340.1</v>
      </c>
      <c r="BE696" s="26"/>
      <c r="BF696" s="26">
        <v>7340.1</v>
      </c>
      <c r="BG696" s="26"/>
      <c r="BH696" s="26"/>
    </row>
    <row r="697" spans="1:60" ht="35.65" customHeight="1">
      <c r="A697" s="61" t="s">
        <v>57</v>
      </c>
      <c r="B697" s="97"/>
      <c r="C697" s="25"/>
      <c r="D697" s="26"/>
      <c r="E697" s="26"/>
      <c r="F697" s="26"/>
      <c r="G697" s="26"/>
      <c r="H697" s="26"/>
      <c r="I697" s="26"/>
      <c r="J697" s="52"/>
      <c r="K697" s="52"/>
      <c r="L697" s="52"/>
      <c r="M697" s="52"/>
      <c r="N697" s="52"/>
      <c r="O697" s="52"/>
      <c r="P697" s="52"/>
      <c r="Q697" s="52"/>
      <c r="R697" s="52"/>
      <c r="S697" s="52"/>
      <c r="T697" s="52"/>
      <c r="U697" s="52"/>
      <c r="V697" s="52"/>
      <c r="W697" s="52"/>
      <c r="X697" s="26"/>
      <c r="Y697" s="26"/>
      <c r="Z697" s="26"/>
      <c r="AA697" s="26"/>
      <c r="AB697" s="26"/>
      <c r="AC697" s="26"/>
      <c r="AD697" s="195" t="s">
        <v>1119</v>
      </c>
      <c r="AE697" s="26"/>
      <c r="AF697" s="26">
        <f t="shared" ref="AF697:AF699" si="229">AH697+AJ697</f>
        <v>0</v>
      </c>
      <c r="AG697" s="26"/>
      <c r="AH697" s="26"/>
      <c r="AI697" s="26"/>
      <c r="AJ697" s="26"/>
      <c r="AK697" s="26"/>
      <c r="AL697" s="26"/>
      <c r="AM697" s="26"/>
      <c r="AN697" s="26"/>
      <c r="AO697" s="26"/>
      <c r="AP697" s="26"/>
      <c r="AQ697" s="26"/>
      <c r="AR697" s="26"/>
      <c r="AS697" s="26"/>
      <c r="AT697" s="26"/>
      <c r="AU697" s="26"/>
      <c r="AV697" s="26"/>
      <c r="AW697" s="26"/>
      <c r="AX697" s="26"/>
      <c r="AY697" s="26"/>
      <c r="AZ697" s="26"/>
      <c r="BA697" s="26"/>
      <c r="BB697" s="26"/>
      <c r="BC697" s="26"/>
      <c r="BD697" s="26"/>
      <c r="BE697" s="26"/>
      <c r="BF697" s="26"/>
      <c r="BG697" s="26"/>
      <c r="BH697" s="26"/>
    </row>
    <row r="698" spans="1:60" ht="35.65" customHeight="1">
      <c r="A698" s="61" t="s">
        <v>57</v>
      </c>
      <c r="B698" s="97"/>
      <c r="C698" s="25"/>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195" t="s">
        <v>1135</v>
      </c>
      <c r="AE698" s="26">
        <f>AG698+AI698+RM698+RN698</f>
        <v>0</v>
      </c>
      <c r="AF698" s="26">
        <f t="shared" si="229"/>
        <v>0</v>
      </c>
      <c r="AG698" s="26">
        <f>10799.1-10799.1</f>
        <v>0</v>
      </c>
      <c r="AH698" s="26"/>
      <c r="AI698" s="26">
        <f>4410.9-4410.9</f>
        <v>0</v>
      </c>
      <c r="AJ698" s="26"/>
      <c r="AK698" s="26"/>
      <c r="AL698" s="26"/>
      <c r="AM698" s="26"/>
      <c r="AN698" s="26"/>
      <c r="AO698" s="26">
        <f>AP698+AQ698+AR698+AS698</f>
        <v>0</v>
      </c>
      <c r="AP698" s="26">
        <f>6254.3-6254.3</f>
        <v>0</v>
      </c>
      <c r="AQ698" s="26">
        <f>2554.6-2554.6</f>
        <v>0</v>
      </c>
      <c r="AR698" s="26"/>
      <c r="AS698" s="26"/>
      <c r="AT698" s="26">
        <f>AU698+AV698+AW698+AX698</f>
        <v>0</v>
      </c>
      <c r="AU698" s="26">
        <f>6254.3-6254.3</f>
        <v>0</v>
      </c>
      <c r="AV698" s="26">
        <f>2554.6-2554.6</f>
        <v>0</v>
      </c>
      <c r="AW698" s="26"/>
      <c r="AX698" s="26"/>
      <c r="AY698" s="26">
        <f>AZ698+BA698+BB698+BC698</f>
        <v>0</v>
      </c>
      <c r="AZ698" s="26">
        <f>6254.3-6254.3</f>
        <v>0</v>
      </c>
      <c r="BA698" s="26">
        <f>2554.6-2554.6</f>
        <v>0</v>
      </c>
      <c r="BB698" s="26"/>
      <c r="BC698" s="26"/>
      <c r="BD698" s="26">
        <f>BE698+BF698+BG698+BH698</f>
        <v>0</v>
      </c>
      <c r="BE698" s="26">
        <f>6254.3-6254.3</f>
        <v>0</v>
      </c>
      <c r="BF698" s="26">
        <f>2554.6-2554.6</f>
        <v>0</v>
      </c>
      <c r="BG698" s="26"/>
      <c r="BH698" s="26"/>
    </row>
    <row r="699" spans="1:60" ht="35.65" customHeight="1">
      <c r="A699" s="61" t="s">
        <v>57</v>
      </c>
      <c r="B699" s="62"/>
      <c r="C699" s="25"/>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195" t="s">
        <v>1136</v>
      </c>
      <c r="AE699" s="26">
        <f>AG699+AI699+RM699+RN699</f>
        <v>1295.8</v>
      </c>
      <c r="AF699" s="26">
        <f t="shared" si="229"/>
        <v>1295.8</v>
      </c>
      <c r="AG699" s="56">
        <f>8525.1-4781.1-2824</f>
        <v>920</v>
      </c>
      <c r="AH699" s="56">
        <v>920</v>
      </c>
      <c r="AI699" s="56">
        <f>3482.1-1952.8-1153.5</f>
        <v>375.79999999999995</v>
      </c>
      <c r="AJ699" s="56">
        <v>375.8</v>
      </c>
      <c r="AK699" s="56"/>
      <c r="AL699" s="56"/>
      <c r="AM699" s="56"/>
      <c r="AN699" s="56"/>
      <c r="AO699" s="26">
        <f>AP699+AQ699+AR699+AS699</f>
        <v>7006.5</v>
      </c>
      <c r="AP699" s="56">
        <f>1737.2+3237.5</f>
        <v>4974.7</v>
      </c>
      <c r="AQ699" s="56">
        <f>709.5+1322.3</f>
        <v>2031.8</v>
      </c>
      <c r="AR699" s="56"/>
      <c r="AS699" s="56"/>
      <c r="AT699" s="26">
        <f>AU699+AV699+AW699+AX699</f>
        <v>12233.599999999999</v>
      </c>
      <c r="AU699" s="56">
        <v>8685.9</v>
      </c>
      <c r="AV699" s="56">
        <v>3547.7</v>
      </c>
      <c r="AW699" s="56"/>
      <c r="AX699" s="56"/>
      <c r="AY699" s="26">
        <f>AZ699+BA699+BB699+BC699</f>
        <v>12233.6</v>
      </c>
      <c r="AZ699" s="56">
        <v>8441.2000000000007</v>
      </c>
      <c r="BA699" s="56">
        <v>3792.4</v>
      </c>
      <c r="BB699" s="56"/>
      <c r="BC699" s="56"/>
      <c r="BD699" s="26">
        <f>BE699+BF699+BG699+BH699</f>
        <v>12233.6</v>
      </c>
      <c r="BE699" s="56">
        <v>8441.2000000000007</v>
      </c>
      <c r="BF699" s="56">
        <v>3792.4</v>
      </c>
      <c r="BG699" s="56"/>
      <c r="BH699" s="56"/>
    </row>
    <row r="700" spans="1:60" ht="35.65" customHeight="1" thickBot="1">
      <c r="A700" s="31" t="s">
        <v>487</v>
      </c>
      <c r="B700" s="106">
        <v>3235</v>
      </c>
      <c r="C700" s="33"/>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c r="AB700" s="34"/>
      <c r="AC700" s="34">
        <v>10</v>
      </c>
      <c r="AD700" s="235"/>
      <c r="AE700" s="297">
        <f t="shared" ref="AE700:AM700" si="230">AE701</f>
        <v>0</v>
      </c>
      <c r="AF700" s="297">
        <f>AH700+AJ700</f>
        <v>0</v>
      </c>
      <c r="AG700" s="297">
        <f t="shared" si="230"/>
        <v>0</v>
      </c>
      <c r="AH700" s="297">
        <f t="shared" si="230"/>
        <v>0</v>
      </c>
      <c r="AI700" s="297">
        <f t="shared" si="230"/>
        <v>0</v>
      </c>
      <c r="AJ700" s="297">
        <f t="shared" si="230"/>
        <v>0</v>
      </c>
      <c r="AK700" s="297">
        <f t="shared" si="230"/>
        <v>0</v>
      </c>
      <c r="AL700" s="297"/>
      <c r="AM700" s="297">
        <f t="shared" si="230"/>
        <v>0</v>
      </c>
      <c r="AN700" s="297"/>
      <c r="AO700" s="297">
        <f t="shared" ref="AO700:BH700" si="231">AO701</f>
        <v>0</v>
      </c>
      <c r="AP700" s="297">
        <f t="shared" si="231"/>
        <v>0</v>
      </c>
      <c r="AQ700" s="297">
        <f t="shared" si="231"/>
        <v>0</v>
      </c>
      <c r="AR700" s="297">
        <f t="shared" si="231"/>
        <v>0</v>
      </c>
      <c r="AS700" s="297">
        <f t="shared" si="231"/>
        <v>0</v>
      </c>
      <c r="AT700" s="297">
        <f t="shared" si="231"/>
        <v>0</v>
      </c>
      <c r="AU700" s="297">
        <f t="shared" si="231"/>
        <v>0</v>
      </c>
      <c r="AV700" s="297">
        <f t="shared" si="231"/>
        <v>0</v>
      </c>
      <c r="AW700" s="297">
        <f t="shared" si="231"/>
        <v>0</v>
      </c>
      <c r="AX700" s="297">
        <f t="shared" si="231"/>
        <v>0</v>
      </c>
      <c r="AY700" s="297">
        <f t="shared" si="231"/>
        <v>0</v>
      </c>
      <c r="AZ700" s="297">
        <f t="shared" si="231"/>
        <v>0</v>
      </c>
      <c r="BA700" s="297">
        <f t="shared" si="231"/>
        <v>0</v>
      </c>
      <c r="BB700" s="297">
        <f t="shared" si="231"/>
        <v>0</v>
      </c>
      <c r="BC700" s="297">
        <f t="shared" si="231"/>
        <v>0</v>
      </c>
      <c r="BD700" s="297">
        <f t="shared" si="231"/>
        <v>0</v>
      </c>
      <c r="BE700" s="297">
        <f t="shared" si="231"/>
        <v>0</v>
      </c>
      <c r="BF700" s="297">
        <f t="shared" si="231"/>
        <v>0</v>
      </c>
      <c r="BG700" s="297">
        <f t="shared" si="231"/>
        <v>0</v>
      </c>
      <c r="BH700" s="297">
        <f t="shared" si="231"/>
        <v>0</v>
      </c>
    </row>
    <row r="701" spans="1:60" ht="35.65" customHeight="1" thickBot="1">
      <c r="A701" s="27" t="s">
        <v>488</v>
      </c>
      <c r="B701" s="35"/>
      <c r="C701" s="71" t="s">
        <v>489</v>
      </c>
      <c r="D701" s="71" t="s">
        <v>490</v>
      </c>
      <c r="E701" s="71" t="s">
        <v>491</v>
      </c>
      <c r="F701" s="26"/>
      <c r="G701" s="26"/>
      <c r="H701" s="26"/>
      <c r="I701" s="26"/>
      <c r="J701" s="71" t="s">
        <v>492</v>
      </c>
      <c r="K701" s="71" t="s">
        <v>493</v>
      </c>
      <c r="L701" s="71" t="s">
        <v>494</v>
      </c>
      <c r="M701" s="26"/>
      <c r="N701" s="71" t="s">
        <v>495</v>
      </c>
      <c r="O701" s="71" t="s">
        <v>496</v>
      </c>
      <c r="P701" s="26"/>
      <c r="Q701" s="26"/>
      <c r="R701" s="26"/>
      <c r="S701" s="26"/>
      <c r="T701" s="26"/>
      <c r="U701" s="26"/>
      <c r="V701" s="26"/>
      <c r="W701" s="26"/>
      <c r="X701" s="26"/>
      <c r="Y701" s="26"/>
      <c r="Z701" s="26"/>
      <c r="AA701" s="26"/>
      <c r="AB701" s="26"/>
      <c r="AC701" s="26"/>
      <c r="AD701" s="195" t="s">
        <v>1137</v>
      </c>
      <c r="AE701" s="26">
        <f>AG701+AI701+RM701+RN701</f>
        <v>0</v>
      </c>
      <c r="AF701" s="26">
        <f>AH701+AJ701</f>
        <v>0</v>
      </c>
      <c r="AG701" s="26"/>
      <c r="AH701" s="26"/>
      <c r="AI701" s="26">
        <f>30789.7-30789.7</f>
        <v>0</v>
      </c>
      <c r="AJ701" s="26"/>
      <c r="AK701" s="26"/>
      <c r="AL701" s="26"/>
      <c r="AM701" s="26"/>
      <c r="AN701" s="26"/>
      <c r="AO701" s="26">
        <f>AP701+AQ701+AR701+AS701</f>
        <v>0</v>
      </c>
      <c r="AP701" s="26"/>
      <c r="AQ701" s="26">
        <v>0</v>
      </c>
      <c r="AR701" s="26"/>
      <c r="AS701" s="26"/>
      <c r="AT701" s="26">
        <f>AU701+AV701+AW701+AX701</f>
        <v>0</v>
      </c>
      <c r="AU701" s="26"/>
      <c r="AV701" s="26">
        <v>0</v>
      </c>
      <c r="AW701" s="26"/>
      <c r="AX701" s="26"/>
      <c r="AY701" s="26">
        <f>AZ701+BA701+BB701+BC701</f>
        <v>0</v>
      </c>
      <c r="AZ701" s="26"/>
      <c r="BA701" s="26">
        <v>0</v>
      </c>
      <c r="BB701" s="26"/>
      <c r="BC701" s="26"/>
      <c r="BD701" s="26">
        <f>BE701+BF701+BG701+BH701</f>
        <v>0</v>
      </c>
      <c r="BE701" s="26"/>
      <c r="BF701" s="26">
        <v>0</v>
      </c>
      <c r="BG701" s="26"/>
      <c r="BH701" s="26"/>
    </row>
    <row r="702" spans="1:60" ht="35.65" customHeight="1" thickBot="1">
      <c r="A702" s="31" t="s">
        <v>497</v>
      </c>
      <c r="B702" s="106">
        <v>3236</v>
      </c>
      <c r="C702" s="33"/>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c r="AB702" s="34"/>
      <c r="AC702" s="34">
        <v>10</v>
      </c>
      <c r="AD702" s="235"/>
      <c r="AE702" s="118">
        <f>AE703+AE704+AE705</f>
        <v>414.2</v>
      </c>
      <c r="AF702" s="118">
        <f>AH702+AJ702</f>
        <v>410.7</v>
      </c>
      <c r="AG702" s="118">
        <f t="shared" ref="AG702:AM702" si="232">AG703+AG704+AG705</f>
        <v>0</v>
      </c>
      <c r="AH702" s="118">
        <f t="shared" si="232"/>
        <v>0</v>
      </c>
      <c r="AI702" s="118">
        <f t="shared" si="232"/>
        <v>414.2</v>
      </c>
      <c r="AJ702" s="118">
        <f t="shared" si="232"/>
        <v>410.7</v>
      </c>
      <c r="AK702" s="118">
        <f t="shared" si="232"/>
        <v>0</v>
      </c>
      <c r="AL702" s="118"/>
      <c r="AM702" s="118">
        <f t="shared" si="232"/>
        <v>0</v>
      </c>
      <c r="AN702" s="118"/>
      <c r="AO702" s="118">
        <f t="shared" ref="AO702:BH702" si="233">AO703+AO704+AO705</f>
        <v>711.09999999999991</v>
      </c>
      <c r="AP702" s="118">
        <f t="shared" si="233"/>
        <v>0</v>
      </c>
      <c r="AQ702" s="118">
        <f t="shared" si="233"/>
        <v>711.09999999999991</v>
      </c>
      <c r="AR702" s="118">
        <f t="shared" si="233"/>
        <v>0</v>
      </c>
      <c r="AS702" s="118">
        <f t="shared" si="233"/>
        <v>0</v>
      </c>
      <c r="AT702" s="118">
        <f t="shared" si="233"/>
        <v>641.4</v>
      </c>
      <c r="AU702" s="118">
        <f t="shared" si="233"/>
        <v>0</v>
      </c>
      <c r="AV702" s="118">
        <f t="shared" si="233"/>
        <v>641.4</v>
      </c>
      <c r="AW702" s="118">
        <f t="shared" si="233"/>
        <v>0</v>
      </c>
      <c r="AX702" s="118">
        <f t="shared" si="233"/>
        <v>0</v>
      </c>
      <c r="AY702" s="118">
        <f t="shared" si="233"/>
        <v>641.4</v>
      </c>
      <c r="AZ702" s="118">
        <f t="shared" si="233"/>
        <v>0</v>
      </c>
      <c r="BA702" s="118">
        <f t="shared" si="233"/>
        <v>641.4</v>
      </c>
      <c r="BB702" s="118">
        <f t="shared" si="233"/>
        <v>0</v>
      </c>
      <c r="BC702" s="118">
        <f t="shared" si="233"/>
        <v>0</v>
      </c>
      <c r="BD702" s="118">
        <f t="shared" si="233"/>
        <v>641.4</v>
      </c>
      <c r="BE702" s="118">
        <f t="shared" si="233"/>
        <v>0</v>
      </c>
      <c r="BF702" s="118">
        <f t="shared" si="233"/>
        <v>641.4</v>
      </c>
      <c r="BG702" s="118">
        <f t="shared" si="233"/>
        <v>0</v>
      </c>
      <c r="BH702" s="118">
        <f t="shared" si="233"/>
        <v>0</v>
      </c>
    </row>
    <row r="703" spans="1:60" ht="35.65" customHeight="1" thickBot="1">
      <c r="A703" s="27" t="s">
        <v>387</v>
      </c>
      <c r="B703" s="35"/>
      <c r="C703" s="43" t="s">
        <v>498</v>
      </c>
      <c r="D703" s="43" t="s">
        <v>163</v>
      </c>
      <c r="E703" s="43" t="s">
        <v>499</v>
      </c>
      <c r="F703" s="43"/>
      <c r="G703" s="43"/>
      <c r="H703" s="43"/>
      <c r="I703" s="43"/>
      <c r="J703" s="43" t="s">
        <v>500</v>
      </c>
      <c r="K703" s="43" t="s">
        <v>501</v>
      </c>
      <c r="L703" s="43" t="s">
        <v>502</v>
      </c>
      <c r="M703" s="52"/>
      <c r="N703" s="52"/>
      <c r="O703" s="52"/>
      <c r="P703" s="52"/>
      <c r="Q703" s="52"/>
      <c r="R703" s="52"/>
      <c r="S703" s="52"/>
      <c r="T703" s="52"/>
      <c r="U703" s="52"/>
      <c r="V703" s="52"/>
      <c r="W703" s="71" t="s">
        <v>503</v>
      </c>
      <c r="X703" s="20" t="s">
        <v>112</v>
      </c>
      <c r="Y703" s="52"/>
      <c r="Z703" s="71" t="s">
        <v>503</v>
      </c>
      <c r="AA703" s="20" t="s">
        <v>112</v>
      </c>
      <c r="AB703" s="52"/>
      <c r="AC703" s="26"/>
      <c r="AD703" s="195" t="s">
        <v>1138</v>
      </c>
      <c r="AE703" s="26">
        <f>AG703+AI703+RM703+RN703</f>
        <v>371.5</v>
      </c>
      <c r="AF703" s="26">
        <f>AH703+AJ703</f>
        <v>368.3</v>
      </c>
      <c r="AG703" s="26"/>
      <c r="AH703" s="26"/>
      <c r="AI703" s="26">
        <f>491-117.8-1.7</f>
        <v>371.5</v>
      </c>
      <c r="AJ703" s="26">
        <v>368.3</v>
      </c>
      <c r="AK703" s="26"/>
      <c r="AL703" s="26"/>
      <c r="AM703" s="26"/>
      <c r="AN703" s="26"/>
      <c r="AO703" s="26">
        <f>AP703+AQ703+AR703+AS703</f>
        <v>665.99999999999989</v>
      </c>
      <c r="AP703" s="26"/>
      <c r="AQ703" s="26">
        <f>604.8-69.7+130.9</f>
        <v>665.99999999999989</v>
      </c>
      <c r="AR703" s="26"/>
      <c r="AS703" s="26"/>
      <c r="AT703" s="26">
        <f>AU703+AV703+AW703+AX703</f>
        <v>604.79999999999995</v>
      </c>
      <c r="AU703" s="26"/>
      <c r="AV703" s="26">
        <v>604.79999999999995</v>
      </c>
      <c r="AW703" s="26"/>
      <c r="AX703" s="26"/>
      <c r="AY703" s="26">
        <f>AZ703+BA703+BB703+BC703</f>
        <v>604.79999999999995</v>
      </c>
      <c r="AZ703" s="26"/>
      <c r="BA703" s="26">
        <v>604.79999999999995</v>
      </c>
      <c r="BB703" s="26"/>
      <c r="BC703" s="26"/>
      <c r="BD703" s="26">
        <f>BE703+BF703+BG703+BH703</f>
        <v>604.79999999999995</v>
      </c>
      <c r="BE703" s="26"/>
      <c r="BF703" s="26">
        <v>604.79999999999995</v>
      </c>
      <c r="BG703" s="26"/>
      <c r="BH703" s="26"/>
    </row>
    <row r="704" spans="1:60" ht="35.65" customHeight="1" thickBot="1">
      <c r="A704" s="27" t="s">
        <v>387</v>
      </c>
      <c r="B704" s="35"/>
      <c r="C704" s="43" t="s">
        <v>498</v>
      </c>
      <c r="D704" s="43" t="s">
        <v>163</v>
      </c>
      <c r="E704" s="43" t="s">
        <v>499</v>
      </c>
      <c r="F704" s="43"/>
      <c r="G704" s="43"/>
      <c r="H704" s="43"/>
      <c r="I704" s="43"/>
      <c r="J704" s="43" t="s">
        <v>504</v>
      </c>
      <c r="K704" s="43" t="s">
        <v>501</v>
      </c>
      <c r="L704" s="43" t="s">
        <v>502</v>
      </c>
      <c r="M704" s="52"/>
      <c r="N704" s="52"/>
      <c r="O704" s="52"/>
      <c r="P704" s="52"/>
      <c r="Q704" s="52"/>
      <c r="R704" s="52"/>
      <c r="S704" s="52"/>
      <c r="T704" s="52"/>
      <c r="U704" s="52"/>
      <c r="V704" s="52"/>
      <c r="W704" s="71" t="s">
        <v>503</v>
      </c>
      <c r="X704" s="20" t="s">
        <v>112</v>
      </c>
      <c r="Y704" s="52"/>
      <c r="Z704" s="71" t="s">
        <v>503</v>
      </c>
      <c r="AA704" s="20" t="s">
        <v>112</v>
      </c>
      <c r="AB704" s="52"/>
      <c r="AC704" s="26"/>
      <c r="AD704" s="195" t="s">
        <v>1139</v>
      </c>
      <c r="AE704" s="26">
        <f>AG704+AI704+RM704+RN704</f>
        <v>42.4</v>
      </c>
      <c r="AF704" s="26">
        <f t="shared" ref="AF704:AF705" si="234">AH704+AJ704</f>
        <v>42.4</v>
      </c>
      <c r="AG704" s="26"/>
      <c r="AH704" s="26"/>
      <c r="AI704" s="26">
        <f>42.7-1.7+1.4</f>
        <v>42.4</v>
      </c>
      <c r="AJ704" s="26">
        <v>42.4</v>
      </c>
      <c r="AK704" s="26"/>
      <c r="AL704" s="26"/>
      <c r="AM704" s="26"/>
      <c r="AN704" s="26"/>
      <c r="AO704" s="26">
        <f>AP704+AQ704+AR704+AS704</f>
        <v>45.1</v>
      </c>
      <c r="AP704" s="26"/>
      <c r="AQ704" s="26">
        <f>36.6+8.5</f>
        <v>45.1</v>
      </c>
      <c r="AR704" s="26"/>
      <c r="AS704" s="26"/>
      <c r="AT704" s="26">
        <f>AU704+AV704+AW704+AX704</f>
        <v>36.6</v>
      </c>
      <c r="AU704" s="26"/>
      <c r="AV704" s="26">
        <v>36.6</v>
      </c>
      <c r="AW704" s="26"/>
      <c r="AX704" s="26"/>
      <c r="AY704" s="26">
        <f>AZ704+BA704+BB704+BC704</f>
        <v>36.6</v>
      </c>
      <c r="AZ704" s="26"/>
      <c r="BA704" s="26">
        <v>36.6</v>
      </c>
      <c r="BB704" s="26"/>
      <c r="BC704" s="26"/>
      <c r="BD704" s="26">
        <f>BE704+BF704+BG704+BH704</f>
        <v>36.6</v>
      </c>
      <c r="BE704" s="26"/>
      <c r="BF704" s="26">
        <v>36.6</v>
      </c>
      <c r="BG704" s="26"/>
      <c r="BH704" s="26"/>
    </row>
    <row r="705" spans="1:60" ht="35.65" customHeight="1" thickBot="1">
      <c r="A705" s="27" t="s">
        <v>387</v>
      </c>
      <c r="B705" s="35"/>
      <c r="C705" s="43"/>
      <c r="D705" s="43"/>
      <c r="E705" s="43"/>
      <c r="F705" s="43"/>
      <c r="G705" s="43"/>
      <c r="H705" s="43"/>
      <c r="I705" s="43"/>
      <c r="J705" s="43"/>
      <c r="K705" s="43"/>
      <c r="L705" s="43"/>
      <c r="M705" s="52"/>
      <c r="N705" s="52"/>
      <c r="O705" s="52"/>
      <c r="P705" s="52"/>
      <c r="Q705" s="52"/>
      <c r="R705" s="52"/>
      <c r="S705" s="52"/>
      <c r="T705" s="52"/>
      <c r="U705" s="52"/>
      <c r="V705" s="52"/>
      <c r="W705" s="71"/>
      <c r="X705" s="20"/>
      <c r="Y705" s="52"/>
      <c r="Z705" s="71"/>
      <c r="AA705" s="20"/>
      <c r="AB705" s="52"/>
      <c r="AC705" s="26"/>
      <c r="AD705" s="195" t="s">
        <v>1140</v>
      </c>
      <c r="AE705" s="26">
        <f>AG705+AI705+RM705+RN705</f>
        <v>0.3</v>
      </c>
      <c r="AF705" s="26">
        <f t="shared" si="234"/>
        <v>0</v>
      </c>
      <c r="AG705" s="26"/>
      <c r="AH705" s="26"/>
      <c r="AI705" s="26">
        <v>0.3</v>
      </c>
      <c r="AJ705" s="26">
        <v>0</v>
      </c>
      <c r="AK705" s="26"/>
      <c r="AL705" s="26"/>
      <c r="AM705" s="26"/>
      <c r="AN705" s="26"/>
      <c r="AO705" s="26">
        <f>AP705+AQ705+AR705+AS705</f>
        <v>0</v>
      </c>
      <c r="AP705" s="26"/>
      <c r="AQ705" s="26"/>
      <c r="AR705" s="26"/>
      <c r="AS705" s="26"/>
      <c r="AT705" s="26">
        <f>AU705+AV705+AW705+AX705</f>
        <v>0</v>
      </c>
      <c r="AU705" s="26"/>
      <c r="AV705" s="26"/>
      <c r="AW705" s="26"/>
      <c r="AX705" s="26"/>
      <c r="AY705" s="26">
        <f>AZ705+BA705+BB705+BC705</f>
        <v>0</v>
      </c>
      <c r="AZ705" s="26"/>
      <c r="BA705" s="26"/>
      <c r="BB705" s="26"/>
      <c r="BC705" s="26"/>
      <c r="BD705" s="26">
        <f>BE705+BF705+BG705+BH705</f>
        <v>0</v>
      </c>
      <c r="BE705" s="26"/>
      <c r="BF705" s="26"/>
      <c r="BG705" s="26"/>
      <c r="BH705" s="26"/>
    </row>
    <row r="706" spans="1:60" ht="35.65" customHeight="1" thickBot="1">
      <c r="A706" s="31" t="s">
        <v>505</v>
      </c>
      <c r="B706" s="106">
        <v>3237</v>
      </c>
      <c r="C706" s="33"/>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c r="AB706" s="34"/>
      <c r="AC706" s="34">
        <v>10</v>
      </c>
      <c r="AD706" s="235"/>
      <c r="AE706" s="34">
        <f t="shared" ref="AE706:AM706" si="235">AE707+AE708+AE710+AE709</f>
        <v>13585</v>
      </c>
      <c r="AF706" s="34">
        <f>AH706+AJ706</f>
        <v>12365.099999999999</v>
      </c>
      <c r="AG706" s="34">
        <f t="shared" si="235"/>
        <v>0</v>
      </c>
      <c r="AH706" s="34">
        <f t="shared" si="235"/>
        <v>0</v>
      </c>
      <c r="AI706" s="34">
        <f t="shared" si="235"/>
        <v>13585</v>
      </c>
      <c r="AJ706" s="34">
        <f t="shared" si="235"/>
        <v>12365.099999999999</v>
      </c>
      <c r="AK706" s="34">
        <f t="shared" si="235"/>
        <v>0</v>
      </c>
      <c r="AL706" s="34"/>
      <c r="AM706" s="34">
        <f t="shared" si="235"/>
        <v>0</v>
      </c>
      <c r="AN706" s="34"/>
      <c r="AO706" s="34">
        <f t="shared" ref="AO706:BH706" si="236">AO707+AO708+AO710+AO709</f>
        <v>12387.699999999999</v>
      </c>
      <c r="AP706" s="34">
        <f t="shared" si="236"/>
        <v>0</v>
      </c>
      <c r="AQ706" s="34">
        <f t="shared" si="236"/>
        <v>12387.699999999999</v>
      </c>
      <c r="AR706" s="34">
        <f t="shared" si="236"/>
        <v>0</v>
      </c>
      <c r="AS706" s="34">
        <f t="shared" si="236"/>
        <v>0</v>
      </c>
      <c r="AT706" s="34">
        <f t="shared" si="236"/>
        <v>19945.8</v>
      </c>
      <c r="AU706" s="34">
        <f t="shared" si="236"/>
        <v>0</v>
      </c>
      <c r="AV706" s="34">
        <f t="shared" si="236"/>
        <v>19945.8</v>
      </c>
      <c r="AW706" s="34">
        <f t="shared" si="236"/>
        <v>0</v>
      </c>
      <c r="AX706" s="34">
        <f t="shared" si="236"/>
        <v>0</v>
      </c>
      <c r="AY706" s="34">
        <f t="shared" si="236"/>
        <v>19945.8</v>
      </c>
      <c r="AZ706" s="34">
        <f t="shared" si="236"/>
        <v>0</v>
      </c>
      <c r="BA706" s="34">
        <f t="shared" si="236"/>
        <v>19945.8</v>
      </c>
      <c r="BB706" s="34">
        <f t="shared" si="236"/>
        <v>0</v>
      </c>
      <c r="BC706" s="34">
        <f t="shared" si="236"/>
        <v>0</v>
      </c>
      <c r="BD706" s="34">
        <f t="shared" si="236"/>
        <v>19945.8</v>
      </c>
      <c r="BE706" s="34">
        <f t="shared" si="236"/>
        <v>0</v>
      </c>
      <c r="BF706" s="34">
        <f t="shared" si="236"/>
        <v>19945.8</v>
      </c>
      <c r="BG706" s="34">
        <f t="shared" si="236"/>
        <v>0</v>
      </c>
      <c r="BH706" s="34">
        <f t="shared" si="236"/>
        <v>0</v>
      </c>
    </row>
    <row r="707" spans="1:60" ht="35.65" customHeight="1" thickBot="1">
      <c r="A707" s="27" t="s">
        <v>387</v>
      </c>
      <c r="B707" s="35"/>
      <c r="C707" s="43" t="s">
        <v>498</v>
      </c>
      <c r="D707" s="43" t="s">
        <v>163</v>
      </c>
      <c r="E707" s="43" t="s">
        <v>499</v>
      </c>
      <c r="F707" s="43"/>
      <c r="G707" s="43"/>
      <c r="H707" s="43"/>
      <c r="I707" s="43"/>
      <c r="J707" s="264" t="s">
        <v>506</v>
      </c>
      <c r="K707" s="43"/>
      <c r="L707" s="43"/>
      <c r="M707" s="43" t="s">
        <v>507</v>
      </c>
      <c r="N707" s="43"/>
      <c r="O707" s="43"/>
      <c r="P707" s="43"/>
      <c r="Q707" s="43"/>
      <c r="R707" s="43"/>
      <c r="S707" s="43"/>
      <c r="T707" s="43"/>
      <c r="U707" s="43"/>
      <c r="V707" s="43"/>
      <c r="W707" s="247" t="s">
        <v>508</v>
      </c>
      <c r="X707" s="20" t="s">
        <v>112</v>
      </c>
      <c r="Y707" s="43"/>
      <c r="Z707" s="247" t="s">
        <v>508</v>
      </c>
      <c r="AA707" s="20" t="s">
        <v>112</v>
      </c>
      <c r="AB707" s="43"/>
      <c r="AC707" s="26"/>
      <c r="AD707" s="195" t="s">
        <v>1141</v>
      </c>
      <c r="AE707" s="26">
        <f>AG707+AI707+RM707+RN707</f>
        <v>10099.1</v>
      </c>
      <c r="AF707" s="26">
        <f>AH707+AJ707</f>
        <v>9120.2999999999993</v>
      </c>
      <c r="AG707" s="26"/>
      <c r="AH707" s="26"/>
      <c r="AI707" s="26">
        <f>10788.5-689.4</f>
        <v>10099.1</v>
      </c>
      <c r="AJ707" s="26">
        <v>9120.2999999999993</v>
      </c>
      <c r="AK707" s="26"/>
      <c r="AL707" s="26"/>
      <c r="AM707" s="26"/>
      <c r="AN707" s="26"/>
      <c r="AO707" s="26">
        <f>AP707+AQ707+AR707+AS707</f>
        <v>9260.6999999999989</v>
      </c>
      <c r="AP707" s="26"/>
      <c r="AQ707" s="26">
        <f>11223.4-866.1-1096.6</f>
        <v>9260.6999999999989</v>
      </c>
      <c r="AR707" s="26"/>
      <c r="AS707" s="26"/>
      <c r="AT707" s="26">
        <f>AU707+AV707+AW707+AX707</f>
        <v>11102.4</v>
      </c>
      <c r="AU707" s="26"/>
      <c r="AV707" s="26">
        <f>11102.3+0.1</f>
        <v>11102.4</v>
      </c>
      <c r="AW707" s="26"/>
      <c r="AX707" s="26"/>
      <c r="AY707" s="26">
        <f>AZ707+BA707+BB707+BC707</f>
        <v>11102.4</v>
      </c>
      <c r="AZ707" s="26"/>
      <c r="BA707" s="26">
        <f>11102.3+0.1</f>
        <v>11102.4</v>
      </c>
      <c r="BB707" s="26"/>
      <c r="BC707" s="26"/>
      <c r="BD707" s="26">
        <f>BE707+BF707+BG707+BH707</f>
        <v>11102.4</v>
      </c>
      <c r="BE707" s="26"/>
      <c r="BF707" s="26">
        <f>11102.3+0.1</f>
        <v>11102.4</v>
      </c>
      <c r="BG707" s="26"/>
      <c r="BH707" s="26"/>
    </row>
    <row r="708" spans="1:60" ht="35.65" customHeight="1" thickBot="1">
      <c r="A708" s="27" t="s">
        <v>387</v>
      </c>
      <c r="B708" s="35"/>
      <c r="C708" s="43" t="s">
        <v>498</v>
      </c>
      <c r="D708" s="43" t="s">
        <v>163</v>
      </c>
      <c r="E708" s="43" t="s">
        <v>499</v>
      </c>
      <c r="F708" s="43"/>
      <c r="G708" s="43"/>
      <c r="H708" s="43"/>
      <c r="I708" s="43"/>
      <c r="J708" s="267" t="s">
        <v>506</v>
      </c>
      <c r="K708" s="43"/>
      <c r="L708" s="43"/>
      <c r="M708" s="43" t="s">
        <v>507</v>
      </c>
      <c r="N708" s="43"/>
      <c r="O708" s="43"/>
      <c r="P708" s="43"/>
      <c r="Q708" s="43"/>
      <c r="R708" s="43"/>
      <c r="S708" s="43"/>
      <c r="T708" s="43"/>
      <c r="U708" s="43"/>
      <c r="V708" s="43"/>
      <c r="W708" s="247" t="s">
        <v>508</v>
      </c>
      <c r="X708" s="20" t="s">
        <v>112</v>
      </c>
      <c r="Y708" s="43"/>
      <c r="Z708" s="247" t="s">
        <v>508</v>
      </c>
      <c r="AA708" s="20" t="s">
        <v>112</v>
      </c>
      <c r="AB708" s="43"/>
      <c r="AC708" s="26"/>
      <c r="AD708" s="195" t="s">
        <v>1142</v>
      </c>
      <c r="AE708" s="26">
        <f>AG708+AI708+RM708+RN708</f>
        <v>1565.2</v>
      </c>
      <c r="AF708" s="26">
        <f t="shared" ref="AF708:AF710" si="237">AH708+AJ708</f>
        <v>1470</v>
      </c>
      <c r="AG708" s="26"/>
      <c r="AH708" s="26"/>
      <c r="AI708" s="26">
        <f>1840.2-275</f>
        <v>1565.2</v>
      </c>
      <c r="AJ708" s="26">
        <v>1470</v>
      </c>
      <c r="AK708" s="26"/>
      <c r="AL708" s="26"/>
      <c r="AM708" s="26"/>
      <c r="AN708" s="26"/>
      <c r="AO708" s="26">
        <f>AP708+AQ708+AR708+AS708</f>
        <v>1427.5000000000002</v>
      </c>
      <c r="AP708" s="26"/>
      <c r="AQ708" s="26">
        <f>2219.8-484.3-308</f>
        <v>1427.5000000000002</v>
      </c>
      <c r="AR708" s="26"/>
      <c r="AS708" s="26"/>
      <c r="AT708" s="26">
        <f>AU708+AV708+AW708+AX708</f>
        <v>2195.9</v>
      </c>
      <c r="AU708" s="26"/>
      <c r="AV708" s="26">
        <v>2195.9</v>
      </c>
      <c r="AW708" s="26"/>
      <c r="AX708" s="26"/>
      <c r="AY708" s="26">
        <f>AZ708+BA708+BB708+BC708</f>
        <v>2195.9</v>
      </c>
      <c r="AZ708" s="26"/>
      <c r="BA708" s="26">
        <v>2195.9</v>
      </c>
      <c r="BB708" s="26"/>
      <c r="BC708" s="26"/>
      <c r="BD708" s="26">
        <f>BE708+BF708+BG708+BH708</f>
        <v>2195.9</v>
      </c>
      <c r="BE708" s="26"/>
      <c r="BF708" s="26">
        <v>2195.9</v>
      </c>
      <c r="BG708" s="26"/>
      <c r="BH708" s="26"/>
    </row>
    <row r="709" spans="1:60" ht="35.65" customHeight="1" thickBot="1">
      <c r="A709" s="27" t="s">
        <v>387</v>
      </c>
      <c r="B709" s="35"/>
      <c r="C709" s="43"/>
      <c r="D709" s="43"/>
      <c r="E709" s="43"/>
      <c r="F709" s="43"/>
      <c r="G709" s="43"/>
      <c r="H709" s="43"/>
      <c r="I709" s="43"/>
      <c r="J709" s="267"/>
      <c r="K709" s="43"/>
      <c r="L709" s="43"/>
      <c r="M709" s="43"/>
      <c r="N709" s="43"/>
      <c r="O709" s="43"/>
      <c r="P709" s="43"/>
      <c r="Q709" s="43"/>
      <c r="R709" s="43"/>
      <c r="S709" s="43"/>
      <c r="T709" s="43"/>
      <c r="U709" s="43"/>
      <c r="V709" s="43"/>
      <c r="W709" s="247"/>
      <c r="X709" s="20"/>
      <c r="Y709" s="43"/>
      <c r="Z709" s="247"/>
      <c r="AA709" s="20"/>
      <c r="AB709" s="43"/>
      <c r="AC709" s="26"/>
      <c r="AD709" s="195" t="s">
        <v>1143</v>
      </c>
      <c r="AE709" s="26">
        <f>AG709+AI709+RM709+RN709</f>
        <v>0</v>
      </c>
      <c r="AF709" s="26">
        <f t="shared" si="237"/>
        <v>0</v>
      </c>
      <c r="AG709" s="26"/>
      <c r="AH709" s="26"/>
      <c r="AI709" s="26">
        <f>200.6-200.6</f>
        <v>0</v>
      </c>
      <c r="AJ709" s="26"/>
      <c r="AK709" s="26"/>
      <c r="AL709" s="26"/>
      <c r="AM709" s="26"/>
      <c r="AN709" s="26"/>
      <c r="AO709" s="26">
        <f>AP709+AQ709+AR709+AS709</f>
        <v>0</v>
      </c>
      <c r="AP709" s="26"/>
      <c r="AQ709" s="26">
        <f>3808.1-458.5-3349.6</f>
        <v>0</v>
      </c>
      <c r="AR709" s="26"/>
      <c r="AS709" s="26"/>
      <c r="AT709" s="26">
        <f>AU709+AV709+AW709+AX709</f>
        <v>3767</v>
      </c>
      <c r="AU709" s="26"/>
      <c r="AV709" s="26">
        <v>3767</v>
      </c>
      <c r="AW709" s="26"/>
      <c r="AX709" s="26"/>
      <c r="AY709" s="26">
        <f>AZ709+BA709+BB709+BC709</f>
        <v>3767</v>
      </c>
      <c r="AZ709" s="26"/>
      <c r="BA709" s="26">
        <v>3767</v>
      </c>
      <c r="BB709" s="26"/>
      <c r="BC709" s="26"/>
      <c r="BD709" s="26">
        <f>BE709+BF709+BG709+BH709</f>
        <v>3767</v>
      </c>
      <c r="BE709" s="26"/>
      <c r="BF709" s="26">
        <v>3767</v>
      </c>
      <c r="BG709" s="26"/>
      <c r="BH709" s="26"/>
    </row>
    <row r="710" spans="1:60" ht="35.65" customHeight="1" thickBot="1">
      <c r="A710" s="27" t="s">
        <v>387</v>
      </c>
      <c r="B710" s="35"/>
      <c r="C710" s="43" t="s">
        <v>498</v>
      </c>
      <c r="D710" s="43" t="s">
        <v>163</v>
      </c>
      <c r="E710" s="43" t="s">
        <v>499</v>
      </c>
      <c r="F710" s="43"/>
      <c r="G710" s="43"/>
      <c r="H710" s="43"/>
      <c r="I710" s="43"/>
      <c r="J710" s="264" t="s">
        <v>506</v>
      </c>
      <c r="K710" s="43"/>
      <c r="L710" s="43"/>
      <c r="M710" s="43" t="s">
        <v>509</v>
      </c>
      <c r="N710" s="43"/>
      <c r="O710" s="43"/>
      <c r="P710" s="43"/>
      <c r="Q710" s="43"/>
      <c r="R710" s="43"/>
      <c r="S710" s="43"/>
      <c r="T710" s="43"/>
      <c r="U710" s="43"/>
      <c r="V710" s="43"/>
      <c r="W710" s="43" t="s">
        <v>510</v>
      </c>
      <c r="X710" s="20" t="s">
        <v>112</v>
      </c>
      <c r="Y710" s="43"/>
      <c r="Z710" s="43" t="s">
        <v>510</v>
      </c>
      <c r="AA710" s="20" t="s">
        <v>112</v>
      </c>
      <c r="AB710" s="43"/>
      <c r="AC710" s="26"/>
      <c r="AD710" s="195" t="s">
        <v>1144</v>
      </c>
      <c r="AE710" s="26">
        <f>AG710+AI710+RM710+RN710</f>
        <v>1920.6999999999998</v>
      </c>
      <c r="AF710" s="26">
        <f t="shared" si="237"/>
        <v>1774.8</v>
      </c>
      <c r="AG710" s="26"/>
      <c r="AH710" s="26"/>
      <c r="AI710" s="26">
        <f>3336.7-1046-370</f>
        <v>1920.6999999999998</v>
      </c>
      <c r="AJ710" s="26">
        <v>1774.8</v>
      </c>
      <c r="AK710" s="26"/>
      <c r="AL710" s="26"/>
      <c r="AM710" s="26"/>
      <c r="AN710" s="26"/>
      <c r="AO710" s="26">
        <f>AP710+AQ710+AR710+AS710</f>
        <v>1699.5</v>
      </c>
      <c r="AP710" s="26"/>
      <c r="AQ710" s="26">
        <f>2880.5-800-381</f>
        <v>1699.5</v>
      </c>
      <c r="AR710" s="26"/>
      <c r="AS710" s="26"/>
      <c r="AT710" s="26">
        <f>AU710+AV710+AW710+AX710</f>
        <v>2880.5</v>
      </c>
      <c r="AU710" s="26"/>
      <c r="AV710" s="26">
        <v>2880.5</v>
      </c>
      <c r="AW710" s="26"/>
      <c r="AX710" s="26"/>
      <c r="AY710" s="26">
        <f>AZ710+BA710+BB710+BC710</f>
        <v>2880.5</v>
      </c>
      <c r="AZ710" s="26"/>
      <c r="BA710" s="26">
        <v>2880.5</v>
      </c>
      <c r="BB710" s="26"/>
      <c r="BC710" s="26"/>
      <c r="BD710" s="26">
        <f>BE710+BF710+BG710+BH710</f>
        <v>2880.5</v>
      </c>
      <c r="BE710" s="26"/>
      <c r="BF710" s="26">
        <v>2880.5</v>
      </c>
      <c r="BG710" s="26"/>
      <c r="BH710" s="26"/>
    </row>
    <row r="711" spans="1:60" ht="35.65" customHeight="1" thickBot="1">
      <c r="A711" s="31" t="s">
        <v>511</v>
      </c>
      <c r="B711" s="106">
        <v>3241</v>
      </c>
      <c r="C711" s="33"/>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c r="AB711" s="34"/>
      <c r="AC711" s="34">
        <v>6</v>
      </c>
      <c r="AD711" s="235"/>
      <c r="AE711" s="34">
        <f>AE712+AE713+AE714+AE715+AE716+AE717+AE718</f>
        <v>8057.4000000000005</v>
      </c>
      <c r="AF711" s="34">
        <f>AH711+AJ711</f>
        <v>8057.2</v>
      </c>
      <c r="AG711" s="34">
        <f t="shared" ref="AG711:AM711" si="238">AG712+AG713+AG714+AG715+AG716+AG717+AG718</f>
        <v>0</v>
      </c>
      <c r="AH711" s="34">
        <f t="shared" si="238"/>
        <v>0</v>
      </c>
      <c r="AI711" s="34">
        <f t="shared" si="238"/>
        <v>8057.4000000000005</v>
      </c>
      <c r="AJ711" s="34">
        <f t="shared" si="238"/>
        <v>8057.2</v>
      </c>
      <c r="AK711" s="34">
        <f t="shared" si="238"/>
        <v>0</v>
      </c>
      <c r="AL711" s="34"/>
      <c r="AM711" s="34">
        <f t="shared" si="238"/>
        <v>0</v>
      </c>
      <c r="AN711" s="34"/>
      <c r="AO711" s="34">
        <f t="shared" ref="AO711:BH711" si="239">AO712+AO713+AO714+AO715+AO716+AO717+AO718</f>
        <v>9434.1</v>
      </c>
      <c r="AP711" s="34">
        <f t="shared" si="239"/>
        <v>0</v>
      </c>
      <c r="AQ711" s="34">
        <f t="shared" si="239"/>
        <v>9434.1</v>
      </c>
      <c r="AR711" s="34">
        <f t="shared" si="239"/>
        <v>0</v>
      </c>
      <c r="AS711" s="34">
        <f t="shared" si="239"/>
        <v>0</v>
      </c>
      <c r="AT711" s="34">
        <f t="shared" si="239"/>
        <v>9617.1</v>
      </c>
      <c r="AU711" s="34">
        <f t="shared" si="239"/>
        <v>0</v>
      </c>
      <c r="AV711" s="34">
        <f t="shared" si="239"/>
        <v>9617.1</v>
      </c>
      <c r="AW711" s="34">
        <f t="shared" si="239"/>
        <v>0</v>
      </c>
      <c r="AX711" s="34">
        <f t="shared" si="239"/>
        <v>0</v>
      </c>
      <c r="AY711" s="34">
        <f t="shared" si="239"/>
        <v>9617.1</v>
      </c>
      <c r="AZ711" s="34">
        <f t="shared" si="239"/>
        <v>0</v>
      </c>
      <c r="BA711" s="34">
        <f t="shared" si="239"/>
        <v>9617.1</v>
      </c>
      <c r="BB711" s="34">
        <f t="shared" si="239"/>
        <v>0</v>
      </c>
      <c r="BC711" s="34">
        <f t="shared" si="239"/>
        <v>0</v>
      </c>
      <c r="BD711" s="34">
        <f t="shared" si="239"/>
        <v>9617.1</v>
      </c>
      <c r="BE711" s="34">
        <f t="shared" si="239"/>
        <v>0</v>
      </c>
      <c r="BF711" s="34">
        <f t="shared" si="239"/>
        <v>9617.1</v>
      </c>
      <c r="BG711" s="34">
        <f t="shared" si="239"/>
        <v>0</v>
      </c>
      <c r="BH711" s="34">
        <f t="shared" si="239"/>
        <v>0</v>
      </c>
    </row>
    <row r="712" spans="1:60" ht="35.65" customHeight="1" thickBot="1">
      <c r="A712" s="27" t="s">
        <v>387</v>
      </c>
      <c r="B712" s="35"/>
      <c r="C712" s="20" t="s">
        <v>105</v>
      </c>
      <c r="D712" s="20" t="s">
        <v>106</v>
      </c>
      <c r="E712" s="20" t="s">
        <v>107</v>
      </c>
      <c r="F712" s="71"/>
      <c r="G712" s="71"/>
      <c r="H712" s="71"/>
      <c r="I712" s="71"/>
      <c r="J712" s="71" t="s">
        <v>199</v>
      </c>
      <c r="K712" s="20" t="s">
        <v>112</v>
      </c>
      <c r="L712" s="52"/>
      <c r="M712" s="52"/>
      <c r="N712" s="52"/>
      <c r="O712" s="52"/>
      <c r="P712" s="71" t="s">
        <v>135</v>
      </c>
      <c r="Q712" s="20" t="s">
        <v>112</v>
      </c>
      <c r="R712" s="52"/>
      <c r="S712" s="52"/>
      <c r="T712" s="52"/>
      <c r="U712" s="52"/>
      <c r="V712" s="52"/>
      <c r="W712" s="98" t="s">
        <v>115</v>
      </c>
      <c r="X712" s="20" t="s">
        <v>112</v>
      </c>
      <c r="Y712" s="52"/>
      <c r="Z712" s="98" t="s">
        <v>115</v>
      </c>
      <c r="AA712" s="20" t="s">
        <v>112</v>
      </c>
      <c r="AB712" s="52"/>
      <c r="AC712" s="26"/>
      <c r="AD712" s="195" t="s">
        <v>1145</v>
      </c>
      <c r="AE712" s="26">
        <f t="shared" ref="AE712:AE718" si="240">AG712+AI712+RM712+RN712</f>
        <v>0</v>
      </c>
      <c r="AF712" s="26">
        <f>AH712+AJ712</f>
        <v>0</v>
      </c>
      <c r="AG712" s="26"/>
      <c r="AH712" s="26"/>
      <c r="AI712" s="26">
        <v>0</v>
      </c>
      <c r="AJ712" s="26"/>
      <c r="AK712" s="26"/>
      <c r="AL712" s="26"/>
      <c r="AM712" s="26"/>
      <c r="AN712" s="26"/>
      <c r="AO712" s="26">
        <f>AP712+AQ712+AR712+AS712</f>
        <v>0</v>
      </c>
      <c r="AP712" s="26"/>
      <c r="AQ712" s="26">
        <v>0</v>
      </c>
      <c r="AR712" s="26"/>
      <c r="AS712" s="26"/>
      <c r="AT712" s="26">
        <f>AU712+AV712+AW712+AX712</f>
        <v>0</v>
      </c>
      <c r="AU712" s="26"/>
      <c r="AV712" s="26">
        <v>0</v>
      </c>
      <c r="AW712" s="26"/>
      <c r="AX712" s="26"/>
      <c r="AY712" s="26">
        <f>AZ712+BA712+BB712+BC712</f>
        <v>0</v>
      </c>
      <c r="AZ712" s="26"/>
      <c r="BA712" s="26">
        <v>0</v>
      </c>
      <c r="BB712" s="26"/>
      <c r="BC712" s="26"/>
      <c r="BD712" s="26">
        <f>BE712+BF712+BG712+BH712</f>
        <v>0</v>
      </c>
      <c r="BE712" s="26"/>
      <c r="BF712" s="26">
        <v>0</v>
      </c>
      <c r="BG712" s="26"/>
      <c r="BH712" s="26"/>
    </row>
    <row r="713" spans="1:60" ht="35.65" customHeight="1" thickBot="1">
      <c r="A713" s="27" t="s">
        <v>387</v>
      </c>
      <c r="B713" s="35"/>
      <c r="C713" s="20" t="s">
        <v>105</v>
      </c>
      <c r="D713" s="20" t="s">
        <v>106</v>
      </c>
      <c r="E713" s="20" t="s">
        <v>107</v>
      </c>
      <c r="F713" s="71"/>
      <c r="G713" s="71"/>
      <c r="H713" s="71"/>
      <c r="I713" s="71"/>
      <c r="J713" s="71" t="s">
        <v>199</v>
      </c>
      <c r="K713" s="20" t="s">
        <v>112</v>
      </c>
      <c r="L713" s="52"/>
      <c r="M713" s="52"/>
      <c r="N713" s="52"/>
      <c r="O713" s="52"/>
      <c r="P713" s="71" t="s">
        <v>135</v>
      </c>
      <c r="Q713" s="20" t="s">
        <v>112</v>
      </c>
      <c r="R713" s="52"/>
      <c r="S713" s="52"/>
      <c r="T713" s="52"/>
      <c r="U713" s="52"/>
      <c r="V713" s="52"/>
      <c r="W713" s="98" t="s">
        <v>115</v>
      </c>
      <c r="X713" s="20" t="s">
        <v>112</v>
      </c>
      <c r="Y713" s="52"/>
      <c r="Z713" s="98" t="s">
        <v>115</v>
      </c>
      <c r="AA713" s="20" t="s">
        <v>112</v>
      </c>
      <c r="AB713" s="52"/>
      <c r="AC713" s="26"/>
      <c r="AD713" s="195" t="s">
        <v>1146</v>
      </c>
      <c r="AE713" s="26">
        <f t="shared" si="240"/>
        <v>144.30000000000001</v>
      </c>
      <c r="AF713" s="26">
        <f t="shared" ref="AF713:AF718" si="241">AH713+AJ713</f>
        <v>144.30000000000001</v>
      </c>
      <c r="AG713" s="26"/>
      <c r="AH713" s="26"/>
      <c r="AI713" s="26">
        <v>144.30000000000001</v>
      </c>
      <c r="AJ713" s="26">
        <v>144.30000000000001</v>
      </c>
      <c r="AK713" s="26"/>
      <c r="AL713" s="26"/>
      <c r="AM713" s="26"/>
      <c r="AN713" s="26"/>
      <c r="AO713" s="26">
        <f t="shared" ref="AO713:AO718" si="242">AP713+AQ713+AR713+AS713</f>
        <v>188.6</v>
      </c>
      <c r="AP713" s="26"/>
      <c r="AQ713" s="26">
        <v>188.6</v>
      </c>
      <c r="AR713" s="26"/>
      <c r="AS713" s="26"/>
      <c r="AT713" s="26">
        <f t="shared" ref="AT713:AT718" si="243">AU713+AV713+AW713+AX713</f>
        <v>188.6</v>
      </c>
      <c r="AU713" s="26"/>
      <c r="AV713" s="26">
        <v>188.6</v>
      </c>
      <c r="AW713" s="26"/>
      <c r="AX713" s="26"/>
      <c r="AY713" s="26">
        <f t="shared" ref="AY713:AY718" si="244">AZ713+BA713+BB713+BC713</f>
        <v>188.6</v>
      </c>
      <c r="AZ713" s="26"/>
      <c r="BA713" s="26">
        <v>188.6</v>
      </c>
      <c r="BB713" s="26"/>
      <c r="BC713" s="26"/>
      <c r="BD713" s="26">
        <f t="shared" ref="BD713:BD718" si="245">BE713+BF713+BG713+BH713</f>
        <v>188.6</v>
      </c>
      <c r="BE713" s="26"/>
      <c r="BF713" s="26">
        <v>188.6</v>
      </c>
      <c r="BG713" s="26"/>
      <c r="BH713" s="26"/>
    </row>
    <row r="714" spans="1:60" ht="35.65" customHeight="1" thickBot="1">
      <c r="A714" s="27" t="s">
        <v>387</v>
      </c>
      <c r="B714" s="35"/>
      <c r="C714" s="20" t="s">
        <v>105</v>
      </c>
      <c r="D714" s="20" t="s">
        <v>106</v>
      </c>
      <c r="E714" s="20" t="s">
        <v>107</v>
      </c>
      <c r="F714" s="71"/>
      <c r="G714" s="71"/>
      <c r="H714" s="71"/>
      <c r="I714" s="71"/>
      <c r="J714" s="71" t="s">
        <v>199</v>
      </c>
      <c r="K714" s="20" t="s">
        <v>112</v>
      </c>
      <c r="L714" s="52"/>
      <c r="M714" s="52"/>
      <c r="N714" s="52"/>
      <c r="O714" s="52"/>
      <c r="P714" s="71" t="s">
        <v>135</v>
      </c>
      <c r="Q714" s="20" t="s">
        <v>112</v>
      </c>
      <c r="R714" s="52"/>
      <c r="S714" s="52"/>
      <c r="T714" s="52"/>
      <c r="U714" s="52"/>
      <c r="V714" s="52"/>
      <c r="W714" s="98" t="s">
        <v>115</v>
      </c>
      <c r="X714" s="20" t="s">
        <v>112</v>
      </c>
      <c r="Y714" s="52"/>
      <c r="Z714" s="98" t="s">
        <v>115</v>
      </c>
      <c r="AA714" s="20" t="s">
        <v>112</v>
      </c>
      <c r="AB714" s="52"/>
      <c r="AC714" s="26"/>
      <c r="AD714" s="195" t="s">
        <v>1147</v>
      </c>
      <c r="AE714" s="26">
        <f t="shared" si="240"/>
        <v>0</v>
      </c>
      <c r="AF714" s="26">
        <f t="shared" si="241"/>
        <v>0</v>
      </c>
      <c r="AG714" s="26"/>
      <c r="AH714" s="26"/>
      <c r="AI714" s="26">
        <f>131.1+19.6-150.7</f>
        <v>0</v>
      </c>
      <c r="AJ714" s="26"/>
      <c r="AK714" s="26"/>
      <c r="AL714" s="26"/>
      <c r="AM714" s="26"/>
      <c r="AN714" s="26"/>
      <c r="AO714" s="26">
        <f t="shared" si="242"/>
        <v>0</v>
      </c>
      <c r="AP714" s="26"/>
      <c r="AQ714" s="26">
        <f>147.9-147.9</f>
        <v>0</v>
      </c>
      <c r="AR714" s="26"/>
      <c r="AS714" s="26"/>
      <c r="AT714" s="26">
        <f t="shared" si="243"/>
        <v>147.9</v>
      </c>
      <c r="AU714" s="26"/>
      <c r="AV714" s="26">
        <v>147.9</v>
      </c>
      <c r="AW714" s="26"/>
      <c r="AX714" s="26"/>
      <c r="AY714" s="26">
        <f t="shared" si="244"/>
        <v>147.9</v>
      </c>
      <c r="AZ714" s="26"/>
      <c r="BA714" s="26">
        <v>147.9</v>
      </c>
      <c r="BB714" s="26"/>
      <c r="BC714" s="26"/>
      <c r="BD714" s="26">
        <f t="shared" si="245"/>
        <v>147.9</v>
      </c>
      <c r="BE714" s="26"/>
      <c r="BF714" s="26">
        <v>147.9</v>
      </c>
      <c r="BG714" s="26"/>
      <c r="BH714" s="26"/>
    </row>
    <row r="715" spans="1:60" ht="35.65" customHeight="1" thickBot="1">
      <c r="A715" s="27" t="s">
        <v>387</v>
      </c>
      <c r="B715" s="35"/>
      <c r="C715" s="20" t="s">
        <v>105</v>
      </c>
      <c r="D715" s="20" t="s">
        <v>106</v>
      </c>
      <c r="E715" s="20" t="s">
        <v>107</v>
      </c>
      <c r="F715" s="71"/>
      <c r="G715" s="71"/>
      <c r="H715" s="71"/>
      <c r="I715" s="71"/>
      <c r="J715" s="71" t="s">
        <v>199</v>
      </c>
      <c r="K715" s="20" t="s">
        <v>112</v>
      </c>
      <c r="L715" s="52"/>
      <c r="M715" s="52"/>
      <c r="N715" s="52"/>
      <c r="O715" s="52"/>
      <c r="P715" s="71" t="s">
        <v>135</v>
      </c>
      <c r="Q715" s="20" t="s">
        <v>112</v>
      </c>
      <c r="R715" s="52"/>
      <c r="S715" s="52"/>
      <c r="T715" s="52"/>
      <c r="U715" s="52"/>
      <c r="V715" s="52"/>
      <c r="W715" s="98" t="s">
        <v>115</v>
      </c>
      <c r="X715" s="20" t="s">
        <v>112</v>
      </c>
      <c r="Y715" s="52"/>
      <c r="Z715" s="98" t="s">
        <v>115</v>
      </c>
      <c r="AA715" s="20" t="s">
        <v>112</v>
      </c>
      <c r="AB715" s="52"/>
      <c r="AC715" s="26"/>
      <c r="AD715" s="195" t="s">
        <v>1148</v>
      </c>
      <c r="AE715" s="26">
        <f t="shared" si="240"/>
        <v>4785.8</v>
      </c>
      <c r="AF715" s="26">
        <f t="shared" si="241"/>
        <v>4785.8</v>
      </c>
      <c r="AG715" s="26"/>
      <c r="AH715" s="26"/>
      <c r="AI715" s="26">
        <f>4713.8+290+223-441</f>
        <v>4785.8</v>
      </c>
      <c r="AJ715" s="26">
        <v>4785.8</v>
      </c>
      <c r="AK715" s="26"/>
      <c r="AL715" s="26"/>
      <c r="AM715" s="26"/>
      <c r="AN715" s="26"/>
      <c r="AO715" s="26">
        <f t="shared" si="242"/>
        <v>5697</v>
      </c>
      <c r="AP715" s="26"/>
      <c r="AQ715" s="26">
        <f>5509.2+187.8</f>
        <v>5697</v>
      </c>
      <c r="AR715" s="26"/>
      <c r="AS715" s="26"/>
      <c r="AT715" s="26">
        <f t="shared" si="243"/>
        <v>5509.2</v>
      </c>
      <c r="AU715" s="26"/>
      <c r="AV715" s="26">
        <v>5509.2</v>
      </c>
      <c r="AW715" s="26"/>
      <c r="AX715" s="26"/>
      <c r="AY715" s="26">
        <f t="shared" si="244"/>
        <v>5509.2</v>
      </c>
      <c r="AZ715" s="26"/>
      <c r="BA715" s="26">
        <v>5509.2</v>
      </c>
      <c r="BB715" s="26"/>
      <c r="BC715" s="26"/>
      <c r="BD715" s="26">
        <f t="shared" si="245"/>
        <v>5509.2</v>
      </c>
      <c r="BE715" s="26"/>
      <c r="BF715" s="26">
        <v>5509.2</v>
      </c>
      <c r="BG715" s="26"/>
      <c r="BH715" s="26"/>
    </row>
    <row r="716" spans="1:60" ht="35.65" customHeight="1" thickBot="1">
      <c r="A716" s="27" t="s">
        <v>387</v>
      </c>
      <c r="B716" s="35"/>
      <c r="C716" s="20" t="s">
        <v>105</v>
      </c>
      <c r="D716" s="20" t="s">
        <v>106</v>
      </c>
      <c r="E716" s="20" t="s">
        <v>107</v>
      </c>
      <c r="F716" s="71"/>
      <c r="G716" s="71"/>
      <c r="H716" s="71"/>
      <c r="I716" s="71"/>
      <c r="J716" s="71" t="s">
        <v>199</v>
      </c>
      <c r="K716" s="20" t="s">
        <v>112</v>
      </c>
      <c r="L716" s="52"/>
      <c r="M716" s="52"/>
      <c r="N716" s="52"/>
      <c r="O716" s="52"/>
      <c r="P716" s="71" t="s">
        <v>135</v>
      </c>
      <c r="Q716" s="20" t="s">
        <v>112</v>
      </c>
      <c r="R716" s="52"/>
      <c r="S716" s="52"/>
      <c r="T716" s="52"/>
      <c r="U716" s="52"/>
      <c r="V716" s="52"/>
      <c r="W716" s="98" t="s">
        <v>115</v>
      </c>
      <c r="X716" s="20" t="s">
        <v>112</v>
      </c>
      <c r="Y716" s="52"/>
      <c r="Z716" s="98" t="s">
        <v>115</v>
      </c>
      <c r="AA716" s="20" t="s">
        <v>112</v>
      </c>
      <c r="AB716" s="52"/>
      <c r="AC716" s="26"/>
      <c r="AD716" s="195" t="s">
        <v>1149</v>
      </c>
      <c r="AE716" s="26">
        <f t="shared" si="240"/>
        <v>2546.7000000000003</v>
      </c>
      <c r="AF716" s="26">
        <f t="shared" si="241"/>
        <v>2546.6999999999998</v>
      </c>
      <c r="AG716" s="26"/>
      <c r="AH716" s="26"/>
      <c r="AI716" s="26">
        <f>1852.7+664.8+46.4-17.2</f>
        <v>2546.7000000000003</v>
      </c>
      <c r="AJ716" s="26">
        <v>2546.6999999999998</v>
      </c>
      <c r="AK716" s="26"/>
      <c r="AL716" s="26"/>
      <c r="AM716" s="26"/>
      <c r="AN716" s="26"/>
      <c r="AO716" s="26">
        <f t="shared" si="242"/>
        <v>2860.6000000000004</v>
      </c>
      <c r="AP716" s="26"/>
      <c r="AQ716" s="26">
        <f>2898.9+40+3.3-81.6</f>
        <v>2860.6000000000004</v>
      </c>
      <c r="AR716" s="26"/>
      <c r="AS716" s="26"/>
      <c r="AT716" s="26">
        <f t="shared" si="243"/>
        <v>2898.9</v>
      </c>
      <c r="AU716" s="26"/>
      <c r="AV716" s="26">
        <v>2898.9</v>
      </c>
      <c r="AW716" s="26"/>
      <c r="AX716" s="26"/>
      <c r="AY716" s="26">
        <f t="shared" si="244"/>
        <v>2898.9</v>
      </c>
      <c r="AZ716" s="26"/>
      <c r="BA716" s="26">
        <v>2898.9</v>
      </c>
      <c r="BB716" s="26"/>
      <c r="BC716" s="26"/>
      <c r="BD716" s="26">
        <f t="shared" si="245"/>
        <v>2898.9</v>
      </c>
      <c r="BE716" s="26"/>
      <c r="BF716" s="26">
        <v>2898.9</v>
      </c>
      <c r="BG716" s="26"/>
      <c r="BH716" s="26"/>
    </row>
    <row r="717" spans="1:60" ht="35.65" customHeight="1" thickBot="1">
      <c r="A717" s="27" t="s">
        <v>387</v>
      </c>
      <c r="B717" s="35"/>
      <c r="C717" s="20" t="s">
        <v>105</v>
      </c>
      <c r="D717" s="20" t="s">
        <v>106</v>
      </c>
      <c r="E717" s="20" t="s">
        <v>107</v>
      </c>
      <c r="F717" s="71"/>
      <c r="G717" s="71"/>
      <c r="H717" s="71"/>
      <c r="I717" s="71"/>
      <c r="J717" s="71" t="s">
        <v>199</v>
      </c>
      <c r="K717" s="20" t="s">
        <v>112</v>
      </c>
      <c r="L717" s="52"/>
      <c r="M717" s="52"/>
      <c r="N717" s="52"/>
      <c r="O717" s="52"/>
      <c r="P717" s="71" t="s">
        <v>135</v>
      </c>
      <c r="Q717" s="20" t="s">
        <v>112</v>
      </c>
      <c r="R717" s="52"/>
      <c r="S717" s="52"/>
      <c r="T717" s="52"/>
      <c r="U717" s="52"/>
      <c r="V717" s="52"/>
      <c r="W717" s="98" t="s">
        <v>115</v>
      </c>
      <c r="X717" s="20" t="s">
        <v>112</v>
      </c>
      <c r="Y717" s="52"/>
      <c r="Z717" s="98" t="s">
        <v>115</v>
      </c>
      <c r="AA717" s="20" t="s">
        <v>112</v>
      </c>
      <c r="AB717" s="52"/>
      <c r="AC717" s="26"/>
      <c r="AD717" s="195" t="s">
        <v>1150</v>
      </c>
      <c r="AE717" s="26">
        <f t="shared" si="240"/>
        <v>580.4</v>
      </c>
      <c r="AF717" s="26">
        <f t="shared" si="241"/>
        <v>580.4</v>
      </c>
      <c r="AG717" s="26"/>
      <c r="AH717" s="26"/>
      <c r="AI717" s="26">
        <f>426.5+153.9</f>
        <v>580.4</v>
      </c>
      <c r="AJ717" s="26">
        <v>580.4</v>
      </c>
      <c r="AK717" s="26"/>
      <c r="AL717" s="26"/>
      <c r="AM717" s="26"/>
      <c r="AN717" s="26"/>
      <c r="AO717" s="26">
        <f t="shared" si="242"/>
        <v>687.9</v>
      </c>
      <c r="AP717" s="26"/>
      <c r="AQ717" s="26">
        <f>673+1.6+13.3</f>
        <v>687.9</v>
      </c>
      <c r="AR717" s="26"/>
      <c r="AS717" s="26"/>
      <c r="AT717" s="26">
        <f t="shared" si="243"/>
        <v>673</v>
      </c>
      <c r="AU717" s="26"/>
      <c r="AV717" s="26">
        <v>673</v>
      </c>
      <c r="AW717" s="26"/>
      <c r="AX717" s="26"/>
      <c r="AY717" s="26">
        <f t="shared" si="244"/>
        <v>673</v>
      </c>
      <c r="AZ717" s="26"/>
      <c r="BA717" s="26">
        <v>673</v>
      </c>
      <c r="BB717" s="26"/>
      <c r="BC717" s="26"/>
      <c r="BD717" s="26">
        <f t="shared" si="245"/>
        <v>673</v>
      </c>
      <c r="BE717" s="26"/>
      <c r="BF717" s="26">
        <v>673</v>
      </c>
      <c r="BG717" s="26"/>
      <c r="BH717" s="26"/>
    </row>
    <row r="718" spans="1:60" ht="35.65" customHeight="1" thickBot="1">
      <c r="A718" s="27" t="s">
        <v>387</v>
      </c>
      <c r="B718" s="35"/>
      <c r="C718" s="20"/>
      <c r="D718" s="20"/>
      <c r="E718" s="20"/>
      <c r="F718" s="71"/>
      <c r="G718" s="71"/>
      <c r="H718" s="71"/>
      <c r="I718" s="71"/>
      <c r="J718" s="71"/>
      <c r="K718" s="20"/>
      <c r="L718" s="52"/>
      <c r="M718" s="52"/>
      <c r="N718" s="52"/>
      <c r="O718" s="52"/>
      <c r="P718" s="71"/>
      <c r="Q718" s="20"/>
      <c r="R718" s="52"/>
      <c r="S718" s="52"/>
      <c r="T718" s="52"/>
      <c r="U718" s="52"/>
      <c r="V718" s="52"/>
      <c r="W718" s="98"/>
      <c r="X718" s="20"/>
      <c r="Y718" s="52"/>
      <c r="Z718" s="98"/>
      <c r="AA718" s="20"/>
      <c r="AB718" s="52"/>
      <c r="AC718" s="26"/>
      <c r="AD718" s="195" t="s">
        <v>1151</v>
      </c>
      <c r="AE718" s="26">
        <f t="shared" si="240"/>
        <v>0.19999999999998294</v>
      </c>
      <c r="AF718" s="26">
        <f t="shared" si="241"/>
        <v>0</v>
      </c>
      <c r="AG718" s="26"/>
      <c r="AH718" s="26"/>
      <c r="AI718" s="26">
        <f>123.1+68.6-46.4-145-0.1</f>
        <v>0.19999999999998294</v>
      </c>
      <c r="AJ718" s="26">
        <v>0</v>
      </c>
      <c r="AK718" s="26"/>
      <c r="AL718" s="26"/>
      <c r="AM718" s="26"/>
      <c r="AN718" s="26"/>
      <c r="AO718" s="26">
        <f t="shared" si="242"/>
        <v>0</v>
      </c>
      <c r="AP718" s="26"/>
      <c r="AQ718" s="26">
        <f>402.5-229.4-16.6-156.5</f>
        <v>0</v>
      </c>
      <c r="AR718" s="26"/>
      <c r="AS718" s="26"/>
      <c r="AT718" s="26">
        <f t="shared" si="243"/>
        <v>199.5</v>
      </c>
      <c r="AU718" s="26"/>
      <c r="AV718" s="26">
        <v>199.5</v>
      </c>
      <c r="AW718" s="26"/>
      <c r="AX718" s="26"/>
      <c r="AY718" s="26">
        <f t="shared" si="244"/>
        <v>199.5</v>
      </c>
      <c r="AZ718" s="26"/>
      <c r="BA718" s="26">
        <v>199.5</v>
      </c>
      <c r="BB718" s="26"/>
      <c r="BC718" s="26"/>
      <c r="BD718" s="26">
        <f t="shared" si="245"/>
        <v>199.5</v>
      </c>
      <c r="BE718" s="26"/>
      <c r="BF718" s="26">
        <v>199.5</v>
      </c>
      <c r="BG718" s="26"/>
      <c r="BH718" s="26"/>
    </row>
    <row r="719" spans="1:60" ht="35.65" customHeight="1" thickBot="1">
      <c r="A719" s="27" t="s">
        <v>512</v>
      </c>
      <c r="B719" s="35">
        <v>3245</v>
      </c>
      <c r="C719" s="25"/>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v>11</v>
      </c>
      <c r="AD719" s="219"/>
      <c r="AE719" s="26"/>
      <c r="AF719" s="26"/>
      <c r="AG719" s="26"/>
      <c r="AH719" s="26"/>
      <c r="AI719" s="26"/>
      <c r="AJ719" s="26"/>
      <c r="AK719" s="26"/>
      <c r="AL719" s="26"/>
      <c r="AM719" s="26"/>
      <c r="AN719" s="26"/>
      <c r="AO719" s="26"/>
      <c r="AP719" s="26"/>
      <c r="AQ719" s="26"/>
      <c r="AR719" s="26"/>
      <c r="AS719" s="26"/>
      <c r="AT719" s="26"/>
      <c r="AU719" s="26"/>
      <c r="AV719" s="26"/>
      <c r="AW719" s="26"/>
      <c r="AX719" s="26"/>
      <c r="AY719" s="26"/>
      <c r="AZ719" s="26"/>
      <c r="BA719" s="26"/>
      <c r="BB719" s="26"/>
      <c r="BC719" s="26"/>
      <c r="BD719" s="26"/>
      <c r="BE719" s="26"/>
      <c r="BF719" s="26"/>
      <c r="BG719" s="26"/>
      <c r="BH719" s="26"/>
    </row>
    <row r="720" spans="1:60" ht="35.65" customHeight="1" thickBot="1">
      <c r="A720" s="31" t="s">
        <v>513</v>
      </c>
      <c r="B720" s="106">
        <v>3254</v>
      </c>
      <c r="C720" s="33"/>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c r="AB720" s="34"/>
      <c r="AC720" s="34">
        <v>14</v>
      </c>
      <c r="AD720" s="235"/>
      <c r="AE720" s="34">
        <f>AE722+AE721</f>
        <v>948</v>
      </c>
      <c r="AF720" s="34">
        <f t="shared" ref="AF720:AF725" si="246">AH720+AJ720</f>
        <v>910.09999999999991</v>
      </c>
      <c r="AG720" s="34">
        <f t="shared" ref="AG720:AM720" si="247">AG722+AG721</f>
        <v>0</v>
      </c>
      <c r="AH720" s="34">
        <f t="shared" si="247"/>
        <v>0</v>
      </c>
      <c r="AI720" s="34">
        <f t="shared" si="247"/>
        <v>948</v>
      </c>
      <c r="AJ720" s="34">
        <f t="shared" si="247"/>
        <v>910.09999999999991</v>
      </c>
      <c r="AK720" s="34">
        <f t="shared" si="247"/>
        <v>0</v>
      </c>
      <c r="AL720" s="34"/>
      <c r="AM720" s="34">
        <f t="shared" si="247"/>
        <v>0</v>
      </c>
      <c r="AN720" s="34"/>
      <c r="AO720" s="34">
        <f t="shared" ref="AO720:BH720" si="248">AO722+AO721</f>
        <v>960.7</v>
      </c>
      <c r="AP720" s="34">
        <f t="shared" si="248"/>
        <v>0</v>
      </c>
      <c r="AQ720" s="34">
        <f t="shared" si="248"/>
        <v>960.7</v>
      </c>
      <c r="AR720" s="34">
        <f t="shared" si="248"/>
        <v>0</v>
      </c>
      <c r="AS720" s="34">
        <f t="shared" si="248"/>
        <v>0</v>
      </c>
      <c r="AT720" s="34">
        <f t="shared" si="248"/>
        <v>804.6</v>
      </c>
      <c r="AU720" s="34">
        <f t="shared" si="248"/>
        <v>0</v>
      </c>
      <c r="AV720" s="34">
        <f t="shared" si="248"/>
        <v>804.6</v>
      </c>
      <c r="AW720" s="34">
        <f t="shared" si="248"/>
        <v>0</v>
      </c>
      <c r="AX720" s="34">
        <f t="shared" si="248"/>
        <v>0</v>
      </c>
      <c r="AY720" s="34">
        <f t="shared" si="248"/>
        <v>804.6</v>
      </c>
      <c r="AZ720" s="34">
        <f t="shared" si="248"/>
        <v>0</v>
      </c>
      <c r="BA720" s="34">
        <f t="shared" si="248"/>
        <v>804.6</v>
      </c>
      <c r="BB720" s="34">
        <f t="shared" si="248"/>
        <v>0</v>
      </c>
      <c r="BC720" s="34">
        <f t="shared" si="248"/>
        <v>0</v>
      </c>
      <c r="BD720" s="34">
        <f t="shared" si="248"/>
        <v>804.6</v>
      </c>
      <c r="BE720" s="34">
        <f t="shared" si="248"/>
        <v>0</v>
      </c>
      <c r="BF720" s="34">
        <f t="shared" si="248"/>
        <v>804.6</v>
      </c>
      <c r="BG720" s="34">
        <f t="shared" si="248"/>
        <v>0</v>
      </c>
      <c r="BH720" s="34">
        <f t="shared" si="248"/>
        <v>0</v>
      </c>
    </row>
    <row r="721" spans="1:60" ht="35.65" customHeight="1" thickBot="1">
      <c r="A721" s="27" t="s">
        <v>50</v>
      </c>
      <c r="B721" s="35"/>
      <c r="C721" s="25"/>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195" t="s">
        <v>1152</v>
      </c>
      <c r="AE721" s="26">
        <f>AI721</f>
        <v>79.3</v>
      </c>
      <c r="AF721" s="26">
        <f t="shared" si="246"/>
        <v>79.3</v>
      </c>
      <c r="AG721" s="26"/>
      <c r="AH721" s="26"/>
      <c r="AI721" s="26">
        <f>42+6.9+3.3+16.9+10.2</f>
        <v>79.3</v>
      </c>
      <c r="AJ721" s="26">
        <v>79.3</v>
      </c>
      <c r="AK721" s="34"/>
      <c r="AL721" s="34"/>
      <c r="AM721" s="34"/>
      <c r="AN721" s="34"/>
      <c r="AO721" s="26">
        <f>AQ721</f>
        <v>85.1</v>
      </c>
      <c r="AP721" s="34"/>
      <c r="AQ721" s="26">
        <f>52.2+30.3+2.6</f>
        <v>85.1</v>
      </c>
      <c r="AR721" s="26"/>
      <c r="AS721" s="26"/>
      <c r="AT721" s="26">
        <f>AV721</f>
        <v>52.2</v>
      </c>
      <c r="AU721" s="34"/>
      <c r="AV721" s="26">
        <v>52.2</v>
      </c>
      <c r="AW721" s="26"/>
      <c r="AX721" s="26"/>
      <c r="AY721" s="26">
        <f>BA721</f>
        <v>52.2</v>
      </c>
      <c r="AZ721" s="26"/>
      <c r="BA721" s="26">
        <v>52.2</v>
      </c>
      <c r="BB721" s="26"/>
      <c r="BC721" s="26"/>
      <c r="BD721" s="26">
        <f>BF721</f>
        <v>52.2</v>
      </c>
      <c r="BE721" s="26"/>
      <c r="BF721" s="26">
        <v>52.2</v>
      </c>
      <c r="BG721" s="34"/>
      <c r="BH721" s="34"/>
    </row>
    <row r="722" spans="1:60" ht="35.65" customHeight="1" thickBot="1">
      <c r="A722" s="27" t="s">
        <v>50</v>
      </c>
      <c r="B722" s="35"/>
      <c r="C722" s="25"/>
      <c r="D722" s="26"/>
      <c r="E722" s="26"/>
      <c r="F722" s="26"/>
      <c r="G722" s="26"/>
      <c r="H722" s="26"/>
      <c r="I722" s="26"/>
      <c r="J722" s="26"/>
      <c r="K722" s="26"/>
      <c r="L722" s="26"/>
      <c r="M722" s="26"/>
      <c r="N722" s="26"/>
      <c r="O722" s="26"/>
      <c r="P722" s="26"/>
      <c r="Q722" s="26"/>
      <c r="R722" s="26"/>
      <c r="S722" s="26"/>
      <c r="T722" s="26"/>
      <c r="U722" s="26"/>
      <c r="V722" s="26"/>
      <c r="W722" s="43" t="s">
        <v>304</v>
      </c>
      <c r="X722" s="26"/>
      <c r="Y722" s="26"/>
      <c r="Z722" s="26"/>
      <c r="AA722" s="26"/>
      <c r="AB722" s="26"/>
      <c r="AC722" s="26"/>
      <c r="AD722" s="195" t="s">
        <v>1153</v>
      </c>
      <c r="AE722" s="26">
        <f>AG722+AI722+RM722+RN722</f>
        <v>868.7</v>
      </c>
      <c r="AF722" s="26">
        <f t="shared" si="246"/>
        <v>830.8</v>
      </c>
      <c r="AG722" s="26"/>
      <c r="AH722" s="26"/>
      <c r="AI722" s="26">
        <f>714.7+32.3+9.7-42+181.1-16.9-10.2</f>
        <v>868.7</v>
      </c>
      <c r="AJ722" s="26">
        <v>830.8</v>
      </c>
      <c r="AK722" s="26"/>
      <c r="AL722" s="26"/>
      <c r="AM722" s="26"/>
      <c r="AN722" s="26"/>
      <c r="AO722" s="26">
        <f>AP722+AQ722+AR722+AS722</f>
        <v>875.6</v>
      </c>
      <c r="AP722" s="26"/>
      <c r="AQ722" s="26">
        <f>905.9-30.3</f>
        <v>875.6</v>
      </c>
      <c r="AR722" s="26"/>
      <c r="AS722" s="26"/>
      <c r="AT722" s="26">
        <f>AU722+AV722+AW722+AX722</f>
        <v>752.4</v>
      </c>
      <c r="AU722" s="26"/>
      <c r="AV722" s="26">
        <v>752.4</v>
      </c>
      <c r="AW722" s="26"/>
      <c r="AX722" s="26"/>
      <c r="AY722" s="26">
        <f>AZ722+BA722+BB722+BC722</f>
        <v>752.4</v>
      </c>
      <c r="AZ722" s="26"/>
      <c r="BA722" s="26">
        <v>752.4</v>
      </c>
      <c r="BB722" s="26"/>
      <c r="BC722" s="26"/>
      <c r="BD722" s="26">
        <f>BE722+BF722+BG722+BH722</f>
        <v>752.4</v>
      </c>
      <c r="BE722" s="26"/>
      <c r="BF722" s="26">
        <v>752.4</v>
      </c>
      <c r="BG722" s="26"/>
      <c r="BH722" s="26"/>
    </row>
    <row r="723" spans="1:60" ht="35.65" customHeight="1" thickBot="1">
      <c r="A723" s="31" t="s">
        <v>514</v>
      </c>
      <c r="B723" s="106">
        <v>3260</v>
      </c>
      <c r="C723" s="33"/>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c r="AB723" s="34"/>
      <c r="AC723" s="34">
        <v>5</v>
      </c>
      <c r="AD723" s="235"/>
      <c r="AE723" s="34">
        <f t="shared" ref="AE723:AM723" si="249">AE725+AE724</f>
        <v>13255.799999999997</v>
      </c>
      <c r="AF723" s="34">
        <f t="shared" si="246"/>
        <v>11978.2</v>
      </c>
      <c r="AG723" s="34">
        <f t="shared" si="249"/>
        <v>0</v>
      </c>
      <c r="AH723" s="34">
        <f t="shared" si="249"/>
        <v>0</v>
      </c>
      <c r="AI723" s="34">
        <f t="shared" si="249"/>
        <v>13255.799999999997</v>
      </c>
      <c r="AJ723" s="34">
        <f t="shared" si="249"/>
        <v>11978.2</v>
      </c>
      <c r="AK723" s="34">
        <f t="shared" si="249"/>
        <v>0</v>
      </c>
      <c r="AL723" s="34"/>
      <c r="AM723" s="34">
        <f t="shared" si="249"/>
        <v>0</v>
      </c>
      <c r="AN723" s="34"/>
      <c r="AO723" s="34">
        <f t="shared" ref="AO723:BH723" si="250">AO725+AO724</f>
        <v>4654.5</v>
      </c>
      <c r="AP723" s="34">
        <f t="shared" si="250"/>
        <v>0</v>
      </c>
      <c r="AQ723" s="34">
        <f t="shared" si="250"/>
        <v>4654.5</v>
      </c>
      <c r="AR723" s="34">
        <f t="shared" si="250"/>
        <v>0</v>
      </c>
      <c r="AS723" s="34">
        <f t="shared" si="250"/>
        <v>0</v>
      </c>
      <c r="AT723" s="34">
        <f t="shared" si="250"/>
        <v>13324.2</v>
      </c>
      <c r="AU723" s="34">
        <f t="shared" si="250"/>
        <v>0</v>
      </c>
      <c r="AV723" s="34">
        <f t="shared" si="250"/>
        <v>13324.2</v>
      </c>
      <c r="AW723" s="34">
        <f t="shared" si="250"/>
        <v>0</v>
      </c>
      <c r="AX723" s="34">
        <f t="shared" si="250"/>
        <v>0</v>
      </c>
      <c r="AY723" s="34">
        <f t="shared" si="250"/>
        <v>13324.2</v>
      </c>
      <c r="AZ723" s="34">
        <f t="shared" si="250"/>
        <v>0</v>
      </c>
      <c r="BA723" s="34">
        <f t="shared" si="250"/>
        <v>13324.2</v>
      </c>
      <c r="BB723" s="34">
        <f t="shared" si="250"/>
        <v>0</v>
      </c>
      <c r="BC723" s="34">
        <f t="shared" si="250"/>
        <v>0</v>
      </c>
      <c r="BD723" s="34">
        <f t="shared" si="250"/>
        <v>13324.2</v>
      </c>
      <c r="BE723" s="34">
        <f t="shared" si="250"/>
        <v>0</v>
      </c>
      <c r="BF723" s="34">
        <f t="shared" si="250"/>
        <v>13324.2</v>
      </c>
      <c r="BG723" s="34">
        <f t="shared" si="250"/>
        <v>0</v>
      </c>
      <c r="BH723" s="34">
        <f t="shared" si="250"/>
        <v>0</v>
      </c>
    </row>
    <row r="724" spans="1:60" ht="35.65" customHeight="1" thickBot="1">
      <c r="A724" s="27" t="s">
        <v>50</v>
      </c>
      <c r="B724" s="35"/>
      <c r="C724" s="25"/>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195" t="s">
        <v>1154</v>
      </c>
      <c r="AE724" s="26">
        <f>AI724</f>
        <v>95.4</v>
      </c>
      <c r="AF724" s="26">
        <f t="shared" si="246"/>
        <v>59</v>
      </c>
      <c r="AG724" s="26"/>
      <c r="AH724" s="26"/>
      <c r="AI724" s="26">
        <v>95.4</v>
      </c>
      <c r="AJ724" s="26">
        <v>59</v>
      </c>
      <c r="AK724" s="26"/>
      <c r="AL724" s="26"/>
      <c r="AM724" s="26"/>
      <c r="AN724" s="26"/>
      <c r="AO724" s="26">
        <f>AQ724</f>
        <v>0</v>
      </c>
      <c r="AP724" s="26"/>
      <c r="AQ724" s="26"/>
      <c r="AR724" s="26"/>
      <c r="AS724" s="26"/>
      <c r="AT724" s="26">
        <f>AV724</f>
        <v>0</v>
      </c>
      <c r="AU724" s="26"/>
      <c r="AV724" s="26"/>
      <c r="AW724" s="26"/>
      <c r="AX724" s="26"/>
      <c r="AY724" s="26">
        <f>BA724</f>
        <v>0</v>
      </c>
      <c r="AZ724" s="26"/>
      <c r="BA724" s="26"/>
      <c r="BB724" s="26"/>
      <c r="BC724" s="26"/>
      <c r="BD724" s="26">
        <f>BF724</f>
        <v>0</v>
      </c>
      <c r="BE724" s="26"/>
      <c r="BF724" s="26"/>
      <c r="BG724" s="26"/>
      <c r="BH724" s="26"/>
    </row>
    <row r="725" spans="1:60" ht="35.65" customHeight="1" thickBot="1">
      <c r="A725" s="27" t="s">
        <v>50</v>
      </c>
      <c r="B725" s="35"/>
      <c r="C725" s="25"/>
      <c r="D725" s="26"/>
      <c r="E725" s="26"/>
      <c r="F725" s="26"/>
      <c r="G725" s="26"/>
      <c r="H725" s="26"/>
      <c r="I725" s="26"/>
      <c r="J725" s="43" t="s">
        <v>515</v>
      </c>
      <c r="K725" s="43"/>
      <c r="L725" s="43"/>
      <c r="M725" s="43"/>
      <c r="N725" s="43"/>
      <c r="O725" s="43"/>
      <c r="P725" s="43" t="s">
        <v>516</v>
      </c>
      <c r="Q725" s="26"/>
      <c r="R725" s="26"/>
      <c r="S725" s="26"/>
      <c r="T725" s="26"/>
      <c r="U725" s="26"/>
      <c r="V725" s="26"/>
      <c r="W725" s="43" t="s">
        <v>304</v>
      </c>
      <c r="X725" s="43"/>
      <c r="Y725" s="43"/>
      <c r="Z725" s="43" t="s">
        <v>517</v>
      </c>
      <c r="AA725" s="43" t="s">
        <v>36</v>
      </c>
      <c r="AB725" s="43"/>
      <c r="AC725" s="43"/>
      <c r="AD725" s="195" t="s">
        <v>1155</v>
      </c>
      <c r="AE725" s="26">
        <f>AG725+AI725+RM725+RN725</f>
        <v>13160.399999999998</v>
      </c>
      <c r="AF725" s="26">
        <f t="shared" si="246"/>
        <v>11919.2</v>
      </c>
      <c r="AG725" s="26"/>
      <c r="AH725" s="26"/>
      <c r="AI725" s="26">
        <f>21156.5-95.4-7900.7</f>
        <v>13160.399999999998</v>
      </c>
      <c r="AJ725" s="26">
        <v>11919.2</v>
      </c>
      <c r="AK725" s="26"/>
      <c r="AL725" s="26"/>
      <c r="AM725" s="26"/>
      <c r="AN725" s="26"/>
      <c r="AO725" s="26">
        <f>AP725+AQ725+AR725+AS725</f>
        <v>4654.5</v>
      </c>
      <c r="AP725" s="26"/>
      <c r="AQ725" s="26">
        <f>13324.2-8669.7</f>
        <v>4654.5</v>
      </c>
      <c r="AR725" s="26"/>
      <c r="AS725" s="26"/>
      <c r="AT725" s="26">
        <f>AU725+AV725+AW725+AX725</f>
        <v>13324.2</v>
      </c>
      <c r="AU725" s="26"/>
      <c r="AV725" s="26">
        <v>13324.2</v>
      </c>
      <c r="AW725" s="26"/>
      <c r="AX725" s="26"/>
      <c r="AY725" s="26">
        <f>AZ725+BA725+BB725+BC725</f>
        <v>13324.2</v>
      </c>
      <c r="AZ725" s="26"/>
      <c r="BA725" s="26">
        <v>13324.2</v>
      </c>
      <c r="BB725" s="26"/>
      <c r="BC725" s="26"/>
      <c r="BD725" s="26">
        <f>BE725+BF725+BG725+BH725</f>
        <v>13324.2</v>
      </c>
      <c r="BE725" s="26"/>
      <c r="BF725" s="26">
        <v>13324.2</v>
      </c>
      <c r="BG725" s="26"/>
      <c r="BH725" s="26"/>
    </row>
    <row r="726" spans="1:60" ht="35.65" customHeight="1" thickBot="1">
      <c r="A726" s="27"/>
      <c r="B726" s="35"/>
      <c r="C726" s="20"/>
      <c r="D726" s="20"/>
      <c r="E726" s="20"/>
      <c r="F726" s="98"/>
      <c r="G726" s="98"/>
      <c r="H726" s="98"/>
      <c r="I726" s="98"/>
      <c r="J726" s="20"/>
      <c r="K726" s="20"/>
      <c r="L726" s="43"/>
      <c r="M726" s="98"/>
      <c r="N726" s="20"/>
      <c r="O726" s="98"/>
      <c r="P726" s="98"/>
      <c r="Q726" s="20"/>
      <c r="R726" s="98"/>
      <c r="S726" s="98"/>
      <c r="T726" s="99"/>
      <c r="U726" s="20"/>
      <c r="V726" s="98"/>
      <c r="W726" s="99"/>
      <c r="X726" s="20"/>
      <c r="Y726" s="98"/>
      <c r="Z726" s="98"/>
      <c r="AA726" s="20"/>
      <c r="AB726" s="98"/>
      <c r="AC726" s="26"/>
      <c r="AD726" s="195"/>
      <c r="AE726" s="26"/>
      <c r="AF726" s="26"/>
      <c r="AG726" s="26"/>
      <c r="AH726" s="26"/>
      <c r="AI726" s="26"/>
      <c r="AJ726" s="26"/>
      <c r="AK726" s="26"/>
      <c r="AL726" s="26"/>
      <c r="AM726" s="26"/>
      <c r="AN726" s="26"/>
      <c r="AO726" s="26"/>
      <c r="AP726" s="26"/>
      <c r="AQ726" s="26"/>
      <c r="AR726" s="26"/>
      <c r="AS726" s="26"/>
      <c r="AT726" s="26"/>
      <c r="AU726" s="26"/>
      <c r="AV726" s="26"/>
      <c r="AW726" s="26"/>
      <c r="AX726" s="26"/>
      <c r="AY726" s="34"/>
      <c r="AZ726" s="26"/>
      <c r="BA726" s="26"/>
      <c r="BB726" s="26"/>
      <c r="BC726" s="26"/>
      <c r="BD726" s="34"/>
      <c r="BE726" s="26"/>
      <c r="BF726" s="26"/>
      <c r="BG726" s="26"/>
      <c r="BH726" s="26"/>
    </row>
    <row r="727" spans="1:60" ht="35.65" customHeight="1" thickBot="1">
      <c r="A727" s="27"/>
      <c r="B727" s="35"/>
      <c r="C727" s="25"/>
      <c r="D727" s="26"/>
      <c r="E727" s="26"/>
      <c r="F727" s="26"/>
      <c r="G727" s="26"/>
      <c r="H727" s="26"/>
      <c r="I727" s="26"/>
      <c r="J727" s="43"/>
      <c r="K727" s="43"/>
      <c r="L727" s="43"/>
      <c r="M727" s="43"/>
      <c r="N727" s="43"/>
      <c r="O727" s="43"/>
      <c r="P727" s="43"/>
      <c r="Q727" s="26"/>
      <c r="R727" s="26"/>
      <c r="S727" s="26"/>
      <c r="T727" s="26"/>
      <c r="U727" s="26"/>
      <c r="V727" s="26"/>
      <c r="W727" s="43"/>
      <c r="X727" s="43"/>
      <c r="Y727" s="43"/>
      <c r="Z727" s="43"/>
      <c r="AA727" s="43"/>
      <c r="AB727" s="43"/>
      <c r="AC727" s="43"/>
      <c r="AD727" s="195"/>
      <c r="AE727" s="26"/>
      <c r="AF727" s="26"/>
      <c r="AG727" s="26"/>
      <c r="AH727" s="26"/>
      <c r="AI727" s="26"/>
      <c r="AJ727" s="26"/>
      <c r="AK727" s="26"/>
      <c r="AL727" s="26"/>
      <c r="AM727" s="26"/>
      <c r="AN727" s="26"/>
      <c r="AO727" s="26"/>
      <c r="AP727" s="26"/>
      <c r="AQ727" s="26"/>
      <c r="AR727" s="26"/>
      <c r="AS727" s="26"/>
      <c r="AT727" s="26"/>
      <c r="AU727" s="26"/>
      <c r="AV727" s="26"/>
      <c r="AW727" s="26"/>
      <c r="AX727" s="26"/>
      <c r="AY727" s="26"/>
      <c r="AZ727" s="26"/>
      <c r="BA727" s="26"/>
      <c r="BB727" s="26"/>
      <c r="BC727" s="26"/>
      <c r="BD727" s="26"/>
      <c r="BE727" s="26"/>
      <c r="BF727" s="26"/>
      <c r="BG727" s="26"/>
      <c r="BH727" s="26"/>
    </row>
    <row r="728" spans="1:60" ht="35.65" customHeight="1" thickBot="1">
      <c r="A728" s="27"/>
      <c r="B728" s="35"/>
      <c r="C728" s="25"/>
      <c r="D728" s="26"/>
      <c r="E728" s="26"/>
      <c r="F728" s="26"/>
      <c r="G728" s="26"/>
      <c r="H728" s="26"/>
      <c r="I728" s="26"/>
      <c r="J728" s="43"/>
      <c r="K728" s="43"/>
      <c r="L728" s="43"/>
      <c r="M728" s="43"/>
      <c r="N728" s="43"/>
      <c r="O728" s="43"/>
      <c r="P728" s="43"/>
      <c r="Q728" s="26"/>
      <c r="R728" s="26"/>
      <c r="S728" s="26"/>
      <c r="T728" s="26"/>
      <c r="U728" s="26"/>
      <c r="V728" s="26"/>
      <c r="W728" s="43"/>
      <c r="X728" s="43"/>
      <c r="Y728" s="43"/>
      <c r="Z728" s="43"/>
      <c r="AA728" s="43"/>
      <c r="AB728" s="43"/>
      <c r="AC728" s="43"/>
      <c r="AD728" s="195"/>
      <c r="AE728" s="26"/>
      <c r="AF728" s="26"/>
      <c r="AG728" s="26"/>
      <c r="AH728" s="26"/>
      <c r="AI728" s="26"/>
      <c r="AJ728" s="26"/>
      <c r="AK728" s="26"/>
      <c r="AL728" s="26"/>
      <c r="AM728" s="26"/>
      <c r="AN728" s="26"/>
      <c r="AO728" s="26"/>
      <c r="AP728" s="26"/>
      <c r="AQ728" s="26"/>
      <c r="AR728" s="26"/>
      <c r="AS728" s="26"/>
      <c r="AT728" s="26"/>
      <c r="AU728" s="26"/>
      <c r="AV728" s="26"/>
      <c r="AW728" s="26"/>
      <c r="AX728" s="26"/>
      <c r="AY728" s="26"/>
      <c r="AZ728" s="26"/>
      <c r="BA728" s="26"/>
      <c r="BB728" s="26"/>
      <c r="BC728" s="26"/>
      <c r="BD728" s="26"/>
      <c r="BE728" s="26"/>
      <c r="BF728" s="26"/>
      <c r="BG728" s="26"/>
      <c r="BH728" s="26"/>
    </row>
    <row r="729" spans="1:60" ht="35.65" customHeight="1" thickBot="1">
      <c r="A729" s="27"/>
      <c r="B729" s="35"/>
      <c r="C729" s="30" t="s">
        <v>25</v>
      </c>
      <c r="D729" s="30" t="s">
        <v>25</v>
      </c>
      <c r="E729" s="30" t="s">
        <v>25</v>
      </c>
      <c r="F729" s="30" t="s">
        <v>25</v>
      </c>
      <c r="G729" s="30" t="s">
        <v>25</v>
      </c>
      <c r="H729" s="30" t="s">
        <v>25</v>
      </c>
      <c r="I729" s="30" t="s">
        <v>25</v>
      </c>
      <c r="J729" s="30"/>
      <c r="K729" s="30"/>
      <c r="L729" s="30"/>
      <c r="M729" s="30" t="s">
        <v>25</v>
      </c>
      <c r="N729" s="30" t="s">
        <v>25</v>
      </c>
      <c r="O729" s="30" t="s">
        <v>25</v>
      </c>
      <c r="P729" s="30" t="s">
        <v>25</v>
      </c>
      <c r="Q729" s="30" t="s">
        <v>25</v>
      </c>
      <c r="R729" s="30" t="s">
        <v>25</v>
      </c>
      <c r="S729" s="30" t="s">
        <v>25</v>
      </c>
      <c r="T729" s="30" t="s">
        <v>25</v>
      </c>
      <c r="U729" s="30" t="s">
        <v>25</v>
      </c>
      <c r="V729" s="30" t="s">
        <v>25</v>
      </c>
      <c r="W729" s="30" t="s">
        <v>25</v>
      </c>
      <c r="X729" s="30" t="s">
        <v>25</v>
      </c>
      <c r="Y729" s="30" t="s">
        <v>25</v>
      </c>
      <c r="Z729" s="30" t="s">
        <v>25</v>
      </c>
      <c r="AA729" s="30" t="s">
        <v>25</v>
      </c>
      <c r="AB729" s="30" t="s">
        <v>25</v>
      </c>
      <c r="AC729" s="30" t="s">
        <v>25</v>
      </c>
      <c r="AD729" s="253" t="s">
        <v>25</v>
      </c>
      <c r="AE729" s="26"/>
      <c r="AF729" s="26"/>
      <c r="AG729" s="26"/>
      <c r="AH729" s="26"/>
      <c r="AI729" s="26"/>
      <c r="AJ729" s="26"/>
      <c r="AK729" s="26"/>
      <c r="AL729" s="26"/>
      <c r="AM729" s="26"/>
      <c r="AN729" s="26"/>
      <c r="AO729" s="26"/>
      <c r="AP729" s="26"/>
      <c r="AQ729" s="26"/>
      <c r="AR729" s="26"/>
      <c r="AS729" s="26"/>
      <c r="AT729" s="26"/>
      <c r="AU729" s="26"/>
      <c r="AV729" s="26"/>
      <c r="AW729" s="26"/>
      <c r="AX729" s="26"/>
      <c r="AY729" s="26"/>
      <c r="AZ729" s="26"/>
      <c r="BA729" s="26"/>
      <c r="BB729" s="26"/>
      <c r="BC729" s="26"/>
      <c r="BD729" s="26"/>
      <c r="BE729" s="26"/>
      <c r="BF729" s="26"/>
      <c r="BG729" s="26"/>
      <c r="BH729" s="26"/>
    </row>
    <row r="730" spans="1:60" ht="35.65" customHeight="1">
      <c r="A730" s="23" t="s">
        <v>27</v>
      </c>
      <c r="B730" s="251">
        <v>3301</v>
      </c>
      <c r="C730" s="25"/>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19"/>
      <c r="AE730" s="26"/>
      <c r="AF730" s="26"/>
      <c r="AG730" s="26"/>
      <c r="AH730" s="26"/>
      <c r="AI730" s="26"/>
      <c r="AJ730" s="26"/>
      <c r="AK730" s="26"/>
      <c r="AL730" s="26"/>
      <c r="AM730" s="26"/>
      <c r="AN730" s="26"/>
      <c r="AO730" s="26"/>
      <c r="AP730" s="26"/>
      <c r="AQ730" s="26"/>
      <c r="AR730" s="26"/>
      <c r="AS730" s="26"/>
      <c r="AT730" s="26"/>
      <c r="AU730" s="26"/>
      <c r="AV730" s="26"/>
      <c r="AW730" s="26"/>
      <c r="AX730" s="26"/>
      <c r="AY730" s="26"/>
      <c r="AZ730" s="26"/>
      <c r="BA730" s="26"/>
      <c r="BB730" s="26"/>
      <c r="BC730" s="26"/>
      <c r="BD730" s="26"/>
      <c r="BE730" s="26"/>
      <c r="BF730" s="26"/>
      <c r="BG730" s="26"/>
      <c r="BH730" s="26"/>
    </row>
    <row r="731" spans="1:60" ht="35.65" customHeight="1">
      <c r="A731" s="254" t="s">
        <v>440</v>
      </c>
      <c r="B731" s="86"/>
      <c r="C731" s="25"/>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19"/>
      <c r="AE731" s="26"/>
      <c r="AF731" s="26"/>
      <c r="AG731" s="26"/>
      <c r="AH731" s="26"/>
      <c r="AI731" s="26"/>
      <c r="AJ731" s="26"/>
      <c r="AK731" s="26"/>
      <c r="AL731" s="26"/>
      <c r="AM731" s="26"/>
      <c r="AN731" s="26"/>
      <c r="AO731" s="26"/>
      <c r="AP731" s="26"/>
      <c r="AQ731" s="26"/>
      <c r="AR731" s="26"/>
      <c r="AS731" s="26"/>
      <c r="AT731" s="26"/>
      <c r="AU731" s="26"/>
      <c r="AV731" s="26"/>
      <c r="AW731" s="26"/>
      <c r="AX731" s="26"/>
      <c r="AY731" s="26"/>
      <c r="AZ731" s="26"/>
      <c r="BA731" s="26"/>
      <c r="BB731" s="26"/>
      <c r="BC731" s="26"/>
      <c r="BD731" s="26"/>
      <c r="BE731" s="26"/>
      <c r="BF731" s="26"/>
      <c r="BG731" s="26"/>
      <c r="BH731" s="26"/>
    </row>
    <row r="732" spans="1:60" ht="35.65" customHeight="1">
      <c r="A732" s="254" t="s">
        <v>440</v>
      </c>
      <c r="B732" s="174">
        <v>3302</v>
      </c>
      <c r="C732" s="25"/>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19"/>
      <c r="AE732" s="26"/>
      <c r="AF732" s="26"/>
      <c r="AG732" s="26"/>
      <c r="AH732" s="26"/>
      <c r="AI732" s="26"/>
      <c r="AJ732" s="26"/>
      <c r="AK732" s="26"/>
      <c r="AL732" s="26"/>
      <c r="AM732" s="26"/>
      <c r="AN732" s="26"/>
      <c r="AO732" s="26"/>
      <c r="AP732" s="26"/>
      <c r="AQ732" s="26"/>
      <c r="AR732" s="26"/>
      <c r="AS732" s="26"/>
      <c r="AT732" s="26"/>
      <c r="AU732" s="26"/>
      <c r="AV732" s="26"/>
      <c r="AW732" s="26"/>
      <c r="AX732" s="26"/>
      <c r="AY732" s="26"/>
      <c r="AZ732" s="26"/>
      <c r="BA732" s="26"/>
      <c r="BB732" s="26"/>
      <c r="BC732" s="26"/>
      <c r="BD732" s="26"/>
      <c r="BE732" s="26"/>
      <c r="BF732" s="26"/>
      <c r="BG732" s="26"/>
      <c r="BH732" s="26"/>
    </row>
    <row r="733" spans="1:60" ht="35.65" customHeight="1">
      <c r="A733" s="257" t="s">
        <v>518</v>
      </c>
      <c r="B733" s="234">
        <v>3400</v>
      </c>
      <c r="C733" s="22" t="s">
        <v>25</v>
      </c>
      <c r="D733" s="22" t="s">
        <v>25</v>
      </c>
      <c r="E733" s="22" t="s">
        <v>25</v>
      </c>
      <c r="F733" s="22" t="s">
        <v>25</v>
      </c>
      <c r="G733" s="22" t="s">
        <v>25</v>
      </c>
      <c r="H733" s="22" t="s">
        <v>25</v>
      </c>
      <c r="I733" s="22" t="s">
        <v>25</v>
      </c>
      <c r="J733" s="22"/>
      <c r="K733" s="22"/>
      <c r="L733" s="22"/>
      <c r="M733" s="22" t="s">
        <v>25</v>
      </c>
      <c r="N733" s="22" t="s">
        <v>25</v>
      </c>
      <c r="O733" s="22" t="s">
        <v>25</v>
      </c>
      <c r="P733" s="22" t="s">
        <v>25</v>
      </c>
      <c r="Q733" s="22" t="s">
        <v>25</v>
      </c>
      <c r="R733" s="22" t="s">
        <v>25</v>
      </c>
      <c r="S733" s="22" t="s">
        <v>25</v>
      </c>
      <c r="T733" s="22" t="s">
        <v>25</v>
      </c>
      <c r="U733" s="22" t="s">
        <v>25</v>
      </c>
      <c r="V733" s="22" t="s">
        <v>25</v>
      </c>
      <c r="W733" s="22" t="s">
        <v>25</v>
      </c>
      <c r="X733" s="22" t="s">
        <v>25</v>
      </c>
      <c r="Y733" s="22" t="s">
        <v>25</v>
      </c>
      <c r="Z733" s="22" t="s">
        <v>25</v>
      </c>
      <c r="AA733" s="22" t="s">
        <v>25</v>
      </c>
      <c r="AB733" s="22" t="s">
        <v>25</v>
      </c>
      <c r="AC733" s="22" t="s">
        <v>25</v>
      </c>
      <c r="AD733" s="250" t="s">
        <v>25</v>
      </c>
      <c r="AE733" s="34">
        <f>AE735+AE752+AE762</f>
        <v>437475.3</v>
      </c>
      <c r="AF733" s="34">
        <f>AH733+AJ733</f>
        <v>435725.3</v>
      </c>
      <c r="AG733" s="34">
        <f t="shared" ref="AG733:AM733" si="251">AG735+AG752+AG762</f>
        <v>0</v>
      </c>
      <c r="AH733" s="34">
        <f t="shared" si="251"/>
        <v>0</v>
      </c>
      <c r="AI733" s="34">
        <f t="shared" si="251"/>
        <v>437475.3</v>
      </c>
      <c r="AJ733" s="34">
        <f t="shared" si="251"/>
        <v>435725.3</v>
      </c>
      <c r="AK733" s="34">
        <f t="shared" si="251"/>
        <v>0</v>
      </c>
      <c r="AL733" s="34"/>
      <c r="AM733" s="34">
        <f t="shared" si="251"/>
        <v>0</v>
      </c>
      <c r="AN733" s="34"/>
      <c r="AO733" s="34">
        <f>AO735+AO752+AO762</f>
        <v>472205</v>
      </c>
      <c r="AP733" s="34">
        <f t="shared" ref="AP733:BH733" si="252">AP735+AP752+AP762</f>
        <v>0</v>
      </c>
      <c r="AQ733" s="34">
        <f t="shared" si="252"/>
        <v>472205</v>
      </c>
      <c r="AR733" s="34">
        <f t="shared" si="252"/>
        <v>0</v>
      </c>
      <c r="AS733" s="34">
        <f t="shared" si="252"/>
        <v>0</v>
      </c>
      <c r="AT733" s="34">
        <f t="shared" si="252"/>
        <v>419471.39999999997</v>
      </c>
      <c r="AU733" s="34">
        <f t="shared" si="252"/>
        <v>0</v>
      </c>
      <c r="AV733" s="34">
        <f t="shared" si="252"/>
        <v>419471.39999999997</v>
      </c>
      <c r="AW733" s="34">
        <f t="shared" si="252"/>
        <v>0</v>
      </c>
      <c r="AX733" s="34">
        <f t="shared" si="252"/>
        <v>0</v>
      </c>
      <c r="AY733" s="34">
        <f t="shared" si="252"/>
        <v>419471.39999999997</v>
      </c>
      <c r="AZ733" s="34">
        <f t="shared" si="252"/>
        <v>0</v>
      </c>
      <c r="BA733" s="34">
        <f t="shared" si="252"/>
        <v>419471.39999999997</v>
      </c>
      <c r="BB733" s="34">
        <f t="shared" si="252"/>
        <v>0</v>
      </c>
      <c r="BC733" s="34">
        <f t="shared" si="252"/>
        <v>0</v>
      </c>
      <c r="BD733" s="34">
        <f t="shared" si="252"/>
        <v>419471.39999999997</v>
      </c>
      <c r="BE733" s="34">
        <f t="shared" si="252"/>
        <v>0</v>
      </c>
      <c r="BF733" s="34">
        <f t="shared" si="252"/>
        <v>419471.39999999997</v>
      </c>
      <c r="BG733" s="34">
        <f t="shared" si="252"/>
        <v>0</v>
      </c>
      <c r="BH733" s="34">
        <f t="shared" si="252"/>
        <v>0</v>
      </c>
    </row>
    <row r="734" spans="1:60" ht="35.65" customHeight="1">
      <c r="A734" s="23" t="s">
        <v>27</v>
      </c>
      <c r="B734" s="251">
        <v>3401</v>
      </c>
      <c r="C734" s="25"/>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19"/>
      <c r="AE734" s="26"/>
      <c r="AF734" s="26"/>
      <c r="AG734" s="26"/>
      <c r="AH734" s="26"/>
      <c r="AI734" s="26"/>
      <c r="AJ734" s="26"/>
      <c r="AK734" s="26"/>
      <c r="AL734" s="26"/>
      <c r="AM734" s="26"/>
      <c r="AN734" s="26"/>
      <c r="AO734" s="26"/>
      <c r="AP734" s="26"/>
      <c r="AQ734" s="26"/>
      <c r="AR734" s="26"/>
      <c r="AS734" s="26"/>
      <c r="AT734" s="26"/>
      <c r="AU734" s="26"/>
      <c r="AV734" s="26"/>
      <c r="AW734" s="26"/>
      <c r="AX734" s="26"/>
      <c r="AY734" s="26"/>
      <c r="AZ734" s="26"/>
      <c r="BA734" s="26"/>
      <c r="BB734" s="26"/>
      <c r="BC734" s="26"/>
      <c r="BD734" s="26"/>
      <c r="BE734" s="26"/>
      <c r="BF734" s="26"/>
      <c r="BG734" s="26"/>
      <c r="BH734" s="26"/>
    </row>
    <row r="735" spans="1:60" ht="35.65" customHeight="1" thickBot="1">
      <c r="A735" s="31" t="s">
        <v>519</v>
      </c>
      <c r="B735" s="240"/>
      <c r="C735" s="33"/>
      <c r="D735" s="34"/>
      <c r="E735" s="34"/>
      <c r="F735" s="34"/>
      <c r="G735" s="34"/>
      <c r="H735" s="34"/>
      <c r="I735" s="34"/>
      <c r="J735" s="34"/>
      <c r="K735" s="34"/>
      <c r="L735" s="34"/>
      <c r="M735" s="34"/>
      <c r="N735" s="34"/>
      <c r="O735" s="34"/>
      <c r="P735" s="34"/>
      <c r="Q735" s="34"/>
      <c r="R735" s="34"/>
      <c r="S735" s="34"/>
      <c r="T735" s="34"/>
      <c r="U735" s="34">
        <v>3401</v>
      </c>
      <c r="V735" s="34"/>
      <c r="W735" s="34"/>
      <c r="X735" s="34"/>
      <c r="Y735" s="34"/>
      <c r="Z735" s="34"/>
      <c r="AA735" s="34"/>
      <c r="AB735" s="34"/>
      <c r="AC735" s="34">
        <v>6</v>
      </c>
      <c r="AD735" s="235"/>
      <c r="AE735" s="34">
        <f t="shared" ref="AE735:AM735" si="253">AE736+AE737+AE738+AE739+AE740+AE741+AE742+AE743+AE744+AE745+AE747+AE748+AE750+AE751</f>
        <v>203462.1</v>
      </c>
      <c r="AF735" s="34">
        <f>AH735+AJ735</f>
        <v>203401.5</v>
      </c>
      <c r="AG735" s="34">
        <f t="shared" si="253"/>
        <v>0</v>
      </c>
      <c r="AH735" s="34">
        <f t="shared" si="253"/>
        <v>0</v>
      </c>
      <c r="AI735" s="34">
        <f t="shared" si="253"/>
        <v>203462.1</v>
      </c>
      <c r="AJ735" s="34">
        <f t="shared" si="253"/>
        <v>203401.5</v>
      </c>
      <c r="AK735" s="34">
        <f t="shared" si="253"/>
        <v>0</v>
      </c>
      <c r="AL735" s="34"/>
      <c r="AM735" s="34">
        <f t="shared" si="253"/>
        <v>0</v>
      </c>
      <c r="AN735" s="34"/>
      <c r="AO735" s="34">
        <f>AO736+AO737+AO738+AO739+AO740+AO741+AO742+AO743+AO744+AO745+AO747+AO748+AO750+AO751+AO746+AO749</f>
        <v>232570.1</v>
      </c>
      <c r="AP735" s="34">
        <f t="shared" ref="AP735:AR735" si="254">AP736+AP737+AP738+AP739+AP740+AP741+AP742+AP743+AP744+AP745+AP747+AP748+AP750+AP751+AP746+AP749</f>
        <v>0</v>
      </c>
      <c r="AQ735" s="34">
        <f t="shared" si="254"/>
        <v>232570.1</v>
      </c>
      <c r="AR735" s="34">
        <f t="shared" si="254"/>
        <v>0</v>
      </c>
      <c r="AS735" s="34">
        <f t="shared" ref="AS735:BH735" si="255">AS736+AS737+AS738+AS739+AS740+AS741+AS742+AS743+AS744+AS745+AS747+AS748+AS750+AS751</f>
        <v>0</v>
      </c>
      <c r="AT735" s="34">
        <f t="shared" si="255"/>
        <v>205665.9</v>
      </c>
      <c r="AU735" s="34">
        <f t="shared" si="255"/>
        <v>0</v>
      </c>
      <c r="AV735" s="34">
        <f t="shared" si="255"/>
        <v>205665.9</v>
      </c>
      <c r="AW735" s="34">
        <f t="shared" si="255"/>
        <v>0</v>
      </c>
      <c r="AX735" s="34">
        <f t="shared" si="255"/>
        <v>0</v>
      </c>
      <c r="AY735" s="34">
        <f t="shared" si="255"/>
        <v>205665.9</v>
      </c>
      <c r="AZ735" s="34">
        <f t="shared" si="255"/>
        <v>0</v>
      </c>
      <c r="BA735" s="34">
        <f t="shared" si="255"/>
        <v>205665.9</v>
      </c>
      <c r="BB735" s="34">
        <f t="shared" si="255"/>
        <v>0</v>
      </c>
      <c r="BC735" s="34">
        <f t="shared" si="255"/>
        <v>0</v>
      </c>
      <c r="BD735" s="34">
        <f t="shared" si="255"/>
        <v>205665.9</v>
      </c>
      <c r="BE735" s="34">
        <f t="shared" si="255"/>
        <v>0</v>
      </c>
      <c r="BF735" s="34">
        <f t="shared" si="255"/>
        <v>205665.9</v>
      </c>
      <c r="BG735" s="34">
        <f t="shared" si="255"/>
        <v>0</v>
      </c>
      <c r="BH735" s="34">
        <f t="shared" si="255"/>
        <v>0</v>
      </c>
    </row>
    <row r="736" spans="1:60" ht="35.65" customHeight="1" thickBot="1">
      <c r="A736" s="268" t="s">
        <v>387</v>
      </c>
      <c r="B736" s="174"/>
      <c r="C736" s="43" t="s">
        <v>498</v>
      </c>
      <c r="D736" s="43" t="s">
        <v>163</v>
      </c>
      <c r="E736" s="43" t="s">
        <v>499</v>
      </c>
      <c r="F736" s="43"/>
      <c r="G736" s="43"/>
      <c r="H736" s="43"/>
      <c r="I736" s="43"/>
      <c r="J736" s="43" t="s">
        <v>520</v>
      </c>
      <c r="K736" s="43" t="s">
        <v>163</v>
      </c>
      <c r="L736" s="43" t="s">
        <v>521</v>
      </c>
      <c r="M736" s="43"/>
      <c r="N736" s="43"/>
      <c r="O736" s="43"/>
      <c r="P736" s="71" t="s">
        <v>135</v>
      </c>
      <c r="Q736" s="20" t="s">
        <v>112</v>
      </c>
      <c r="R736" s="43"/>
      <c r="S736" s="43"/>
      <c r="T736" s="43"/>
      <c r="U736" s="43"/>
      <c r="V736" s="43"/>
      <c r="W736" s="71" t="s">
        <v>522</v>
      </c>
      <c r="X736" s="20" t="s">
        <v>112</v>
      </c>
      <c r="Y736" s="43"/>
      <c r="Z736" s="71" t="s">
        <v>522</v>
      </c>
      <c r="AA736" s="20" t="s">
        <v>112</v>
      </c>
      <c r="AB736" s="43"/>
      <c r="AC736" s="26"/>
      <c r="AD736" s="195" t="s">
        <v>1156</v>
      </c>
      <c r="AE736" s="26">
        <f t="shared" ref="AE736:AE743" si="256">AG736+AI736+RM736+RN736</f>
        <v>0</v>
      </c>
      <c r="AF736" s="26">
        <f>AH736+AJ736</f>
        <v>0</v>
      </c>
      <c r="AG736" s="26"/>
      <c r="AH736" s="26"/>
      <c r="AI736" s="26"/>
      <c r="AJ736" s="26"/>
      <c r="AK736" s="26"/>
      <c r="AL736" s="26"/>
      <c r="AM736" s="26"/>
      <c r="AN736" s="26"/>
      <c r="AO736" s="26">
        <f>AP736+AQ736+AR736+AS736</f>
        <v>0</v>
      </c>
      <c r="AP736" s="26"/>
      <c r="AQ736" s="26"/>
      <c r="AR736" s="26"/>
      <c r="AS736" s="26"/>
      <c r="AT736" s="26">
        <f>AU736+AV736+AW736+AX736</f>
        <v>0</v>
      </c>
      <c r="AU736" s="26"/>
      <c r="AV736" s="26"/>
      <c r="AW736" s="26"/>
      <c r="AX736" s="26"/>
      <c r="AY736" s="26">
        <f>AZ736+BA736+BB736+BC736</f>
        <v>0</v>
      </c>
      <c r="AZ736" s="26"/>
      <c r="BA736" s="26"/>
      <c r="BB736" s="26"/>
      <c r="BC736" s="26"/>
      <c r="BD736" s="26">
        <f>BE736+BF736+BG736+BH736</f>
        <v>0</v>
      </c>
      <c r="BE736" s="26"/>
      <c r="BF736" s="26"/>
      <c r="BG736" s="26"/>
      <c r="BH736" s="26"/>
    </row>
    <row r="737" spans="1:60" ht="35.65" customHeight="1" thickBot="1">
      <c r="A737" s="268" t="s">
        <v>387</v>
      </c>
      <c r="B737" s="174"/>
      <c r="C737" s="43" t="s">
        <v>498</v>
      </c>
      <c r="D737" s="43" t="s">
        <v>163</v>
      </c>
      <c r="E737" s="43" t="s">
        <v>499</v>
      </c>
      <c r="F737" s="43"/>
      <c r="G737" s="43"/>
      <c r="H737" s="43"/>
      <c r="I737" s="43"/>
      <c r="J737" s="43" t="s">
        <v>520</v>
      </c>
      <c r="K737" s="43" t="s">
        <v>163</v>
      </c>
      <c r="L737" s="43" t="s">
        <v>521</v>
      </c>
      <c r="M737" s="43"/>
      <c r="N737" s="43"/>
      <c r="O737" s="43"/>
      <c r="P737" s="71" t="s">
        <v>135</v>
      </c>
      <c r="Q737" s="20" t="s">
        <v>112</v>
      </c>
      <c r="R737" s="43"/>
      <c r="S737" s="43"/>
      <c r="T737" s="43"/>
      <c r="U737" s="43"/>
      <c r="V737" s="43"/>
      <c r="W737" s="71" t="s">
        <v>522</v>
      </c>
      <c r="X737" s="20" t="s">
        <v>112</v>
      </c>
      <c r="Y737" s="43"/>
      <c r="Z737" s="71" t="s">
        <v>522</v>
      </c>
      <c r="AA737" s="20" t="s">
        <v>112</v>
      </c>
      <c r="AB737" s="43"/>
      <c r="AC737" s="26"/>
      <c r="AD737" s="195" t="s">
        <v>1157</v>
      </c>
      <c r="AE737" s="26">
        <f t="shared" si="256"/>
        <v>0</v>
      </c>
      <c r="AF737" s="26">
        <f t="shared" ref="AF737:AF751" si="257">AH737+AJ737</f>
        <v>0</v>
      </c>
      <c r="AG737" s="26"/>
      <c r="AH737" s="26"/>
      <c r="AI737" s="26">
        <v>0</v>
      </c>
      <c r="AJ737" s="26"/>
      <c r="AK737" s="26"/>
      <c r="AL737" s="26"/>
      <c r="AM737" s="26"/>
      <c r="AN737" s="26"/>
      <c r="AO737" s="26">
        <f t="shared" ref="AO737:AO751" si="258">AP737+AQ737+AR737+AS737</f>
        <v>0</v>
      </c>
      <c r="AP737" s="26"/>
      <c r="AQ737" s="26">
        <v>0</v>
      </c>
      <c r="AR737" s="26"/>
      <c r="AS737" s="26"/>
      <c r="AT737" s="26">
        <f t="shared" ref="AT737:AT743" si="259">AU737+AV737+AW737+AX737</f>
        <v>0</v>
      </c>
      <c r="AU737" s="26"/>
      <c r="AV737" s="26">
        <v>0</v>
      </c>
      <c r="AW737" s="26"/>
      <c r="AX737" s="26"/>
      <c r="AY737" s="26">
        <f t="shared" ref="AY737:AY751" si="260">AZ737+BA737+BB737+BC737</f>
        <v>0</v>
      </c>
      <c r="AZ737" s="26"/>
      <c r="BA737" s="26">
        <v>0</v>
      </c>
      <c r="BB737" s="26"/>
      <c r="BC737" s="26"/>
      <c r="BD737" s="26">
        <f t="shared" ref="BD737:BD743" si="261">BE737+BF737+BG737+BH737</f>
        <v>0</v>
      </c>
      <c r="BE737" s="26"/>
      <c r="BF737" s="26">
        <v>0</v>
      </c>
      <c r="BG737" s="26"/>
      <c r="BH737" s="26"/>
    </row>
    <row r="738" spans="1:60" ht="35.65" customHeight="1" thickBot="1">
      <c r="A738" s="268" t="s">
        <v>387</v>
      </c>
      <c r="B738" s="174"/>
      <c r="C738" s="43" t="s">
        <v>498</v>
      </c>
      <c r="D738" s="43" t="s">
        <v>163</v>
      </c>
      <c r="E738" s="43" t="s">
        <v>499</v>
      </c>
      <c r="F738" s="43"/>
      <c r="G738" s="43"/>
      <c r="H738" s="43"/>
      <c r="I738" s="43"/>
      <c r="J738" s="43" t="s">
        <v>520</v>
      </c>
      <c r="K738" s="43" t="s">
        <v>163</v>
      </c>
      <c r="L738" s="43" t="s">
        <v>521</v>
      </c>
      <c r="M738" s="43"/>
      <c r="N738" s="43"/>
      <c r="O738" s="43"/>
      <c r="P738" s="71" t="s">
        <v>135</v>
      </c>
      <c r="Q738" s="20" t="s">
        <v>112</v>
      </c>
      <c r="R738" s="43"/>
      <c r="S738" s="43"/>
      <c r="T738" s="43"/>
      <c r="U738" s="43"/>
      <c r="V738" s="43"/>
      <c r="W738" s="71" t="s">
        <v>522</v>
      </c>
      <c r="X738" s="20" t="s">
        <v>112</v>
      </c>
      <c r="Y738" s="43"/>
      <c r="Z738" s="71" t="s">
        <v>522</v>
      </c>
      <c r="AA738" s="20" t="s">
        <v>112</v>
      </c>
      <c r="AB738" s="43"/>
      <c r="AC738" s="26"/>
      <c r="AD738" s="195" t="s">
        <v>1158</v>
      </c>
      <c r="AE738" s="26">
        <f t="shared" si="256"/>
        <v>32383.899999999998</v>
      </c>
      <c r="AF738" s="26">
        <f t="shared" si="257"/>
        <v>32323.3</v>
      </c>
      <c r="AG738" s="26"/>
      <c r="AH738" s="26"/>
      <c r="AI738" s="26">
        <f>27407.3+11+0.7+1323.7-14.5+2427.3+573.3+655.1</f>
        <v>32383.899999999998</v>
      </c>
      <c r="AJ738" s="26">
        <v>32323.3</v>
      </c>
      <c r="AK738" s="26"/>
      <c r="AL738" s="26"/>
      <c r="AM738" s="26"/>
      <c r="AN738" s="26"/>
      <c r="AO738" s="26">
        <f t="shared" si="258"/>
        <v>38999</v>
      </c>
      <c r="AP738" s="26"/>
      <c r="AQ738" s="26">
        <f>35710.6-267.6+103.8+2455.2+886.2+110.8</f>
        <v>38999</v>
      </c>
      <c r="AR738" s="26"/>
      <c r="AS738" s="26"/>
      <c r="AT738" s="26">
        <f t="shared" si="259"/>
        <v>35710.6</v>
      </c>
      <c r="AU738" s="26"/>
      <c r="AV738" s="26">
        <v>35710.6</v>
      </c>
      <c r="AW738" s="26"/>
      <c r="AX738" s="26"/>
      <c r="AY738" s="26">
        <f t="shared" si="260"/>
        <v>35710.6</v>
      </c>
      <c r="AZ738" s="26"/>
      <c r="BA738" s="26">
        <v>35710.6</v>
      </c>
      <c r="BB738" s="26"/>
      <c r="BC738" s="26"/>
      <c r="BD738" s="26">
        <f t="shared" si="261"/>
        <v>35710.6</v>
      </c>
      <c r="BE738" s="26"/>
      <c r="BF738" s="26">
        <v>35710.6</v>
      </c>
      <c r="BG738" s="26"/>
      <c r="BH738" s="26"/>
    </row>
    <row r="739" spans="1:60" ht="35.65" customHeight="1" thickBot="1">
      <c r="A739" s="268" t="s">
        <v>387</v>
      </c>
      <c r="B739" s="174"/>
      <c r="C739" s="43" t="s">
        <v>498</v>
      </c>
      <c r="D739" s="43" t="s">
        <v>163</v>
      </c>
      <c r="E739" s="43" t="s">
        <v>499</v>
      </c>
      <c r="F739" s="43"/>
      <c r="G739" s="43"/>
      <c r="H739" s="43"/>
      <c r="I739" s="43"/>
      <c r="J739" s="43" t="s">
        <v>520</v>
      </c>
      <c r="K739" s="43" t="s">
        <v>163</v>
      </c>
      <c r="L739" s="43" t="s">
        <v>521</v>
      </c>
      <c r="M739" s="43"/>
      <c r="N739" s="43"/>
      <c r="O739" s="43"/>
      <c r="P739" s="71" t="s">
        <v>135</v>
      </c>
      <c r="Q739" s="20" t="s">
        <v>112</v>
      </c>
      <c r="R739" s="43"/>
      <c r="S739" s="43"/>
      <c r="T739" s="43"/>
      <c r="U739" s="43"/>
      <c r="V739" s="43"/>
      <c r="W739" s="71" t="s">
        <v>522</v>
      </c>
      <c r="X739" s="20" t="s">
        <v>112</v>
      </c>
      <c r="Y739" s="43"/>
      <c r="Z739" s="71" t="s">
        <v>522</v>
      </c>
      <c r="AA739" s="20" t="s">
        <v>112</v>
      </c>
      <c r="AB739" s="43"/>
      <c r="AC739" s="26"/>
      <c r="AD739" s="195" t="s">
        <v>1159</v>
      </c>
      <c r="AE739" s="26">
        <f t="shared" si="256"/>
        <v>0</v>
      </c>
      <c r="AF739" s="26">
        <f t="shared" si="257"/>
        <v>0</v>
      </c>
      <c r="AG739" s="26"/>
      <c r="AH739" s="26"/>
      <c r="AI739" s="26"/>
      <c r="AJ739" s="26"/>
      <c r="AK739" s="26"/>
      <c r="AL739" s="26"/>
      <c r="AM739" s="26"/>
      <c r="AN739" s="26"/>
      <c r="AO739" s="26">
        <f t="shared" si="258"/>
        <v>0</v>
      </c>
      <c r="AP739" s="26"/>
      <c r="AQ739" s="26"/>
      <c r="AR739" s="26"/>
      <c r="AS739" s="26"/>
      <c r="AT739" s="26">
        <f t="shared" si="259"/>
        <v>0</v>
      </c>
      <c r="AU739" s="26"/>
      <c r="AV739" s="26"/>
      <c r="AW739" s="26"/>
      <c r="AX739" s="26"/>
      <c r="AY739" s="26">
        <f t="shared" si="260"/>
        <v>0</v>
      </c>
      <c r="AZ739" s="26"/>
      <c r="BA739" s="26"/>
      <c r="BB739" s="26"/>
      <c r="BC739" s="26"/>
      <c r="BD739" s="26">
        <f t="shared" si="261"/>
        <v>0</v>
      </c>
      <c r="BE739" s="26"/>
      <c r="BF739" s="26"/>
      <c r="BG739" s="26"/>
      <c r="BH739" s="26"/>
    </row>
    <row r="740" spans="1:60" ht="35.65" customHeight="1" thickBot="1">
      <c r="A740" s="268" t="s">
        <v>387</v>
      </c>
      <c r="B740" s="174"/>
      <c r="C740" s="43" t="s">
        <v>498</v>
      </c>
      <c r="D740" s="43" t="s">
        <v>163</v>
      </c>
      <c r="E740" s="43" t="s">
        <v>499</v>
      </c>
      <c r="F740" s="43"/>
      <c r="G740" s="43"/>
      <c r="H740" s="43"/>
      <c r="I740" s="43"/>
      <c r="J740" s="43" t="s">
        <v>520</v>
      </c>
      <c r="K740" s="43" t="s">
        <v>163</v>
      </c>
      <c r="L740" s="43" t="s">
        <v>521</v>
      </c>
      <c r="M740" s="43"/>
      <c r="N740" s="43"/>
      <c r="O740" s="43"/>
      <c r="P740" s="71" t="s">
        <v>135</v>
      </c>
      <c r="Q740" s="20" t="s">
        <v>112</v>
      </c>
      <c r="R740" s="43"/>
      <c r="S740" s="43"/>
      <c r="T740" s="43"/>
      <c r="U740" s="43"/>
      <c r="V740" s="43"/>
      <c r="W740" s="71" t="s">
        <v>522</v>
      </c>
      <c r="X740" s="20" t="s">
        <v>112</v>
      </c>
      <c r="Y740" s="43"/>
      <c r="Z740" s="71" t="s">
        <v>522</v>
      </c>
      <c r="AA740" s="20" t="s">
        <v>112</v>
      </c>
      <c r="AB740" s="43"/>
      <c r="AC740" s="26"/>
      <c r="AD740" s="195" t="s">
        <v>1160</v>
      </c>
      <c r="AE740" s="26">
        <f t="shared" si="256"/>
        <v>10194.699999999999</v>
      </c>
      <c r="AF740" s="26">
        <f t="shared" si="257"/>
        <v>10194.700000000001</v>
      </c>
      <c r="AG740" s="26"/>
      <c r="AH740" s="26"/>
      <c r="AI740" s="26">
        <f>8905.8+2.8+439.6+846.5</f>
        <v>10194.699999999999</v>
      </c>
      <c r="AJ740" s="26">
        <v>10194.700000000001</v>
      </c>
      <c r="AK740" s="26"/>
      <c r="AL740" s="26"/>
      <c r="AM740" s="26"/>
      <c r="AN740" s="26"/>
      <c r="AO740" s="26">
        <f t="shared" si="258"/>
        <v>12121.199999999999</v>
      </c>
      <c r="AP740" s="26"/>
      <c r="AQ740" s="26">
        <f>9732.8+764.8+44.5+1292.2+245.8+41.1</f>
        <v>12121.199999999999</v>
      </c>
      <c r="AR740" s="26"/>
      <c r="AS740" s="26"/>
      <c r="AT740" s="26">
        <f t="shared" si="259"/>
        <v>9732.7999999999993</v>
      </c>
      <c r="AU740" s="26"/>
      <c r="AV740" s="26">
        <v>9732.7999999999993</v>
      </c>
      <c r="AW740" s="26"/>
      <c r="AX740" s="26"/>
      <c r="AY740" s="26">
        <f t="shared" si="260"/>
        <v>9732.7999999999993</v>
      </c>
      <c r="AZ740" s="26"/>
      <c r="BA740" s="26">
        <v>9732.7999999999993</v>
      </c>
      <c r="BB740" s="26"/>
      <c r="BC740" s="26"/>
      <c r="BD740" s="26">
        <f t="shared" si="261"/>
        <v>9732.7999999999993</v>
      </c>
      <c r="BE740" s="26"/>
      <c r="BF740" s="26">
        <v>9732.7999999999993</v>
      </c>
      <c r="BG740" s="26"/>
      <c r="BH740" s="26"/>
    </row>
    <row r="741" spans="1:60" ht="35.65" customHeight="1" thickBot="1">
      <c r="A741" s="268" t="s">
        <v>387</v>
      </c>
      <c r="B741" s="174"/>
      <c r="C741" s="43"/>
      <c r="D741" s="43"/>
      <c r="E741" s="43"/>
      <c r="F741" s="43"/>
      <c r="G741" s="43"/>
      <c r="H741" s="43"/>
      <c r="I741" s="43"/>
      <c r="J741" s="43"/>
      <c r="K741" s="43"/>
      <c r="L741" s="43"/>
      <c r="M741" s="43"/>
      <c r="N741" s="43"/>
      <c r="O741" s="43"/>
      <c r="P741" s="71"/>
      <c r="Q741" s="20"/>
      <c r="R741" s="43"/>
      <c r="S741" s="43"/>
      <c r="T741" s="43"/>
      <c r="U741" s="43"/>
      <c r="V741" s="43"/>
      <c r="W741" s="71"/>
      <c r="X741" s="20"/>
      <c r="Y741" s="43"/>
      <c r="Z741" s="71"/>
      <c r="AA741" s="20"/>
      <c r="AB741" s="43"/>
      <c r="AC741" s="26"/>
      <c r="AD741" s="195" t="s">
        <v>1161</v>
      </c>
      <c r="AE741" s="26">
        <f t="shared" si="256"/>
        <v>0</v>
      </c>
      <c r="AF741" s="26">
        <f t="shared" si="257"/>
        <v>0</v>
      </c>
      <c r="AG741" s="26"/>
      <c r="AH741" s="26"/>
      <c r="AI741" s="26">
        <f>1147.9-14.5+14.5-1147.9</f>
        <v>0</v>
      </c>
      <c r="AJ741" s="26"/>
      <c r="AK741" s="26"/>
      <c r="AL741" s="26"/>
      <c r="AM741" s="26"/>
      <c r="AN741" s="26"/>
      <c r="AO741" s="26">
        <f t="shared" si="258"/>
        <v>0</v>
      </c>
      <c r="AP741" s="26"/>
      <c r="AQ741" s="26"/>
      <c r="AR741" s="26"/>
      <c r="AS741" s="26"/>
      <c r="AT741" s="26">
        <f t="shared" si="259"/>
        <v>0</v>
      </c>
      <c r="AU741" s="26"/>
      <c r="AV741" s="26"/>
      <c r="AW741" s="26"/>
      <c r="AX741" s="26"/>
      <c r="AY741" s="26">
        <f t="shared" si="260"/>
        <v>0</v>
      </c>
      <c r="AZ741" s="26"/>
      <c r="BA741" s="26"/>
      <c r="BB741" s="26"/>
      <c r="BC741" s="26"/>
      <c r="BD741" s="26">
        <f t="shared" si="261"/>
        <v>0</v>
      </c>
      <c r="BE741" s="26"/>
      <c r="BF741" s="26"/>
      <c r="BG741" s="26"/>
      <c r="BH741" s="26"/>
    </row>
    <row r="742" spans="1:60" ht="35.65" customHeight="1" thickBot="1">
      <c r="A742" s="268" t="s">
        <v>387</v>
      </c>
      <c r="B742" s="174"/>
      <c r="C742" s="43" t="s">
        <v>498</v>
      </c>
      <c r="D742" s="43" t="s">
        <v>163</v>
      </c>
      <c r="E742" s="43" t="s">
        <v>499</v>
      </c>
      <c r="F742" s="43"/>
      <c r="G742" s="43"/>
      <c r="H742" s="43"/>
      <c r="I742" s="43"/>
      <c r="J742" s="43" t="s">
        <v>520</v>
      </c>
      <c r="K742" s="43" t="s">
        <v>163</v>
      </c>
      <c r="L742" s="43" t="s">
        <v>521</v>
      </c>
      <c r="M742" s="43"/>
      <c r="N742" s="43"/>
      <c r="O742" s="43"/>
      <c r="P742" s="71" t="s">
        <v>135</v>
      </c>
      <c r="Q742" s="20" t="s">
        <v>112</v>
      </c>
      <c r="R742" s="43"/>
      <c r="S742" s="43"/>
      <c r="T742" s="43"/>
      <c r="U742" s="43"/>
      <c r="V742" s="43"/>
      <c r="W742" s="71" t="s">
        <v>522</v>
      </c>
      <c r="X742" s="20" t="s">
        <v>112</v>
      </c>
      <c r="Y742" s="43"/>
      <c r="Z742" s="71" t="s">
        <v>522</v>
      </c>
      <c r="AA742" s="20" t="s">
        <v>112</v>
      </c>
      <c r="AB742" s="43"/>
      <c r="AC742" s="26"/>
      <c r="AD742" s="195" t="s">
        <v>1162</v>
      </c>
      <c r="AE742" s="26">
        <f t="shared" si="256"/>
        <v>0</v>
      </c>
      <c r="AF742" s="26">
        <f t="shared" si="257"/>
        <v>0</v>
      </c>
      <c r="AG742" s="26"/>
      <c r="AH742" s="26"/>
      <c r="AI742" s="26">
        <v>0</v>
      </c>
      <c r="AJ742" s="26"/>
      <c r="AK742" s="26"/>
      <c r="AL742" s="26"/>
      <c r="AM742" s="26"/>
      <c r="AN742" s="26"/>
      <c r="AO742" s="26">
        <f t="shared" si="258"/>
        <v>0</v>
      </c>
      <c r="AP742" s="26"/>
      <c r="AQ742" s="26">
        <v>0</v>
      </c>
      <c r="AR742" s="26"/>
      <c r="AS742" s="26"/>
      <c r="AT742" s="26">
        <f t="shared" si="259"/>
        <v>0</v>
      </c>
      <c r="AU742" s="26"/>
      <c r="AV742" s="26">
        <v>0</v>
      </c>
      <c r="AW742" s="26"/>
      <c r="AX742" s="26"/>
      <c r="AY742" s="26">
        <f t="shared" si="260"/>
        <v>0</v>
      </c>
      <c r="AZ742" s="26"/>
      <c r="BA742" s="26">
        <v>0</v>
      </c>
      <c r="BB742" s="26"/>
      <c r="BC742" s="26"/>
      <c r="BD742" s="26">
        <f t="shared" si="261"/>
        <v>0</v>
      </c>
      <c r="BE742" s="26"/>
      <c r="BF742" s="26">
        <v>0</v>
      </c>
      <c r="BG742" s="26"/>
      <c r="BH742" s="26"/>
    </row>
    <row r="743" spans="1:60" ht="35.65" customHeight="1" thickBot="1">
      <c r="A743" s="268" t="s">
        <v>387</v>
      </c>
      <c r="B743" s="174"/>
      <c r="C743" s="43" t="s">
        <v>498</v>
      </c>
      <c r="D743" s="43" t="s">
        <v>163</v>
      </c>
      <c r="E743" s="43" t="s">
        <v>499</v>
      </c>
      <c r="F743" s="43"/>
      <c r="G743" s="43"/>
      <c r="H743" s="43"/>
      <c r="I743" s="43"/>
      <c r="J743" s="43" t="s">
        <v>520</v>
      </c>
      <c r="K743" s="43" t="s">
        <v>163</v>
      </c>
      <c r="L743" s="43" t="s">
        <v>521</v>
      </c>
      <c r="M743" s="43"/>
      <c r="N743" s="43"/>
      <c r="O743" s="43"/>
      <c r="P743" s="71" t="s">
        <v>135</v>
      </c>
      <c r="Q743" s="20" t="s">
        <v>112</v>
      </c>
      <c r="R743" s="43"/>
      <c r="S743" s="43"/>
      <c r="T743" s="43"/>
      <c r="U743" s="43"/>
      <c r="V743" s="43"/>
      <c r="W743" s="71" t="s">
        <v>522</v>
      </c>
      <c r="X743" s="20" t="s">
        <v>112</v>
      </c>
      <c r="Y743" s="43"/>
      <c r="Z743" s="71" t="s">
        <v>522</v>
      </c>
      <c r="AA743" s="20" t="s">
        <v>112</v>
      </c>
      <c r="AB743" s="43"/>
      <c r="AC743" s="26"/>
      <c r="AD743" s="195" t="s">
        <v>1163</v>
      </c>
      <c r="AE743" s="26">
        <f t="shared" si="256"/>
        <v>0</v>
      </c>
      <c r="AF743" s="26">
        <f t="shared" si="257"/>
        <v>0</v>
      </c>
      <c r="AG743" s="26"/>
      <c r="AH743" s="26"/>
      <c r="AI743" s="26">
        <v>0</v>
      </c>
      <c r="AJ743" s="26"/>
      <c r="AK743" s="26"/>
      <c r="AL743" s="26"/>
      <c r="AM743" s="26"/>
      <c r="AN743" s="26"/>
      <c r="AO743" s="26">
        <f t="shared" si="258"/>
        <v>0</v>
      </c>
      <c r="AP743" s="26"/>
      <c r="AQ743" s="26">
        <v>0</v>
      </c>
      <c r="AR743" s="26"/>
      <c r="AS743" s="26"/>
      <c r="AT743" s="26">
        <f t="shared" si="259"/>
        <v>0</v>
      </c>
      <c r="AU743" s="26"/>
      <c r="AV743" s="26">
        <v>0</v>
      </c>
      <c r="AW743" s="26"/>
      <c r="AX743" s="26"/>
      <c r="AY743" s="26">
        <f t="shared" si="260"/>
        <v>0</v>
      </c>
      <c r="AZ743" s="26"/>
      <c r="BA743" s="26">
        <v>0</v>
      </c>
      <c r="BB743" s="26"/>
      <c r="BC743" s="26"/>
      <c r="BD743" s="26">
        <f t="shared" si="261"/>
        <v>0</v>
      </c>
      <c r="BE743" s="26"/>
      <c r="BF743" s="26">
        <v>0</v>
      </c>
      <c r="BG743" s="26"/>
      <c r="BH743" s="26"/>
    </row>
    <row r="744" spans="1:60" ht="35.65" customHeight="1" thickBot="1">
      <c r="A744" s="268" t="s">
        <v>387</v>
      </c>
      <c r="B744" s="174"/>
      <c r="C744" s="43" t="s">
        <v>498</v>
      </c>
      <c r="D744" s="43" t="s">
        <v>163</v>
      </c>
      <c r="E744" s="43" t="s">
        <v>499</v>
      </c>
      <c r="F744" s="43"/>
      <c r="G744" s="43"/>
      <c r="H744" s="43"/>
      <c r="I744" s="43"/>
      <c r="J744" s="43" t="s">
        <v>520</v>
      </c>
      <c r="K744" s="43" t="s">
        <v>163</v>
      </c>
      <c r="L744" s="43" t="s">
        <v>521</v>
      </c>
      <c r="M744" s="43"/>
      <c r="N744" s="43"/>
      <c r="O744" s="43"/>
      <c r="P744" s="71" t="s">
        <v>135</v>
      </c>
      <c r="Q744" s="20" t="s">
        <v>112</v>
      </c>
      <c r="R744" s="43"/>
      <c r="S744" s="43"/>
      <c r="T744" s="43"/>
      <c r="U744" s="43"/>
      <c r="V744" s="43"/>
      <c r="W744" s="71" t="s">
        <v>522</v>
      </c>
      <c r="X744" s="20" t="s">
        <v>112</v>
      </c>
      <c r="Y744" s="43"/>
      <c r="Z744" s="71" t="s">
        <v>522</v>
      </c>
      <c r="AA744" s="20" t="s">
        <v>112</v>
      </c>
      <c r="AB744" s="43"/>
      <c r="AC744" s="26"/>
      <c r="AD744" s="195" t="s">
        <v>1164</v>
      </c>
      <c r="AE744" s="26"/>
      <c r="AF744" s="26">
        <f t="shared" si="257"/>
        <v>0</v>
      </c>
      <c r="AG744" s="26"/>
      <c r="AH744" s="26"/>
      <c r="AI744" s="26"/>
      <c r="AJ744" s="26"/>
      <c r="AK744" s="26"/>
      <c r="AL744" s="26"/>
      <c r="AM744" s="26"/>
      <c r="AN744" s="26"/>
      <c r="AO744" s="26"/>
      <c r="AP744" s="26"/>
      <c r="AQ744" s="26"/>
      <c r="AR744" s="26"/>
      <c r="AS744" s="26"/>
      <c r="AT744" s="26"/>
      <c r="AU744" s="26"/>
      <c r="AV744" s="26"/>
      <c r="AW744" s="26"/>
      <c r="AX744" s="26"/>
      <c r="AY744" s="26"/>
      <c r="AZ744" s="26"/>
      <c r="BA744" s="26"/>
      <c r="BB744" s="26"/>
      <c r="BC744" s="26"/>
      <c r="BD744" s="26"/>
      <c r="BE744" s="26"/>
      <c r="BF744" s="26"/>
      <c r="BG744" s="26"/>
      <c r="BH744" s="26"/>
    </row>
    <row r="745" spans="1:60" ht="35.65" customHeight="1" thickBot="1">
      <c r="A745" s="268" t="s">
        <v>387</v>
      </c>
      <c r="B745" s="174"/>
      <c r="C745" s="43" t="s">
        <v>498</v>
      </c>
      <c r="D745" s="43" t="s">
        <v>163</v>
      </c>
      <c r="E745" s="43" t="s">
        <v>499</v>
      </c>
      <c r="F745" s="43"/>
      <c r="G745" s="43"/>
      <c r="H745" s="43"/>
      <c r="I745" s="43"/>
      <c r="J745" s="43" t="s">
        <v>520</v>
      </c>
      <c r="K745" s="43" t="s">
        <v>163</v>
      </c>
      <c r="L745" s="43" t="s">
        <v>521</v>
      </c>
      <c r="M745" s="43"/>
      <c r="N745" s="43"/>
      <c r="O745" s="43"/>
      <c r="P745" s="71" t="s">
        <v>135</v>
      </c>
      <c r="Q745" s="20" t="s">
        <v>112</v>
      </c>
      <c r="R745" s="43"/>
      <c r="S745" s="43"/>
      <c r="T745" s="43"/>
      <c r="U745" s="43"/>
      <c r="V745" s="43"/>
      <c r="W745" s="71" t="s">
        <v>522</v>
      </c>
      <c r="X745" s="20" t="s">
        <v>112</v>
      </c>
      <c r="Y745" s="43"/>
      <c r="Z745" s="71" t="s">
        <v>522</v>
      </c>
      <c r="AA745" s="20" t="s">
        <v>112</v>
      </c>
      <c r="AB745" s="43"/>
      <c r="AC745" s="26"/>
      <c r="AD745" s="195" t="s">
        <v>1165</v>
      </c>
      <c r="AE745" s="26">
        <f>AG745+AI745+RM745+RN745</f>
        <v>122057</v>
      </c>
      <c r="AF745" s="26">
        <f t="shared" si="257"/>
        <v>122057</v>
      </c>
      <c r="AG745" s="26"/>
      <c r="AH745" s="26"/>
      <c r="AI745" s="26">
        <v>122057</v>
      </c>
      <c r="AJ745" s="26">
        <v>122057</v>
      </c>
      <c r="AK745" s="26"/>
      <c r="AL745" s="26"/>
      <c r="AM745" s="26"/>
      <c r="AN745" s="26"/>
      <c r="AO745" s="26">
        <f t="shared" si="258"/>
        <v>139928.30000000002</v>
      </c>
      <c r="AP745" s="26"/>
      <c r="AQ745" s="26">
        <f>123677.6+1246.7+1460.3+7944+3725.6-9266.7+241.1+9420.2-153.5+1633</f>
        <v>139928.30000000002</v>
      </c>
      <c r="AR745" s="26"/>
      <c r="AS745" s="26"/>
      <c r="AT745" s="26">
        <f t="shared" ref="AT745:AT751" si="262">AU745+AV745+AW745+AX745</f>
        <v>123677.6</v>
      </c>
      <c r="AU745" s="26"/>
      <c r="AV745" s="26">
        <v>123677.6</v>
      </c>
      <c r="AW745" s="26"/>
      <c r="AX745" s="26"/>
      <c r="AY745" s="26">
        <f t="shared" si="260"/>
        <v>123677.6</v>
      </c>
      <c r="AZ745" s="26"/>
      <c r="BA745" s="26">
        <v>123677.6</v>
      </c>
      <c r="BB745" s="26"/>
      <c r="BC745" s="26"/>
      <c r="BD745" s="26">
        <f>BE745+BF745+BG745+BH745</f>
        <v>123677.6</v>
      </c>
      <c r="BE745" s="26"/>
      <c r="BF745" s="26">
        <v>123677.6</v>
      </c>
      <c r="BG745" s="26"/>
      <c r="BH745" s="26"/>
    </row>
    <row r="746" spans="1:60" ht="35.65" customHeight="1" thickBot="1">
      <c r="A746" s="268" t="s">
        <v>387</v>
      </c>
      <c r="B746" s="174"/>
      <c r="C746" s="43"/>
      <c r="D746" s="43"/>
      <c r="E746" s="43"/>
      <c r="F746" s="43"/>
      <c r="G746" s="43"/>
      <c r="H746" s="43"/>
      <c r="I746" s="43"/>
      <c r="J746" s="43"/>
      <c r="K746" s="43"/>
      <c r="L746" s="43"/>
      <c r="M746" s="43"/>
      <c r="N746" s="43"/>
      <c r="O746" s="43"/>
      <c r="P746" s="71"/>
      <c r="Q746" s="20"/>
      <c r="R746" s="43"/>
      <c r="S746" s="43"/>
      <c r="T746" s="43"/>
      <c r="U746" s="43"/>
      <c r="V746" s="43"/>
      <c r="W746" s="71"/>
      <c r="X746" s="20"/>
      <c r="Y746" s="43"/>
      <c r="Z746" s="71"/>
      <c r="AA746" s="20"/>
      <c r="AB746" s="43"/>
      <c r="AC746" s="26"/>
      <c r="AD746" s="195" t="s">
        <v>1166</v>
      </c>
      <c r="AE746" s="26"/>
      <c r="AF746" s="26"/>
      <c r="AG746" s="26"/>
      <c r="AH746" s="26"/>
      <c r="AI746" s="26"/>
      <c r="AJ746" s="26"/>
      <c r="AK746" s="26"/>
      <c r="AL746" s="26"/>
      <c r="AM746" s="26"/>
      <c r="AN746" s="26"/>
      <c r="AO746" s="26">
        <f t="shared" si="258"/>
        <v>0</v>
      </c>
      <c r="AP746" s="26"/>
      <c r="AQ746" s="26">
        <f>9266.7-9266.7</f>
        <v>0</v>
      </c>
      <c r="AR746" s="26"/>
      <c r="AS746" s="26"/>
      <c r="AT746" s="26"/>
      <c r="AU746" s="26"/>
      <c r="AV746" s="26"/>
      <c r="AW746" s="26"/>
      <c r="AX746" s="26"/>
      <c r="AY746" s="26"/>
      <c r="AZ746" s="26"/>
      <c r="BA746" s="26"/>
      <c r="BB746" s="26"/>
      <c r="BC746" s="26"/>
      <c r="BD746" s="26"/>
      <c r="BE746" s="26"/>
      <c r="BF746" s="26"/>
      <c r="BG746" s="26"/>
      <c r="BH746" s="26"/>
    </row>
    <row r="747" spans="1:60" ht="35.65" customHeight="1" thickBot="1">
      <c r="A747" s="268" t="s">
        <v>387</v>
      </c>
      <c r="B747" s="174"/>
      <c r="C747" s="43" t="s">
        <v>498</v>
      </c>
      <c r="D747" s="43" t="s">
        <v>163</v>
      </c>
      <c r="E747" s="43" t="s">
        <v>499</v>
      </c>
      <c r="F747" s="43"/>
      <c r="G747" s="43"/>
      <c r="H747" s="43"/>
      <c r="I747" s="43"/>
      <c r="J747" s="43" t="s">
        <v>520</v>
      </c>
      <c r="K747" s="43" t="s">
        <v>163</v>
      </c>
      <c r="L747" s="43" t="s">
        <v>521</v>
      </c>
      <c r="M747" s="43"/>
      <c r="N747" s="43"/>
      <c r="O747" s="43"/>
      <c r="P747" s="71" t="s">
        <v>135</v>
      </c>
      <c r="Q747" s="20" t="s">
        <v>112</v>
      </c>
      <c r="R747" s="43"/>
      <c r="S747" s="43"/>
      <c r="T747" s="43"/>
      <c r="U747" s="43"/>
      <c r="V747" s="43"/>
      <c r="W747" s="71" t="s">
        <v>522</v>
      </c>
      <c r="X747" s="20" t="s">
        <v>112</v>
      </c>
      <c r="Y747" s="43"/>
      <c r="Z747" s="71" t="s">
        <v>522</v>
      </c>
      <c r="AA747" s="20" t="s">
        <v>112</v>
      </c>
      <c r="AB747" s="43"/>
      <c r="AC747" s="26"/>
      <c r="AD747" s="195" t="s">
        <v>1167</v>
      </c>
      <c r="AE747" s="26">
        <f>AG747+AI747+RM747+RN747</f>
        <v>0</v>
      </c>
      <c r="AF747" s="26">
        <f>AH747+AJ747</f>
        <v>0</v>
      </c>
      <c r="AG747" s="26"/>
      <c r="AH747" s="26"/>
      <c r="AI747" s="26"/>
      <c r="AJ747" s="26"/>
      <c r="AK747" s="26"/>
      <c r="AL747" s="26"/>
      <c r="AM747" s="26"/>
      <c r="AN747" s="26"/>
      <c r="AO747" s="26">
        <f t="shared" si="258"/>
        <v>0</v>
      </c>
      <c r="AP747" s="26"/>
      <c r="AQ747" s="26"/>
      <c r="AR747" s="26"/>
      <c r="AS747" s="26"/>
      <c r="AT747" s="26">
        <f t="shared" si="262"/>
        <v>0</v>
      </c>
      <c r="AU747" s="26"/>
      <c r="AV747" s="26"/>
      <c r="AW747" s="26"/>
      <c r="AX747" s="26"/>
      <c r="AY747" s="26">
        <f t="shared" si="260"/>
        <v>0</v>
      </c>
      <c r="AZ747" s="26"/>
      <c r="BA747" s="26"/>
      <c r="BB747" s="26"/>
      <c r="BC747" s="26"/>
      <c r="BD747" s="26">
        <f>BE747+BF747+BG747+BH747</f>
        <v>0</v>
      </c>
      <c r="BE747" s="26"/>
      <c r="BF747" s="26"/>
      <c r="BG747" s="26"/>
      <c r="BH747" s="26"/>
    </row>
    <row r="748" spans="1:60" ht="35.65" customHeight="1" thickBot="1">
      <c r="A748" s="268" t="s">
        <v>387</v>
      </c>
      <c r="B748" s="174"/>
      <c r="C748" s="43" t="s">
        <v>498</v>
      </c>
      <c r="D748" s="43" t="s">
        <v>163</v>
      </c>
      <c r="E748" s="43" t="s">
        <v>499</v>
      </c>
      <c r="F748" s="43"/>
      <c r="G748" s="43"/>
      <c r="H748" s="43"/>
      <c r="I748" s="43"/>
      <c r="J748" s="43" t="s">
        <v>520</v>
      </c>
      <c r="K748" s="43" t="s">
        <v>163</v>
      </c>
      <c r="L748" s="43" t="s">
        <v>521</v>
      </c>
      <c r="M748" s="43"/>
      <c r="N748" s="43"/>
      <c r="O748" s="43"/>
      <c r="P748" s="71" t="s">
        <v>135</v>
      </c>
      <c r="Q748" s="20" t="s">
        <v>112</v>
      </c>
      <c r="R748" s="43"/>
      <c r="S748" s="43"/>
      <c r="T748" s="43"/>
      <c r="U748" s="43"/>
      <c r="V748" s="43"/>
      <c r="W748" s="71" t="s">
        <v>522</v>
      </c>
      <c r="X748" s="20" t="s">
        <v>112</v>
      </c>
      <c r="Y748" s="43"/>
      <c r="Z748" s="71" t="s">
        <v>522</v>
      </c>
      <c r="AA748" s="20" t="s">
        <v>112</v>
      </c>
      <c r="AB748" s="43"/>
      <c r="AC748" s="26"/>
      <c r="AD748" s="195" t="s">
        <v>1168</v>
      </c>
      <c r="AE748" s="26">
        <f>AG748+AI748+RM748+RN748</f>
        <v>38826.5</v>
      </c>
      <c r="AF748" s="26">
        <f t="shared" si="257"/>
        <v>38826.5</v>
      </c>
      <c r="AG748" s="26"/>
      <c r="AH748" s="26"/>
      <c r="AI748" s="26">
        <v>38826.5</v>
      </c>
      <c r="AJ748" s="26">
        <v>38826.5</v>
      </c>
      <c r="AK748" s="26"/>
      <c r="AL748" s="26"/>
      <c r="AM748" s="26"/>
      <c r="AN748" s="26"/>
      <c r="AO748" s="26">
        <f t="shared" si="258"/>
        <v>41521.600000000006</v>
      </c>
      <c r="AP748" s="26"/>
      <c r="AQ748" s="26">
        <f>36544.9+304.2+625.5+2386.5+1068.8-5279.6+153.5+5126+153.5+438.3</f>
        <v>41521.600000000006</v>
      </c>
      <c r="AR748" s="26"/>
      <c r="AS748" s="26"/>
      <c r="AT748" s="26">
        <f t="shared" si="262"/>
        <v>36544.9</v>
      </c>
      <c r="AU748" s="26"/>
      <c r="AV748" s="26">
        <v>36544.9</v>
      </c>
      <c r="AW748" s="26"/>
      <c r="AX748" s="26"/>
      <c r="AY748" s="26">
        <f t="shared" si="260"/>
        <v>36544.9</v>
      </c>
      <c r="AZ748" s="26"/>
      <c r="BA748" s="26">
        <v>36544.9</v>
      </c>
      <c r="BB748" s="26"/>
      <c r="BC748" s="26"/>
      <c r="BD748" s="26">
        <f>BE748+BF748+BG748+BH748</f>
        <v>36544.9</v>
      </c>
      <c r="BE748" s="26"/>
      <c r="BF748" s="26">
        <v>36544.9</v>
      </c>
      <c r="BG748" s="26"/>
      <c r="BH748" s="26"/>
    </row>
    <row r="749" spans="1:60" ht="35.65" customHeight="1" thickBot="1">
      <c r="A749" s="268" t="s">
        <v>387</v>
      </c>
      <c r="B749" s="174"/>
      <c r="C749" s="43"/>
      <c r="D749" s="43"/>
      <c r="E749" s="43"/>
      <c r="F749" s="43"/>
      <c r="G749" s="43"/>
      <c r="H749" s="43"/>
      <c r="I749" s="43"/>
      <c r="J749" s="43"/>
      <c r="K749" s="43"/>
      <c r="L749" s="43"/>
      <c r="M749" s="43"/>
      <c r="N749" s="43"/>
      <c r="O749" s="43"/>
      <c r="P749" s="71"/>
      <c r="Q749" s="20"/>
      <c r="R749" s="43"/>
      <c r="S749" s="43"/>
      <c r="T749" s="43"/>
      <c r="U749" s="43"/>
      <c r="V749" s="43"/>
      <c r="W749" s="71"/>
      <c r="X749" s="20"/>
      <c r="Y749" s="43"/>
      <c r="Z749" s="71"/>
      <c r="AA749" s="20"/>
      <c r="AB749" s="43"/>
      <c r="AC749" s="26"/>
      <c r="AD749" s="195" t="s">
        <v>1169</v>
      </c>
      <c r="AE749" s="26"/>
      <c r="AF749" s="26"/>
      <c r="AG749" s="26"/>
      <c r="AH749" s="26"/>
      <c r="AI749" s="26"/>
      <c r="AJ749" s="26"/>
      <c r="AK749" s="26"/>
      <c r="AL749" s="26"/>
      <c r="AM749" s="26"/>
      <c r="AN749" s="26"/>
      <c r="AO749" s="26">
        <f t="shared" si="258"/>
        <v>0</v>
      </c>
      <c r="AP749" s="26"/>
      <c r="AQ749" s="26">
        <f>5279.6-5279.6</f>
        <v>0</v>
      </c>
      <c r="AR749" s="26"/>
      <c r="AS749" s="26"/>
      <c r="AT749" s="26"/>
      <c r="AU749" s="26"/>
      <c r="AV749" s="26"/>
      <c r="AW749" s="26"/>
      <c r="AX749" s="26"/>
      <c r="AY749" s="26"/>
      <c r="AZ749" s="26"/>
      <c r="BA749" s="26"/>
      <c r="BB749" s="26"/>
      <c r="BC749" s="26"/>
      <c r="BD749" s="26"/>
      <c r="BE749" s="26"/>
      <c r="BF749" s="26"/>
      <c r="BG749" s="26"/>
      <c r="BH749" s="26"/>
    </row>
    <row r="750" spans="1:60" ht="35.65" customHeight="1" thickBot="1">
      <c r="A750" s="268" t="s">
        <v>387</v>
      </c>
      <c r="B750" s="174"/>
      <c r="C750" s="43" t="s">
        <v>498</v>
      </c>
      <c r="D750" s="43" t="s">
        <v>163</v>
      </c>
      <c r="E750" s="43" t="s">
        <v>499</v>
      </c>
      <c r="F750" s="43"/>
      <c r="G750" s="43"/>
      <c r="H750" s="43"/>
      <c r="I750" s="43"/>
      <c r="J750" s="43" t="s">
        <v>520</v>
      </c>
      <c r="K750" s="43" t="s">
        <v>163</v>
      </c>
      <c r="L750" s="43" t="s">
        <v>521</v>
      </c>
      <c r="M750" s="43"/>
      <c r="N750" s="43"/>
      <c r="O750" s="43"/>
      <c r="P750" s="71" t="s">
        <v>135</v>
      </c>
      <c r="Q750" s="20" t="s">
        <v>112</v>
      </c>
      <c r="R750" s="43"/>
      <c r="S750" s="43"/>
      <c r="T750" s="43"/>
      <c r="U750" s="43"/>
      <c r="V750" s="43"/>
      <c r="W750" s="71" t="s">
        <v>522</v>
      </c>
      <c r="X750" s="20" t="s">
        <v>112</v>
      </c>
      <c r="Y750" s="43"/>
      <c r="Z750" s="71" t="s">
        <v>522</v>
      </c>
      <c r="AA750" s="20" t="s">
        <v>112</v>
      </c>
      <c r="AB750" s="43"/>
      <c r="AC750" s="26"/>
      <c r="AD750" s="195" t="s">
        <v>1170</v>
      </c>
      <c r="AE750" s="26">
        <f>AG750+AI750+RM750+RN750</f>
        <v>0</v>
      </c>
      <c r="AF750" s="26">
        <f t="shared" si="257"/>
        <v>0</v>
      </c>
      <c r="AG750" s="26"/>
      <c r="AH750" s="26"/>
      <c r="AI750" s="26"/>
      <c r="AJ750" s="26"/>
      <c r="AK750" s="26"/>
      <c r="AL750" s="26"/>
      <c r="AM750" s="26"/>
      <c r="AN750" s="26"/>
      <c r="AO750" s="26">
        <f t="shared" si="258"/>
        <v>0</v>
      </c>
      <c r="AP750" s="26"/>
      <c r="AQ750" s="26"/>
      <c r="AR750" s="26"/>
      <c r="AS750" s="26"/>
      <c r="AT750" s="26">
        <f t="shared" si="262"/>
        <v>0</v>
      </c>
      <c r="AU750" s="26"/>
      <c r="AV750" s="26"/>
      <c r="AW750" s="26"/>
      <c r="AX750" s="26"/>
      <c r="AY750" s="26">
        <f t="shared" si="260"/>
        <v>0</v>
      </c>
      <c r="AZ750" s="26"/>
      <c r="BA750" s="26"/>
      <c r="BB750" s="26"/>
      <c r="BC750" s="26"/>
      <c r="BD750" s="26">
        <f>BE750+BF750+BG750+BH750</f>
        <v>0</v>
      </c>
      <c r="BE750" s="26"/>
      <c r="BF750" s="26"/>
      <c r="BG750" s="26"/>
      <c r="BH750" s="26"/>
    </row>
    <row r="751" spans="1:60" ht="35.65" customHeight="1" thickBot="1">
      <c r="A751" s="268" t="s">
        <v>387</v>
      </c>
      <c r="B751" s="174"/>
      <c r="C751" s="43" t="s">
        <v>498</v>
      </c>
      <c r="D751" s="43" t="s">
        <v>163</v>
      </c>
      <c r="E751" s="43" t="s">
        <v>499</v>
      </c>
      <c r="F751" s="43"/>
      <c r="G751" s="43"/>
      <c r="H751" s="43"/>
      <c r="I751" s="43"/>
      <c r="J751" s="43" t="s">
        <v>520</v>
      </c>
      <c r="K751" s="43" t="s">
        <v>163</v>
      </c>
      <c r="L751" s="43" t="s">
        <v>521</v>
      </c>
      <c r="M751" s="43"/>
      <c r="N751" s="43"/>
      <c r="O751" s="43"/>
      <c r="P751" s="71" t="s">
        <v>135</v>
      </c>
      <c r="Q751" s="20" t="s">
        <v>112</v>
      </c>
      <c r="R751" s="43"/>
      <c r="S751" s="43"/>
      <c r="T751" s="43"/>
      <c r="U751" s="43"/>
      <c r="V751" s="43"/>
      <c r="W751" s="71" t="s">
        <v>522</v>
      </c>
      <c r="X751" s="20" t="s">
        <v>112</v>
      </c>
      <c r="Y751" s="43"/>
      <c r="Z751" s="71" t="s">
        <v>522</v>
      </c>
      <c r="AA751" s="20" t="s">
        <v>112</v>
      </c>
      <c r="AB751" s="43"/>
      <c r="AC751" s="26"/>
      <c r="AD751" s="195" t="s">
        <v>1171</v>
      </c>
      <c r="AE751" s="26">
        <f>AG751+AI751+RM751+RN751</f>
        <v>0</v>
      </c>
      <c r="AF751" s="26">
        <f t="shared" si="257"/>
        <v>0</v>
      </c>
      <c r="AG751" s="26"/>
      <c r="AH751" s="26"/>
      <c r="AI751" s="26">
        <f>1245.6-1245.6</f>
        <v>0</v>
      </c>
      <c r="AJ751" s="26"/>
      <c r="AK751" s="26"/>
      <c r="AL751" s="26"/>
      <c r="AM751" s="26"/>
      <c r="AN751" s="26"/>
      <c r="AO751" s="26">
        <f t="shared" si="258"/>
        <v>0</v>
      </c>
      <c r="AP751" s="26"/>
      <c r="AQ751" s="26"/>
      <c r="AR751" s="26"/>
      <c r="AS751" s="26"/>
      <c r="AT751" s="26">
        <f t="shared" si="262"/>
        <v>0</v>
      </c>
      <c r="AU751" s="26"/>
      <c r="AV751" s="26"/>
      <c r="AW751" s="26"/>
      <c r="AX751" s="26"/>
      <c r="AY751" s="26">
        <f t="shared" si="260"/>
        <v>0</v>
      </c>
      <c r="AZ751" s="26"/>
      <c r="BA751" s="26"/>
      <c r="BB751" s="26"/>
      <c r="BC751" s="26"/>
      <c r="BD751" s="26">
        <f>BE751+BF751+BG751+BH751</f>
        <v>0</v>
      </c>
      <c r="BE751" s="26"/>
      <c r="BF751" s="26"/>
      <c r="BG751" s="26"/>
      <c r="BH751" s="26"/>
    </row>
    <row r="752" spans="1:60" ht="35.65" customHeight="1">
      <c r="A752" s="164" t="s">
        <v>523</v>
      </c>
      <c r="B752" s="269">
        <v>3403</v>
      </c>
      <c r="C752" s="33"/>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c r="AB752" s="34"/>
      <c r="AC752" s="34">
        <v>6</v>
      </c>
      <c r="AD752" s="255"/>
      <c r="AE752" s="60">
        <f>AE753+AE754+AE755+AE757+AE758+AE759+AE760+AE761+AE756</f>
        <v>200988.40000000002</v>
      </c>
      <c r="AF752" s="60">
        <f>AH752+AJ752</f>
        <v>199299</v>
      </c>
      <c r="AG752" s="60">
        <f t="shared" ref="AG752:AM752" si="263">AG753+AG754+AG755+AG757+AG758+AG759+AG760+AG761+AG756</f>
        <v>0</v>
      </c>
      <c r="AH752" s="60">
        <f t="shared" si="263"/>
        <v>0</v>
      </c>
      <c r="AI752" s="60">
        <f t="shared" si="263"/>
        <v>200988.40000000002</v>
      </c>
      <c r="AJ752" s="60">
        <f t="shared" si="263"/>
        <v>199299</v>
      </c>
      <c r="AK752" s="60">
        <f t="shared" si="263"/>
        <v>0</v>
      </c>
      <c r="AL752" s="60"/>
      <c r="AM752" s="60">
        <f t="shared" si="263"/>
        <v>0</v>
      </c>
      <c r="AN752" s="60"/>
      <c r="AO752" s="60">
        <f t="shared" ref="AO752:BH752" si="264">AO753+AO754+AO755+AO757+AO758+AO759+AO760+AO761+AO756</f>
        <v>202597.9</v>
      </c>
      <c r="AP752" s="60">
        <f t="shared" si="264"/>
        <v>0</v>
      </c>
      <c r="AQ752" s="60">
        <f t="shared" si="264"/>
        <v>202597.9</v>
      </c>
      <c r="AR752" s="60">
        <f t="shared" si="264"/>
        <v>0</v>
      </c>
      <c r="AS752" s="60">
        <f t="shared" si="264"/>
        <v>0</v>
      </c>
      <c r="AT752" s="60">
        <f t="shared" si="264"/>
        <v>181867.9</v>
      </c>
      <c r="AU752" s="60">
        <f t="shared" si="264"/>
        <v>0</v>
      </c>
      <c r="AV752" s="60">
        <f t="shared" si="264"/>
        <v>181867.9</v>
      </c>
      <c r="AW752" s="60">
        <f t="shared" si="264"/>
        <v>0</v>
      </c>
      <c r="AX752" s="60">
        <f t="shared" si="264"/>
        <v>0</v>
      </c>
      <c r="AY752" s="60">
        <f t="shared" si="264"/>
        <v>181867.9</v>
      </c>
      <c r="AZ752" s="60">
        <f t="shared" si="264"/>
        <v>0</v>
      </c>
      <c r="BA752" s="60">
        <f t="shared" si="264"/>
        <v>181867.9</v>
      </c>
      <c r="BB752" s="60">
        <f t="shared" si="264"/>
        <v>0</v>
      </c>
      <c r="BC752" s="60">
        <f t="shared" si="264"/>
        <v>0</v>
      </c>
      <c r="BD752" s="60">
        <f t="shared" si="264"/>
        <v>181867.9</v>
      </c>
      <c r="BE752" s="60">
        <f t="shared" si="264"/>
        <v>0</v>
      </c>
      <c r="BF752" s="60">
        <f t="shared" si="264"/>
        <v>181867.9</v>
      </c>
      <c r="BG752" s="60">
        <f t="shared" si="264"/>
        <v>0</v>
      </c>
      <c r="BH752" s="60">
        <f t="shared" si="264"/>
        <v>0</v>
      </c>
    </row>
    <row r="753" spans="1:60" ht="35.65" customHeight="1">
      <c r="A753" s="61" t="s">
        <v>387</v>
      </c>
      <c r="B753" s="97"/>
      <c r="C753" s="43" t="s">
        <v>498</v>
      </c>
      <c r="D753" s="43" t="s">
        <v>163</v>
      </c>
      <c r="E753" s="43" t="s">
        <v>499</v>
      </c>
      <c r="F753" s="43"/>
      <c r="G753" s="43"/>
      <c r="H753" s="43"/>
      <c r="I753" s="43"/>
      <c r="J753" s="43" t="s">
        <v>520</v>
      </c>
      <c r="K753" s="43" t="s">
        <v>163</v>
      </c>
      <c r="L753" s="43" t="s">
        <v>521</v>
      </c>
      <c r="M753" s="52"/>
      <c r="N753" s="52"/>
      <c r="O753" s="52"/>
      <c r="P753" s="71" t="s">
        <v>135</v>
      </c>
      <c r="Q753" s="20" t="s">
        <v>112</v>
      </c>
      <c r="R753" s="52"/>
      <c r="S753" s="52"/>
      <c r="T753" s="52"/>
      <c r="U753" s="52"/>
      <c r="V753" s="52"/>
      <c r="W753" s="71" t="s">
        <v>522</v>
      </c>
      <c r="X753" s="20" t="s">
        <v>112</v>
      </c>
      <c r="Y753" s="52"/>
      <c r="Z753" s="71" t="s">
        <v>522</v>
      </c>
      <c r="AA753" s="20" t="s">
        <v>112</v>
      </c>
      <c r="AB753" s="52"/>
      <c r="AC753" s="26"/>
      <c r="AD753" s="195" t="s">
        <v>1172</v>
      </c>
      <c r="AE753" s="26">
        <f t="shared" ref="AE753:AE761" si="265">AG753+AI753+RM753+RN753</f>
        <v>53140.400000000009</v>
      </c>
      <c r="AF753" s="26">
        <f>AH753+AJ753</f>
        <v>52826.7</v>
      </c>
      <c r="AG753" s="26"/>
      <c r="AH753" s="26"/>
      <c r="AI753" s="26">
        <f>46013.8+84+1049.4+2730.9+1358.7+1354.9+276.4+272.3</f>
        <v>53140.400000000009</v>
      </c>
      <c r="AJ753" s="26">
        <v>52826.7</v>
      </c>
      <c r="AK753" s="26"/>
      <c r="AL753" s="26"/>
      <c r="AM753" s="26"/>
      <c r="AN753" s="26"/>
      <c r="AO753" s="26">
        <f>AP753+AQ753+AR753+AS753</f>
        <v>49937.999999999993</v>
      </c>
      <c r="AP753" s="26"/>
      <c r="AQ753" s="26">
        <f>46143.1+878.8+567.2+322.7+767.9+697.2+561.1</f>
        <v>49937.999999999993</v>
      </c>
      <c r="AR753" s="26"/>
      <c r="AS753" s="26"/>
      <c r="AT753" s="26">
        <f>AU753+AV753+AW753+AX753</f>
        <v>46143.1</v>
      </c>
      <c r="AU753" s="26"/>
      <c r="AV753" s="26">
        <v>46143.1</v>
      </c>
      <c r="AW753" s="26"/>
      <c r="AX753" s="26"/>
      <c r="AY753" s="26">
        <f>AZ753+BA753+BB753+BC753</f>
        <v>46143.1</v>
      </c>
      <c r="AZ753" s="26"/>
      <c r="BA753" s="26">
        <v>46143.1</v>
      </c>
      <c r="BB753" s="26"/>
      <c r="BC753" s="26"/>
      <c r="BD753" s="26">
        <f>BE753+BF753+BG753+BH753</f>
        <v>46143.1</v>
      </c>
      <c r="BE753" s="26"/>
      <c r="BF753" s="26">
        <v>46143.1</v>
      </c>
      <c r="BG753" s="26"/>
      <c r="BH753" s="26"/>
    </row>
    <row r="754" spans="1:60" ht="35.65" customHeight="1">
      <c r="A754" s="61" t="s">
        <v>387</v>
      </c>
      <c r="B754" s="97"/>
      <c r="C754" s="43" t="s">
        <v>498</v>
      </c>
      <c r="D754" s="43" t="s">
        <v>163</v>
      </c>
      <c r="E754" s="43" t="s">
        <v>499</v>
      </c>
      <c r="F754" s="43"/>
      <c r="G754" s="43"/>
      <c r="H754" s="43"/>
      <c r="I754" s="43"/>
      <c r="J754" s="43" t="s">
        <v>520</v>
      </c>
      <c r="K754" s="43" t="s">
        <v>163</v>
      </c>
      <c r="L754" s="43" t="s">
        <v>521</v>
      </c>
      <c r="M754" s="52"/>
      <c r="N754" s="52"/>
      <c r="O754" s="52"/>
      <c r="P754" s="71" t="s">
        <v>135</v>
      </c>
      <c r="Q754" s="20" t="s">
        <v>112</v>
      </c>
      <c r="R754" s="52"/>
      <c r="S754" s="52"/>
      <c r="T754" s="52"/>
      <c r="U754" s="52"/>
      <c r="V754" s="52"/>
      <c r="W754" s="71" t="s">
        <v>522</v>
      </c>
      <c r="X754" s="20" t="s">
        <v>112</v>
      </c>
      <c r="Y754" s="52"/>
      <c r="Z754" s="71" t="s">
        <v>522</v>
      </c>
      <c r="AA754" s="20" t="s">
        <v>112</v>
      </c>
      <c r="AB754" s="52"/>
      <c r="AC754" s="26"/>
      <c r="AD754" s="195" t="s">
        <v>1173</v>
      </c>
      <c r="AE754" s="26">
        <f t="shared" si="265"/>
        <v>0</v>
      </c>
      <c r="AF754" s="26">
        <f t="shared" ref="AF754:AF761" si="266">AH754+AJ754</f>
        <v>0</v>
      </c>
      <c r="AG754" s="26"/>
      <c r="AH754" s="26"/>
      <c r="AI754" s="26"/>
      <c r="AJ754" s="26"/>
      <c r="AK754" s="26"/>
      <c r="AL754" s="26"/>
      <c r="AM754" s="26"/>
      <c r="AN754" s="26"/>
      <c r="AO754" s="26">
        <f t="shared" ref="AO754:AO761" si="267">AP754+AQ754+AR754+AS754</f>
        <v>0</v>
      </c>
      <c r="AP754" s="26"/>
      <c r="AQ754" s="26"/>
      <c r="AR754" s="26"/>
      <c r="AS754" s="26"/>
      <c r="AT754" s="26">
        <f t="shared" ref="AT754:AT761" si="268">AU754+AV754+AW754+AX754</f>
        <v>0</v>
      </c>
      <c r="AU754" s="26"/>
      <c r="AV754" s="26"/>
      <c r="AW754" s="26"/>
      <c r="AX754" s="26"/>
      <c r="AY754" s="26">
        <f t="shared" ref="AY754:AY761" si="269">AZ754+BA754+BB754+BC754</f>
        <v>0</v>
      </c>
      <c r="AZ754" s="26"/>
      <c r="BA754" s="26"/>
      <c r="BB754" s="26"/>
      <c r="BC754" s="26"/>
      <c r="BD754" s="26">
        <f t="shared" ref="BD754:BD761" si="270">BE754+BF754+BG754+BH754</f>
        <v>0</v>
      </c>
      <c r="BE754" s="26"/>
      <c r="BF754" s="26"/>
      <c r="BG754" s="26"/>
      <c r="BH754" s="26"/>
    </row>
    <row r="755" spans="1:60" ht="35.65" customHeight="1">
      <c r="A755" s="61" t="s">
        <v>387</v>
      </c>
      <c r="B755" s="270"/>
      <c r="C755" s="43" t="s">
        <v>498</v>
      </c>
      <c r="D755" s="43" t="s">
        <v>163</v>
      </c>
      <c r="E755" s="43" t="s">
        <v>499</v>
      </c>
      <c r="F755" s="43"/>
      <c r="G755" s="43"/>
      <c r="H755" s="43"/>
      <c r="I755" s="43"/>
      <c r="J755" s="43" t="s">
        <v>520</v>
      </c>
      <c r="K755" s="43" t="s">
        <v>163</v>
      </c>
      <c r="L755" s="43" t="s">
        <v>521</v>
      </c>
      <c r="M755" s="52"/>
      <c r="N755" s="52"/>
      <c r="O755" s="52"/>
      <c r="P755" s="71" t="s">
        <v>135</v>
      </c>
      <c r="Q755" s="20" t="s">
        <v>112</v>
      </c>
      <c r="R755" s="52"/>
      <c r="S755" s="52"/>
      <c r="T755" s="52"/>
      <c r="U755" s="52"/>
      <c r="V755" s="52"/>
      <c r="W755" s="71" t="s">
        <v>522</v>
      </c>
      <c r="X755" s="20" t="s">
        <v>112</v>
      </c>
      <c r="Y755" s="52"/>
      <c r="Z755" s="71" t="s">
        <v>522</v>
      </c>
      <c r="AA755" s="20" t="s">
        <v>112</v>
      </c>
      <c r="AB755" s="52"/>
      <c r="AC755" s="26"/>
      <c r="AD755" s="158" t="s">
        <v>1174</v>
      </c>
      <c r="AE755" s="26">
        <f t="shared" si="265"/>
        <v>9107.5999999999985</v>
      </c>
      <c r="AF755" s="26">
        <f t="shared" si="266"/>
        <v>8924.4</v>
      </c>
      <c r="AG755" s="64"/>
      <c r="AH755" s="64"/>
      <c r="AI755" s="64">
        <f>7976.7-28+177.1+506.6+252+214.4+8.8+224-224</f>
        <v>9107.5999999999985</v>
      </c>
      <c r="AJ755" s="64">
        <v>8924.4</v>
      </c>
      <c r="AK755" s="64"/>
      <c r="AL755" s="64"/>
      <c r="AM755" s="64"/>
      <c r="AN755" s="64"/>
      <c r="AO755" s="26">
        <f t="shared" si="267"/>
        <v>8379.3000000000011</v>
      </c>
      <c r="AP755" s="64"/>
      <c r="AQ755" s="64">
        <f>8598.1+124.2-169-174</f>
        <v>8379.3000000000011</v>
      </c>
      <c r="AR755" s="64"/>
      <c r="AS755" s="64"/>
      <c r="AT755" s="26">
        <f t="shared" si="268"/>
        <v>8305</v>
      </c>
      <c r="AU755" s="64"/>
      <c r="AV755" s="64">
        <v>8305</v>
      </c>
      <c r="AW755" s="64"/>
      <c r="AX755" s="64"/>
      <c r="AY755" s="26">
        <f t="shared" si="269"/>
        <v>8305</v>
      </c>
      <c r="AZ755" s="64"/>
      <c r="BA755" s="64">
        <v>8305</v>
      </c>
      <c r="BB755" s="64"/>
      <c r="BC755" s="64"/>
      <c r="BD755" s="26">
        <f t="shared" si="270"/>
        <v>8305</v>
      </c>
      <c r="BE755" s="64"/>
      <c r="BF755" s="64">
        <v>8305</v>
      </c>
      <c r="BG755" s="64"/>
      <c r="BH755" s="64"/>
    </row>
    <row r="756" spans="1:60" ht="35.65" customHeight="1">
      <c r="A756" s="61" t="s">
        <v>387</v>
      </c>
      <c r="B756" s="270"/>
      <c r="C756" s="43"/>
      <c r="D756" s="43"/>
      <c r="E756" s="43"/>
      <c r="F756" s="43"/>
      <c r="G756" s="43"/>
      <c r="H756" s="43"/>
      <c r="I756" s="43"/>
      <c r="J756" s="43"/>
      <c r="K756" s="43"/>
      <c r="L756" s="43"/>
      <c r="M756" s="52"/>
      <c r="N756" s="52"/>
      <c r="O756" s="52"/>
      <c r="P756" s="71"/>
      <c r="Q756" s="20"/>
      <c r="R756" s="52"/>
      <c r="S756" s="52"/>
      <c r="T756" s="52"/>
      <c r="U756" s="52"/>
      <c r="V756" s="52"/>
      <c r="W756" s="71"/>
      <c r="X756" s="20"/>
      <c r="Y756" s="52"/>
      <c r="Z756" s="71"/>
      <c r="AA756" s="20"/>
      <c r="AB756" s="52"/>
      <c r="AC756" s="26"/>
      <c r="AD756" s="158" t="s">
        <v>1175</v>
      </c>
      <c r="AE756" s="26">
        <f t="shared" si="265"/>
        <v>874.1</v>
      </c>
      <c r="AF756" s="26">
        <f t="shared" si="266"/>
        <v>0</v>
      </c>
      <c r="AG756" s="64"/>
      <c r="AH756" s="64"/>
      <c r="AI756" s="64">
        <f>1233.1-56-0.1-30.6-496.2+224-0.1</f>
        <v>874.1</v>
      </c>
      <c r="AJ756" s="64">
        <v>0</v>
      </c>
      <c r="AK756" s="64"/>
      <c r="AL756" s="64"/>
      <c r="AM756" s="64"/>
      <c r="AN756" s="64"/>
      <c r="AO756" s="26">
        <f t="shared" si="267"/>
        <v>0</v>
      </c>
      <c r="AP756" s="64"/>
      <c r="AQ756" s="64">
        <f>931.8+103.5-648.2-387.1</f>
        <v>0</v>
      </c>
      <c r="AR756" s="64"/>
      <c r="AS756" s="64"/>
      <c r="AT756" s="26">
        <f t="shared" si="268"/>
        <v>931.8</v>
      </c>
      <c r="AU756" s="64"/>
      <c r="AV756" s="64">
        <v>931.8</v>
      </c>
      <c r="AW756" s="64"/>
      <c r="AX756" s="64"/>
      <c r="AY756" s="26">
        <f t="shared" si="269"/>
        <v>931.8</v>
      </c>
      <c r="AZ756" s="64"/>
      <c r="BA756" s="64">
        <v>931.8</v>
      </c>
      <c r="BB756" s="64"/>
      <c r="BC756" s="64"/>
      <c r="BD756" s="26">
        <f t="shared" si="270"/>
        <v>931.8</v>
      </c>
      <c r="BE756" s="64"/>
      <c r="BF756" s="64">
        <v>931.8</v>
      </c>
      <c r="BG756" s="64"/>
      <c r="BH756" s="64"/>
    </row>
    <row r="757" spans="1:60" ht="35.65" customHeight="1">
      <c r="A757" s="61" t="s">
        <v>387</v>
      </c>
      <c r="B757" s="270"/>
      <c r="C757" s="43" t="s">
        <v>498</v>
      </c>
      <c r="D757" s="43" t="s">
        <v>163</v>
      </c>
      <c r="E757" s="43" t="s">
        <v>499</v>
      </c>
      <c r="F757" s="43"/>
      <c r="G757" s="43"/>
      <c r="H757" s="43"/>
      <c r="I757" s="43"/>
      <c r="J757" s="43" t="s">
        <v>520</v>
      </c>
      <c r="K757" s="43" t="s">
        <v>163</v>
      </c>
      <c r="L757" s="43" t="s">
        <v>521</v>
      </c>
      <c r="M757" s="52"/>
      <c r="N757" s="52"/>
      <c r="O757" s="52"/>
      <c r="P757" s="71" t="s">
        <v>135</v>
      </c>
      <c r="Q757" s="20" t="s">
        <v>112</v>
      </c>
      <c r="R757" s="52"/>
      <c r="S757" s="52"/>
      <c r="T757" s="52"/>
      <c r="U757" s="52"/>
      <c r="V757" s="52"/>
      <c r="W757" s="71" t="s">
        <v>522</v>
      </c>
      <c r="X757" s="20" t="s">
        <v>112</v>
      </c>
      <c r="Y757" s="52"/>
      <c r="Z757" s="71" t="s">
        <v>522</v>
      </c>
      <c r="AA757" s="20" t="s">
        <v>112</v>
      </c>
      <c r="AB757" s="52"/>
      <c r="AC757" s="26"/>
      <c r="AD757" s="195" t="s">
        <v>1176</v>
      </c>
      <c r="AE757" s="26">
        <f t="shared" si="265"/>
        <v>119079.40000000001</v>
      </c>
      <c r="AF757" s="26">
        <f t="shared" si="266"/>
        <v>118783</v>
      </c>
      <c r="AG757" s="26"/>
      <c r="AH757" s="26"/>
      <c r="AI757" s="26">
        <f>99980.6+615.7+4916.9+3948.5+4535.1-24.4+5107</f>
        <v>119079.40000000001</v>
      </c>
      <c r="AJ757" s="26">
        <v>118783</v>
      </c>
      <c r="AK757" s="26"/>
      <c r="AL757" s="26"/>
      <c r="AM757" s="26"/>
      <c r="AN757" s="26"/>
      <c r="AO757" s="26">
        <f t="shared" si="267"/>
        <v>126017.80000000002</v>
      </c>
      <c r="AP757" s="26"/>
      <c r="AQ757" s="26">
        <f>109477+1931.5+1939.5+3889.8+3646.7-298.2-1044.2+2856.6-98+3717.1</f>
        <v>126017.80000000002</v>
      </c>
      <c r="AR757" s="26"/>
      <c r="AS757" s="26"/>
      <c r="AT757" s="26">
        <f t="shared" si="268"/>
        <v>109477</v>
      </c>
      <c r="AU757" s="26"/>
      <c r="AV757" s="26">
        <v>109477</v>
      </c>
      <c r="AW757" s="26"/>
      <c r="AX757" s="26"/>
      <c r="AY757" s="26">
        <f t="shared" si="269"/>
        <v>109477</v>
      </c>
      <c r="AZ757" s="26"/>
      <c r="BA757" s="26">
        <v>109477</v>
      </c>
      <c r="BB757" s="26"/>
      <c r="BC757" s="26"/>
      <c r="BD757" s="26">
        <f t="shared" si="270"/>
        <v>109477</v>
      </c>
      <c r="BE757" s="26"/>
      <c r="BF757" s="26">
        <v>109477</v>
      </c>
      <c r="BG757" s="26"/>
      <c r="BH757" s="26"/>
    </row>
    <row r="758" spans="1:60" ht="35.65" customHeight="1">
      <c r="A758" s="61" t="s">
        <v>387</v>
      </c>
      <c r="B758" s="270"/>
      <c r="C758" s="43" t="s">
        <v>498</v>
      </c>
      <c r="D758" s="43" t="s">
        <v>163</v>
      </c>
      <c r="E758" s="43" t="s">
        <v>499</v>
      </c>
      <c r="F758" s="43"/>
      <c r="G758" s="43"/>
      <c r="H758" s="43"/>
      <c r="I758" s="43"/>
      <c r="J758" s="43" t="s">
        <v>520</v>
      </c>
      <c r="K758" s="43" t="s">
        <v>163</v>
      </c>
      <c r="L758" s="43" t="s">
        <v>521</v>
      </c>
      <c r="M758" s="52"/>
      <c r="N758" s="52"/>
      <c r="O758" s="52"/>
      <c r="P758" s="71" t="s">
        <v>135</v>
      </c>
      <c r="Q758" s="20" t="s">
        <v>112</v>
      </c>
      <c r="R758" s="52"/>
      <c r="S758" s="52"/>
      <c r="T758" s="52"/>
      <c r="U758" s="52"/>
      <c r="V758" s="52"/>
      <c r="W758" s="71" t="s">
        <v>522</v>
      </c>
      <c r="X758" s="20" t="s">
        <v>112</v>
      </c>
      <c r="Y758" s="52"/>
      <c r="Z758" s="71" t="s">
        <v>522</v>
      </c>
      <c r="AA758" s="20" t="s">
        <v>112</v>
      </c>
      <c r="AB758" s="52"/>
      <c r="AC758" s="26"/>
      <c r="AD758" s="195" t="s">
        <v>1177</v>
      </c>
      <c r="AE758" s="26">
        <f t="shared" si="265"/>
        <v>0</v>
      </c>
      <c r="AF758" s="26">
        <f t="shared" si="266"/>
        <v>0</v>
      </c>
      <c r="AG758" s="26"/>
      <c r="AH758" s="26"/>
      <c r="AI758" s="26"/>
      <c r="AJ758" s="26"/>
      <c r="AK758" s="26"/>
      <c r="AL758" s="26"/>
      <c r="AM758" s="26"/>
      <c r="AN758" s="26"/>
      <c r="AO758" s="26">
        <f t="shared" si="267"/>
        <v>0</v>
      </c>
      <c r="AP758" s="26"/>
      <c r="AQ758" s="26"/>
      <c r="AR758" s="26"/>
      <c r="AS758" s="26"/>
      <c r="AT758" s="26">
        <f t="shared" si="268"/>
        <v>0</v>
      </c>
      <c r="AU758" s="26"/>
      <c r="AV758" s="26"/>
      <c r="AW758" s="26"/>
      <c r="AX758" s="26"/>
      <c r="AY758" s="26">
        <f t="shared" si="269"/>
        <v>0</v>
      </c>
      <c r="AZ758" s="26"/>
      <c r="BA758" s="26"/>
      <c r="BB758" s="26"/>
      <c r="BC758" s="26"/>
      <c r="BD758" s="26">
        <f t="shared" si="270"/>
        <v>0</v>
      </c>
      <c r="BE758" s="26"/>
      <c r="BF758" s="26"/>
      <c r="BG758" s="26"/>
      <c r="BH758" s="26"/>
    </row>
    <row r="759" spans="1:60" ht="35.65" customHeight="1">
      <c r="A759" s="61" t="s">
        <v>387</v>
      </c>
      <c r="B759" s="270"/>
      <c r="C759" s="43" t="s">
        <v>498</v>
      </c>
      <c r="D759" s="43" t="s">
        <v>163</v>
      </c>
      <c r="E759" s="43" t="s">
        <v>499</v>
      </c>
      <c r="F759" s="43"/>
      <c r="G759" s="43"/>
      <c r="H759" s="43"/>
      <c r="I759" s="43"/>
      <c r="J759" s="43" t="s">
        <v>520</v>
      </c>
      <c r="K759" s="43" t="s">
        <v>163</v>
      </c>
      <c r="L759" s="43" t="s">
        <v>521</v>
      </c>
      <c r="M759" s="52"/>
      <c r="N759" s="52"/>
      <c r="O759" s="52"/>
      <c r="P759" s="71" t="s">
        <v>135</v>
      </c>
      <c r="Q759" s="20" t="s">
        <v>112</v>
      </c>
      <c r="R759" s="52"/>
      <c r="S759" s="52"/>
      <c r="T759" s="52"/>
      <c r="U759" s="52"/>
      <c r="V759" s="52"/>
      <c r="W759" s="71" t="s">
        <v>522</v>
      </c>
      <c r="X759" s="20" t="s">
        <v>112</v>
      </c>
      <c r="Y759" s="52"/>
      <c r="Z759" s="71" t="s">
        <v>522</v>
      </c>
      <c r="AA759" s="20" t="s">
        <v>112</v>
      </c>
      <c r="AB759" s="52"/>
      <c r="AC759" s="26"/>
      <c r="AD759" s="195" t="s">
        <v>1178</v>
      </c>
      <c r="AE759" s="26">
        <f t="shared" si="265"/>
        <v>18786.900000000001</v>
      </c>
      <c r="AF759" s="26">
        <f t="shared" si="266"/>
        <v>18764.900000000001</v>
      </c>
      <c r="AG759" s="26"/>
      <c r="AH759" s="26"/>
      <c r="AI759" s="26">
        <f>17592.8+3.5+240+926.2+24.4</f>
        <v>18786.900000000001</v>
      </c>
      <c r="AJ759" s="26">
        <v>18764.900000000001</v>
      </c>
      <c r="AK759" s="26"/>
      <c r="AL759" s="26"/>
      <c r="AM759" s="26"/>
      <c r="AN759" s="26"/>
      <c r="AO759" s="26">
        <f t="shared" si="267"/>
        <v>18262.8</v>
      </c>
      <c r="AP759" s="26"/>
      <c r="AQ759" s="26">
        <f>17011+52+331.3+539.6-205.8-230.8+256.6+508.9</f>
        <v>18262.8</v>
      </c>
      <c r="AR759" s="26"/>
      <c r="AS759" s="26"/>
      <c r="AT759" s="26">
        <f t="shared" si="268"/>
        <v>17011</v>
      </c>
      <c r="AU759" s="26"/>
      <c r="AV759" s="26">
        <v>17011</v>
      </c>
      <c r="AW759" s="26"/>
      <c r="AX759" s="26"/>
      <c r="AY759" s="26">
        <f t="shared" si="269"/>
        <v>17011</v>
      </c>
      <c r="AZ759" s="26"/>
      <c r="BA759" s="26">
        <v>17011</v>
      </c>
      <c r="BB759" s="26"/>
      <c r="BC759" s="26"/>
      <c r="BD759" s="26">
        <f t="shared" si="270"/>
        <v>17011</v>
      </c>
      <c r="BE759" s="26"/>
      <c r="BF759" s="26">
        <v>17011</v>
      </c>
      <c r="BG759" s="26"/>
      <c r="BH759" s="26"/>
    </row>
    <row r="760" spans="1:60" ht="35.65" customHeight="1">
      <c r="A760" s="61" t="s">
        <v>387</v>
      </c>
      <c r="B760" s="270"/>
      <c r="C760" s="43" t="s">
        <v>498</v>
      </c>
      <c r="D760" s="43" t="s">
        <v>163</v>
      </c>
      <c r="E760" s="43" t="s">
        <v>499</v>
      </c>
      <c r="F760" s="43"/>
      <c r="G760" s="43"/>
      <c r="H760" s="43"/>
      <c r="I760" s="43"/>
      <c r="J760" s="43" t="s">
        <v>520</v>
      </c>
      <c r="K760" s="43" t="s">
        <v>163</v>
      </c>
      <c r="L760" s="43" t="s">
        <v>521</v>
      </c>
      <c r="M760" s="52"/>
      <c r="N760" s="52"/>
      <c r="O760" s="52"/>
      <c r="P760" s="71" t="s">
        <v>135</v>
      </c>
      <c r="Q760" s="20" t="s">
        <v>112</v>
      </c>
      <c r="R760" s="52"/>
      <c r="S760" s="52"/>
      <c r="T760" s="52"/>
      <c r="U760" s="52"/>
      <c r="V760" s="52"/>
      <c r="W760" s="71" t="s">
        <v>522</v>
      </c>
      <c r="X760" s="20" t="s">
        <v>112</v>
      </c>
      <c r="Y760" s="52"/>
      <c r="Z760" s="71" t="s">
        <v>522</v>
      </c>
      <c r="AA760" s="20" t="s">
        <v>112</v>
      </c>
      <c r="AB760" s="52"/>
      <c r="AC760" s="26"/>
      <c r="AD760" s="195" t="s">
        <v>1179</v>
      </c>
      <c r="AE760" s="26">
        <f t="shared" si="265"/>
        <v>0</v>
      </c>
      <c r="AF760" s="26">
        <f t="shared" si="266"/>
        <v>0</v>
      </c>
      <c r="AG760" s="26"/>
      <c r="AH760" s="26"/>
      <c r="AI760" s="26"/>
      <c r="AJ760" s="26"/>
      <c r="AK760" s="26"/>
      <c r="AL760" s="26"/>
      <c r="AM760" s="26"/>
      <c r="AN760" s="26"/>
      <c r="AO760" s="26">
        <f t="shared" si="267"/>
        <v>0</v>
      </c>
      <c r="AP760" s="26"/>
      <c r="AQ760" s="26"/>
      <c r="AR760" s="26"/>
      <c r="AS760" s="26"/>
      <c r="AT760" s="26">
        <f t="shared" si="268"/>
        <v>0</v>
      </c>
      <c r="AU760" s="26"/>
      <c r="AV760" s="26"/>
      <c r="AW760" s="26"/>
      <c r="AX760" s="26"/>
      <c r="AY760" s="26">
        <f t="shared" si="269"/>
        <v>0</v>
      </c>
      <c r="AZ760" s="26"/>
      <c r="BA760" s="26"/>
      <c r="BB760" s="26"/>
      <c r="BC760" s="26"/>
      <c r="BD760" s="26">
        <f t="shared" si="270"/>
        <v>0</v>
      </c>
      <c r="BE760" s="26"/>
      <c r="BF760" s="26"/>
      <c r="BG760" s="26"/>
      <c r="BH760" s="26"/>
    </row>
    <row r="761" spans="1:60" ht="35.65" customHeight="1">
      <c r="A761" s="61" t="s">
        <v>387</v>
      </c>
      <c r="B761" s="270"/>
      <c r="C761" s="43"/>
      <c r="D761" s="43"/>
      <c r="E761" s="43"/>
      <c r="F761" s="43"/>
      <c r="G761" s="43"/>
      <c r="H761" s="43"/>
      <c r="I761" s="43"/>
      <c r="J761" s="43"/>
      <c r="K761" s="43"/>
      <c r="L761" s="43"/>
      <c r="M761" s="52"/>
      <c r="N761" s="52"/>
      <c r="O761" s="52"/>
      <c r="P761" s="71"/>
      <c r="Q761" s="20"/>
      <c r="R761" s="52"/>
      <c r="S761" s="52"/>
      <c r="T761" s="52"/>
      <c r="U761" s="52"/>
      <c r="V761" s="52"/>
      <c r="W761" s="71"/>
      <c r="X761" s="20"/>
      <c r="Y761" s="52"/>
      <c r="Z761" s="71"/>
      <c r="AA761" s="20"/>
      <c r="AB761" s="52"/>
      <c r="AC761" s="26"/>
      <c r="AD761" s="195" t="s">
        <v>1180</v>
      </c>
      <c r="AE761" s="26">
        <f t="shared" si="265"/>
        <v>0</v>
      </c>
      <c r="AF761" s="26">
        <f t="shared" si="266"/>
        <v>0</v>
      </c>
      <c r="AG761" s="26"/>
      <c r="AH761" s="26"/>
      <c r="AI761" s="26">
        <f>210.7-210.7</f>
        <v>0</v>
      </c>
      <c r="AJ761" s="26"/>
      <c r="AK761" s="26"/>
      <c r="AL761" s="26"/>
      <c r="AM761" s="26"/>
      <c r="AN761" s="26"/>
      <c r="AO761" s="26">
        <f t="shared" si="267"/>
        <v>0</v>
      </c>
      <c r="AP761" s="26"/>
      <c r="AQ761" s="26">
        <f>640-640</f>
        <v>0</v>
      </c>
      <c r="AR761" s="26"/>
      <c r="AS761" s="26"/>
      <c r="AT761" s="26">
        <f t="shared" si="268"/>
        <v>0</v>
      </c>
      <c r="AU761" s="26"/>
      <c r="AV761" s="26"/>
      <c r="AW761" s="26"/>
      <c r="AX761" s="26"/>
      <c r="AY761" s="26">
        <f t="shared" si="269"/>
        <v>0</v>
      </c>
      <c r="AZ761" s="26"/>
      <c r="BA761" s="26"/>
      <c r="BB761" s="26"/>
      <c r="BC761" s="26"/>
      <c r="BD761" s="26">
        <f t="shared" si="270"/>
        <v>0</v>
      </c>
      <c r="BE761" s="26"/>
      <c r="BF761" s="26"/>
      <c r="BG761" s="26"/>
      <c r="BH761" s="26"/>
    </row>
    <row r="762" spans="1:60" ht="35.65" customHeight="1">
      <c r="A762" s="167" t="s">
        <v>524</v>
      </c>
      <c r="B762" s="271"/>
      <c r="C762" s="150"/>
      <c r="D762" s="150"/>
      <c r="E762" s="150"/>
      <c r="F762" s="150"/>
      <c r="G762" s="150"/>
      <c r="H762" s="150"/>
      <c r="I762" s="150"/>
      <c r="J762" s="150"/>
      <c r="K762" s="150"/>
      <c r="L762" s="150"/>
      <c r="M762" s="260"/>
      <c r="N762" s="260"/>
      <c r="O762" s="260"/>
      <c r="P762" s="233"/>
      <c r="Q762" s="241"/>
      <c r="R762" s="260"/>
      <c r="S762" s="260"/>
      <c r="T762" s="260"/>
      <c r="U762" s="260"/>
      <c r="V762" s="260"/>
      <c r="W762" s="233"/>
      <c r="X762" s="241"/>
      <c r="Y762" s="260"/>
      <c r="Z762" s="233"/>
      <c r="AA762" s="241"/>
      <c r="AB762" s="260"/>
      <c r="AC762" s="34"/>
      <c r="AD762" s="244"/>
      <c r="AE762" s="34">
        <f>AE763+AE765</f>
        <v>33024.800000000003</v>
      </c>
      <c r="AF762" s="34">
        <f>AH762+AJ762</f>
        <v>33024.800000000003</v>
      </c>
      <c r="AG762" s="34">
        <f>AG763+AG765</f>
        <v>0</v>
      </c>
      <c r="AH762" s="34">
        <f>AH763+AH765</f>
        <v>0</v>
      </c>
      <c r="AI762" s="34">
        <f>AI763+AI765</f>
        <v>33024.800000000003</v>
      </c>
      <c r="AJ762" s="34">
        <f>AJ763+AJ765</f>
        <v>33024.800000000003</v>
      </c>
      <c r="AK762" s="34">
        <f>AK763+AK765</f>
        <v>0</v>
      </c>
      <c r="AL762" s="34"/>
      <c r="AM762" s="34">
        <f>AM763+AM765</f>
        <v>0</v>
      </c>
      <c r="AN762" s="34"/>
      <c r="AO762" s="34">
        <f>AO763+AO765+AO764+AO766</f>
        <v>37037</v>
      </c>
      <c r="AP762" s="34">
        <f t="shared" ref="AP762:AS762" si="271">AP763+AP765+AP764+AP766</f>
        <v>0</v>
      </c>
      <c r="AQ762" s="34">
        <f t="shared" si="271"/>
        <v>37037</v>
      </c>
      <c r="AR762" s="34">
        <f t="shared" si="271"/>
        <v>0</v>
      </c>
      <c r="AS762" s="34">
        <f t="shared" si="271"/>
        <v>0</v>
      </c>
      <c r="AT762" s="34">
        <f t="shared" ref="AT762:BH762" si="272">AT763+AT765</f>
        <v>31937.599999999999</v>
      </c>
      <c r="AU762" s="34">
        <f t="shared" si="272"/>
        <v>0</v>
      </c>
      <c r="AV762" s="34">
        <f t="shared" si="272"/>
        <v>31937.599999999999</v>
      </c>
      <c r="AW762" s="34">
        <f t="shared" si="272"/>
        <v>0</v>
      </c>
      <c r="AX762" s="34">
        <f t="shared" si="272"/>
        <v>0</v>
      </c>
      <c r="AY762" s="34">
        <f t="shared" si="272"/>
        <v>31937.599999999999</v>
      </c>
      <c r="AZ762" s="34">
        <f t="shared" si="272"/>
        <v>0</v>
      </c>
      <c r="BA762" s="34">
        <f t="shared" si="272"/>
        <v>31937.599999999999</v>
      </c>
      <c r="BB762" s="34">
        <f t="shared" si="272"/>
        <v>0</v>
      </c>
      <c r="BC762" s="34">
        <f t="shared" si="272"/>
        <v>0</v>
      </c>
      <c r="BD762" s="34">
        <f t="shared" si="272"/>
        <v>31937.599999999999</v>
      </c>
      <c r="BE762" s="34">
        <f t="shared" si="272"/>
        <v>0</v>
      </c>
      <c r="BF762" s="34">
        <f t="shared" si="272"/>
        <v>31937.599999999999</v>
      </c>
      <c r="BG762" s="34">
        <f t="shared" si="272"/>
        <v>0</v>
      </c>
      <c r="BH762" s="34">
        <f t="shared" si="272"/>
        <v>0</v>
      </c>
    </row>
    <row r="763" spans="1:60" ht="35.65" customHeight="1" thickBot="1">
      <c r="A763" s="268" t="s">
        <v>387</v>
      </c>
      <c r="B763" s="174"/>
      <c r="C763" s="43" t="s">
        <v>498</v>
      </c>
      <c r="D763" s="43" t="s">
        <v>163</v>
      </c>
      <c r="E763" s="43" t="s">
        <v>499</v>
      </c>
      <c r="F763" s="43"/>
      <c r="G763" s="43"/>
      <c r="H763" s="43"/>
      <c r="I763" s="43"/>
      <c r="J763" s="43" t="s">
        <v>520</v>
      </c>
      <c r="K763" s="43" t="s">
        <v>163</v>
      </c>
      <c r="L763" s="43" t="s">
        <v>521</v>
      </c>
      <c r="M763" s="43"/>
      <c r="N763" s="43"/>
      <c r="O763" s="43"/>
      <c r="P763" s="71" t="s">
        <v>135</v>
      </c>
      <c r="Q763" s="20" t="s">
        <v>112</v>
      </c>
      <c r="R763" s="43"/>
      <c r="S763" s="43"/>
      <c r="T763" s="43"/>
      <c r="U763" s="43"/>
      <c r="V763" s="43"/>
      <c r="W763" s="71" t="s">
        <v>522</v>
      </c>
      <c r="X763" s="20" t="s">
        <v>112</v>
      </c>
      <c r="Y763" s="43"/>
      <c r="Z763" s="71" t="s">
        <v>522</v>
      </c>
      <c r="AA763" s="20" t="s">
        <v>112</v>
      </c>
      <c r="AB763" s="43"/>
      <c r="AC763" s="26"/>
      <c r="AD763" s="195" t="s">
        <v>1181</v>
      </c>
      <c r="AE763" s="26">
        <f>AG763+AI763+RM763+RN763</f>
        <v>22482.7</v>
      </c>
      <c r="AF763" s="26">
        <f>AH763+AJ763</f>
        <v>22482.7</v>
      </c>
      <c r="AG763" s="26"/>
      <c r="AH763" s="26"/>
      <c r="AI763" s="26">
        <f>12278.9+8913.1+995.4+295.3</f>
        <v>22482.7</v>
      </c>
      <c r="AJ763" s="26">
        <v>22482.7</v>
      </c>
      <c r="AK763" s="26"/>
      <c r="AL763" s="26"/>
      <c r="AM763" s="26"/>
      <c r="AN763" s="26"/>
      <c r="AO763" s="26">
        <f>AP763+AQ763+AR763+AS763</f>
        <v>14979.599999999999</v>
      </c>
      <c r="AP763" s="26"/>
      <c r="AQ763" s="26">
        <f>21121.3+270.3+2131+723.7-9266.7</f>
        <v>14979.599999999999</v>
      </c>
      <c r="AR763" s="26"/>
      <c r="AS763" s="26"/>
      <c r="AT763" s="26">
        <f>AU763+AV763+AW763+AX763</f>
        <v>21121.3</v>
      </c>
      <c r="AU763" s="26"/>
      <c r="AV763" s="26">
        <v>21121.3</v>
      </c>
      <c r="AW763" s="26"/>
      <c r="AX763" s="26"/>
      <c r="AY763" s="26">
        <f>AZ763+BA763+BB763+BC763</f>
        <v>21121.3</v>
      </c>
      <c r="AZ763" s="26"/>
      <c r="BA763" s="26">
        <v>21121.3</v>
      </c>
      <c r="BB763" s="26"/>
      <c r="BC763" s="26"/>
      <c r="BD763" s="26">
        <f>BE763+BF763+BG763+BH763</f>
        <v>21121.3</v>
      </c>
      <c r="BE763" s="26"/>
      <c r="BF763" s="26">
        <v>21121.3</v>
      </c>
      <c r="BG763" s="26"/>
      <c r="BH763" s="26"/>
    </row>
    <row r="764" spans="1:60" ht="35.65" customHeight="1" thickBot="1">
      <c r="A764" s="268"/>
      <c r="B764" s="174"/>
      <c r="C764" s="43"/>
      <c r="D764" s="43"/>
      <c r="E764" s="43"/>
      <c r="F764" s="43"/>
      <c r="G764" s="43"/>
      <c r="H764" s="43"/>
      <c r="I764" s="43"/>
      <c r="J764" s="43"/>
      <c r="K764" s="43"/>
      <c r="L764" s="43"/>
      <c r="M764" s="43"/>
      <c r="N764" s="43"/>
      <c r="O764" s="43"/>
      <c r="P764" s="71"/>
      <c r="Q764" s="20"/>
      <c r="R764" s="43"/>
      <c r="S764" s="43"/>
      <c r="T764" s="43"/>
      <c r="U764" s="43"/>
      <c r="V764" s="43"/>
      <c r="W764" s="71"/>
      <c r="X764" s="20"/>
      <c r="Y764" s="43"/>
      <c r="Z764" s="71"/>
      <c r="AA764" s="20"/>
      <c r="AB764" s="43"/>
      <c r="AC764" s="26"/>
      <c r="AD764" s="195" t="s">
        <v>1182</v>
      </c>
      <c r="AE764" s="26"/>
      <c r="AF764" s="26"/>
      <c r="AG764" s="26"/>
      <c r="AH764" s="26"/>
      <c r="AI764" s="26"/>
      <c r="AJ764" s="26"/>
      <c r="AK764" s="26"/>
      <c r="AL764" s="26"/>
      <c r="AM764" s="26"/>
      <c r="AN764" s="26"/>
      <c r="AO764" s="26">
        <f>AP764+AQ764+AR764+AS764</f>
        <v>9735.9000000000015</v>
      </c>
      <c r="AP764" s="26"/>
      <c r="AQ764" s="26">
        <f>9266.7+469.2</f>
        <v>9735.9000000000015</v>
      </c>
      <c r="AR764" s="26"/>
      <c r="AS764" s="26"/>
      <c r="AT764" s="26"/>
      <c r="AU764" s="26"/>
      <c r="AV764" s="26"/>
      <c r="AW764" s="26"/>
      <c r="AX764" s="26"/>
      <c r="AY764" s="26"/>
      <c r="AZ764" s="26"/>
      <c r="BA764" s="26"/>
      <c r="BB764" s="26"/>
      <c r="BC764" s="26"/>
      <c r="BD764" s="26"/>
      <c r="BE764" s="26"/>
      <c r="BF764" s="26"/>
      <c r="BG764" s="26"/>
      <c r="BH764" s="26"/>
    </row>
    <row r="765" spans="1:60" ht="35.65" customHeight="1" thickBot="1">
      <c r="A765" s="268" t="s">
        <v>387</v>
      </c>
      <c r="B765" s="174"/>
      <c r="C765" s="43" t="s">
        <v>498</v>
      </c>
      <c r="D765" s="43" t="s">
        <v>163</v>
      </c>
      <c r="E765" s="43" t="s">
        <v>499</v>
      </c>
      <c r="F765" s="43"/>
      <c r="G765" s="43"/>
      <c r="H765" s="43"/>
      <c r="I765" s="43"/>
      <c r="J765" s="43" t="s">
        <v>520</v>
      </c>
      <c r="K765" s="43" t="s">
        <v>163</v>
      </c>
      <c r="L765" s="43" t="s">
        <v>521</v>
      </c>
      <c r="M765" s="43"/>
      <c r="N765" s="43"/>
      <c r="O765" s="43"/>
      <c r="P765" s="71" t="s">
        <v>135</v>
      </c>
      <c r="Q765" s="20" t="s">
        <v>112</v>
      </c>
      <c r="R765" s="43"/>
      <c r="S765" s="43"/>
      <c r="T765" s="43"/>
      <c r="U765" s="43"/>
      <c r="V765" s="43"/>
      <c r="W765" s="71" t="s">
        <v>522</v>
      </c>
      <c r="X765" s="20" t="s">
        <v>112</v>
      </c>
      <c r="Y765" s="43"/>
      <c r="Z765" s="71" t="s">
        <v>522</v>
      </c>
      <c r="AA765" s="20" t="s">
        <v>112</v>
      </c>
      <c r="AB765" s="43"/>
      <c r="AC765" s="26"/>
      <c r="AD765" s="195" t="s">
        <v>1183</v>
      </c>
      <c r="AE765" s="26">
        <f>AG765+AI765+RM765+RN765</f>
        <v>10542.1</v>
      </c>
      <c r="AF765" s="26">
        <f>AH765+AJ765</f>
        <v>10542.1</v>
      </c>
      <c r="AG765" s="26"/>
      <c r="AH765" s="26"/>
      <c r="AI765" s="26">
        <f>6002.7+3479.3+445.4+614.7</f>
        <v>10542.1</v>
      </c>
      <c r="AJ765" s="26">
        <v>10542.1</v>
      </c>
      <c r="AK765" s="26"/>
      <c r="AL765" s="26"/>
      <c r="AM765" s="26"/>
      <c r="AN765" s="26"/>
      <c r="AO765" s="26">
        <f>AP765+AQ765+AR765+AS765</f>
        <v>7041.9</v>
      </c>
      <c r="AP765" s="26"/>
      <c r="AQ765" s="26">
        <f>10816.3+66+1067.9+371.2-5279.5</f>
        <v>7041.9</v>
      </c>
      <c r="AR765" s="26"/>
      <c r="AS765" s="26"/>
      <c r="AT765" s="26">
        <f>AU765+AV765+AW765+AX765</f>
        <v>10816.3</v>
      </c>
      <c r="AU765" s="26"/>
      <c r="AV765" s="26">
        <v>10816.3</v>
      </c>
      <c r="AW765" s="26"/>
      <c r="AX765" s="26"/>
      <c r="AY765" s="26">
        <f>AZ765+BA765+BB765+BC765</f>
        <v>10816.3</v>
      </c>
      <c r="AZ765" s="26"/>
      <c r="BA765" s="26">
        <v>10816.3</v>
      </c>
      <c r="BB765" s="26"/>
      <c r="BC765" s="26"/>
      <c r="BD765" s="26">
        <f>BE765+BF765+BG765+BH765</f>
        <v>10816.3</v>
      </c>
      <c r="BE765" s="26"/>
      <c r="BF765" s="26">
        <v>10816.3</v>
      </c>
      <c r="BG765" s="26"/>
      <c r="BH765" s="26"/>
    </row>
    <row r="766" spans="1:60" ht="35.65" customHeight="1">
      <c r="A766" s="166"/>
      <c r="B766" s="86"/>
      <c r="C766" s="43"/>
      <c r="D766" s="43"/>
      <c r="E766" s="43"/>
      <c r="F766" s="43"/>
      <c r="G766" s="43"/>
      <c r="H766" s="43"/>
      <c r="I766" s="43"/>
      <c r="J766" s="43"/>
      <c r="K766" s="43"/>
      <c r="L766" s="43"/>
      <c r="M766" s="43"/>
      <c r="N766" s="43"/>
      <c r="O766" s="43"/>
      <c r="P766" s="71"/>
      <c r="Q766" s="20"/>
      <c r="R766" s="43"/>
      <c r="S766" s="43"/>
      <c r="T766" s="43"/>
      <c r="U766" s="43"/>
      <c r="V766" s="43"/>
      <c r="W766" s="71"/>
      <c r="X766" s="20"/>
      <c r="Y766" s="43"/>
      <c r="Z766" s="71"/>
      <c r="AA766" s="20"/>
      <c r="AB766" s="43"/>
      <c r="AC766" s="26"/>
      <c r="AD766" s="195" t="s">
        <v>1184</v>
      </c>
      <c r="AE766" s="26"/>
      <c r="AF766" s="26"/>
      <c r="AG766" s="26"/>
      <c r="AH766" s="26"/>
      <c r="AI766" s="26"/>
      <c r="AJ766" s="26"/>
      <c r="AK766" s="26"/>
      <c r="AL766" s="26"/>
      <c r="AM766" s="26"/>
      <c r="AN766" s="26"/>
      <c r="AO766" s="26">
        <f>AP766+AQ766+AR766+AS766</f>
        <v>5279.6</v>
      </c>
      <c r="AP766" s="26"/>
      <c r="AQ766" s="26">
        <v>5279.6</v>
      </c>
      <c r="AR766" s="26"/>
      <c r="AS766" s="26"/>
      <c r="AT766" s="26"/>
      <c r="AU766" s="26"/>
      <c r="AV766" s="26"/>
      <c r="AW766" s="26"/>
      <c r="AX766" s="26"/>
      <c r="AY766" s="26"/>
      <c r="AZ766" s="26"/>
      <c r="BA766" s="26"/>
      <c r="BB766" s="26"/>
      <c r="BC766" s="26"/>
      <c r="BD766" s="26"/>
      <c r="BE766" s="26"/>
      <c r="BF766" s="26"/>
      <c r="BG766" s="26"/>
      <c r="BH766" s="26"/>
    </row>
    <row r="767" spans="1:60" ht="35.65" customHeight="1">
      <c r="A767" s="21" t="s">
        <v>525</v>
      </c>
      <c r="B767" s="240">
        <v>3500</v>
      </c>
      <c r="C767" s="22" t="s">
        <v>25</v>
      </c>
      <c r="D767" s="22" t="s">
        <v>25</v>
      </c>
      <c r="E767" s="22" t="s">
        <v>25</v>
      </c>
      <c r="F767" s="22" t="s">
        <v>25</v>
      </c>
      <c r="G767" s="22" t="s">
        <v>25</v>
      </c>
      <c r="H767" s="22" t="s">
        <v>25</v>
      </c>
      <c r="I767" s="22" t="s">
        <v>25</v>
      </c>
      <c r="J767" s="22"/>
      <c r="K767" s="22"/>
      <c r="L767" s="22"/>
      <c r="M767" s="22" t="s">
        <v>25</v>
      </c>
      <c r="N767" s="22" t="s">
        <v>25</v>
      </c>
      <c r="O767" s="22" t="s">
        <v>25</v>
      </c>
      <c r="P767" s="22" t="s">
        <v>25</v>
      </c>
      <c r="Q767" s="22" t="s">
        <v>25</v>
      </c>
      <c r="R767" s="22" t="s">
        <v>25</v>
      </c>
      <c r="S767" s="22" t="s">
        <v>25</v>
      </c>
      <c r="T767" s="22" t="s">
        <v>25</v>
      </c>
      <c r="U767" s="22" t="s">
        <v>25</v>
      </c>
      <c r="V767" s="22" t="s">
        <v>25</v>
      </c>
      <c r="W767" s="22" t="s">
        <v>25</v>
      </c>
      <c r="X767" s="22" t="s">
        <v>25</v>
      </c>
      <c r="Y767" s="22" t="s">
        <v>25</v>
      </c>
      <c r="Z767" s="22" t="s">
        <v>25</v>
      </c>
      <c r="AA767" s="22" t="s">
        <v>25</v>
      </c>
      <c r="AB767" s="22" t="s">
        <v>25</v>
      </c>
      <c r="AC767" s="22" t="s">
        <v>25</v>
      </c>
      <c r="AD767" s="250" t="s">
        <v>25</v>
      </c>
      <c r="AE767" s="34"/>
      <c r="AF767" s="34"/>
      <c r="AG767" s="34"/>
      <c r="AH767" s="34"/>
      <c r="AI767" s="34"/>
      <c r="AJ767" s="34"/>
      <c r="AK767" s="34"/>
      <c r="AL767" s="34"/>
      <c r="AM767" s="34"/>
      <c r="AN767" s="34"/>
      <c r="AO767" s="34"/>
      <c r="AP767" s="34"/>
      <c r="AQ767" s="34"/>
      <c r="AR767" s="34"/>
      <c r="AS767" s="34"/>
      <c r="AT767" s="34"/>
      <c r="AU767" s="34"/>
      <c r="AV767" s="34"/>
      <c r="AW767" s="34"/>
      <c r="AX767" s="34"/>
      <c r="AY767" s="34"/>
      <c r="AZ767" s="34"/>
      <c r="BA767" s="34"/>
      <c r="BB767" s="34"/>
      <c r="BC767" s="34"/>
      <c r="BD767" s="34"/>
      <c r="BE767" s="34"/>
      <c r="BF767" s="34"/>
      <c r="BG767" s="34"/>
      <c r="BH767" s="34"/>
    </row>
    <row r="768" spans="1:60" ht="35.65" customHeight="1">
      <c r="A768" s="173" t="s">
        <v>526</v>
      </c>
      <c r="B768" s="174">
        <v>3501</v>
      </c>
      <c r="C768" s="30" t="s">
        <v>25</v>
      </c>
      <c r="D768" s="30" t="s">
        <v>25</v>
      </c>
      <c r="E768" s="30" t="s">
        <v>25</v>
      </c>
      <c r="F768" s="30" t="s">
        <v>25</v>
      </c>
      <c r="G768" s="30" t="s">
        <v>25</v>
      </c>
      <c r="H768" s="30" t="s">
        <v>25</v>
      </c>
      <c r="I768" s="30" t="s">
        <v>25</v>
      </c>
      <c r="J768" s="30"/>
      <c r="K768" s="30"/>
      <c r="L768" s="30"/>
      <c r="M768" s="30" t="s">
        <v>25</v>
      </c>
      <c r="N768" s="30" t="s">
        <v>25</v>
      </c>
      <c r="O768" s="30" t="s">
        <v>25</v>
      </c>
      <c r="P768" s="30" t="s">
        <v>25</v>
      </c>
      <c r="Q768" s="30" t="s">
        <v>25</v>
      </c>
      <c r="R768" s="30" t="s">
        <v>25</v>
      </c>
      <c r="S768" s="30" t="s">
        <v>25</v>
      </c>
      <c r="T768" s="30" t="s">
        <v>25</v>
      </c>
      <c r="U768" s="30" t="s">
        <v>25</v>
      </c>
      <c r="V768" s="30" t="s">
        <v>25</v>
      </c>
      <c r="W768" s="30" t="s">
        <v>25</v>
      </c>
      <c r="X768" s="30" t="s">
        <v>25</v>
      </c>
      <c r="Y768" s="30" t="s">
        <v>25</v>
      </c>
      <c r="Z768" s="30" t="s">
        <v>25</v>
      </c>
      <c r="AA768" s="30" t="s">
        <v>25</v>
      </c>
      <c r="AB768" s="30" t="s">
        <v>25</v>
      </c>
      <c r="AC768" s="30" t="s">
        <v>25</v>
      </c>
      <c r="AD768" s="253" t="s">
        <v>25</v>
      </c>
      <c r="AE768" s="26"/>
      <c r="AF768" s="26"/>
      <c r="AG768" s="26"/>
      <c r="AH768" s="26"/>
      <c r="AI768" s="26"/>
      <c r="AJ768" s="26"/>
      <c r="AK768" s="26"/>
      <c r="AL768" s="26"/>
      <c r="AM768" s="26"/>
      <c r="AN768" s="26"/>
      <c r="AO768" s="26"/>
      <c r="AP768" s="26"/>
      <c r="AQ768" s="26"/>
      <c r="AR768" s="26"/>
      <c r="AS768" s="26"/>
      <c r="AT768" s="26"/>
      <c r="AU768" s="26"/>
      <c r="AV768" s="26"/>
      <c r="AW768" s="26"/>
      <c r="AX768" s="26"/>
      <c r="AY768" s="26"/>
      <c r="AZ768" s="26"/>
      <c r="BA768" s="26"/>
      <c r="BB768" s="26"/>
      <c r="BC768" s="26"/>
      <c r="BD768" s="26"/>
      <c r="BE768" s="26"/>
      <c r="BF768" s="26"/>
      <c r="BG768" s="26"/>
      <c r="BH768" s="26"/>
    </row>
    <row r="769" spans="1:60" ht="35.65" customHeight="1">
      <c r="A769" s="21" t="s">
        <v>527</v>
      </c>
      <c r="B769" s="234">
        <v>3502</v>
      </c>
      <c r="C769" s="22" t="s">
        <v>25</v>
      </c>
      <c r="D769" s="22" t="s">
        <v>25</v>
      </c>
      <c r="E769" s="22" t="s">
        <v>25</v>
      </c>
      <c r="F769" s="22" t="s">
        <v>25</v>
      </c>
      <c r="G769" s="22" t="s">
        <v>25</v>
      </c>
      <c r="H769" s="22" t="s">
        <v>25</v>
      </c>
      <c r="I769" s="22" t="s">
        <v>25</v>
      </c>
      <c r="J769" s="22"/>
      <c r="K769" s="22"/>
      <c r="L769" s="22"/>
      <c r="M769" s="22" t="s">
        <v>25</v>
      </c>
      <c r="N769" s="22" t="s">
        <v>25</v>
      </c>
      <c r="O769" s="22" t="s">
        <v>25</v>
      </c>
      <c r="P769" s="22" t="s">
        <v>25</v>
      </c>
      <c r="Q769" s="22" t="s">
        <v>25</v>
      </c>
      <c r="R769" s="22" t="s">
        <v>25</v>
      </c>
      <c r="S769" s="22" t="s">
        <v>25</v>
      </c>
      <c r="T769" s="22" t="s">
        <v>25</v>
      </c>
      <c r="U769" s="22" t="s">
        <v>25</v>
      </c>
      <c r="V769" s="22" t="s">
        <v>25</v>
      </c>
      <c r="W769" s="22" t="s">
        <v>25</v>
      </c>
      <c r="X769" s="22" t="s">
        <v>25</v>
      </c>
      <c r="Y769" s="22" t="s">
        <v>25</v>
      </c>
      <c r="Z769" s="22" t="s">
        <v>25</v>
      </c>
      <c r="AA769" s="22" t="s">
        <v>25</v>
      </c>
      <c r="AB769" s="22" t="s">
        <v>25</v>
      </c>
      <c r="AC769" s="22" t="s">
        <v>25</v>
      </c>
      <c r="AD769" s="250" t="s">
        <v>25</v>
      </c>
      <c r="AE769" s="34"/>
      <c r="AF769" s="34"/>
      <c r="AG769" s="34"/>
      <c r="AH769" s="34"/>
      <c r="AI769" s="34"/>
      <c r="AJ769" s="34"/>
      <c r="AK769" s="34"/>
      <c r="AL769" s="34"/>
      <c r="AM769" s="34"/>
      <c r="AN769" s="34"/>
      <c r="AO769" s="34"/>
      <c r="AP769" s="34"/>
      <c r="AQ769" s="34"/>
      <c r="AR769" s="34"/>
      <c r="AS769" s="34"/>
      <c r="AT769" s="34"/>
      <c r="AU769" s="34"/>
      <c r="AV769" s="34"/>
      <c r="AW769" s="34"/>
      <c r="AX769" s="34"/>
      <c r="AY769" s="34"/>
      <c r="AZ769" s="34"/>
      <c r="BA769" s="34"/>
      <c r="BB769" s="34"/>
      <c r="BC769" s="34"/>
      <c r="BD769" s="34"/>
      <c r="BE769" s="34"/>
      <c r="BF769" s="34"/>
      <c r="BG769" s="34"/>
      <c r="BH769" s="34"/>
    </row>
    <row r="770" spans="1:60" ht="35.65" customHeight="1">
      <c r="A770" s="23" t="s">
        <v>27</v>
      </c>
      <c r="B770" s="251">
        <v>3503</v>
      </c>
      <c r="C770" s="25"/>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19"/>
      <c r="AE770" s="26"/>
      <c r="AF770" s="26"/>
      <c r="AG770" s="26"/>
      <c r="AH770" s="26"/>
      <c r="AI770" s="26"/>
      <c r="AJ770" s="26"/>
      <c r="AK770" s="26"/>
      <c r="AL770" s="26"/>
      <c r="AM770" s="26"/>
      <c r="AN770" s="26"/>
      <c r="AO770" s="26"/>
      <c r="AP770" s="26"/>
      <c r="AQ770" s="26"/>
      <c r="AR770" s="26"/>
      <c r="AS770" s="26"/>
      <c r="AT770" s="26"/>
      <c r="AU770" s="26"/>
      <c r="AV770" s="26"/>
      <c r="AW770" s="26"/>
      <c r="AX770" s="26"/>
      <c r="AY770" s="26"/>
      <c r="AZ770" s="26"/>
      <c r="BA770" s="26"/>
      <c r="BB770" s="26"/>
      <c r="BC770" s="26"/>
      <c r="BD770" s="26"/>
      <c r="BE770" s="26"/>
      <c r="BF770" s="26"/>
      <c r="BG770" s="26"/>
      <c r="BH770" s="26"/>
    </row>
    <row r="771" spans="1:60" ht="35.65" customHeight="1">
      <c r="A771" s="257" t="s">
        <v>528</v>
      </c>
      <c r="B771" s="240"/>
      <c r="C771" s="33"/>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c r="AB771" s="34"/>
      <c r="AC771" s="34"/>
      <c r="AD771" s="235"/>
      <c r="AE771" s="34"/>
      <c r="AF771" s="34"/>
      <c r="AG771" s="34"/>
      <c r="AH771" s="34"/>
      <c r="AI771" s="34"/>
      <c r="AJ771" s="34"/>
      <c r="AK771" s="34"/>
      <c r="AL771" s="34"/>
      <c r="AM771" s="34"/>
      <c r="AN771" s="34"/>
      <c r="AO771" s="34"/>
      <c r="AP771" s="34"/>
      <c r="AQ771" s="34"/>
      <c r="AR771" s="34"/>
      <c r="AS771" s="34"/>
      <c r="AT771" s="34"/>
      <c r="AU771" s="34"/>
      <c r="AV771" s="34"/>
      <c r="AW771" s="34"/>
      <c r="AX771" s="34"/>
      <c r="AY771" s="34"/>
      <c r="AZ771" s="34"/>
      <c r="BA771" s="34"/>
      <c r="BB771" s="34"/>
      <c r="BC771" s="34"/>
      <c r="BD771" s="34"/>
      <c r="BE771" s="34"/>
      <c r="BF771" s="34"/>
      <c r="BG771" s="34"/>
      <c r="BH771" s="34"/>
    </row>
    <row r="772" spans="1:60" ht="35.65" customHeight="1">
      <c r="A772" s="272" t="s">
        <v>529</v>
      </c>
      <c r="B772" s="234">
        <v>3600</v>
      </c>
      <c r="C772" s="22" t="s">
        <v>25</v>
      </c>
      <c r="D772" s="22" t="s">
        <v>25</v>
      </c>
      <c r="E772" s="22" t="s">
        <v>25</v>
      </c>
      <c r="F772" s="22" t="s">
        <v>25</v>
      </c>
      <c r="G772" s="22" t="s">
        <v>25</v>
      </c>
      <c r="H772" s="22" t="s">
        <v>25</v>
      </c>
      <c r="I772" s="22" t="s">
        <v>25</v>
      </c>
      <c r="J772" s="22"/>
      <c r="K772" s="22"/>
      <c r="L772" s="22"/>
      <c r="M772" s="22" t="s">
        <v>25</v>
      </c>
      <c r="N772" s="22" t="s">
        <v>25</v>
      </c>
      <c r="O772" s="22" t="s">
        <v>25</v>
      </c>
      <c r="P772" s="22" t="s">
        <v>25</v>
      </c>
      <c r="Q772" s="22" t="s">
        <v>25</v>
      </c>
      <c r="R772" s="22" t="s">
        <v>25</v>
      </c>
      <c r="S772" s="22" t="s">
        <v>25</v>
      </c>
      <c r="T772" s="22" t="s">
        <v>25</v>
      </c>
      <c r="U772" s="22" t="s">
        <v>25</v>
      </c>
      <c r="V772" s="22" t="s">
        <v>25</v>
      </c>
      <c r="W772" s="22" t="s">
        <v>25</v>
      </c>
      <c r="X772" s="22" t="s">
        <v>25</v>
      </c>
      <c r="Y772" s="22" t="s">
        <v>25</v>
      </c>
      <c r="Z772" s="22" t="s">
        <v>25</v>
      </c>
      <c r="AA772" s="22" t="s">
        <v>25</v>
      </c>
      <c r="AB772" s="22" t="s">
        <v>25</v>
      </c>
      <c r="AC772" s="22" t="s">
        <v>25</v>
      </c>
      <c r="AD772" s="250" t="s">
        <v>25</v>
      </c>
      <c r="AE772" s="34">
        <f>AM772</f>
        <v>0</v>
      </c>
      <c r="AF772" s="34"/>
      <c r="AG772" s="34"/>
      <c r="AH772" s="34"/>
      <c r="AI772" s="34"/>
      <c r="AJ772" s="34"/>
      <c r="AK772" s="34"/>
      <c r="AL772" s="34"/>
      <c r="AM772" s="34"/>
      <c r="AN772" s="34"/>
      <c r="AO772" s="34">
        <f>AP772+AQ772+AR772+AS772</f>
        <v>0</v>
      </c>
      <c r="AP772" s="34"/>
      <c r="AQ772" s="34"/>
      <c r="AR772" s="34"/>
      <c r="AS772" s="34"/>
      <c r="AT772" s="34">
        <f>AU772+AV772+AW772+AX772</f>
        <v>24895.1</v>
      </c>
      <c r="AU772" s="34"/>
      <c r="AV772" s="34"/>
      <c r="AW772" s="34"/>
      <c r="AX772" s="34">
        <f>57024.8-2114.8-14.9-30000</f>
        <v>24895.1</v>
      </c>
      <c r="AY772" s="34">
        <f>BC772</f>
        <v>84453.799999999988</v>
      </c>
      <c r="AZ772" s="34"/>
      <c r="BA772" s="34"/>
      <c r="BB772" s="34"/>
      <c r="BC772" s="34">
        <f>68187.2+16281.4-15.2+0.4</f>
        <v>84453.799999999988</v>
      </c>
      <c r="BD772" s="34">
        <f>BH772</f>
        <v>84453.799999999988</v>
      </c>
      <c r="BE772" s="34"/>
      <c r="BF772" s="34"/>
      <c r="BG772" s="34"/>
      <c r="BH772" s="34">
        <f>68187.2+16281.4-15.2+0.4</f>
        <v>84453.799999999988</v>
      </c>
    </row>
    <row r="773" spans="1:60" ht="35.65" customHeight="1">
      <c r="A773" s="21" t="s">
        <v>530</v>
      </c>
      <c r="B773" s="234">
        <v>10600</v>
      </c>
      <c r="C773" s="22" t="s">
        <v>25</v>
      </c>
      <c r="D773" s="22" t="s">
        <v>25</v>
      </c>
      <c r="E773" s="22" t="s">
        <v>25</v>
      </c>
      <c r="F773" s="22" t="s">
        <v>25</v>
      </c>
      <c r="G773" s="22" t="s">
        <v>25</v>
      </c>
      <c r="H773" s="22" t="s">
        <v>25</v>
      </c>
      <c r="I773" s="22" t="s">
        <v>25</v>
      </c>
      <c r="J773" s="22"/>
      <c r="K773" s="22"/>
      <c r="L773" s="22"/>
      <c r="M773" s="22" t="s">
        <v>25</v>
      </c>
      <c r="N773" s="22" t="s">
        <v>25</v>
      </c>
      <c r="O773" s="22" t="s">
        <v>25</v>
      </c>
      <c r="P773" s="22" t="s">
        <v>25</v>
      </c>
      <c r="Q773" s="22" t="s">
        <v>25</v>
      </c>
      <c r="R773" s="22" t="s">
        <v>25</v>
      </c>
      <c r="S773" s="22" t="s">
        <v>25</v>
      </c>
      <c r="T773" s="22" t="s">
        <v>25</v>
      </c>
      <c r="U773" s="22" t="s">
        <v>25</v>
      </c>
      <c r="V773" s="22" t="s">
        <v>25</v>
      </c>
      <c r="W773" s="22" t="s">
        <v>25</v>
      </c>
      <c r="X773" s="22" t="s">
        <v>25</v>
      </c>
      <c r="Y773" s="22" t="s">
        <v>25</v>
      </c>
      <c r="Z773" s="22" t="s">
        <v>25</v>
      </c>
      <c r="AA773" s="22" t="s">
        <v>25</v>
      </c>
      <c r="AB773" s="22" t="s">
        <v>25</v>
      </c>
      <c r="AC773" s="22" t="s">
        <v>25</v>
      </c>
      <c r="AD773" s="250" t="s">
        <v>25</v>
      </c>
      <c r="AE773" s="290">
        <f>AE19+AE525+AE628+AE652+AE733</f>
        <v>2159350.9</v>
      </c>
      <c r="AF773" s="290">
        <f>AH773+AJ773+AL773+AN773</f>
        <v>1831750.4000000001</v>
      </c>
      <c r="AG773" s="34">
        <f>AG19+AG525+AG628+AG652+AG733</f>
        <v>198315.7</v>
      </c>
      <c r="AH773" s="34">
        <f>AH19+AH525+AH628+AH652+AH733</f>
        <v>198086</v>
      </c>
      <c r="AI773" s="34">
        <f>AI19+AI525+AI628+AI652+AI733</f>
        <v>1222839.3999999999</v>
      </c>
      <c r="AJ773" s="34">
        <f>AJ19+AJ525+AJ628+AJ652+AJ733</f>
        <v>906843.1</v>
      </c>
      <c r="AK773" s="34">
        <f>AK19+AK525+AK628+AK652+AK733</f>
        <v>0</v>
      </c>
      <c r="AL773" s="34"/>
      <c r="AM773" s="34">
        <f t="shared" ref="AM773:BH773" si="273">AM19+AM525+AM628+AM652+AM733</f>
        <v>738195.79999999993</v>
      </c>
      <c r="AN773" s="34">
        <f t="shared" si="273"/>
        <v>726821.3</v>
      </c>
      <c r="AO773" s="290">
        <f t="shared" si="273"/>
        <v>2300496.7000000002</v>
      </c>
      <c r="AP773" s="34">
        <f t="shared" si="273"/>
        <v>60500.399999999994</v>
      </c>
      <c r="AQ773" s="34">
        <f t="shared" si="273"/>
        <v>1404561.5</v>
      </c>
      <c r="AR773" s="34">
        <f t="shared" si="273"/>
        <v>0</v>
      </c>
      <c r="AS773" s="34">
        <f t="shared" si="273"/>
        <v>835434.79999999993</v>
      </c>
      <c r="AT773" s="290">
        <f t="shared" si="273"/>
        <v>1327500.8999999999</v>
      </c>
      <c r="AU773" s="34">
        <f t="shared" si="273"/>
        <v>62019.199999999997</v>
      </c>
      <c r="AV773" s="34">
        <f t="shared" si="273"/>
        <v>577890.6</v>
      </c>
      <c r="AW773" s="34">
        <f t="shared" si="273"/>
        <v>0</v>
      </c>
      <c r="AX773" s="34">
        <f t="shared" si="273"/>
        <v>687591.1</v>
      </c>
      <c r="AY773" s="34">
        <f t="shared" si="273"/>
        <v>1227326.7</v>
      </c>
      <c r="AZ773" s="34">
        <f t="shared" si="273"/>
        <v>43978.7</v>
      </c>
      <c r="BA773" s="34">
        <f t="shared" si="273"/>
        <v>494998.19999999995</v>
      </c>
      <c r="BB773" s="34">
        <f t="shared" si="273"/>
        <v>0</v>
      </c>
      <c r="BC773" s="34">
        <f t="shared" si="273"/>
        <v>688349.79999999993</v>
      </c>
      <c r="BD773" s="34">
        <f t="shared" si="273"/>
        <v>1227326.7</v>
      </c>
      <c r="BE773" s="34">
        <f t="shared" si="273"/>
        <v>43978.7</v>
      </c>
      <c r="BF773" s="34">
        <f t="shared" si="273"/>
        <v>494998.19999999995</v>
      </c>
      <c r="BG773" s="34">
        <f t="shared" si="273"/>
        <v>0</v>
      </c>
      <c r="BH773" s="34">
        <f t="shared" si="273"/>
        <v>688349.79999999993</v>
      </c>
    </row>
    <row r="774" spans="1:60" ht="35.65" customHeight="1">
      <c r="A774" s="273" t="s">
        <v>531</v>
      </c>
      <c r="B774" s="252">
        <v>10700</v>
      </c>
      <c r="C774" s="274" t="s">
        <v>25</v>
      </c>
      <c r="D774" s="274" t="s">
        <v>25</v>
      </c>
      <c r="E774" s="274" t="s">
        <v>25</v>
      </c>
      <c r="F774" s="274" t="s">
        <v>25</v>
      </c>
      <c r="G774" s="274" t="s">
        <v>25</v>
      </c>
      <c r="H774" s="274" t="s">
        <v>25</v>
      </c>
      <c r="I774" s="274" t="s">
        <v>25</v>
      </c>
      <c r="J774" s="274"/>
      <c r="K774" s="274"/>
      <c r="L774" s="274"/>
      <c r="M774" s="274" t="s">
        <v>25</v>
      </c>
      <c r="N774" s="274" t="s">
        <v>25</v>
      </c>
      <c r="O774" s="274" t="s">
        <v>25</v>
      </c>
      <c r="P774" s="274" t="s">
        <v>25</v>
      </c>
      <c r="Q774" s="274" t="s">
        <v>25</v>
      </c>
      <c r="R774" s="274" t="s">
        <v>25</v>
      </c>
      <c r="S774" s="274" t="s">
        <v>25</v>
      </c>
      <c r="T774" s="274" t="s">
        <v>25</v>
      </c>
      <c r="U774" s="274" t="s">
        <v>25</v>
      </c>
      <c r="V774" s="274" t="s">
        <v>25</v>
      </c>
      <c r="W774" s="274" t="s">
        <v>25</v>
      </c>
      <c r="X774" s="274" t="s">
        <v>25</v>
      </c>
      <c r="Y774" s="274" t="s">
        <v>25</v>
      </c>
      <c r="Z774" s="274" t="s">
        <v>25</v>
      </c>
      <c r="AA774" s="274" t="s">
        <v>25</v>
      </c>
      <c r="AB774" s="274" t="s">
        <v>25</v>
      </c>
      <c r="AC774" s="274" t="s">
        <v>25</v>
      </c>
      <c r="AD774" s="298" t="s">
        <v>25</v>
      </c>
      <c r="AE774" s="290">
        <f>AE19+AE525+AE628+AE652+AE733+AE767+AE772</f>
        <v>2159350.9</v>
      </c>
      <c r="AF774" s="290">
        <f>AH774+AJ774+AL774+AN774</f>
        <v>1831750.4000000001</v>
      </c>
      <c r="AG774" s="290">
        <f>AG19+AG525+AG628+AG652+AG733+AG767+AG772</f>
        <v>198315.7</v>
      </c>
      <c r="AH774" s="290">
        <f>AH19+AH525+AH628+AH652+AH733+AH767+AH772</f>
        <v>198086</v>
      </c>
      <c r="AI774" s="290">
        <f>AI19+AI525+AI628+AI652+AI733+AI767+AI772</f>
        <v>1222839.3999999999</v>
      </c>
      <c r="AJ774" s="290">
        <f>AJ19+AJ525+AJ628+AJ652+AJ733+AJ767+AJ772</f>
        <v>906843.1</v>
      </c>
      <c r="AK774" s="290">
        <f>AK19+AK525+AK628+AK652+AK733+AK767+AK772</f>
        <v>0</v>
      </c>
      <c r="AL774" s="290"/>
      <c r="AM774" s="290">
        <f t="shared" ref="AM774:BH774" si="274">AM19+AM525+AM628+AM652+AM733+AM767+AM772</f>
        <v>738195.79999999993</v>
      </c>
      <c r="AN774" s="290">
        <f t="shared" si="274"/>
        <v>726821.3</v>
      </c>
      <c r="AO774" s="290">
        <f t="shared" si="274"/>
        <v>2300496.7000000002</v>
      </c>
      <c r="AP774" s="290">
        <f t="shared" si="274"/>
        <v>60500.399999999994</v>
      </c>
      <c r="AQ774" s="290">
        <f t="shared" si="274"/>
        <v>1404561.5</v>
      </c>
      <c r="AR774" s="290">
        <f t="shared" si="274"/>
        <v>0</v>
      </c>
      <c r="AS774" s="290">
        <f t="shared" si="274"/>
        <v>835434.79999999993</v>
      </c>
      <c r="AT774" s="290">
        <f t="shared" si="274"/>
        <v>1352396</v>
      </c>
      <c r="AU774" s="290">
        <f t="shared" si="274"/>
        <v>62019.199999999997</v>
      </c>
      <c r="AV774" s="290">
        <f t="shared" si="274"/>
        <v>577890.6</v>
      </c>
      <c r="AW774" s="290">
        <f t="shared" si="274"/>
        <v>0</v>
      </c>
      <c r="AX774" s="290">
        <f t="shared" si="274"/>
        <v>712486.2</v>
      </c>
      <c r="AY774" s="290">
        <f t="shared" si="274"/>
        <v>1311780.5</v>
      </c>
      <c r="AZ774" s="290">
        <f t="shared" si="274"/>
        <v>43978.7</v>
      </c>
      <c r="BA774" s="290">
        <f t="shared" si="274"/>
        <v>494998.19999999995</v>
      </c>
      <c r="BB774" s="290">
        <f t="shared" si="274"/>
        <v>0</v>
      </c>
      <c r="BC774" s="290">
        <f t="shared" si="274"/>
        <v>772803.59999999986</v>
      </c>
      <c r="BD774" s="290">
        <f t="shared" si="274"/>
        <v>1311780.5</v>
      </c>
      <c r="BE774" s="290">
        <f t="shared" si="274"/>
        <v>43978.7</v>
      </c>
      <c r="BF774" s="290">
        <f t="shared" si="274"/>
        <v>494998.19999999995</v>
      </c>
      <c r="BG774" s="290">
        <f t="shared" si="274"/>
        <v>0</v>
      </c>
      <c r="BH774" s="290">
        <f t="shared" si="274"/>
        <v>772803.59999999986</v>
      </c>
    </row>
    <row r="775" spans="1:60" ht="35.65" customHeight="1">
      <c r="A775" s="275"/>
      <c r="B775" s="276"/>
      <c r="C775" s="277"/>
      <c r="D775" s="278"/>
      <c r="E775" s="278"/>
      <c r="F775" s="278"/>
      <c r="G775" s="278"/>
      <c r="H775" s="278"/>
      <c r="I775" s="278"/>
      <c r="J775" s="278"/>
      <c r="K775" s="278"/>
      <c r="L775" s="278"/>
      <c r="M775" s="278"/>
      <c r="N775" s="278"/>
      <c r="O775" s="278"/>
      <c r="P775" s="278"/>
      <c r="Q775" s="278"/>
      <c r="R775" s="278"/>
      <c r="S775" s="278"/>
      <c r="T775" s="278"/>
      <c r="U775" s="278"/>
      <c r="V775" s="278"/>
      <c r="W775" s="278"/>
      <c r="X775" s="278"/>
      <c r="Y775" s="278"/>
      <c r="Z775" s="278"/>
      <c r="AA775" s="278"/>
      <c r="AB775" s="278"/>
      <c r="AC775" s="278"/>
      <c r="AD775" s="278"/>
      <c r="AE775" s="219">
        <f>AG775+AI775+AK775+AM775</f>
        <v>2159350.9</v>
      </c>
      <c r="AF775" s="26">
        <v>1831750.4</v>
      </c>
      <c r="AG775" s="26">
        <v>198315.7</v>
      </c>
      <c r="AH775" s="26">
        <v>198086</v>
      </c>
      <c r="AI775" s="26">
        <v>1180451.2</v>
      </c>
      <c r="AJ775" s="26">
        <v>864454.8</v>
      </c>
      <c r="AK775" s="26"/>
      <c r="AL775" s="26"/>
      <c r="AM775" s="26">
        <v>780584</v>
      </c>
      <c r="AN775" s="8">
        <v>769209.5</v>
      </c>
      <c r="AO775" s="8"/>
      <c r="AP775" s="8"/>
      <c r="AQ775" s="8" t="s">
        <v>1206</v>
      </c>
      <c r="AR775" s="8"/>
      <c r="AS775" s="8" t="s">
        <v>1207</v>
      </c>
      <c r="AT775" s="8"/>
      <c r="AU775" s="8"/>
      <c r="AV775" s="8"/>
      <c r="AW775" s="8"/>
      <c r="AX775" s="8"/>
      <c r="AY775" s="8"/>
      <c r="AZ775" s="8"/>
      <c r="BA775" s="8"/>
      <c r="BB775" s="8"/>
      <c r="BC775" s="8"/>
      <c r="BD775" s="8"/>
      <c r="BE775" s="8"/>
      <c r="BF775" s="8"/>
      <c r="BG775" s="8"/>
      <c r="BH775" s="8"/>
    </row>
    <row r="776" spans="1:60" ht="35.65" customHeight="1">
      <c r="A776" s="279"/>
      <c r="B776" s="263"/>
      <c r="C776" s="280"/>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K776" s="8"/>
      <c r="AL776" s="8"/>
      <c r="AM776" s="8"/>
      <c r="AO776" s="8"/>
      <c r="AP776" s="8"/>
      <c r="AQ776" s="8">
        <v>831256.5</v>
      </c>
      <c r="AR776" s="8"/>
      <c r="AS776" s="8">
        <v>723405.8</v>
      </c>
      <c r="AT776" s="8"/>
      <c r="AU776" s="8"/>
      <c r="AV776" s="8"/>
      <c r="AW776" s="8"/>
      <c r="AX776" s="8"/>
      <c r="AY776" s="8"/>
      <c r="AZ776" s="8"/>
      <c r="BA776" s="8"/>
      <c r="BB776" s="8"/>
      <c r="BC776" s="8"/>
      <c r="BD776" s="8"/>
      <c r="BE776" s="8"/>
      <c r="BF776" s="8"/>
      <c r="BG776" s="8"/>
      <c r="BH776" s="8"/>
    </row>
    <row r="777" spans="1:60" ht="35.65" customHeight="1">
      <c r="A777" s="8"/>
      <c r="B777" s="354"/>
      <c r="C777" s="354"/>
      <c r="D777" s="354"/>
      <c r="E777" s="281"/>
      <c r="F777" s="281"/>
      <c r="G777" s="281"/>
      <c r="H777" s="281"/>
      <c r="I777" s="281" t="s">
        <v>532</v>
      </c>
      <c r="J777" s="281"/>
      <c r="K777" s="282"/>
      <c r="L777" s="355" t="s">
        <v>533</v>
      </c>
      <c r="M777" s="355"/>
      <c r="N777" s="282"/>
      <c r="O777" s="282"/>
      <c r="P777" s="282"/>
      <c r="Q777" s="282"/>
      <c r="R777" s="282"/>
      <c r="S777" s="282"/>
      <c r="T777" s="282"/>
      <c r="U777" s="282"/>
      <c r="V777" s="282"/>
      <c r="W777" s="282"/>
      <c r="X777" s="282"/>
      <c r="Y777" s="282"/>
      <c r="Z777" s="282"/>
      <c r="AA777" s="282"/>
      <c r="AB777" s="282"/>
      <c r="AC777" s="282"/>
      <c r="AD777" s="282" t="s">
        <v>1185</v>
      </c>
      <c r="AE777" s="282">
        <f t="shared" ref="AE777:AK777" si="275">AE652+AE733+AE767</f>
        <v>511540.6</v>
      </c>
      <c r="AF777" s="282">
        <f t="shared" si="275"/>
        <v>505455.69999999995</v>
      </c>
      <c r="AG777" s="282">
        <f t="shared" si="275"/>
        <v>5045.8999999999996</v>
      </c>
      <c r="AH777" s="282">
        <f t="shared" si="275"/>
        <v>5045.8999999999996</v>
      </c>
      <c r="AI777" s="282">
        <f t="shared" si="275"/>
        <v>506494.69999999995</v>
      </c>
      <c r="AJ777" s="282">
        <f t="shared" si="275"/>
        <v>500409.8</v>
      </c>
      <c r="AK777" s="282">
        <f t="shared" si="275"/>
        <v>0</v>
      </c>
      <c r="AL777" s="282"/>
      <c r="AM777" s="282">
        <f>AM652+AM733+AM767</f>
        <v>0</v>
      </c>
      <c r="AN777" s="282"/>
      <c r="AO777" s="282">
        <f t="shared" ref="AO777:BH777" si="276">AO652+AO733+AO767</f>
        <v>537797.1</v>
      </c>
      <c r="AP777" s="282">
        <f t="shared" si="276"/>
        <v>9563.7000000000007</v>
      </c>
      <c r="AQ777" s="282">
        <f t="shared" si="276"/>
        <v>528233.4</v>
      </c>
      <c r="AR777" s="282">
        <f t="shared" si="276"/>
        <v>0</v>
      </c>
      <c r="AS777" s="282">
        <f t="shared" si="276"/>
        <v>0</v>
      </c>
      <c r="AT777" s="282">
        <f t="shared" si="276"/>
        <v>494567.19999999995</v>
      </c>
      <c r="AU777" s="282">
        <f t="shared" si="276"/>
        <v>13484.599999999999</v>
      </c>
      <c r="AV777" s="282">
        <f t="shared" si="276"/>
        <v>481082.6</v>
      </c>
      <c r="AW777" s="282">
        <f t="shared" si="276"/>
        <v>0</v>
      </c>
      <c r="AX777" s="282">
        <f t="shared" si="276"/>
        <v>0</v>
      </c>
      <c r="AY777" s="282">
        <f t="shared" si="276"/>
        <v>494748.49999999994</v>
      </c>
      <c r="AZ777" s="282">
        <f t="shared" si="276"/>
        <v>13421.2</v>
      </c>
      <c r="BA777" s="282">
        <f t="shared" si="276"/>
        <v>481327.29999999993</v>
      </c>
      <c r="BB777" s="282">
        <f t="shared" si="276"/>
        <v>0</v>
      </c>
      <c r="BC777" s="282">
        <f t="shared" si="276"/>
        <v>0</v>
      </c>
      <c r="BD777" s="282">
        <f t="shared" si="276"/>
        <v>494748.49999999994</v>
      </c>
      <c r="BE777" s="282">
        <f t="shared" si="276"/>
        <v>13421.2</v>
      </c>
      <c r="BF777" s="282">
        <f t="shared" si="276"/>
        <v>481327.29999999993</v>
      </c>
      <c r="BG777" s="282">
        <f t="shared" si="276"/>
        <v>0</v>
      </c>
      <c r="BH777" s="282">
        <f t="shared" si="276"/>
        <v>0</v>
      </c>
    </row>
    <row r="778" spans="1:60" ht="35.65" customHeight="1">
      <c r="A778" s="8"/>
      <c r="B778" s="356" t="s">
        <v>534</v>
      </c>
      <c r="C778" s="357"/>
      <c r="D778" s="357"/>
      <c r="E778" s="357"/>
      <c r="F778" s="357"/>
      <c r="G778" s="357"/>
      <c r="H778" s="357"/>
      <c r="I778" s="357"/>
      <c r="J778" s="357"/>
      <c r="K778" s="357"/>
      <c r="L778" s="357"/>
      <c r="M778" s="357"/>
      <c r="N778" s="357"/>
      <c r="O778" s="357"/>
      <c r="P778" s="357"/>
      <c r="Q778" s="357"/>
      <c r="R778" s="357"/>
      <c r="S778" s="357"/>
      <c r="T778" s="357"/>
      <c r="U778" s="357"/>
      <c r="V778" s="357"/>
      <c r="W778" s="357"/>
      <c r="X778" s="357"/>
      <c r="Y778" s="357"/>
      <c r="Z778" s="357"/>
      <c r="AA778" s="357"/>
      <c r="AB778" s="282"/>
      <c r="AC778" s="282"/>
      <c r="AD778" s="299" t="s">
        <v>1186</v>
      </c>
      <c r="AE778" s="299">
        <f>AE779-AE777</f>
        <v>-5684.8999999999651</v>
      </c>
      <c r="AF778" s="299"/>
      <c r="AG778" s="282"/>
      <c r="AH778" s="299"/>
      <c r="AI778" s="299">
        <v>1222839.3999999999</v>
      </c>
      <c r="AJ778" s="300">
        <v>906097.5</v>
      </c>
      <c r="AK778" s="282"/>
      <c r="AL778" s="282"/>
      <c r="AM778" s="299">
        <v>738195.8</v>
      </c>
      <c r="AN778" s="300">
        <v>727566.8</v>
      </c>
      <c r="AO778" s="282">
        <f>AO779-AO777</f>
        <v>0</v>
      </c>
      <c r="AP778" s="282"/>
      <c r="AQ778" s="282"/>
      <c r="AR778" s="282"/>
      <c r="AS778" s="282"/>
      <c r="AT778" s="282"/>
      <c r="AU778" s="282"/>
      <c r="AV778" s="282"/>
      <c r="AW778" s="282"/>
      <c r="AX778" s="282"/>
      <c r="AY778" s="282"/>
      <c r="AZ778" s="282"/>
      <c r="BA778" s="282"/>
      <c r="BB778" s="282"/>
      <c r="BC778" s="282"/>
      <c r="BD778" s="282"/>
      <c r="BE778" s="282"/>
      <c r="BF778" s="282"/>
      <c r="BG778" s="282"/>
      <c r="BH778" s="282"/>
    </row>
    <row r="779" spans="1:60" ht="35.65" customHeight="1">
      <c r="A779" s="8"/>
      <c r="B779" s="283">
        <v>5369</v>
      </c>
      <c r="C779" s="280"/>
      <c r="D779" s="263" t="s">
        <v>535</v>
      </c>
      <c r="E779" s="8"/>
      <c r="F779" s="8"/>
      <c r="G779" s="8"/>
      <c r="H779" s="8"/>
      <c r="I779" s="8" t="s">
        <v>536</v>
      </c>
      <c r="J779" s="8"/>
      <c r="K779" s="8"/>
      <c r="L779" s="8"/>
      <c r="M779" s="284" t="s">
        <v>537</v>
      </c>
      <c r="N779" s="284"/>
      <c r="O779" s="8"/>
      <c r="P779" s="284"/>
      <c r="Q779" s="284"/>
      <c r="R779" s="284"/>
      <c r="S779" s="284"/>
      <c r="T779" s="8"/>
      <c r="U779" s="8"/>
      <c r="V779" s="8"/>
      <c r="W779" s="8"/>
      <c r="X779" s="8"/>
      <c r="Y779" s="8"/>
      <c r="Z779" s="8"/>
      <c r="AA779" s="8"/>
      <c r="AB779" s="8"/>
      <c r="AC779" s="8"/>
      <c r="AD779" s="2" t="s">
        <v>1187</v>
      </c>
      <c r="AE779" s="8">
        <v>505855.7</v>
      </c>
      <c r="AF779" s="8"/>
      <c r="AG779" s="8"/>
      <c r="AH779" s="8"/>
      <c r="AI779" s="8" t="s">
        <v>1188</v>
      </c>
      <c r="AJ779" s="8" t="s">
        <v>1188</v>
      </c>
      <c r="AK779" s="8"/>
      <c r="AL779" s="8"/>
      <c r="AM779" s="8" t="s">
        <v>1189</v>
      </c>
      <c r="AN779" s="8" t="s">
        <v>1189</v>
      </c>
      <c r="AO779" s="8">
        <v>537797.1</v>
      </c>
      <c r="AP779" s="8"/>
      <c r="AQ779" s="8"/>
      <c r="AR779" s="8"/>
      <c r="AS779" s="8"/>
      <c r="AT779" s="8"/>
      <c r="AU779" s="8"/>
      <c r="AV779" s="8"/>
      <c r="AW779" s="8"/>
      <c r="AX779" s="8"/>
      <c r="AY779" s="8"/>
      <c r="AZ779" s="8"/>
      <c r="BA779" s="8"/>
      <c r="BB779" s="8"/>
      <c r="BC779" s="8"/>
      <c r="BD779" s="8"/>
      <c r="BE779" s="8"/>
      <c r="BF779" s="8"/>
      <c r="BG779" s="8"/>
      <c r="BH779" s="8"/>
    </row>
    <row r="780" spans="1:60" ht="35.65" customHeight="1">
      <c r="A780" s="8"/>
      <c r="B780" s="263"/>
      <c r="C780" s="280"/>
      <c r="D780" s="263"/>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301" t="s">
        <v>1190</v>
      </c>
      <c r="AE780" s="301"/>
      <c r="AF780" s="301" t="s">
        <v>1190</v>
      </c>
      <c r="AG780" s="302"/>
      <c r="AH780" s="302"/>
      <c r="AI780" s="303"/>
      <c r="AJ780" s="304"/>
      <c r="AK780" s="303"/>
      <c r="AL780" s="304"/>
      <c r="AM780" s="280"/>
      <c r="AN780" s="280"/>
      <c r="AO780" s="280"/>
      <c r="AP780" s="8"/>
      <c r="AQ780" s="8"/>
      <c r="AR780" s="8"/>
      <c r="AS780" s="8"/>
      <c r="AT780" s="280"/>
      <c r="AU780" s="8"/>
      <c r="AV780" s="8"/>
      <c r="AW780" s="8"/>
      <c r="AX780" s="8"/>
      <c r="AY780" s="8"/>
      <c r="AZ780" s="8"/>
      <c r="BA780" s="8"/>
      <c r="BB780" s="8"/>
      <c r="BC780" s="8"/>
      <c r="BD780" s="8"/>
      <c r="BE780" s="8"/>
      <c r="BF780" s="8"/>
      <c r="BG780" s="8"/>
      <c r="BH780" s="8"/>
    </row>
    <row r="781" spans="1:60" ht="35.65" customHeight="1">
      <c r="B781" s="3"/>
      <c r="C781" s="4"/>
      <c r="D781" s="3"/>
      <c r="AD781" s="2" t="s">
        <v>1191</v>
      </c>
      <c r="AE781" s="305">
        <f>AE782-AE774</f>
        <v>0</v>
      </c>
      <c r="AF781" s="2" t="s">
        <v>1191</v>
      </c>
      <c r="AG781" s="305"/>
      <c r="AH781" s="305"/>
      <c r="AI781" s="305"/>
      <c r="AJ781" s="305"/>
      <c r="AK781" s="305"/>
      <c r="AL781" s="305"/>
      <c r="AM781" s="305"/>
      <c r="AN781" s="305"/>
      <c r="AO781" s="305">
        <f>AO782-AO774</f>
        <v>0</v>
      </c>
      <c r="AP781" s="305"/>
      <c r="AQ781" s="305"/>
      <c r="AR781" s="305"/>
      <c r="AS781" s="305"/>
      <c r="AT781" s="305">
        <f>AT782-AT774</f>
        <v>0</v>
      </c>
      <c r="AU781" s="305"/>
      <c r="AV781" s="305"/>
      <c r="AW781" s="305"/>
      <c r="AX781" s="305"/>
      <c r="AY781" s="305">
        <f>AY782-AY774</f>
        <v>0</v>
      </c>
      <c r="AZ781" s="305"/>
      <c r="BA781" s="305"/>
      <c r="BB781" s="305"/>
      <c r="BD781" s="305">
        <f>BD782-BD774</f>
        <v>0</v>
      </c>
      <c r="BE781" s="305"/>
      <c r="BF781" s="305"/>
      <c r="BG781" s="305"/>
    </row>
    <row r="782" spans="1:60" ht="35.65" customHeight="1">
      <c r="B782" s="3"/>
      <c r="C782" s="4"/>
      <c r="D782" s="3"/>
      <c r="AD782" s="2" t="s">
        <v>1192</v>
      </c>
      <c r="AE782" s="305">
        <v>2159350.9</v>
      </c>
      <c r="AF782" s="2" t="s">
        <v>1192</v>
      </c>
      <c r="AN782" s="285"/>
      <c r="AO782" s="322">
        <v>2300496.7000000002</v>
      </c>
      <c r="AP782" s="285"/>
      <c r="AQ782" s="285"/>
      <c r="AR782" s="285"/>
      <c r="AS782" s="285"/>
      <c r="AT782" s="322">
        <v>1352396</v>
      </c>
      <c r="AU782" s="285"/>
      <c r="AV782" s="285"/>
      <c r="AW782" s="285"/>
      <c r="AX782" s="285"/>
      <c r="AY782" s="322">
        <v>1311780.5</v>
      </c>
      <c r="AZ782" s="285"/>
      <c r="BA782" s="285"/>
      <c r="BB782" s="285"/>
      <c r="BC782" s="285"/>
      <c r="BD782" s="322">
        <v>1311780.5</v>
      </c>
      <c r="BE782" s="285"/>
      <c r="BF782" s="285"/>
      <c r="BG782" s="285"/>
      <c r="BH782" s="285"/>
    </row>
    <row r="783" spans="1:60" ht="35.65" customHeight="1">
      <c r="A783" s="285"/>
      <c r="B783" s="285"/>
      <c r="C783" s="285"/>
      <c r="D783" s="285"/>
      <c r="E783" s="285"/>
      <c r="F783" s="285"/>
      <c r="G783" s="285"/>
      <c r="H783" s="285"/>
      <c r="I783" s="285"/>
      <c r="J783" s="285"/>
      <c r="K783" s="285"/>
      <c r="L783" s="285"/>
      <c r="M783" s="285"/>
      <c r="N783" s="285"/>
      <c r="O783" s="285"/>
      <c r="P783" s="285"/>
      <c r="Q783" s="285"/>
      <c r="R783" s="285"/>
      <c r="S783" s="285"/>
      <c r="T783" s="285"/>
      <c r="U783" s="285"/>
      <c r="V783" s="285"/>
      <c r="W783" s="285"/>
      <c r="X783" s="285"/>
      <c r="Y783" s="285"/>
      <c r="Z783" s="285"/>
      <c r="AA783" s="285"/>
      <c r="AB783" s="285"/>
      <c r="AC783" s="285"/>
      <c r="AD783" s="285"/>
      <c r="AE783" s="285">
        <v>2022</v>
      </c>
      <c r="AF783" s="285"/>
      <c r="AG783" s="285"/>
      <c r="AH783" s="285"/>
      <c r="AI783" s="285"/>
      <c r="AJ783" s="285"/>
      <c r="AK783" s="285"/>
      <c r="AL783" s="285"/>
      <c r="AM783" s="285"/>
      <c r="AN783" s="285"/>
      <c r="AO783" s="285">
        <v>2023</v>
      </c>
      <c r="AP783" s="285"/>
      <c r="AQ783" s="285"/>
      <c r="AR783" s="285"/>
      <c r="AS783" s="285"/>
      <c r="AT783" s="285">
        <v>2024</v>
      </c>
      <c r="AU783" s="285"/>
      <c r="AV783" s="285"/>
      <c r="AW783" s="285"/>
      <c r="AX783" s="285"/>
      <c r="AY783" s="285">
        <v>2025</v>
      </c>
      <c r="AZ783" s="285"/>
      <c r="BA783" s="285"/>
      <c r="BB783" s="285"/>
      <c r="BC783" s="285"/>
      <c r="BD783" s="285">
        <v>2026</v>
      </c>
      <c r="BE783" s="285"/>
      <c r="BF783" s="285"/>
      <c r="BG783" s="285"/>
      <c r="BH783" s="285"/>
    </row>
    <row r="784" spans="1:60" ht="35.6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52"/>
      <c r="AD784" s="306">
        <v>310</v>
      </c>
      <c r="AE784" s="26"/>
      <c r="AF784" s="26"/>
      <c r="AG784" s="26"/>
      <c r="AH784" s="26"/>
      <c r="AI784" s="26"/>
      <c r="AJ784" s="26"/>
      <c r="AK784" s="26"/>
      <c r="AL784" s="26"/>
      <c r="AM784" s="26"/>
      <c r="AN784" s="26"/>
      <c r="AO784" s="26"/>
      <c r="AP784" s="26"/>
      <c r="AQ784" s="26"/>
      <c r="AR784" s="26"/>
      <c r="AS784" s="26"/>
      <c r="AT784" s="26"/>
      <c r="AU784" s="26"/>
      <c r="AV784" s="26"/>
      <c r="AW784" s="26"/>
      <c r="AX784" s="26"/>
      <c r="AY784" s="26"/>
      <c r="AZ784" s="26"/>
      <c r="BA784" s="26"/>
      <c r="BB784" s="26"/>
      <c r="BC784" s="26"/>
      <c r="BD784" s="26"/>
      <c r="BE784" s="26"/>
      <c r="BF784" s="26"/>
      <c r="BG784" s="26"/>
      <c r="BH784" s="26"/>
    </row>
    <row r="785" spans="1:60" ht="35.6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52" t="s">
        <v>538</v>
      </c>
      <c r="AD785" s="307" t="s">
        <v>1193</v>
      </c>
      <c r="AE785" s="26"/>
      <c r="AF785" s="26"/>
      <c r="AG785" s="26"/>
      <c r="AH785" s="26"/>
      <c r="AI785" s="26"/>
      <c r="AJ785" s="26"/>
      <c r="AK785" s="26"/>
      <c r="AL785" s="26"/>
      <c r="AM785" s="26"/>
      <c r="AN785" s="26"/>
      <c r="AO785" s="26"/>
      <c r="AP785" s="26"/>
      <c r="AQ785" s="26"/>
      <c r="AR785" s="26"/>
      <c r="AS785" s="26"/>
      <c r="AT785" s="26"/>
      <c r="AU785" s="26"/>
      <c r="AV785" s="26"/>
      <c r="AW785" s="26"/>
      <c r="AX785" s="26"/>
      <c r="AY785" s="26"/>
      <c r="AZ785" s="26"/>
      <c r="BA785" s="26"/>
      <c r="BB785" s="26"/>
      <c r="BC785" s="26"/>
      <c r="BD785" s="26"/>
      <c r="BE785" s="26"/>
      <c r="BF785" s="26"/>
      <c r="BG785" s="26"/>
      <c r="BH785" s="26"/>
    </row>
    <row r="786" spans="1:60" ht="35.6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52"/>
      <c r="AD786" s="52" t="s">
        <v>1194</v>
      </c>
      <c r="AE786" s="26"/>
      <c r="AF786" s="26"/>
      <c r="AG786" s="26"/>
      <c r="AH786" s="26"/>
      <c r="AI786" s="26"/>
      <c r="AJ786" s="26"/>
      <c r="AK786" s="26"/>
      <c r="AL786" s="26"/>
      <c r="AM786" s="26"/>
      <c r="AN786" s="26"/>
      <c r="AO786" s="26"/>
      <c r="AP786" s="26"/>
      <c r="AQ786" s="26"/>
      <c r="AR786" s="26"/>
      <c r="AS786" s="26"/>
      <c r="AT786" s="26"/>
      <c r="AU786" s="26"/>
      <c r="AV786" s="26"/>
      <c r="AW786" s="26"/>
      <c r="AX786" s="26"/>
      <c r="AY786" s="26"/>
      <c r="AZ786" s="26"/>
      <c r="BA786" s="26"/>
      <c r="BB786" s="26"/>
      <c r="BC786" s="26"/>
      <c r="BD786" s="26"/>
      <c r="BE786" s="26"/>
      <c r="BF786" s="26"/>
      <c r="BG786" s="26"/>
      <c r="BH786" s="26"/>
    </row>
    <row r="787" spans="1:60" ht="35.65" customHeight="1">
      <c r="AD787" s="2" t="s">
        <v>1195</v>
      </c>
      <c r="AE787" s="2">
        <v>92129</v>
      </c>
      <c r="AF787" s="2">
        <v>89862.5</v>
      </c>
      <c r="AO787" s="2" t="s">
        <v>1208</v>
      </c>
    </row>
    <row r="788" spans="1:60" ht="35.65" customHeight="1">
      <c r="AD788" s="2" t="s">
        <v>1196</v>
      </c>
      <c r="AE788" s="2">
        <f>AE527+AE567+AE658+AE665+AE685</f>
        <v>92129.000000000015</v>
      </c>
      <c r="AF788" s="2">
        <f>AF527+AF567+AF658+AF665+AF685</f>
        <v>89862.499999999985</v>
      </c>
      <c r="AO788" s="2">
        <f>AO527+AO567+AO658+AO665+AO685</f>
        <v>98551</v>
      </c>
    </row>
    <row r="789" spans="1:60" ht="35.65" customHeight="1">
      <c r="AD789" s="2" t="s">
        <v>1197</v>
      </c>
      <c r="AE789" s="2">
        <f>AE787-AE788</f>
        <v>0</v>
      </c>
      <c r="AF789" s="2">
        <f>AF787-AF788</f>
        <v>0</v>
      </c>
    </row>
  </sheetData>
  <mergeCells count="174">
    <mergeCell ref="AC7:AC16"/>
    <mergeCell ref="C24:C28"/>
    <mergeCell ref="D24:D26"/>
    <mergeCell ref="E24:E26"/>
    <mergeCell ref="W24:W28"/>
    <mergeCell ref="X24:X27"/>
    <mergeCell ref="Y24:Y27"/>
    <mergeCell ref="Z24:Z28"/>
    <mergeCell ref="AA24:AA27"/>
    <mergeCell ref="AB24:AB28"/>
    <mergeCell ref="W37:W52"/>
    <mergeCell ref="C93:C99"/>
    <mergeCell ref="D93:D119"/>
    <mergeCell ref="E93:E119"/>
    <mergeCell ref="M93:M106"/>
    <mergeCell ref="N93:N106"/>
    <mergeCell ref="O93:O106"/>
    <mergeCell ref="P93:P106"/>
    <mergeCell ref="Q93:Q106"/>
    <mergeCell ref="R93:R106"/>
    <mergeCell ref="AB98:AB106"/>
    <mergeCell ref="AA99:AA106"/>
    <mergeCell ref="M107:M109"/>
    <mergeCell ref="N107:N109"/>
    <mergeCell ref="O107:O109"/>
    <mergeCell ref="P107:P119"/>
    <mergeCell ref="Q107:Q119"/>
    <mergeCell ref="R107:R119"/>
    <mergeCell ref="T107:T109"/>
    <mergeCell ref="U107:U109"/>
    <mergeCell ref="T93:T106"/>
    <mergeCell ref="W93:W106"/>
    <mergeCell ref="X93:X106"/>
    <mergeCell ref="Y93:Y106"/>
    <mergeCell ref="Z93:Z106"/>
    <mergeCell ref="U98:U106"/>
    <mergeCell ref="V98:V106"/>
    <mergeCell ref="C128:C129"/>
    <mergeCell ref="M128:M129"/>
    <mergeCell ref="P128:P129"/>
    <mergeCell ref="W128:W129"/>
    <mergeCell ref="M141:M144"/>
    <mergeCell ref="M149:M154"/>
    <mergeCell ref="AB107:AB119"/>
    <mergeCell ref="M113:M119"/>
    <mergeCell ref="N113:N119"/>
    <mergeCell ref="O113:O119"/>
    <mergeCell ref="T113:T119"/>
    <mergeCell ref="U113:U119"/>
    <mergeCell ref="V113:V119"/>
    <mergeCell ref="V107:V109"/>
    <mergeCell ref="W107:W119"/>
    <mergeCell ref="X107:X119"/>
    <mergeCell ref="Y107:Y119"/>
    <mergeCell ref="Z107:Z119"/>
    <mergeCell ref="AA107:AA119"/>
    <mergeCell ref="AA293:AA295"/>
    <mergeCell ref="P396:P397"/>
    <mergeCell ref="W396:W397"/>
    <mergeCell ref="W164:W167"/>
    <mergeCell ref="Z164:Z167"/>
    <mergeCell ref="C169:C175"/>
    <mergeCell ref="W169:W175"/>
    <mergeCell ref="Z169:Z175"/>
    <mergeCell ref="C293:C295"/>
    <mergeCell ref="D293:D295"/>
    <mergeCell ref="E293:E295"/>
    <mergeCell ref="J293:J295"/>
    <mergeCell ref="K293:K295"/>
    <mergeCell ref="W432:W438"/>
    <mergeCell ref="X432:X438"/>
    <mergeCell ref="Y432:Y438"/>
    <mergeCell ref="Z432:Z438"/>
    <mergeCell ref="W479:W480"/>
    <mergeCell ref="J496:J503"/>
    <mergeCell ref="W496:W503"/>
    <mergeCell ref="Z496:Z503"/>
    <mergeCell ref="L293:L295"/>
    <mergeCell ref="W293:W295"/>
    <mergeCell ref="X293:X295"/>
    <mergeCell ref="Z293:Z295"/>
    <mergeCell ref="D562:D566"/>
    <mergeCell ref="E562:E566"/>
    <mergeCell ref="J562:J565"/>
    <mergeCell ref="K562:K565"/>
    <mergeCell ref="O562:O565"/>
    <mergeCell ref="W562:W565"/>
    <mergeCell ref="C528:C533"/>
    <mergeCell ref="D528:D533"/>
    <mergeCell ref="E528:E533"/>
    <mergeCell ref="C536:C542"/>
    <mergeCell ref="D536:D542"/>
    <mergeCell ref="E536:E542"/>
    <mergeCell ref="B778:AA778"/>
    <mergeCell ref="AE1:AM1"/>
    <mergeCell ref="AD7:AD10"/>
    <mergeCell ref="AE7:AN10"/>
    <mergeCell ref="AD11:AD16"/>
    <mergeCell ref="AE11:AF11"/>
    <mergeCell ref="N634:N635"/>
    <mergeCell ref="O634:O635"/>
    <mergeCell ref="P634:P635"/>
    <mergeCell ref="Q634:Q635"/>
    <mergeCell ref="T634:T635"/>
    <mergeCell ref="U634:U635"/>
    <mergeCell ref="Z603:Z606"/>
    <mergeCell ref="AA603:AA606"/>
    <mergeCell ref="AB603:AB606"/>
    <mergeCell ref="C634:C635"/>
    <mergeCell ref="D634:D635"/>
    <mergeCell ref="E634:E635"/>
    <mergeCell ref="J634:J635"/>
    <mergeCell ref="K634:K635"/>
    <mergeCell ref="L634:L635"/>
    <mergeCell ref="M634:M635"/>
    <mergeCell ref="C603:C606"/>
    <mergeCell ref="D603:D606"/>
    <mergeCell ref="AE12:AE16"/>
    <mergeCell ref="AF12:AF16"/>
    <mergeCell ref="AG12:AG16"/>
    <mergeCell ref="AH12:AH16"/>
    <mergeCell ref="AI12:AI16"/>
    <mergeCell ref="AJ12:AJ16"/>
    <mergeCell ref="W634:W635"/>
    <mergeCell ref="X634:X635"/>
    <mergeCell ref="B777:D777"/>
    <mergeCell ref="L777:M777"/>
    <mergeCell ref="E603:E606"/>
    <mergeCell ref="W603:W606"/>
    <mergeCell ref="X603:X606"/>
    <mergeCell ref="Y603:Y606"/>
    <mergeCell ref="AB562:AB565"/>
    <mergeCell ref="C568:C570"/>
    <mergeCell ref="C574:C575"/>
    <mergeCell ref="C583:C584"/>
    <mergeCell ref="W589:W599"/>
    <mergeCell ref="Z589:Z590"/>
    <mergeCell ref="Z594:Z595"/>
    <mergeCell ref="W551:W552"/>
    <mergeCell ref="Z551:Z552"/>
    <mergeCell ref="C562:C566"/>
    <mergeCell ref="AP3:AU3"/>
    <mergeCell ref="BC7:BD9"/>
    <mergeCell ref="AY10:BH10"/>
    <mergeCell ref="AO11:AO14"/>
    <mergeCell ref="AP11:AP13"/>
    <mergeCell ref="AQ11:AQ13"/>
    <mergeCell ref="AG11:AH11"/>
    <mergeCell ref="AI11:AJ11"/>
    <mergeCell ref="AK11:AL11"/>
    <mergeCell ref="AM11:AN11"/>
    <mergeCell ref="AR11:AR13"/>
    <mergeCell ref="AS11:AS13"/>
    <mergeCell ref="AT11:AT14"/>
    <mergeCell ref="AU11:AU13"/>
    <mergeCell ref="AV11:AV13"/>
    <mergeCell ref="AW11:AW13"/>
    <mergeCell ref="AK12:AK16"/>
    <mergeCell ref="AL12:AL16"/>
    <mergeCell ref="AM12:AM16"/>
    <mergeCell ref="AN12:AN16"/>
    <mergeCell ref="BF13:BF16"/>
    <mergeCell ref="BG13:BG16"/>
    <mergeCell ref="BH13:BH16"/>
    <mergeCell ref="AX11:AX13"/>
    <mergeCell ref="AY11:BC12"/>
    <mergeCell ref="BD11:BH12"/>
    <mergeCell ref="AY13:AY16"/>
    <mergeCell ref="AZ13:AZ16"/>
    <mergeCell ref="BA13:BA16"/>
    <mergeCell ref="BB13:BB16"/>
    <mergeCell ref="BC13:BC16"/>
    <mergeCell ref="BD13:BD16"/>
    <mergeCell ref="BE13:BE16"/>
  </mergeCells>
  <pageMargins left="0.51181102362204722" right="0.11811023622047245" top="0.19685039370078741" bottom="0.15748031496062992"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2023-12-21T10:13:29Z</dcterms:modified>
</cp:coreProperties>
</file>