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19320" windowHeight="11760" firstSheet="1" activeTab="1"/>
  </bookViews>
  <sheets>
    <sheet name="01.01.2016" sheetId="1" state="hidden" r:id="rId1"/>
    <sheet name="01.06.2017" sheetId="3" r:id="rId2"/>
  </sheets>
  <calcPr calcId="124519"/>
</workbook>
</file>

<file path=xl/calcChain.xml><?xml version="1.0" encoding="utf-8"?>
<calcChain xmlns="http://schemas.openxmlformats.org/spreadsheetml/2006/main">
  <c r="O93" i="3"/>
  <c r="O94"/>
  <c r="O95"/>
  <c r="O96"/>
  <c r="O233"/>
  <c r="O226"/>
  <c r="O225"/>
  <c r="O221"/>
  <c r="O220"/>
  <c r="K194"/>
  <c r="K214"/>
  <c r="K211"/>
  <c r="K210"/>
  <c r="K207"/>
  <c r="K202"/>
  <c r="K201"/>
  <c r="K196"/>
  <c r="G195"/>
  <c r="G194"/>
  <c r="K198"/>
  <c r="K192"/>
  <c r="K186"/>
  <c r="K183"/>
  <c r="K181"/>
  <c r="K176"/>
  <c r="K170"/>
  <c r="S170"/>
  <c r="R170"/>
  <c r="J170"/>
  <c r="G170"/>
  <c r="O170" s="1"/>
  <c r="N170" s="1"/>
  <c r="K174"/>
  <c r="K168"/>
  <c r="K162"/>
  <c r="K158"/>
  <c r="K156"/>
  <c r="K151"/>
  <c r="K149"/>
  <c r="K143"/>
  <c r="K137"/>
  <c r="K133"/>
  <c r="K131"/>
  <c r="K124"/>
  <c r="K122"/>
  <c r="G116"/>
  <c r="K114"/>
  <c r="G111"/>
  <c r="O90"/>
  <c r="K106"/>
  <c r="K104"/>
  <c r="K99"/>
  <c r="K97"/>
  <c r="K90"/>
  <c r="O20" l="1"/>
  <c r="S233"/>
  <c r="R233"/>
  <c r="S226"/>
  <c r="R226"/>
  <c r="S225"/>
  <c r="R225"/>
  <c r="R221"/>
  <c r="S220"/>
  <c r="R220"/>
  <c r="P233"/>
  <c r="Q226"/>
  <c r="P226"/>
  <c r="Q220"/>
  <c r="Q221"/>
  <c r="P221"/>
  <c r="Q225"/>
  <c r="P225"/>
  <c r="Q233"/>
  <c r="N233"/>
  <c r="S205"/>
  <c r="R205"/>
  <c r="J205"/>
  <c r="G205"/>
  <c r="O205" s="1"/>
  <c r="N205" s="1"/>
  <c r="G161"/>
  <c r="E112"/>
  <c r="J111"/>
  <c r="G66"/>
  <c r="G64"/>
  <c r="G65"/>
  <c r="G99"/>
  <c r="P99" s="1"/>
  <c r="G45"/>
  <c r="P45" s="1"/>
  <c r="G46"/>
  <c r="P46" s="1"/>
  <c r="K230" l="1"/>
  <c r="V226"/>
  <c r="S231"/>
  <c r="R231"/>
  <c r="J231"/>
  <c r="O231"/>
  <c r="N231" s="1"/>
  <c r="S223"/>
  <c r="R223"/>
  <c r="G223"/>
  <c r="O223" s="1"/>
  <c r="N223" s="1"/>
  <c r="J223"/>
  <c r="V233"/>
  <c r="U226"/>
  <c r="V225"/>
  <c r="U225"/>
  <c r="J222"/>
  <c r="S194" l="1"/>
  <c r="S195"/>
  <c r="R195"/>
  <c r="R196"/>
  <c r="R197"/>
  <c r="R194"/>
  <c r="J194"/>
  <c r="J195"/>
  <c r="O194"/>
  <c r="N194" s="1"/>
  <c r="O195"/>
  <c r="N195" s="1"/>
  <c r="G83"/>
  <c r="P83" s="1"/>
  <c r="G84"/>
  <c r="P84" s="1"/>
  <c r="G85"/>
  <c r="P85" s="1"/>
  <c r="G82"/>
  <c r="P82" s="1"/>
  <c r="G77"/>
  <c r="P77" s="1"/>
  <c r="G78"/>
  <c r="P78" s="1"/>
  <c r="G79"/>
  <c r="P79" s="1"/>
  <c r="G76"/>
  <c r="P76" s="1"/>
  <c r="M72"/>
  <c r="R72" s="1"/>
  <c r="G72"/>
  <c r="P72" s="1"/>
  <c r="G71"/>
  <c r="P71" s="1"/>
  <c r="G73"/>
  <c r="P73" s="1"/>
  <c r="G70"/>
  <c r="O70" s="1"/>
  <c r="P64"/>
  <c r="P66"/>
  <c r="N64"/>
  <c r="N66"/>
  <c r="O64"/>
  <c r="P65"/>
  <c r="O66"/>
  <c r="G63"/>
  <c r="O63" s="1"/>
  <c r="G59"/>
  <c r="O59" s="1"/>
  <c r="M59"/>
  <c r="R59" s="1"/>
  <c r="G57"/>
  <c r="O57" s="1"/>
  <c r="G58"/>
  <c r="P58" s="1"/>
  <c r="G60"/>
  <c r="P60" s="1"/>
  <c r="G56"/>
  <c r="O56" s="1"/>
  <c r="G52"/>
  <c r="P52" s="1"/>
  <c r="G51"/>
  <c r="N51" s="1"/>
  <c r="G50"/>
  <c r="N50" s="1"/>
  <c r="O45"/>
  <c r="J46"/>
  <c r="N46" s="1"/>
  <c r="O46"/>
  <c r="G44"/>
  <c r="N45"/>
  <c r="G40"/>
  <c r="O40" s="1"/>
  <c r="G39"/>
  <c r="P39" s="1"/>
  <c r="G38"/>
  <c r="O38" s="1"/>
  <c r="G37"/>
  <c r="O37" s="1"/>
  <c r="G33"/>
  <c r="O33" s="1"/>
  <c r="G32"/>
  <c r="P32" s="1"/>
  <c r="G31"/>
  <c r="P31" s="1"/>
  <c r="G27"/>
  <c r="P27" s="1"/>
  <c r="G26"/>
  <c r="P26" s="1"/>
  <c r="G25"/>
  <c r="P25" s="1"/>
  <c r="G24"/>
  <c r="P24" s="1"/>
  <c r="P20"/>
  <c r="N17"/>
  <c r="G67"/>
  <c r="P67" s="1"/>
  <c r="G53"/>
  <c r="P53" s="1"/>
  <c r="G47"/>
  <c r="P47" s="1"/>
  <c r="G41"/>
  <c r="P41" s="1"/>
  <c r="G34"/>
  <c r="P34" s="1"/>
  <c r="G28"/>
  <c r="P28" s="1"/>
  <c r="G21"/>
  <c r="P21" s="1"/>
  <c r="G17"/>
  <c r="P17" s="1"/>
  <c r="P75" l="1"/>
  <c r="P74" s="1"/>
  <c r="P81"/>
  <c r="O24"/>
  <c r="M46"/>
  <c r="S46" s="1"/>
  <c r="P23"/>
  <c r="P22" s="1"/>
  <c r="N31"/>
  <c r="O31"/>
  <c r="N40"/>
  <c r="P40"/>
  <c r="O50"/>
  <c r="N59"/>
  <c r="O60"/>
  <c r="Q60" s="1"/>
  <c r="P57"/>
  <c r="N70"/>
  <c r="P70"/>
  <c r="P69" s="1"/>
  <c r="P68" s="1"/>
  <c r="O44"/>
  <c r="P44"/>
  <c r="R46"/>
  <c r="N34"/>
  <c r="O34"/>
  <c r="P33"/>
  <c r="P30" s="1"/>
  <c r="N38"/>
  <c r="P38"/>
  <c r="O52"/>
  <c r="N60"/>
  <c r="P59"/>
  <c r="Q59" s="1"/>
  <c r="Q46"/>
  <c r="O43"/>
  <c r="N47"/>
  <c r="O47"/>
  <c r="N63"/>
  <c r="O67"/>
  <c r="O65"/>
  <c r="O62" s="1"/>
  <c r="P63"/>
  <c r="P62" s="1"/>
  <c r="N72"/>
  <c r="O72"/>
  <c r="N79"/>
  <c r="N77"/>
  <c r="O79"/>
  <c r="O77"/>
  <c r="N85"/>
  <c r="N83"/>
  <c r="O85"/>
  <c r="O83"/>
  <c r="N26"/>
  <c r="N37"/>
  <c r="O41"/>
  <c r="O39"/>
  <c r="O36" s="1"/>
  <c r="P37"/>
  <c r="P36" s="1"/>
  <c r="N44"/>
  <c r="N43" s="1"/>
  <c r="S59"/>
  <c r="N56"/>
  <c r="O58"/>
  <c r="O55" s="1"/>
  <c r="P56"/>
  <c r="O26"/>
  <c r="N24"/>
  <c r="N32"/>
  <c r="N33"/>
  <c r="O32"/>
  <c r="N41"/>
  <c r="N39"/>
  <c r="O53"/>
  <c r="N57"/>
  <c r="Q57" s="1"/>
  <c r="N58"/>
  <c r="N67"/>
  <c r="N65"/>
  <c r="N73"/>
  <c r="N71"/>
  <c r="O73"/>
  <c r="O71"/>
  <c r="N76"/>
  <c r="N78"/>
  <c r="O76"/>
  <c r="O78"/>
  <c r="N82"/>
  <c r="N84"/>
  <c r="O82"/>
  <c r="O84"/>
  <c r="S72"/>
  <c r="P50"/>
  <c r="N52"/>
  <c r="N49" s="1"/>
  <c r="O51"/>
  <c r="P51"/>
  <c r="O25"/>
  <c r="O27"/>
  <c r="N25"/>
  <c r="N27"/>
  <c r="J16"/>
  <c r="M16" s="1"/>
  <c r="G16"/>
  <c r="O16" s="1"/>
  <c r="O54" l="1"/>
  <c r="O69"/>
  <c r="O68" s="1"/>
  <c r="P55"/>
  <c r="P54" s="1"/>
  <c r="O81"/>
  <c r="O75"/>
  <c r="O74" s="1"/>
  <c r="O23"/>
  <c r="Q58"/>
  <c r="N42"/>
  <c r="N69"/>
  <c r="N68" s="1"/>
  <c r="O30"/>
  <c r="P49"/>
  <c r="N55"/>
  <c r="N54" s="1"/>
  <c r="Q72"/>
  <c r="O49"/>
  <c r="O42"/>
  <c r="R16"/>
  <c r="S16"/>
  <c r="N16"/>
  <c r="P16"/>
  <c r="O17"/>
  <c r="G15"/>
  <c r="N15" s="1"/>
  <c r="S179"/>
  <c r="S180"/>
  <c r="R179"/>
  <c r="R180"/>
  <c r="R178"/>
  <c r="R171"/>
  <c r="O15" l="1"/>
  <c r="P15"/>
  <c r="Q16"/>
  <c r="G230"/>
  <c r="P230" s="1"/>
  <c r="P232" s="1"/>
  <c r="S229"/>
  <c r="S228"/>
  <c r="R229"/>
  <c r="R228"/>
  <c r="G229"/>
  <c r="O229" s="1"/>
  <c r="N229" s="1"/>
  <c r="G228"/>
  <c r="J229"/>
  <c r="J228"/>
  <c r="F237"/>
  <c r="H237"/>
  <c r="I237"/>
  <c r="J236"/>
  <c r="R236" s="1"/>
  <c r="G236"/>
  <c r="G235"/>
  <c r="F200"/>
  <c r="H200"/>
  <c r="I200"/>
  <c r="J211"/>
  <c r="R211" s="1"/>
  <c r="G217"/>
  <c r="G216"/>
  <c r="O216" s="1"/>
  <c r="F218"/>
  <c r="H218"/>
  <c r="I218"/>
  <c r="F209"/>
  <c r="H209"/>
  <c r="I209"/>
  <c r="F215"/>
  <c r="H215"/>
  <c r="I215"/>
  <c r="S213"/>
  <c r="R213"/>
  <c r="G213"/>
  <c r="O213" s="1"/>
  <c r="N213" s="1"/>
  <c r="J213"/>
  <c r="G211"/>
  <c r="P211" s="1"/>
  <c r="G210"/>
  <c r="G215" s="1"/>
  <c r="K208"/>
  <c r="G208"/>
  <c r="S206"/>
  <c r="S204"/>
  <c r="R206"/>
  <c r="R204"/>
  <c r="G206"/>
  <c r="O206" s="1"/>
  <c r="N206" s="1"/>
  <c r="G204"/>
  <c r="O204" s="1"/>
  <c r="N204" s="1"/>
  <c r="J206"/>
  <c r="J204"/>
  <c r="G202"/>
  <c r="Q202" s="1"/>
  <c r="G201"/>
  <c r="Q201" s="1"/>
  <c r="G199"/>
  <c r="O199" s="1"/>
  <c r="N199" s="1"/>
  <c r="G198"/>
  <c r="Q198" s="1"/>
  <c r="S197"/>
  <c r="S196"/>
  <c r="G197"/>
  <c r="G196"/>
  <c r="O196" s="1"/>
  <c r="N196" s="1"/>
  <c r="J196"/>
  <c r="J197"/>
  <c r="G192"/>
  <c r="G165"/>
  <c r="G164"/>
  <c r="G140"/>
  <c r="G139"/>
  <c r="G186"/>
  <c r="J179"/>
  <c r="J180"/>
  <c r="G172"/>
  <c r="G173"/>
  <c r="G189"/>
  <c r="G188"/>
  <c r="O188" s="1"/>
  <c r="N188" s="1"/>
  <c r="F190"/>
  <c r="H190"/>
  <c r="I190"/>
  <c r="F187"/>
  <c r="H187"/>
  <c r="I187"/>
  <c r="S185"/>
  <c r="R185"/>
  <c r="G185"/>
  <c r="O185" s="1"/>
  <c r="N185" s="1"/>
  <c r="J185"/>
  <c r="G183"/>
  <c r="F182"/>
  <c r="H182"/>
  <c r="I182"/>
  <c r="G181"/>
  <c r="S178"/>
  <c r="G179"/>
  <c r="G180"/>
  <c r="G178"/>
  <c r="O178" s="1"/>
  <c r="J178"/>
  <c r="G176"/>
  <c r="F175"/>
  <c r="H175"/>
  <c r="I175"/>
  <c r="G174"/>
  <c r="S172"/>
  <c r="S173"/>
  <c r="S171"/>
  <c r="R172"/>
  <c r="R173"/>
  <c r="J172"/>
  <c r="J173"/>
  <c r="J171"/>
  <c r="G171"/>
  <c r="G168"/>
  <c r="Q168" s="1"/>
  <c r="S137"/>
  <c r="R104"/>
  <c r="F138"/>
  <c r="H138"/>
  <c r="I138"/>
  <c r="J104"/>
  <c r="J102"/>
  <c r="J103"/>
  <c r="J101"/>
  <c r="F166"/>
  <c r="H166"/>
  <c r="I166"/>
  <c r="S161"/>
  <c r="S160"/>
  <c r="R161"/>
  <c r="R160"/>
  <c r="F163"/>
  <c r="H163"/>
  <c r="I163"/>
  <c r="G160"/>
  <c r="O160" s="1"/>
  <c r="N160" s="1"/>
  <c r="J161"/>
  <c r="O161"/>
  <c r="N161" s="1"/>
  <c r="J160"/>
  <c r="G158"/>
  <c r="F150"/>
  <c r="H150"/>
  <c r="I150"/>
  <c r="F157"/>
  <c r="H157"/>
  <c r="I157"/>
  <c r="G156"/>
  <c r="J153"/>
  <c r="J154"/>
  <c r="S154"/>
  <c r="S155"/>
  <c r="S153"/>
  <c r="R154"/>
  <c r="R155"/>
  <c r="R153"/>
  <c r="J155"/>
  <c r="G154"/>
  <c r="O154" s="1"/>
  <c r="N154" s="1"/>
  <c r="G153"/>
  <c r="O153" s="1"/>
  <c r="N153" s="1"/>
  <c r="G155"/>
  <c r="O155" s="1"/>
  <c r="N155" s="1"/>
  <c r="G151"/>
  <c r="P151" s="1"/>
  <c r="S146"/>
  <c r="S147"/>
  <c r="S148"/>
  <c r="S145"/>
  <c r="R146"/>
  <c r="R147"/>
  <c r="R148"/>
  <c r="R145"/>
  <c r="G146"/>
  <c r="O146" s="1"/>
  <c r="N146" s="1"/>
  <c r="G147"/>
  <c r="O147" s="1"/>
  <c r="N147" s="1"/>
  <c r="G148"/>
  <c r="O148" s="1"/>
  <c r="N148" s="1"/>
  <c r="G145"/>
  <c r="O145" s="1"/>
  <c r="N145" s="1"/>
  <c r="J145"/>
  <c r="J146"/>
  <c r="J147"/>
  <c r="J148"/>
  <c r="G143"/>
  <c r="P143" s="1"/>
  <c r="F141"/>
  <c r="H141"/>
  <c r="I141"/>
  <c r="G137"/>
  <c r="S136"/>
  <c r="S135"/>
  <c r="R136"/>
  <c r="R135"/>
  <c r="G136"/>
  <c r="O136" s="1"/>
  <c r="N136" s="1"/>
  <c r="G135"/>
  <c r="O135" s="1"/>
  <c r="N135" s="1"/>
  <c r="J135"/>
  <c r="J136"/>
  <c r="G133"/>
  <c r="G131"/>
  <c r="P131" s="1"/>
  <c r="F132"/>
  <c r="H132"/>
  <c r="I132"/>
  <c r="E132"/>
  <c r="S127"/>
  <c r="S128"/>
  <c r="S129"/>
  <c r="S130"/>
  <c r="S126"/>
  <c r="R127"/>
  <c r="R128"/>
  <c r="R129"/>
  <c r="R130"/>
  <c r="R126"/>
  <c r="J127"/>
  <c r="J128"/>
  <c r="J129"/>
  <c r="J130"/>
  <c r="J126"/>
  <c r="G127"/>
  <c r="O127" s="1"/>
  <c r="N127" s="1"/>
  <c r="G128"/>
  <c r="O128" s="1"/>
  <c r="N128" s="1"/>
  <c r="G129"/>
  <c r="O129" s="1"/>
  <c r="N129" s="1"/>
  <c r="G130"/>
  <c r="O130" s="1"/>
  <c r="N130" s="1"/>
  <c r="G126"/>
  <c r="O126" s="1"/>
  <c r="N126" s="1"/>
  <c r="G124"/>
  <c r="P124" s="1"/>
  <c r="H123"/>
  <c r="I123"/>
  <c r="F123"/>
  <c r="G122"/>
  <c r="P122" s="1"/>
  <c r="S117"/>
  <c r="S118"/>
  <c r="S119"/>
  <c r="S120"/>
  <c r="S121"/>
  <c r="S116"/>
  <c r="R117"/>
  <c r="R118"/>
  <c r="R119"/>
  <c r="R120"/>
  <c r="R121"/>
  <c r="R116"/>
  <c r="J117"/>
  <c r="J118"/>
  <c r="J119"/>
  <c r="J120"/>
  <c r="J121"/>
  <c r="J116"/>
  <c r="G117"/>
  <c r="O117" s="1"/>
  <c r="N117" s="1"/>
  <c r="G118"/>
  <c r="O118" s="1"/>
  <c r="N118" s="1"/>
  <c r="G119"/>
  <c r="O119" s="1"/>
  <c r="N119" s="1"/>
  <c r="G120"/>
  <c r="O120" s="1"/>
  <c r="N120" s="1"/>
  <c r="G121"/>
  <c r="O121" s="1"/>
  <c r="N121" s="1"/>
  <c r="O116"/>
  <c r="N116" s="1"/>
  <c r="G114"/>
  <c r="P114" s="1"/>
  <c r="G104"/>
  <c r="G102"/>
  <c r="O102" s="1"/>
  <c r="N102" s="1"/>
  <c r="G103"/>
  <c r="O103" s="1"/>
  <c r="N103" s="1"/>
  <c r="G101"/>
  <c r="O101" s="1"/>
  <c r="N101" s="1"/>
  <c r="G93"/>
  <c r="N93" s="1"/>
  <c r="G94"/>
  <c r="N94" s="1"/>
  <c r="G95"/>
  <c r="N95" s="1"/>
  <c r="G96"/>
  <c r="N96" s="1"/>
  <c r="G92"/>
  <c r="O92" s="1"/>
  <c r="N92" s="1"/>
  <c r="P112"/>
  <c r="Q112"/>
  <c r="O111"/>
  <c r="F112"/>
  <c r="G110"/>
  <c r="F109"/>
  <c r="G106"/>
  <c r="Q106" s="1"/>
  <c r="Q109" s="1"/>
  <c r="F105"/>
  <c r="S104"/>
  <c r="S102"/>
  <c r="S103"/>
  <c r="S101"/>
  <c r="R102"/>
  <c r="R103"/>
  <c r="R101"/>
  <c r="S93"/>
  <c r="S94"/>
  <c r="S95"/>
  <c r="S96"/>
  <c r="S92"/>
  <c r="R93"/>
  <c r="R94"/>
  <c r="R95"/>
  <c r="R96"/>
  <c r="R92"/>
  <c r="J93"/>
  <c r="J94"/>
  <c r="J95"/>
  <c r="J96"/>
  <c r="J92"/>
  <c r="Q99"/>
  <c r="F98"/>
  <c r="G97"/>
  <c r="P97" s="1"/>
  <c r="G90"/>
  <c r="P90" s="1"/>
  <c r="G14"/>
  <c r="J244"/>
  <c r="K244" s="1"/>
  <c r="L244" s="1"/>
  <c r="J243"/>
  <c r="K243" s="1"/>
  <c r="L243" s="1"/>
  <c r="Q237"/>
  <c r="P237"/>
  <c r="M237"/>
  <c r="E237"/>
  <c r="S236"/>
  <c r="O236"/>
  <c r="N236" s="1"/>
  <c r="O235"/>
  <c r="J235"/>
  <c r="S235" s="1"/>
  <c r="S234"/>
  <c r="R234"/>
  <c r="Q234"/>
  <c r="P234"/>
  <c r="O234"/>
  <c r="J230"/>
  <c r="S230" s="1"/>
  <c r="S222"/>
  <c r="R222"/>
  <c r="O222"/>
  <c r="N222" s="1"/>
  <c r="S221"/>
  <c r="Q224"/>
  <c r="P220"/>
  <c r="P224" s="1"/>
  <c r="Q218"/>
  <c r="P218"/>
  <c r="M218"/>
  <c r="E218"/>
  <c r="S217"/>
  <c r="R217"/>
  <c r="K217"/>
  <c r="J216"/>
  <c r="S216" s="1"/>
  <c r="E215"/>
  <c r="J214"/>
  <c r="E209"/>
  <c r="Q207"/>
  <c r="P207"/>
  <c r="O207"/>
  <c r="E200"/>
  <c r="J199"/>
  <c r="S199" s="1"/>
  <c r="Q190"/>
  <c r="P190"/>
  <c r="M190"/>
  <c r="E190"/>
  <c r="J188"/>
  <c r="S188" s="1"/>
  <c r="E187"/>
  <c r="J186"/>
  <c r="R186" s="1"/>
  <c r="E182"/>
  <c r="J181"/>
  <c r="E175"/>
  <c r="O168"/>
  <c r="Q166"/>
  <c r="P166"/>
  <c r="M166"/>
  <c r="E166"/>
  <c r="S165"/>
  <c r="R165"/>
  <c r="K165"/>
  <c r="O165" s="1"/>
  <c r="N165" s="1"/>
  <c r="O164"/>
  <c r="J164"/>
  <c r="S164" s="1"/>
  <c r="S166" s="1"/>
  <c r="E163"/>
  <c r="J162"/>
  <c r="E157"/>
  <c r="E150"/>
  <c r="Q149"/>
  <c r="P149"/>
  <c r="O149"/>
  <c r="Q141"/>
  <c r="P141"/>
  <c r="M141"/>
  <c r="E141"/>
  <c r="S140"/>
  <c r="R140"/>
  <c r="K140"/>
  <c r="O140" s="1"/>
  <c r="O139"/>
  <c r="N139" s="1"/>
  <c r="J139"/>
  <c r="S139" s="1"/>
  <c r="S141" s="1"/>
  <c r="E138"/>
  <c r="J133"/>
  <c r="R133" s="1"/>
  <c r="E123"/>
  <c r="J122"/>
  <c r="R122" s="1"/>
  <c r="M112"/>
  <c r="I112"/>
  <c r="H112"/>
  <c r="S111"/>
  <c r="R111"/>
  <c r="O110"/>
  <c r="J110"/>
  <c r="S110" s="1"/>
  <c r="I109"/>
  <c r="H109"/>
  <c r="E109"/>
  <c r="S108"/>
  <c r="R108"/>
  <c r="I105"/>
  <c r="H105"/>
  <c r="E105"/>
  <c r="I98"/>
  <c r="H98"/>
  <c r="E98"/>
  <c r="M85"/>
  <c r="S85" s="1"/>
  <c r="M84"/>
  <c r="S84" s="1"/>
  <c r="M83"/>
  <c r="S83" s="1"/>
  <c r="O80"/>
  <c r="M82"/>
  <c r="S82" s="1"/>
  <c r="M81"/>
  <c r="M80"/>
  <c r="M79"/>
  <c r="S79" s="1"/>
  <c r="M78"/>
  <c r="S78" s="1"/>
  <c r="M77"/>
  <c r="S77" s="1"/>
  <c r="M76"/>
  <c r="S76" s="1"/>
  <c r="M75"/>
  <c r="M74"/>
  <c r="M73"/>
  <c r="S73" s="1"/>
  <c r="M71"/>
  <c r="S71" s="1"/>
  <c r="M70"/>
  <c r="S70" s="1"/>
  <c r="M69"/>
  <c r="M68"/>
  <c r="M67"/>
  <c r="S67" s="1"/>
  <c r="M66"/>
  <c r="S66" s="1"/>
  <c r="M65"/>
  <c r="S65" s="1"/>
  <c r="M64"/>
  <c r="S64" s="1"/>
  <c r="P61"/>
  <c r="M63"/>
  <c r="S63" s="1"/>
  <c r="M62"/>
  <c r="M61"/>
  <c r="M60"/>
  <c r="S60" s="1"/>
  <c r="M58"/>
  <c r="S58" s="1"/>
  <c r="M57"/>
  <c r="R57" s="1"/>
  <c r="M56"/>
  <c r="S56" s="1"/>
  <c r="M55"/>
  <c r="M54"/>
  <c r="N53"/>
  <c r="M53"/>
  <c r="R53" s="1"/>
  <c r="M52"/>
  <c r="S52" s="1"/>
  <c r="M51"/>
  <c r="R51" s="1"/>
  <c r="P48"/>
  <c r="O48"/>
  <c r="M50"/>
  <c r="S50" s="1"/>
  <c r="M49"/>
  <c r="M48"/>
  <c r="M47"/>
  <c r="S47" s="1"/>
  <c r="P43"/>
  <c r="P42" s="1"/>
  <c r="M45"/>
  <c r="S45" s="1"/>
  <c r="M44"/>
  <c r="S44" s="1"/>
  <c r="M43"/>
  <c r="M42"/>
  <c r="M41"/>
  <c r="S41" s="1"/>
  <c r="M40"/>
  <c r="S40" s="1"/>
  <c r="M39"/>
  <c r="S39" s="1"/>
  <c r="M38"/>
  <c r="S38" s="1"/>
  <c r="P35"/>
  <c r="O35"/>
  <c r="M37"/>
  <c r="S37" s="1"/>
  <c r="M36"/>
  <c r="M35"/>
  <c r="M34"/>
  <c r="S34" s="1"/>
  <c r="M33"/>
  <c r="S33" s="1"/>
  <c r="M32"/>
  <c r="S32" s="1"/>
  <c r="O29"/>
  <c r="M31"/>
  <c r="S31" s="1"/>
  <c r="M30"/>
  <c r="M29"/>
  <c r="O28"/>
  <c r="N28"/>
  <c r="M28"/>
  <c r="S28" s="1"/>
  <c r="M27"/>
  <c r="S27" s="1"/>
  <c r="M26"/>
  <c r="S26" s="1"/>
  <c r="M25"/>
  <c r="S25" s="1"/>
  <c r="M24"/>
  <c r="S24" s="1"/>
  <c r="M23"/>
  <c r="M22"/>
  <c r="O21"/>
  <c r="N21"/>
  <c r="M21"/>
  <c r="S21" s="1"/>
  <c r="N20"/>
  <c r="N19" s="1"/>
  <c r="N18" s="1"/>
  <c r="M20"/>
  <c r="P19"/>
  <c r="P18" s="1"/>
  <c r="M19"/>
  <c r="M18"/>
  <c r="M17"/>
  <c r="R17" s="1"/>
  <c r="M15"/>
  <c r="S15" s="1"/>
  <c r="M14"/>
  <c r="S14" s="1"/>
  <c r="H205" i="1"/>
  <c r="I205" s="1"/>
  <c r="J205" s="1"/>
  <c r="H204"/>
  <c r="I203"/>
  <c r="J203" s="1"/>
  <c r="H203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O186" s="1"/>
  <c r="N183"/>
  <c r="M183"/>
  <c r="M186" s="1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N174" s="1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N98" i="3" l="1"/>
  <c r="S112"/>
  <c r="O210"/>
  <c r="S13"/>
  <c r="S30"/>
  <c r="S29" s="1"/>
  <c r="S43"/>
  <c r="S42" s="1"/>
  <c r="S75"/>
  <c r="S74" s="1"/>
  <c r="S81"/>
  <c r="S218"/>
  <c r="O224"/>
  <c r="N224" s="1"/>
  <c r="S224"/>
  <c r="S232"/>
  <c r="G200"/>
  <c r="P137"/>
  <c r="Q137"/>
  <c r="Q104"/>
  <c r="Q105" s="1"/>
  <c r="P104"/>
  <c r="P105" s="1"/>
  <c r="S23"/>
  <c r="S22" s="1"/>
  <c r="S36"/>
  <c r="S35" s="1"/>
  <c r="S62"/>
  <c r="S61" s="1"/>
  <c r="S69"/>
  <c r="S68" s="1"/>
  <c r="O228"/>
  <c r="N228" s="1"/>
  <c r="R224"/>
  <c r="Q210"/>
  <c r="G237"/>
  <c r="O197"/>
  <c r="N197" s="1"/>
  <c r="O217"/>
  <c r="N217" s="1"/>
  <c r="P14"/>
  <c r="P13" s="1"/>
  <c r="O14"/>
  <c r="O13" s="1"/>
  <c r="O12" s="1"/>
  <c r="N14"/>
  <c r="N13" s="1"/>
  <c r="N12" s="1"/>
  <c r="Q176"/>
  <c r="O176"/>
  <c r="P176"/>
  <c r="O179"/>
  <c r="N179" s="1"/>
  <c r="O172"/>
  <c r="N172" s="1"/>
  <c r="P192"/>
  <c r="P198"/>
  <c r="P201"/>
  <c r="P202"/>
  <c r="P209" s="1"/>
  <c r="O211"/>
  <c r="Q211"/>
  <c r="O230"/>
  <c r="Q230"/>
  <c r="Q232" s="1"/>
  <c r="Q238" s="1"/>
  <c r="O171"/>
  <c r="N171" s="1"/>
  <c r="O180"/>
  <c r="N180" s="1"/>
  <c r="O173"/>
  <c r="N173" s="1"/>
  <c r="O192"/>
  <c r="N192" s="1"/>
  <c r="Q192"/>
  <c r="Q200" s="1"/>
  <c r="O198"/>
  <c r="P210"/>
  <c r="P215" s="1"/>
  <c r="G209"/>
  <c r="O201"/>
  <c r="O202"/>
  <c r="N178"/>
  <c r="S237"/>
  <c r="S211"/>
  <c r="G218"/>
  <c r="O61"/>
  <c r="P80"/>
  <c r="O237"/>
  <c r="O183"/>
  <c r="O187" s="1"/>
  <c r="N221"/>
  <c r="N226"/>
  <c r="O181"/>
  <c r="O156"/>
  <c r="O162"/>
  <c r="O174"/>
  <c r="O158"/>
  <c r="O124"/>
  <c r="G166"/>
  <c r="P168"/>
  <c r="G141"/>
  <c r="G98"/>
  <c r="G105"/>
  <c r="G112"/>
  <c r="Q174"/>
  <c r="Q175" s="1"/>
  <c r="P174"/>
  <c r="G175"/>
  <c r="G182"/>
  <c r="G187"/>
  <c r="P181"/>
  <c r="P183"/>
  <c r="P187" s="1"/>
  <c r="Q181"/>
  <c r="Q183"/>
  <c r="Q187" s="1"/>
  <c r="G138"/>
  <c r="G157"/>
  <c r="G190"/>
  <c r="P150"/>
  <c r="Q151"/>
  <c r="R137"/>
  <c r="R138" s="1"/>
  <c r="J137"/>
  <c r="O137"/>
  <c r="O104"/>
  <c r="N104" s="1"/>
  <c r="G123"/>
  <c r="O112"/>
  <c r="N23"/>
  <c r="N22" s="1"/>
  <c r="O155" i="1"/>
  <c r="N168"/>
  <c r="L187"/>
  <c r="G163" i="3"/>
  <c r="O103" i="1"/>
  <c r="O151"/>
  <c r="Q44" i="3"/>
  <c r="O143"/>
  <c r="O150" s="1"/>
  <c r="O151"/>
  <c r="Q156"/>
  <c r="Q158"/>
  <c r="Q163" s="1"/>
  <c r="G109"/>
  <c r="P200"/>
  <c r="Q143"/>
  <c r="Q150" s="1"/>
  <c r="P156"/>
  <c r="P157" s="1"/>
  <c r="G150"/>
  <c r="P158"/>
  <c r="P163" s="1"/>
  <c r="P29"/>
  <c r="P111" i="1"/>
  <c r="O119"/>
  <c r="P143"/>
  <c r="O168"/>
  <c r="Q51" i="3"/>
  <c r="J183"/>
  <c r="R183" s="1"/>
  <c r="R187" s="1"/>
  <c r="Q209"/>
  <c r="Q122"/>
  <c r="Q124"/>
  <c r="G132"/>
  <c r="O133"/>
  <c r="Q133"/>
  <c r="Q138" s="1"/>
  <c r="Q114"/>
  <c r="P133"/>
  <c r="O114"/>
  <c r="P98"/>
  <c r="Q90"/>
  <c r="O97"/>
  <c r="Q97"/>
  <c r="P132"/>
  <c r="O131"/>
  <c r="Q131"/>
  <c r="N111"/>
  <c r="P106"/>
  <c r="P109" s="1"/>
  <c r="O122"/>
  <c r="Q26"/>
  <c r="Q31"/>
  <c r="Q33"/>
  <c r="Q66"/>
  <c r="Q73"/>
  <c r="Q76"/>
  <c r="Q78"/>
  <c r="Q84"/>
  <c r="J114"/>
  <c r="R114" s="1"/>
  <c r="R123" s="1"/>
  <c r="R139"/>
  <c r="R141" s="1"/>
  <c r="N149"/>
  <c r="N202"/>
  <c r="N207"/>
  <c r="N90"/>
  <c r="O99"/>
  <c r="O106"/>
  <c r="Q83"/>
  <c r="Q15"/>
  <c r="P12"/>
  <c r="Q17"/>
  <c r="Q20"/>
  <c r="Q19" s="1"/>
  <c r="Q25"/>
  <c r="Q32"/>
  <c r="Q37"/>
  <c r="Q39"/>
  <c r="Q41"/>
  <c r="Q52"/>
  <c r="Q63"/>
  <c r="Q65"/>
  <c r="Q67"/>
  <c r="Q71"/>
  <c r="Q79"/>
  <c r="Q82"/>
  <c r="R15"/>
  <c r="Q21"/>
  <c r="Q24"/>
  <c r="R25"/>
  <c r="Q27"/>
  <c r="Q28"/>
  <c r="R33"/>
  <c r="R37"/>
  <c r="Q40"/>
  <c r="R41"/>
  <c r="Q45"/>
  <c r="Q43" s="1"/>
  <c r="Q47"/>
  <c r="Q50"/>
  <c r="Q53"/>
  <c r="S53"/>
  <c r="R56"/>
  <c r="Q64"/>
  <c r="R65"/>
  <c r="Q70"/>
  <c r="R71"/>
  <c r="R76"/>
  <c r="R84"/>
  <c r="J99"/>
  <c r="R99" s="1"/>
  <c r="R105" s="1"/>
  <c r="J151"/>
  <c r="R151" s="1"/>
  <c r="J156"/>
  <c r="R156" s="1"/>
  <c r="J168"/>
  <c r="R168" s="1"/>
  <c r="J174"/>
  <c r="R174" s="1"/>
  <c r="R188"/>
  <c r="N198"/>
  <c r="R199"/>
  <c r="N220"/>
  <c r="R230"/>
  <c r="R232" s="1"/>
  <c r="Q14"/>
  <c r="Q13" s="1"/>
  <c r="R21"/>
  <c r="R27"/>
  <c r="R31"/>
  <c r="Q34"/>
  <c r="Q38"/>
  <c r="R39"/>
  <c r="R45"/>
  <c r="R52"/>
  <c r="R58"/>
  <c r="R63"/>
  <c r="R67"/>
  <c r="Q77"/>
  <c r="R78"/>
  <c r="S80"/>
  <c r="R82"/>
  <c r="Q85"/>
  <c r="N225"/>
  <c r="N234"/>
  <c r="O141"/>
  <c r="N140"/>
  <c r="N141" s="1"/>
  <c r="S162"/>
  <c r="R162"/>
  <c r="O200"/>
  <c r="N201"/>
  <c r="N209" s="1"/>
  <c r="S214"/>
  <c r="R214"/>
  <c r="R14"/>
  <c r="S17"/>
  <c r="S12" s="1"/>
  <c r="O19"/>
  <c r="O18" s="1"/>
  <c r="O22"/>
  <c r="R24"/>
  <c r="R26"/>
  <c r="R28"/>
  <c r="N30"/>
  <c r="N29" s="1"/>
  <c r="R32"/>
  <c r="R34"/>
  <c r="N36"/>
  <c r="N35" s="1"/>
  <c r="R38"/>
  <c r="R40"/>
  <c r="R44"/>
  <c r="R47"/>
  <c r="N48"/>
  <c r="R50"/>
  <c r="S51"/>
  <c r="S49" s="1"/>
  <c r="S57"/>
  <c r="S55" s="1"/>
  <c r="S54" s="1"/>
  <c r="O166"/>
  <c r="Q56"/>
  <c r="Q55" s="1"/>
  <c r="Q54" s="1"/>
  <c r="R60"/>
  <c r="N62"/>
  <c r="N61" s="1"/>
  <c r="R64"/>
  <c r="R66"/>
  <c r="R70"/>
  <c r="R73"/>
  <c r="N75"/>
  <c r="N74" s="1"/>
  <c r="R77"/>
  <c r="R79"/>
  <c r="N81"/>
  <c r="N80" s="1"/>
  <c r="R83"/>
  <c r="R85"/>
  <c r="J90"/>
  <c r="R90" s="1"/>
  <c r="J97"/>
  <c r="J106"/>
  <c r="R106" s="1"/>
  <c r="N110"/>
  <c r="R110"/>
  <c r="R112" s="1"/>
  <c r="S122"/>
  <c r="J124"/>
  <c r="J131"/>
  <c r="S133"/>
  <c r="S138" s="1"/>
  <c r="J143"/>
  <c r="J149"/>
  <c r="J158"/>
  <c r="N164"/>
  <c r="N166" s="1"/>
  <c r="R164"/>
  <c r="R166" s="1"/>
  <c r="J176"/>
  <c r="S183"/>
  <c r="S186"/>
  <c r="J192"/>
  <c r="J198"/>
  <c r="J201"/>
  <c r="J202"/>
  <c r="R202" s="1"/>
  <c r="J207"/>
  <c r="J210"/>
  <c r="N216"/>
  <c r="R216"/>
  <c r="R218" s="1"/>
  <c r="N235"/>
  <c r="N237" s="1"/>
  <c r="R235"/>
  <c r="R237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P148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R43" i="3" l="1"/>
  <c r="N211"/>
  <c r="O215"/>
  <c r="N210"/>
  <c r="O218"/>
  <c r="R13"/>
  <c r="R12" s="1"/>
  <c r="N137"/>
  <c r="R69"/>
  <c r="Q69"/>
  <c r="Q215"/>
  <c r="Q68"/>
  <c r="R68"/>
  <c r="R49"/>
  <c r="R23"/>
  <c r="Q81"/>
  <c r="Q80" s="1"/>
  <c r="N97"/>
  <c r="N99"/>
  <c r="N105" s="1"/>
  <c r="O105"/>
  <c r="R81"/>
  <c r="R30"/>
  <c r="R29" s="1"/>
  <c r="R55"/>
  <c r="R54" s="1"/>
  <c r="R36"/>
  <c r="R35" s="1"/>
  <c r="P113"/>
  <c r="P138"/>
  <c r="L135" i="1"/>
  <c r="R42" i="3"/>
  <c r="R62"/>
  <c r="R61" s="1"/>
  <c r="R75"/>
  <c r="R74" s="1"/>
  <c r="Q62"/>
  <c r="Q49"/>
  <c r="Q48" s="1"/>
  <c r="Q23"/>
  <c r="Q36"/>
  <c r="Q35" s="1"/>
  <c r="Q75"/>
  <c r="Q74" s="1"/>
  <c r="Q30"/>
  <c r="Q29" s="1"/>
  <c r="Q42"/>
  <c r="N200"/>
  <c r="N230"/>
  <c r="O232"/>
  <c r="N232" s="1"/>
  <c r="N238" s="1"/>
  <c r="P238"/>
  <c r="O163"/>
  <c r="O182"/>
  <c r="O175"/>
  <c r="P175"/>
  <c r="N215"/>
  <c r="P182"/>
  <c r="P191" s="1"/>
  <c r="Q182"/>
  <c r="S238"/>
  <c r="N218"/>
  <c r="Q219"/>
  <c r="P219"/>
  <c r="R175"/>
  <c r="N174"/>
  <c r="R20"/>
  <c r="R19" s="1"/>
  <c r="R18" s="1"/>
  <c r="S187"/>
  <c r="N176"/>
  <c r="N124"/>
  <c r="N168"/>
  <c r="Q157"/>
  <c r="Q167" s="1"/>
  <c r="S99"/>
  <c r="S105" s="1"/>
  <c r="N183"/>
  <c r="N187" s="1"/>
  <c r="N181"/>
  <c r="N131"/>
  <c r="N151"/>
  <c r="S151"/>
  <c r="N114"/>
  <c r="S114"/>
  <c r="S123" s="1"/>
  <c r="N112"/>
  <c r="O157"/>
  <c r="N158"/>
  <c r="N163" s="1"/>
  <c r="S168"/>
  <c r="O123"/>
  <c r="P167"/>
  <c r="N156"/>
  <c r="N143"/>
  <c r="N150" s="1"/>
  <c r="Q191"/>
  <c r="P123"/>
  <c r="P142" s="1"/>
  <c r="Q132"/>
  <c r="N122"/>
  <c r="O98"/>
  <c r="N133"/>
  <c r="N106"/>
  <c r="N109" s="1"/>
  <c r="Q123"/>
  <c r="Q12"/>
  <c r="Q61"/>
  <c r="R48"/>
  <c r="L151" i="1"/>
  <c r="O132" i="3"/>
  <c r="S156"/>
  <c r="R80"/>
  <c r="O138"/>
  <c r="P118" i="1"/>
  <c r="O131"/>
  <c r="R238" i="3"/>
  <c r="Q18"/>
  <c r="O109"/>
  <c r="Q98"/>
  <c r="Q113" s="1"/>
  <c r="Q22"/>
  <c r="S174"/>
  <c r="S48"/>
  <c r="R22"/>
  <c r="R157"/>
  <c r="S210"/>
  <c r="S215" s="1"/>
  <c r="R210"/>
  <c r="R215" s="1"/>
  <c r="S202"/>
  <c r="S198"/>
  <c r="R198"/>
  <c r="S181"/>
  <c r="R181"/>
  <c r="S158"/>
  <c r="S163" s="1"/>
  <c r="R158"/>
  <c r="R163" s="1"/>
  <c r="S143"/>
  <c r="R143"/>
  <c r="S131"/>
  <c r="R131"/>
  <c r="S106"/>
  <c r="S109" s="1"/>
  <c r="R109"/>
  <c r="S97"/>
  <c r="R97"/>
  <c r="S207"/>
  <c r="R207"/>
  <c r="S201"/>
  <c r="R201"/>
  <c r="S192"/>
  <c r="R192"/>
  <c r="S176"/>
  <c r="S182" s="1"/>
  <c r="R176"/>
  <c r="R182" s="1"/>
  <c r="S149"/>
  <c r="R149"/>
  <c r="S124"/>
  <c r="R124"/>
  <c r="S90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M147" s="1"/>
  <c r="L147" s="1"/>
  <c r="L140"/>
  <c r="L143" s="1"/>
  <c r="Q197"/>
  <c r="P178"/>
  <c r="P174"/>
  <c r="P168"/>
  <c r="P155"/>
  <c r="N138" i="3" l="1"/>
  <c r="O167"/>
  <c r="N167" s="1"/>
  <c r="O238"/>
  <c r="N175"/>
  <c r="O113"/>
  <c r="N113" s="1"/>
  <c r="N182"/>
  <c r="S200"/>
  <c r="S20"/>
  <c r="S19" s="1"/>
  <c r="S18" s="1"/>
  <c r="S175"/>
  <c r="O142"/>
  <c r="N132"/>
  <c r="N157"/>
  <c r="N123"/>
  <c r="S157"/>
  <c r="Q142"/>
  <c r="L131" i="1"/>
  <c r="S98" i="3"/>
  <c r="S113" s="1"/>
  <c r="S132"/>
  <c r="S142" s="1"/>
  <c r="R150"/>
  <c r="R167" s="1"/>
  <c r="R98"/>
  <c r="R113" s="1"/>
  <c r="R132"/>
  <c r="R142" s="1"/>
  <c r="R200"/>
  <c r="S150"/>
  <c r="Q147" i="1"/>
  <c r="P163"/>
  <c r="P182"/>
  <c r="L182"/>
  <c r="Q182"/>
  <c r="M182"/>
  <c r="N142" i="3" l="1"/>
  <c r="S167"/>
  <c r="L26" i="1"/>
  <c r="M41"/>
  <c r="M40"/>
  <c r="M39"/>
  <c r="M38" s="1"/>
  <c r="M33"/>
  <c r="M32"/>
  <c r="M26"/>
  <c r="M25"/>
  <c r="M24"/>
  <c r="M18"/>
  <c r="N92"/>
  <c r="N91"/>
  <c r="M92"/>
  <c r="M91"/>
  <c r="L92"/>
  <c r="L91"/>
  <c r="N85"/>
  <c r="N86"/>
  <c r="N87"/>
  <c r="N84"/>
  <c r="N83" s="1"/>
  <c r="M85"/>
  <c r="M84"/>
  <c r="L85"/>
  <c r="L84"/>
  <c r="N78"/>
  <c r="N77"/>
  <c r="M78"/>
  <c r="M77"/>
  <c r="L78"/>
  <c r="L79"/>
  <c r="L80"/>
  <c r="L81"/>
  <c r="L77"/>
  <c r="N76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N53" s="1"/>
  <c r="M55"/>
  <c r="M54"/>
  <c r="L55"/>
  <c r="L54"/>
  <c r="N48"/>
  <c r="M48"/>
  <c r="L48"/>
  <c r="N47"/>
  <c r="N46" s="1"/>
  <c r="M47"/>
  <c r="L47"/>
  <c r="N44"/>
  <c r="N40"/>
  <c r="N41"/>
  <c r="N39"/>
  <c r="L40"/>
  <c r="L41"/>
  <c r="L39"/>
  <c r="N36"/>
  <c r="N33"/>
  <c r="N32"/>
  <c r="L32"/>
  <c r="N25"/>
  <c r="N26"/>
  <c r="L25"/>
  <c r="L24"/>
  <c r="M23" l="1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O73" s="1"/>
  <c r="P73" s="1"/>
  <c r="Q73" s="1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29" l="1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J189" i="3"/>
  <c r="R189" s="1"/>
  <c r="R190" s="1"/>
  <c r="R191" s="1"/>
  <c r="O189"/>
  <c r="O190" s="1"/>
  <c r="O191" s="1"/>
  <c r="N191" l="1"/>
  <c r="N189"/>
  <c r="N190" s="1"/>
  <c r="S189"/>
  <c r="S190" s="1"/>
  <c r="S191" s="1"/>
  <c r="O208"/>
  <c r="O209" s="1"/>
  <c r="O219" s="1"/>
  <c r="J208"/>
  <c r="R208" s="1"/>
  <c r="R209" s="1"/>
  <c r="R219" s="1"/>
  <c r="N208" l="1"/>
  <c r="N219" s="1"/>
  <c r="S208"/>
  <c r="S209" s="1"/>
  <c r="S219" s="1"/>
</calcChain>
</file>

<file path=xl/sharedStrings.xml><?xml version="1.0" encoding="utf-8"?>
<sst xmlns="http://schemas.openxmlformats.org/spreadsheetml/2006/main" count="2081" uniqueCount="208">
  <si>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</si>
  <si>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</si>
  <si>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</si>
  <si>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</si>
  <si>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</si>
  <si>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</si>
  <si>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</si>
  <si>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</si>
  <si>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</si>
  <si>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</si>
  <si>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</si>
  <si>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</si>
  <si>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</si>
  <si>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</si>
  <si>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</si>
  <si>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</si>
  <si>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</si>
  <si>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</si>
  <si>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</si>
  <si>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</si>
  <si>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</si>
  <si>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</si>
  <si>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</si>
  <si>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</si>
  <si>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</si>
  <si>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</si>
  <si>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</si>
  <si>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</si>
  <si>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</si>
  <si>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</si>
  <si>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</si>
  <si>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</si>
  <si>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</si>
  <si>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</si>
  <si>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</si>
  <si>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</si>
  <si>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</si>
  <si>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</si>
  <si>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</si>
  <si>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</si>
  <si>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</si>
  <si>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</si>
  <si>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</si>
  <si>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</si>
  <si>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</si>
  <si>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</si>
  <si>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</si>
  <si>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</si>
  <si>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</si>
  <si>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</si>
  <si>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</si>
  <si>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</si>
  <si>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</si>
  <si>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</si>
  <si>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</si>
  <si>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</si>
  <si>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</si>
  <si>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</si>
  <si>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</si>
  <si>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</si>
  <si>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</si>
  <si>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</si>
  <si>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</si>
  <si>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</si>
  <si>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</si>
  <si>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</si>
  <si>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</si>
  <si>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</si>
  <si>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</si>
  <si>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</si>
  <si>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</si>
  <si>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</si>
  <si>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</si>
  <si>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</si>
  <si>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</si>
  <si>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</si>
  <si>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</si>
  <si>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</si>
  <si>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</si>
  <si>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</si>
  <si>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</si>
  <si>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</si>
  <si>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</si>
  <si>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</si>
  <si>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</si>
  <si>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</si>
  <si>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</si>
  <si>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</si>
  <si>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</si>
  <si>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</si>
  <si>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</si>
  <si>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</si>
  <si>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</si>
  <si>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</si>
  <si>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</si>
  <si>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</si>
  <si>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</si>
  <si>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</si>
  <si>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</si>
  <si>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</si>
  <si>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</si>
  <si>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</si>
  <si>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</si>
  <si>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</si>
  <si>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</si>
  <si>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</si>
  <si>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</si>
  <si>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</si>
  <si>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</si>
  <si>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</si>
  <si>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</si>
  <si>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</si>
  <si>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</si>
  <si>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</si>
  <si>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</si>
  <si>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</si>
  <si>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</si>
  <si>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</si>
  <si>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</si>
  <si>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</si>
  <si>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</si>
  <si>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</si>
  <si>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</si>
  <si>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</si>
  <si>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</si>
  <si>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</si>
  <si>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</si>
  <si>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</si>
  <si>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</si>
  <si>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</si>
  <si>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</si>
  <si>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</si>
  <si>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</si>
  <si>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</si>
  <si>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</si>
  <si>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</si>
  <si>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</si>
  <si>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</si>
  <si>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</si>
  <si>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</si>
  <si>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</si>
  <si>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</si>
  <si>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</si>
  <si>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</si>
  <si>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</si>
  <si>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</si>
  <si>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</si>
  <si>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</si>
  <si>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</si>
  <si>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</si>
  <si>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</si>
  <si>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</si>
  <si>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</si>
  <si>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</si>
  <si>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</si>
  <si>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</si>
  <si>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</si>
  <si>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</si>
  <si>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</si>
  <si>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</si>
  <si>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</si>
  <si>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</si>
  <si>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</si>
  <si>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11 762,02</t>
  </si>
  <si>
    <t>январь-август</t>
  </si>
  <si>
    <t>сентябрь-декабрь</t>
  </si>
  <si>
    <t>среднегодовое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</si>
  <si>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</si>
  <si>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</si>
  <si>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</si>
  <si>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</si>
  <si>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</si>
  <si>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t=9</t>
  </si>
  <si>
    <t>t=12</t>
  </si>
  <si>
    <t xml:space="preserve">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</si>
  <si>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 xml:space="preserve">t=4 </t>
  </si>
  <si>
    <t>t=5</t>
  </si>
  <si>
    <t>t=10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</si>
  <si>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</si>
  <si>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</si>
  <si>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</si>
  <si>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</si>
  <si>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2\45</t>
  </si>
  <si>
    <t>3\33</t>
  </si>
  <si>
    <t>4\58</t>
  </si>
  <si>
    <t>6\104</t>
  </si>
  <si>
    <t>7\122</t>
  </si>
  <si>
    <t>1\12</t>
  </si>
  <si>
    <t>Обучение детей, находящихся на длительном лечении в медицинских учреждениях (индивидуальное, групповое) (k = 11) село</t>
  </si>
  <si>
    <t>5\76</t>
  </si>
  <si>
    <t>Студеникина Татьяна Николаевна (39144)3-16-33</t>
  </si>
  <si>
    <t>Приложение № 3</t>
  </si>
  <si>
    <t>к Приказу от 26.12.2016 г. № 261</t>
  </si>
  <si>
    <t>2019 год</t>
  </si>
  <si>
    <t>Нормативные затраты на оказание муниципальных услуг (работ) на 2017-2019 гг.</t>
  </si>
  <si>
    <t>10845,82- на 1 человека</t>
  </si>
  <si>
    <t>2017 год срзнач.</t>
  </si>
  <si>
    <t>2017 год c 01.09.2017</t>
  </si>
  <si>
    <t>чел.-час.</t>
  </si>
  <si>
    <t xml:space="preserve">Приложение № 2 к Приказу </t>
  </si>
  <si>
    <t>Всего на 2017 год:</t>
  </si>
  <si>
    <t>2019 год, всего</t>
  </si>
  <si>
    <t>642642,05- на 1 класс+ 690,85- на 1 человека</t>
  </si>
  <si>
    <t>604145,69- на 1 класс+ 690,85 на 1 человека</t>
  </si>
  <si>
    <t>955112,98- на 1 класс+ 848,4 на 1 человека</t>
  </si>
  <si>
    <t>756594,85- на 1 класс+848,4 на 1 человека</t>
  </si>
  <si>
    <t>808407,62 на 1 класс+992,41 на 1 человека</t>
  </si>
  <si>
    <t>от 08.06.2017 г. № 116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</si>
</sst>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168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2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7" fillId="0" borderId="3" xfId="0" applyFont="1" applyBorder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>
      <c r="A1" s="1"/>
      <c r="O1" s="3" t="s">
        <v>2</v>
      </c>
    </row>
    <row r="2" spans="1:19" ht="15">
      <c r="O2" s="3" t="s">
        <v>153</v>
      </c>
    </row>
    <row r="3" spans="1:19" ht="18.75">
      <c r="A3" s="143" t="s">
        <v>1</v>
      </c>
      <c r="B3" s="143"/>
      <c r="C3" s="144"/>
      <c r="D3" s="143"/>
      <c r="E3" s="143"/>
      <c r="F3" s="143"/>
      <c r="G3" s="143"/>
      <c r="H3" s="143"/>
      <c r="I3" s="144"/>
      <c r="J3" s="143"/>
      <c r="K3" s="143"/>
      <c r="L3" s="143"/>
      <c r="M3" s="143"/>
      <c r="N3" s="144"/>
      <c r="O3" s="143"/>
      <c r="P3" s="143"/>
      <c r="Q3" s="143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>
      <c r="A6" s="38" t="s">
        <v>3</v>
      </c>
      <c r="B6" s="38" t="s">
        <v>81</v>
      </c>
      <c r="C6" s="38" t="s">
        <v>152</v>
      </c>
      <c r="D6" s="38" t="s">
        <v>4</v>
      </c>
      <c r="E6" s="137" t="s">
        <v>5</v>
      </c>
      <c r="F6" s="137"/>
      <c r="G6" s="137"/>
      <c r="H6" s="138" t="s">
        <v>6</v>
      </c>
      <c r="I6" s="138"/>
      <c r="J6" s="138"/>
      <c r="K6" s="138"/>
      <c r="L6" s="138" t="s">
        <v>7</v>
      </c>
      <c r="M6" s="138"/>
      <c r="N6" s="138"/>
      <c r="O6" s="138"/>
      <c r="P6" s="138"/>
      <c r="Q6" s="138"/>
    </row>
    <row r="7" spans="1:19" ht="60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142" t="s">
        <v>8</v>
      </c>
      <c r="M7" s="142"/>
      <c r="N7" s="142"/>
      <c r="O7" s="142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146" t="s">
        <v>154</v>
      </c>
      <c r="B96" s="146"/>
      <c r="C96" s="146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>
      <c r="A97" s="145" t="s">
        <v>3</v>
      </c>
      <c r="B97" s="145" t="s">
        <v>86</v>
      </c>
      <c r="C97" s="7" t="s">
        <v>87</v>
      </c>
      <c r="D97" s="145" t="s">
        <v>4</v>
      </c>
      <c r="E97" s="145" t="s">
        <v>5</v>
      </c>
      <c r="F97" s="145"/>
      <c r="G97" s="145"/>
      <c r="H97" s="145" t="s">
        <v>6</v>
      </c>
      <c r="I97" s="145"/>
      <c r="J97" s="145"/>
      <c r="K97" s="145"/>
      <c r="L97" s="145" t="s">
        <v>7</v>
      </c>
      <c r="M97" s="145"/>
      <c r="N97" s="145"/>
      <c r="O97" s="145"/>
      <c r="P97" s="145"/>
      <c r="Q97" s="145"/>
    </row>
    <row r="98" spans="1:17" ht="120">
      <c r="A98" s="145"/>
      <c r="B98" s="145"/>
      <c r="C98" s="7"/>
      <c r="D98" s="145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>
      <c r="A100" s="141" t="s">
        <v>98</v>
      </c>
      <c r="B100" s="139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>
      <c r="A101" s="141"/>
      <c r="B101" s="139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>
      <c r="A102" s="141"/>
      <c r="B102" s="139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>
      <c r="A103" s="141"/>
      <c r="B103" s="139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>
      <c r="A104" s="141"/>
      <c r="B104" s="139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>
      <c r="A105" s="141"/>
      <c r="B105" s="139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>
      <c r="A106" s="141"/>
      <c r="B106" s="139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>
      <c r="A107" s="141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>
      <c r="A108" s="141"/>
      <c r="B108" s="139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>
      <c r="A109" s="141"/>
      <c r="B109" s="139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>
      <c r="A110" s="141"/>
      <c r="B110" s="139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>
      <c r="A111" s="141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141"/>
      <c r="B112" s="140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141"/>
      <c r="B113" s="140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>
      <c r="A114" s="141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>
      <c r="A115" s="141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>
      <c r="A116" s="141" t="s">
        <v>113</v>
      </c>
      <c r="B116" s="139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141"/>
      <c r="B117" s="139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>
      <c r="A118" s="141"/>
      <c r="B118" s="139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>
      <c r="A119" s="141"/>
      <c r="B119" s="139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>
      <c r="A120" s="141"/>
      <c r="B120" s="139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141"/>
      <c r="B121" s="139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>
      <c r="A122" s="141"/>
      <c r="B122" s="139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>
      <c r="A123" s="141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>
      <c r="A124" s="141"/>
      <c r="B124" s="139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141"/>
      <c r="B125" s="139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>
      <c r="A126" s="141"/>
      <c r="B126" s="139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>
      <c r="A127" s="141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141"/>
      <c r="B128" s="140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141"/>
      <c r="B129" s="140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>
      <c r="A130" s="141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>
      <c r="A131" s="141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>
      <c r="A132" s="141" t="s">
        <v>114</v>
      </c>
      <c r="B132" s="139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>
      <c r="A133" s="141"/>
      <c r="B133" s="139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>
      <c r="A134" s="141"/>
      <c r="B134" s="139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>
      <c r="A135" s="141"/>
      <c r="B135" s="139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>
      <c r="A136" s="141"/>
      <c r="B136" s="139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141"/>
      <c r="B137" s="139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>
      <c r="A138" s="141"/>
      <c r="B138" s="139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>
      <c r="A139" s="141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>
      <c r="A140" s="141"/>
      <c r="B140" s="139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>
      <c r="A141" s="141"/>
      <c r="B141" s="139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>
      <c r="A142" s="141"/>
      <c r="B142" s="139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>
      <c r="A143" s="141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141"/>
      <c r="B144" s="140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141"/>
      <c r="B145" s="140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>
      <c r="A146" s="141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>
      <c r="A147" s="141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>
      <c r="A148" s="141" t="s">
        <v>115</v>
      </c>
      <c r="B148" s="139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141"/>
      <c r="B149" s="139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>
      <c r="A150" s="141"/>
      <c r="B150" s="139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>
      <c r="A151" s="141"/>
      <c r="B151" s="139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>
      <c r="A152" s="141"/>
      <c r="B152" s="139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141"/>
      <c r="B153" s="139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>
      <c r="A154" s="141"/>
      <c r="B154" s="139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>
      <c r="A155" s="141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>
      <c r="A156" s="141"/>
      <c r="B156" s="139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>
      <c r="A157" s="141"/>
      <c r="B157" s="139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>
      <c r="A158" s="141"/>
      <c r="B158" s="139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>
      <c r="A159" s="141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141"/>
      <c r="B160" s="140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141"/>
      <c r="B161" s="140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>
      <c r="A162" s="141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>
      <c r="A163" s="141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>
      <c r="A164" s="141" t="s">
        <v>116</v>
      </c>
      <c r="B164" s="139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141"/>
      <c r="B165" s="139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>
      <c r="A166" s="141"/>
      <c r="B166" s="139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>
      <c r="A167" s="141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>
      <c r="A168" s="141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>
      <c r="A169" s="141"/>
      <c r="B169" s="139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141"/>
      <c r="B170" s="139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141"/>
      <c r="B171" s="139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>
      <c r="A172" s="141"/>
      <c r="B172" s="139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>
      <c r="A173" s="141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>
      <c r="A174" s="141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>
      <c r="A175" s="141"/>
      <c r="B175" s="139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141"/>
      <c r="B176" s="139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>
      <c r="A177" s="141"/>
      <c r="B177" s="139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>
      <c r="A178" s="141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141"/>
      <c r="B179" s="140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141"/>
      <c r="B180" s="140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>
      <c r="A181" s="141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>
      <c r="A182" s="141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141" t="s">
        <v>119</v>
      </c>
      <c r="B183" s="139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>
      <c r="A184" s="141"/>
      <c r="B184" s="139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>
      <c r="A185" s="141"/>
      <c r="B185" s="139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>
      <c r="A186" s="141"/>
      <c r="B186" s="139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141"/>
      <c r="B187" s="139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141"/>
      <c r="B188" s="139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141"/>
      <c r="B189" s="139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>
      <c r="A190" s="141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>
      <c r="A191" s="141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141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>
      <c r="A193" s="141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141"/>
      <c r="B194" s="140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141"/>
      <c r="B195" s="140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>
      <c r="A196" s="141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>
      <c r="A197" s="141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30">
      <c r="A199" s="43" t="s">
        <v>3</v>
      </c>
      <c r="B199" s="43" t="s">
        <v>81</v>
      </c>
      <c r="C199" s="43" t="s">
        <v>4</v>
      </c>
      <c r="D199" s="135" t="s">
        <v>5</v>
      </c>
      <c r="E199" s="135"/>
      <c r="F199" s="135"/>
      <c r="G199" s="136" t="s">
        <v>6</v>
      </c>
      <c r="H199" s="136" t="s">
        <v>7</v>
      </c>
      <c r="I199" s="136"/>
      <c r="J199" s="136"/>
    </row>
    <row r="200" spans="1:17" ht="15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36"/>
      <c r="H200" s="50">
        <v>2016</v>
      </c>
      <c r="I200" s="50" t="s">
        <v>9</v>
      </c>
      <c r="J200" s="50" t="s">
        <v>10</v>
      </c>
    </row>
    <row r="201" spans="1:17" ht="7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133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134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47"/>
  <sheetViews>
    <sheetView tabSelected="1" zoomScale="80" zoomScaleNormal="80" workbookViewId="0">
      <selection activeCell="K16" sqref="K16"/>
    </sheetView>
  </sheetViews>
  <sheetFormatPr defaultColWidth="9.140625" defaultRowHeight="1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6" width="13.28515625" style="80" customWidth="1"/>
    <col min="7" max="7" width="14" style="80" customWidth="1"/>
    <col min="8" max="9" width="12.7109375" style="80" customWidth="1"/>
    <col min="10" max="10" width="14.140625" style="80" bestFit="1" customWidth="1"/>
    <col min="11" max="11" width="16" style="80" customWidth="1"/>
    <col min="12" max="12" width="13.85546875" style="80" customWidth="1"/>
    <col min="13" max="13" width="12.140625" style="80" bestFit="1" customWidth="1"/>
    <col min="14" max="14" width="16.7109375" style="80" customWidth="1"/>
    <col min="15" max="15" width="15.42578125" style="80" customWidth="1"/>
    <col min="16" max="16" width="14.7109375" style="80" customWidth="1"/>
    <col min="17" max="17" width="14.28515625" style="80" customWidth="1"/>
    <col min="18" max="18" width="14.140625" style="80" customWidth="1"/>
    <col min="19" max="19" width="14.85546875" style="80" bestFit="1" customWidth="1"/>
    <col min="20" max="20" width="9.140625" style="80"/>
    <col min="21" max="21" width="13.5703125" style="80" bestFit="1" customWidth="1"/>
    <col min="22" max="22" width="9.42578125" style="80" bestFit="1" customWidth="1"/>
    <col min="23" max="16384" width="9.140625" style="80"/>
  </cols>
  <sheetData>
    <row r="1" spans="1:21">
      <c r="Q1" s="132" t="s">
        <v>199</v>
      </c>
    </row>
    <row r="2" spans="1:21">
      <c r="Q2" s="132" t="s">
        <v>207</v>
      </c>
    </row>
    <row r="3" spans="1:21">
      <c r="Q3" s="121" t="s">
        <v>191</v>
      </c>
    </row>
    <row r="4" spans="1:21">
      <c r="Q4" s="121" t="s">
        <v>192</v>
      </c>
    </row>
    <row r="5" spans="1:21">
      <c r="A5" s="148" t="s">
        <v>194</v>
      </c>
      <c r="B5" s="148"/>
      <c r="C5" s="149"/>
      <c r="D5" s="148"/>
      <c r="E5" s="148"/>
      <c r="F5" s="149"/>
      <c r="G5" s="149"/>
      <c r="H5" s="148"/>
      <c r="I5" s="148"/>
      <c r="J5" s="148"/>
      <c r="K5" s="149"/>
      <c r="L5" s="148"/>
      <c r="M5" s="148"/>
      <c r="N5" s="148"/>
      <c r="O5" s="148"/>
      <c r="P5" s="149"/>
      <c r="Q5" s="148"/>
      <c r="R5" s="148"/>
      <c r="S5" s="148"/>
    </row>
    <row r="6" spans="1:21" ht="36.75" customHeight="1">
      <c r="A6" s="81" t="s">
        <v>155</v>
      </c>
    </row>
    <row r="8" spans="1:21" ht="45">
      <c r="A8" s="112" t="s">
        <v>3</v>
      </c>
      <c r="B8" s="112" t="s">
        <v>81</v>
      </c>
      <c r="C8" s="112" t="s">
        <v>152</v>
      </c>
      <c r="D8" s="112" t="s">
        <v>4</v>
      </c>
      <c r="E8" s="150" t="s">
        <v>5</v>
      </c>
      <c r="F8" s="151"/>
      <c r="G8" s="151"/>
      <c r="H8" s="151"/>
      <c r="I8" s="152"/>
      <c r="J8" s="153" t="s">
        <v>6</v>
      </c>
      <c r="K8" s="153"/>
      <c r="L8" s="153"/>
      <c r="M8" s="153"/>
      <c r="N8" s="153" t="s">
        <v>7</v>
      </c>
      <c r="O8" s="153"/>
      <c r="P8" s="153"/>
      <c r="Q8" s="153"/>
      <c r="R8" s="153"/>
      <c r="S8" s="153"/>
    </row>
    <row r="9" spans="1:21">
      <c r="A9" s="112"/>
      <c r="B9" s="112"/>
      <c r="C9" s="112"/>
      <c r="D9" s="112"/>
      <c r="E9" s="156" t="s">
        <v>9</v>
      </c>
      <c r="F9" s="157"/>
      <c r="G9" s="158"/>
      <c r="H9" s="111"/>
      <c r="I9" s="111"/>
      <c r="J9" s="112"/>
      <c r="K9" s="112"/>
      <c r="L9" s="112"/>
      <c r="M9" s="112"/>
      <c r="N9" s="150"/>
      <c r="O9" s="151"/>
      <c r="P9" s="151"/>
      <c r="Q9" s="152"/>
      <c r="R9" s="112"/>
      <c r="S9" s="112"/>
    </row>
    <row r="10" spans="1:21" ht="60">
      <c r="A10" s="82"/>
      <c r="B10" s="82"/>
      <c r="C10" s="82"/>
      <c r="D10" s="82"/>
      <c r="E10" s="112" t="s">
        <v>164</v>
      </c>
      <c r="F10" s="112" t="s">
        <v>165</v>
      </c>
      <c r="G10" s="119" t="s">
        <v>166</v>
      </c>
      <c r="H10" s="125" t="s">
        <v>10</v>
      </c>
      <c r="I10" s="125" t="s">
        <v>193</v>
      </c>
      <c r="J10" s="83" t="s">
        <v>79</v>
      </c>
      <c r="K10" s="112" t="s">
        <v>80</v>
      </c>
      <c r="L10" s="83" t="s">
        <v>11</v>
      </c>
      <c r="M10" s="115" t="s">
        <v>12</v>
      </c>
      <c r="N10" s="154" t="s">
        <v>9</v>
      </c>
      <c r="O10" s="154"/>
      <c r="P10" s="154"/>
      <c r="Q10" s="154"/>
      <c r="R10" s="125" t="s">
        <v>10</v>
      </c>
      <c r="S10" s="125" t="s">
        <v>193</v>
      </c>
    </row>
    <row r="11" spans="1:21" ht="63" customHeight="1">
      <c r="A11" s="83" t="s">
        <v>13</v>
      </c>
      <c r="B11" s="83" t="s">
        <v>14</v>
      </c>
      <c r="C11" s="83"/>
      <c r="D11" s="112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12" t="s">
        <v>17</v>
      </c>
      <c r="K11" s="112" t="s">
        <v>17</v>
      </c>
      <c r="L11" s="112" t="s">
        <v>17</v>
      </c>
      <c r="M11" s="112" t="s">
        <v>17</v>
      </c>
      <c r="N11" s="112" t="s">
        <v>85</v>
      </c>
      <c r="O11" s="124" t="s">
        <v>83</v>
      </c>
      <c r="P11" s="124" t="s">
        <v>84</v>
      </c>
      <c r="Q11" s="119" t="s">
        <v>12</v>
      </c>
      <c r="R11" s="112" t="s">
        <v>17</v>
      </c>
      <c r="S11" s="112" t="s">
        <v>17</v>
      </c>
    </row>
    <row r="12" spans="1:21">
      <c r="A12" s="116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75"/>
      <c r="M12" s="75"/>
      <c r="N12" s="78">
        <f>N13+N17</f>
        <v>5045536.42</v>
      </c>
      <c r="O12" s="78">
        <f t="shared" ref="O12:S12" si="0">O13+O17</f>
        <v>1376156.34</v>
      </c>
      <c r="P12" s="78">
        <f t="shared" si="0"/>
        <v>6219949.3200000003</v>
      </c>
      <c r="Q12" s="78">
        <f t="shared" si="0"/>
        <v>12641642.08</v>
      </c>
      <c r="R12" s="78">
        <f t="shared" si="0"/>
        <v>12641642.08</v>
      </c>
      <c r="S12" s="78">
        <f t="shared" si="0"/>
        <v>12641642.08</v>
      </c>
    </row>
    <row r="13" spans="1:21" ht="85.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75"/>
      <c r="M13" s="75"/>
      <c r="N13" s="75">
        <f>N14+N15+N16</f>
        <v>5045536.42</v>
      </c>
      <c r="O13" s="75">
        <f t="shared" ref="O13:S13" si="1">O14+O15+O16</f>
        <v>1376156.34</v>
      </c>
      <c r="P13" s="75">
        <f t="shared" si="1"/>
        <v>3172302.9000000004</v>
      </c>
      <c r="Q13" s="75">
        <f t="shared" si="1"/>
        <v>9593995.6600000001</v>
      </c>
      <c r="R13" s="75">
        <f t="shared" si="1"/>
        <v>9593995.6600000001</v>
      </c>
      <c r="S13" s="75">
        <f t="shared" si="1"/>
        <v>9593995.6600000001</v>
      </c>
      <c r="U13" s="85"/>
    </row>
    <row r="14" spans="1:21" ht="105">
      <c r="A14" s="83"/>
      <c r="B14" s="86" t="s">
        <v>19</v>
      </c>
      <c r="C14" s="83" t="s">
        <v>0</v>
      </c>
      <c r="D14" s="86" t="s">
        <v>20</v>
      </c>
      <c r="E14" s="87">
        <v>20</v>
      </c>
      <c r="F14" s="87">
        <v>20</v>
      </c>
      <c r="G14" s="87">
        <f>(E14*8+F14*4)/12</f>
        <v>20</v>
      </c>
      <c r="H14" s="87">
        <v>20</v>
      </c>
      <c r="I14" s="87">
        <v>20</v>
      </c>
      <c r="J14" s="75">
        <v>47587</v>
      </c>
      <c r="K14" s="75">
        <v>11762.02</v>
      </c>
      <c r="L14" s="75">
        <v>27113.7</v>
      </c>
      <c r="M14" s="75">
        <f>J14+K14+L14</f>
        <v>86462.720000000001</v>
      </c>
      <c r="N14" s="75">
        <f>G14*J14</f>
        <v>951740</v>
      </c>
      <c r="O14" s="75">
        <f>G14*K14</f>
        <v>235240.40000000002</v>
      </c>
      <c r="P14" s="75">
        <f>G14*L14</f>
        <v>542274</v>
      </c>
      <c r="Q14" s="75">
        <f>SUM(N14:P14)</f>
        <v>1729254.3999999999</v>
      </c>
      <c r="R14" s="75">
        <f>H14*M14</f>
        <v>1729254.3999999999</v>
      </c>
      <c r="S14" s="75">
        <f>I14*M14</f>
        <v>1729254.3999999999</v>
      </c>
      <c r="U14" s="85"/>
    </row>
    <row r="15" spans="1:21">
      <c r="A15" s="88"/>
      <c r="B15" s="115" t="s">
        <v>24</v>
      </c>
      <c r="C15" s="115"/>
      <c r="D15" s="115" t="s">
        <v>20</v>
      </c>
      <c r="E15" s="87">
        <v>72</v>
      </c>
      <c r="F15" s="87">
        <v>72</v>
      </c>
      <c r="G15" s="87">
        <f>(E15*8+F15*4)/12</f>
        <v>72</v>
      </c>
      <c r="H15" s="87">
        <v>72</v>
      </c>
      <c r="I15" s="87">
        <v>72</v>
      </c>
      <c r="J15" s="75">
        <v>37686.36</v>
      </c>
      <c r="K15" s="75">
        <v>11762.02</v>
      </c>
      <c r="L15" s="75">
        <v>27113.7</v>
      </c>
      <c r="M15" s="75">
        <f t="shared" ref="M15:M80" si="2">J15+K15+L15</f>
        <v>76562.080000000002</v>
      </c>
      <c r="N15" s="75">
        <f>G15*J15</f>
        <v>2713417.92</v>
      </c>
      <c r="O15" s="75">
        <f t="shared" ref="O15:O17" si="3">G15*K15</f>
        <v>846865.44000000006</v>
      </c>
      <c r="P15" s="75">
        <f>G15*L15</f>
        <v>1952186.4000000001</v>
      </c>
      <c r="Q15" s="75">
        <f t="shared" ref="Q15:Q79" si="4">SUM(N15:P15)</f>
        <v>5512469.7599999998</v>
      </c>
      <c r="R15" s="75">
        <f t="shared" ref="R15:R79" si="5">H15*M15</f>
        <v>5512469.7599999998</v>
      </c>
      <c r="S15" s="75">
        <f t="shared" ref="S15:S79" si="6">I15*M15</f>
        <v>5512469.7599999998</v>
      </c>
      <c r="U15" s="85"/>
    </row>
    <row r="16" spans="1:21" ht="120">
      <c r="A16" s="88"/>
      <c r="B16" s="86" t="s">
        <v>24</v>
      </c>
      <c r="C16" s="83" t="s">
        <v>162</v>
      </c>
      <c r="D16" s="115" t="s">
        <v>20</v>
      </c>
      <c r="E16" s="87">
        <v>25</v>
      </c>
      <c r="F16" s="87">
        <v>25</v>
      </c>
      <c r="G16" s="87">
        <f>(E16*8+F16*4)/12</f>
        <v>25</v>
      </c>
      <c r="H16" s="87">
        <v>25</v>
      </c>
      <c r="I16" s="87">
        <v>25</v>
      </c>
      <c r="J16" s="75">
        <f>55215.14</f>
        <v>55215.14</v>
      </c>
      <c r="K16" s="75">
        <v>11762.02</v>
      </c>
      <c r="L16" s="75">
        <v>27113.7</v>
      </c>
      <c r="M16" s="75">
        <f t="shared" si="2"/>
        <v>94090.86</v>
      </c>
      <c r="N16" s="75">
        <f>G16*J16</f>
        <v>1380378.5</v>
      </c>
      <c r="O16" s="75">
        <f t="shared" si="3"/>
        <v>294050.5</v>
      </c>
      <c r="P16" s="75">
        <f>G16*L16</f>
        <v>677842.5</v>
      </c>
      <c r="Q16" s="75">
        <f t="shared" si="4"/>
        <v>2352271.5</v>
      </c>
      <c r="R16" s="75">
        <f t="shared" si="5"/>
        <v>2352271.5</v>
      </c>
      <c r="S16" s="75">
        <f t="shared" si="6"/>
        <v>2352271.5</v>
      </c>
      <c r="U16" s="85"/>
    </row>
    <row r="17" spans="1:19">
      <c r="A17" s="115"/>
      <c r="B17" s="115" t="s">
        <v>28</v>
      </c>
      <c r="C17" s="115"/>
      <c r="D17" s="82"/>
      <c r="E17" s="87">
        <v>117</v>
      </c>
      <c r="F17" s="87">
        <v>117</v>
      </c>
      <c r="G17" s="87">
        <f t="shared" ref="G17" si="7">(E17*8+F17*4)/12</f>
        <v>117</v>
      </c>
      <c r="H17" s="87">
        <v>117</v>
      </c>
      <c r="I17" s="87">
        <v>117</v>
      </c>
      <c r="J17" s="75" t="s">
        <v>23</v>
      </c>
      <c r="K17" s="75"/>
      <c r="L17" s="75">
        <v>26048.26</v>
      </c>
      <c r="M17" s="75">
        <f t="shared" si="2"/>
        <v>26048.26</v>
      </c>
      <c r="N17" s="75">
        <f t="shared" ref="N17" si="8">E17*J17</f>
        <v>0</v>
      </c>
      <c r="O17" s="75">
        <f t="shared" si="3"/>
        <v>0</v>
      </c>
      <c r="P17" s="75">
        <f>G17*L17</f>
        <v>3047646.42</v>
      </c>
      <c r="Q17" s="75">
        <f t="shared" si="4"/>
        <v>3047646.42</v>
      </c>
      <c r="R17" s="75">
        <f t="shared" si="5"/>
        <v>3047646.42</v>
      </c>
      <c r="S17" s="75">
        <f t="shared" si="6"/>
        <v>3047646.42</v>
      </c>
    </row>
    <row r="18" spans="1:19">
      <c r="A18" s="89" t="s">
        <v>29</v>
      </c>
      <c r="B18" s="115"/>
      <c r="C18" s="115"/>
      <c r="D18" s="82"/>
      <c r="E18" s="87"/>
      <c r="F18" s="87"/>
      <c r="G18" s="87"/>
      <c r="H18" s="87"/>
      <c r="I18" s="87"/>
      <c r="J18" s="75"/>
      <c r="K18" s="75"/>
      <c r="L18" s="75"/>
      <c r="M18" s="75">
        <f t="shared" si="2"/>
        <v>0</v>
      </c>
      <c r="N18" s="78">
        <f>N19+N21</f>
        <v>2191749.33</v>
      </c>
      <c r="O18" s="78">
        <f t="shared" ref="O18:S18" si="9">O19+O21</f>
        <v>388146.66</v>
      </c>
      <c r="P18" s="78">
        <f>P19+P21</f>
        <v>1781458.38</v>
      </c>
      <c r="Q18" s="78">
        <f t="shared" si="9"/>
        <v>4361354.37</v>
      </c>
      <c r="R18" s="78">
        <f t="shared" si="9"/>
        <v>4439105.79</v>
      </c>
      <c r="S18" s="78">
        <f t="shared" si="9"/>
        <v>4439105.79</v>
      </c>
    </row>
    <row r="19" spans="1:19" ht="85.5">
      <c r="A19" s="90"/>
      <c r="B19" s="84" t="s">
        <v>76</v>
      </c>
      <c r="C19" s="84"/>
      <c r="D19" s="82"/>
      <c r="E19" s="68"/>
      <c r="F19" s="68"/>
      <c r="G19" s="68"/>
      <c r="H19" s="68"/>
      <c r="I19" s="68"/>
      <c r="J19" s="75"/>
      <c r="K19" s="75"/>
      <c r="L19" s="75"/>
      <c r="M19" s="75">
        <f t="shared" si="2"/>
        <v>0</v>
      </c>
      <c r="N19" s="75">
        <f t="shared" ref="N19:S19" si="10">SUM(N20:N20)</f>
        <v>2191749.33</v>
      </c>
      <c r="O19" s="75">
        <f t="shared" si="10"/>
        <v>388146.66</v>
      </c>
      <c r="P19" s="75">
        <f t="shared" si="10"/>
        <v>921865.8</v>
      </c>
      <c r="Q19" s="75">
        <f t="shared" si="10"/>
        <v>3501761.79</v>
      </c>
      <c r="R19" s="75">
        <f t="shared" si="10"/>
        <v>3579513.21</v>
      </c>
      <c r="S19" s="75">
        <f t="shared" si="10"/>
        <v>3579513.21</v>
      </c>
    </row>
    <row r="20" spans="1:19" ht="105">
      <c r="A20" s="83"/>
      <c r="B20" s="82"/>
      <c r="C20" s="83" t="s">
        <v>30</v>
      </c>
      <c r="D20" s="115" t="s">
        <v>31</v>
      </c>
      <c r="E20" s="87" t="s">
        <v>183</v>
      </c>
      <c r="F20" s="87" t="s">
        <v>183</v>
      </c>
      <c r="G20" s="87" t="s">
        <v>183</v>
      </c>
      <c r="H20" s="87" t="s">
        <v>183</v>
      </c>
      <c r="I20" s="87" t="s">
        <v>183</v>
      </c>
      <c r="J20" s="75">
        <v>730583.11</v>
      </c>
      <c r="K20" s="75">
        <v>11762.02</v>
      </c>
      <c r="L20" s="75">
        <v>27113.7</v>
      </c>
      <c r="M20" s="75">
        <f t="shared" si="2"/>
        <v>769458.83</v>
      </c>
      <c r="N20" s="75">
        <f>3*J20</f>
        <v>2191749.33</v>
      </c>
      <c r="O20" s="75">
        <f>((33*11762.02*8)+(33*11762.02*4))/12</f>
        <v>388146.66</v>
      </c>
      <c r="P20" s="75">
        <f>L20*34</f>
        <v>921865.8</v>
      </c>
      <c r="Q20" s="75">
        <f t="shared" si="4"/>
        <v>3501761.79</v>
      </c>
      <c r="R20" s="75">
        <f>Q20+77751.42</f>
        <v>3579513.21</v>
      </c>
      <c r="S20" s="75">
        <f>R20</f>
        <v>3579513.21</v>
      </c>
    </row>
    <row r="21" spans="1:19">
      <c r="A21" s="115"/>
      <c r="B21" s="115" t="s">
        <v>28</v>
      </c>
      <c r="C21" s="115"/>
      <c r="D21" s="115" t="s">
        <v>20</v>
      </c>
      <c r="E21" s="87">
        <v>33</v>
      </c>
      <c r="F21" s="87">
        <v>33</v>
      </c>
      <c r="G21" s="87">
        <f t="shared" ref="G21" si="11">(E21*8+F21*4)/12</f>
        <v>33</v>
      </c>
      <c r="H21" s="87">
        <v>33</v>
      </c>
      <c r="I21" s="87">
        <v>33</v>
      </c>
      <c r="J21" s="75" t="s">
        <v>23</v>
      </c>
      <c r="K21" s="75"/>
      <c r="L21" s="75">
        <v>26048.26</v>
      </c>
      <c r="M21" s="75">
        <f t="shared" si="2"/>
        <v>26048.26</v>
      </c>
      <c r="N21" s="75">
        <f t="shared" ref="N21" si="12">E21*J21</f>
        <v>0</v>
      </c>
      <c r="O21" s="75">
        <f t="shared" ref="O21:O28" si="13">E21*K21</f>
        <v>0</v>
      </c>
      <c r="P21" s="75">
        <f>G21*L21</f>
        <v>859592.58</v>
      </c>
      <c r="Q21" s="75">
        <f t="shared" si="4"/>
        <v>859592.58</v>
      </c>
      <c r="R21" s="75">
        <f t="shared" si="5"/>
        <v>859592.58</v>
      </c>
      <c r="S21" s="75">
        <f t="shared" si="6"/>
        <v>859592.58</v>
      </c>
    </row>
    <row r="22" spans="1:19">
      <c r="A22" s="116" t="s">
        <v>35</v>
      </c>
      <c r="B22" s="91"/>
      <c r="C22" s="91"/>
      <c r="D22" s="91"/>
      <c r="E22" s="92"/>
      <c r="F22" s="92"/>
      <c r="G22" s="92"/>
      <c r="H22" s="92"/>
      <c r="I22" s="92"/>
      <c r="J22" s="78"/>
      <c r="K22" s="78"/>
      <c r="L22" s="78"/>
      <c r="M22" s="78">
        <f t="shared" si="2"/>
        <v>0</v>
      </c>
      <c r="N22" s="78">
        <f>N23+N28</f>
        <v>8301824.3600000013</v>
      </c>
      <c r="O22" s="78">
        <f t="shared" ref="O22:S22" si="14">O23+O28</f>
        <v>1434966.44</v>
      </c>
      <c r="P22" s="78">
        <f>P23+P28</f>
        <v>6485759.1200000001</v>
      </c>
      <c r="Q22" s="78">
        <f t="shared" si="14"/>
        <v>16222549.920000002</v>
      </c>
      <c r="R22" s="78">
        <f t="shared" si="14"/>
        <v>16222549.919999998</v>
      </c>
      <c r="S22" s="78">
        <f t="shared" si="14"/>
        <v>16222549.919999998</v>
      </c>
    </row>
    <row r="23" spans="1:19" ht="85.5">
      <c r="A23" s="83"/>
      <c r="B23" s="84" t="s">
        <v>76</v>
      </c>
      <c r="C23" s="84"/>
      <c r="D23" s="82"/>
      <c r="E23" s="68"/>
      <c r="F23" s="68"/>
      <c r="G23" s="68"/>
      <c r="H23" s="68"/>
      <c r="I23" s="68"/>
      <c r="J23" s="75"/>
      <c r="K23" s="75"/>
      <c r="L23" s="75"/>
      <c r="M23" s="75">
        <f t="shared" si="2"/>
        <v>0</v>
      </c>
      <c r="N23" s="75">
        <f>SUM(N24:N27)</f>
        <v>8301824.3600000013</v>
      </c>
      <c r="O23" s="75">
        <f t="shared" ref="O23:S23" si="15">SUM(O24:O27)</f>
        <v>1434966.44</v>
      </c>
      <c r="P23" s="75">
        <f t="shared" si="15"/>
        <v>3307871.4000000004</v>
      </c>
      <c r="Q23" s="75">
        <f t="shared" si="15"/>
        <v>13044662.200000001</v>
      </c>
      <c r="R23" s="75">
        <f t="shared" si="15"/>
        <v>13044662.199999999</v>
      </c>
      <c r="S23" s="75">
        <f t="shared" si="15"/>
        <v>13044662.199999999</v>
      </c>
    </row>
    <row r="24" spans="1:19" ht="105">
      <c r="A24" s="83"/>
      <c r="B24" s="86" t="s">
        <v>19</v>
      </c>
      <c r="C24" s="93" t="s">
        <v>0</v>
      </c>
      <c r="D24" s="115" t="s">
        <v>20</v>
      </c>
      <c r="E24" s="87">
        <v>20</v>
      </c>
      <c r="F24" s="87">
        <v>20</v>
      </c>
      <c r="G24" s="87">
        <f t="shared" ref="G24:G27" si="16">(E24*8+F24*4)/12</f>
        <v>20</v>
      </c>
      <c r="H24" s="87">
        <v>20</v>
      </c>
      <c r="I24" s="87">
        <v>20</v>
      </c>
      <c r="J24" s="75">
        <v>41608.51</v>
      </c>
      <c r="K24" s="75">
        <v>11762.02</v>
      </c>
      <c r="L24" s="75">
        <v>27113.7</v>
      </c>
      <c r="M24" s="75">
        <f t="shared" si="2"/>
        <v>80484.23</v>
      </c>
      <c r="N24" s="75">
        <f>G24*J24</f>
        <v>832170.20000000007</v>
      </c>
      <c r="O24" s="75">
        <f>G24*K24</f>
        <v>235240.40000000002</v>
      </c>
      <c r="P24" s="75">
        <f>G24*L24</f>
        <v>542274</v>
      </c>
      <c r="Q24" s="75">
        <f t="shared" si="4"/>
        <v>1609684.6</v>
      </c>
      <c r="R24" s="75">
        <f t="shared" si="5"/>
        <v>1609684.5999999999</v>
      </c>
      <c r="S24" s="75">
        <f t="shared" si="6"/>
        <v>1609684.5999999999</v>
      </c>
    </row>
    <row r="25" spans="1:19">
      <c r="A25" s="88"/>
      <c r="B25" s="86" t="s">
        <v>24</v>
      </c>
      <c r="C25" s="86"/>
      <c r="D25" s="86" t="s">
        <v>20</v>
      </c>
      <c r="E25" s="87">
        <v>42</v>
      </c>
      <c r="F25" s="87">
        <v>42</v>
      </c>
      <c r="G25" s="87">
        <f t="shared" si="16"/>
        <v>42</v>
      </c>
      <c r="H25" s="87">
        <v>42</v>
      </c>
      <c r="I25" s="87">
        <v>42</v>
      </c>
      <c r="J25" s="75">
        <v>32991.18</v>
      </c>
      <c r="K25" s="75">
        <v>11762.02</v>
      </c>
      <c r="L25" s="75">
        <v>27113.7</v>
      </c>
      <c r="M25" s="75">
        <f t="shared" si="2"/>
        <v>71866.899999999994</v>
      </c>
      <c r="N25" s="75">
        <f>G25*J25</f>
        <v>1385629.56</v>
      </c>
      <c r="O25" s="75">
        <f>G25*K25</f>
        <v>494004.84</v>
      </c>
      <c r="P25" s="75">
        <f>G25*L25</f>
        <v>1138775.4000000001</v>
      </c>
      <c r="Q25" s="75">
        <f t="shared" si="4"/>
        <v>3018409.8000000003</v>
      </c>
      <c r="R25" s="75">
        <f t="shared" si="5"/>
        <v>3018409.8</v>
      </c>
      <c r="S25" s="75">
        <f t="shared" si="6"/>
        <v>3018409.8</v>
      </c>
    </row>
    <row r="26" spans="1:19" ht="105">
      <c r="A26" s="83"/>
      <c r="B26" s="86" t="s">
        <v>24</v>
      </c>
      <c r="C26" s="93" t="s">
        <v>38</v>
      </c>
      <c r="D26" s="115" t="s">
        <v>20</v>
      </c>
      <c r="E26" s="87">
        <v>36</v>
      </c>
      <c r="F26" s="87">
        <v>36</v>
      </c>
      <c r="G26" s="87">
        <f t="shared" si="16"/>
        <v>36</v>
      </c>
      <c r="H26" s="87">
        <v>36</v>
      </c>
      <c r="I26" s="87">
        <v>36</v>
      </c>
      <c r="J26" s="75">
        <v>136848.89000000001</v>
      </c>
      <c r="K26" s="75">
        <v>11762.02</v>
      </c>
      <c r="L26" s="75">
        <v>27113.7</v>
      </c>
      <c r="M26" s="75">
        <f t="shared" si="2"/>
        <v>175724.61000000002</v>
      </c>
      <c r="N26" s="75">
        <f>G26*J26</f>
        <v>4926560.040000001</v>
      </c>
      <c r="O26" s="75">
        <f>G26*K26</f>
        <v>423432.72000000003</v>
      </c>
      <c r="P26" s="75">
        <f>G26*L26</f>
        <v>976093.20000000007</v>
      </c>
      <c r="Q26" s="75">
        <f t="shared" si="4"/>
        <v>6326085.9600000009</v>
      </c>
      <c r="R26" s="75">
        <f t="shared" si="5"/>
        <v>6326085.9600000009</v>
      </c>
      <c r="S26" s="75">
        <f t="shared" si="6"/>
        <v>6326085.9600000009</v>
      </c>
    </row>
    <row r="27" spans="1:19" ht="120">
      <c r="A27" s="83"/>
      <c r="B27" s="86" t="s">
        <v>24</v>
      </c>
      <c r="C27" s="93" t="s">
        <v>162</v>
      </c>
      <c r="D27" s="115" t="s">
        <v>20</v>
      </c>
      <c r="E27" s="87">
        <v>24</v>
      </c>
      <c r="F27" s="87">
        <v>24</v>
      </c>
      <c r="G27" s="87">
        <f t="shared" si="16"/>
        <v>24</v>
      </c>
      <c r="H27" s="87">
        <v>24</v>
      </c>
      <c r="I27" s="87">
        <v>24</v>
      </c>
      <c r="J27" s="75">
        <v>48227.69</v>
      </c>
      <c r="K27" s="75" t="s">
        <v>163</v>
      </c>
      <c r="L27" s="75">
        <v>27113.7</v>
      </c>
      <c r="M27" s="75">
        <f t="shared" si="2"/>
        <v>87103.41</v>
      </c>
      <c r="N27" s="75">
        <f>G27*J27</f>
        <v>1157464.56</v>
      </c>
      <c r="O27" s="75">
        <f>G27*K27</f>
        <v>282288.48</v>
      </c>
      <c r="P27" s="75">
        <f>G27*L27</f>
        <v>650728.80000000005</v>
      </c>
      <c r="Q27" s="75">
        <f t="shared" si="4"/>
        <v>2090481.84</v>
      </c>
      <c r="R27" s="75">
        <f t="shared" si="5"/>
        <v>2090481.84</v>
      </c>
      <c r="S27" s="75">
        <f t="shared" si="6"/>
        <v>2090481.84</v>
      </c>
    </row>
    <row r="28" spans="1:19">
      <c r="A28" s="86"/>
      <c r="B28" s="86" t="s">
        <v>28</v>
      </c>
      <c r="C28" s="86"/>
      <c r="D28" s="115" t="s">
        <v>20</v>
      </c>
      <c r="E28" s="87">
        <v>122</v>
      </c>
      <c r="F28" s="87">
        <v>122</v>
      </c>
      <c r="G28" s="87">
        <f t="shared" ref="G28" si="17">(E28*8+F28*4)/12</f>
        <v>122</v>
      </c>
      <c r="H28" s="87">
        <v>122</v>
      </c>
      <c r="I28" s="87">
        <v>122</v>
      </c>
      <c r="J28" s="75" t="s">
        <v>23</v>
      </c>
      <c r="K28" s="75"/>
      <c r="L28" s="75">
        <v>26048.26</v>
      </c>
      <c r="M28" s="75">
        <f t="shared" si="2"/>
        <v>26048.26</v>
      </c>
      <c r="N28" s="75">
        <f t="shared" ref="N28:N53" si="18">E28*J28</f>
        <v>0</v>
      </c>
      <c r="O28" s="75">
        <f t="shared" si="13"/>
        <v>0</v>
      </c>
      <c r="P28" s="75">
        <f>G28*L28</f>
        <v>3177887.7199999997</v>
      </c>
      <c r="Q28" s="75">
        <f t="shared" si="4"/>
        <v>3177887.7199999997</v>
      </c>
      <c r="R28" s="75">
        <f t="shared" si="5"/>
        <v>3177887.7199999997</v>
      </c>
      <c r="S28" s="75">
        <f t="shared" si="6"/>
        <v>3177887.7199999997</v>
      </c>
    </row>
    <row r="29" spans="1:19">
      <c r="A29" s="116" t="s">
        <v>40</v>
      </c>
      <c r="B29" s="94"/>
      <c r="C29" s="94"/>
      <c r="D29" s="94"/>
      <c r="E29" s="92"/>
      <c r="F29" s="92"/>
      <c r="G29" s="92"/>
      <c r="H29" s="92"/>
      <c r="I29" s="92"/>
      <c r="J29" s="78"/>
      <c r="K29" s="78"/>
      <c r="L29" s="78"/>
      <c r="M29" s="78">
        <f t="shared" si="2"/>
        <v>0</v>
      </c>
      <c r="N29" s="78">
        <f>N30+N34</f>
        <v>4083315.61</v>
      </c>
      <c r="O29" s="78">
        <f t="shared" ref="O29:S29" si="19">O30+O34</f>
        <v>1258536.1400000001</v>
      </c>
      <c r="P29" s="78">
        <f t="shared" si="19"/>
        <v>5688329.7200000007</v>
      </c>
      <c r="Q29" s="78">
        <f t="shared" si="19"/>
        <v>11030181.470000001</v>
      </c>
      <c r="R29" s="78">
        <f t="shared" si="19"/>
        <v>11030181.469999999</v>
      </c>
      <c r="S29" s="78">
        <f t="shared" si="19"/>
        <v>11030181.469999999</v>
      </c>
    </row>
    <row r="30" spans="1:19" ht="85.5">
      <c r="A30" s="83"/>
      <c r="B30" s="84" t="s">
        <v>76</v>
      </c>
      <c r="C30" s="84"/>
      <c r="D30" s="95"/>
      <c r="E30" s="68"/>
      <c r="F30" s="68"/>
      <c r="G30" s="68"/>
      <c r="H30" s="68"/>
      <c r="I30" s="68"/>
      <c r="J30" s="75"/>
      <c r="K30" s="75"/>
      <c r="L30" s="75"/>
      <c r="M30" s="75">
        <f t="shared" si="2"/>
        <v>0</v>
      </c>
      <c r="N30" s="75">
        <f>SUM(N31:N33)</f>
        <v>4083315.61</v>
      </c>
      <c r="O30" s="75">
        <f t="shared" ref="O30:S30" si="20">SUM(O31:O33)</f>
        <v>1258536.1400000001</v>
      </c>
      <c r="P30" s="75">
        <f t="shared" si="20"/>
        <v>2901165.9000000004</v>
      </c>
      <c r="Q30" s="75">
        <f t="shared" si="20"/>
        <v>8243017.6500000004</v>
      </c>
      <c r="R30" s="75">
        <f t="shared" si="20"/>
        <v>8243017.6499999994</v>
      </c>
      <c r="S30" s="75">
        <f t="shared" si="20"/>
        <v>8243017.6499999994</v>
      </c>
    </row>
    <row r="31" spans="1:19" ht="105">
      <c r="A31" s="83"/>
      <c r="B31" s="86" t="s">
        <v>19</v>
      </c>
      <c r="C31" s="83" t="s">
        <v>0</v>
      </c>
      <c r="D31" s="115" t="s">
        <v>20</v>
      </c>
      <c r="E31" s="87">
        <v>20</v>
      </c>
      <c r="F31" s="87">
        <v>20</v>
      </c>
      <c r="G31" s="87">
        <f t="shared" ref="G31:G33" si="21">(E31*8+F31*4)/12</f>
        <v>20</v>
      </c>
      <c r="H31" s="87">
        <v>20</v>
      </c>
      <c r="I31" s="87">
        <v>20</v>
      </c>
      <c r="J31" s="75">
        <v>41608.51</v>
      </c>
      <c r="K31" s="75">
        <v>11762.02</v>
      </c>
      <c r="L31" s="75">
        <v>27113.7</v>
      </c>
      <c r="M31" s="75">
        <f t="shared" si="2"/>
        <v>80484.23</v>
      </c>
      <c r="N31" s="75">
        <f>G31*J31</f>
        <v>832170.20000000007</v>
      </c>
      <c r="O31" s="75">
        <f>G31*K31</f>
        <v>235240.40000000002</v>
      </c>
      <c r="P31" s="75">
        <f>G31*L31</f>
        <v>542274</v>
      </c>
      <c r="Q31" s="75">
        <f t="shared" si="4"/>
        <v>1609684.6</v>
      </c>
      <c r="R31" s="75">
        <f t="shared" si="5"/>
        <v>1609684.5999999999</v>
      </c>
      <c r="S31" s="75">
        <f t="shared" si="6"/>
        <v>1609684.5999999999</v>
      </c>
    </row>
    <row r="32" spans="1:19">
      <c r="A32" s="88"/>
      <c r="B32" s="86" t="s">
        <v>24</v>
      </c>
      <c r="C32" s="86"/>
      <c r="D32" s="86" t="s">
        <v>20</v>
      </c>
      <c r="E32" s="87">
        <v>62</v>
      </c>
      <c r="F32" s="87">
        <v>62</v>
      </c>
      <c r="G32" s="87">
        <f t="shared" si="21"/>
        <v>62</v>
      </c>
      <c r="H32" s="87">
        <v>62</v>
      </c>
      <c r="I32" s="87">
        <v>62</v>
      </c>
      <c r="J32" s="75">
        <v>32991.18</v>
      </c>
      <c r="K32" s="75">
        <v>11762.02</v>
      </c>
      <c r="L32" s="75">
        <v>27113.7</v>
      </c>
      <c r="M32" s="75">
        <f t="shared" si="2"/>
        <v>71866.899999999994</v>
      </c>
      <c r="N32" s="75">
        <f>G32*J32</f>
        <v>2045453.16</v>
      </c>
      <c r="O32" s="75">
        <f>G32*K32</f>
        <v>729245.24</v>
      </c>
      <c r="P32" s="75">
        <f>G32*L32</f>
        <v>1681049.4000000001</v>
      </c>
      <c r="Q32" s="75">
        <f t="shared" si="4"/>
        <v>4455747.8</v>
      </c>
      <c r="R32" s="75">
        <f t="shared" si="5"/>
        <v>4455747.8</v>
      </c>
      <c r="S32" s="75">
        <f t="shared" si="6"/>
        <v>4455747.8</v>
      </c>
    </row>
    <row r="33" spans="1:19" ht="120">
      <c r="A33" s="88"/>
      <c r="B33" s="86" t="s">
        <v>24</v>
      </c>
      <c r="C33" s="93" t="s">
        <v>162</v>
      </c>
      <c r="D33" s="115" t="s">
        <v>20</v>
      </c>
      <c r="E33" s="87">
        <v>25</v>
      </c>
      <c r="F33" s="87">
        <v>25</v>
      </c>
      <c r="G33" s="87">
        <f t="shared" si="21"/>
        <v>25</v>
      </c>
      <c r="H33" s="87">
        <v>25</v>
      </c>
      <c r="I33" s="87">
        <v>25</v>
      </c>
      <c r="J33" s="75">
        <v>48227.69</v>
      </c>
      <c r="K33" s="75" t="s">
        <v>163</v>
      </c>
      <c r="L33" s="75">
        <v>27113.7</v>
      </c>
      <c r="M33" s="75">
        <f t="shared" si="2"/>
        <v>87103.41</v>
      </c>
      <c r="N33" s="75">
        <f t="shared" ref="N33:N34" si="22">G33*J33</f>
        <v>1205692.25</v>
      </c>
      <c r="O33" s="75">
        <f t="shared" ref="O33:O34" si="23">G33*K33</f>
        <v>294050.5</v>
      </c>
      <c r="P33" s="75">
        <f>G33*L33</f>
        <v>677842.5</v>
      </c>
      <c r="Q33" s="75">
        <f t="shared" si="4"/>
        <v>2177585.25</v>
      </c>
      <c r="R33" s="75">
        <f t="shared" si="5"/>
        <v>2177585.25</v>
      </c>
      <c r="S33" s="75">
        <f t="shared" si="6"/>
        <v>2177585.25</v>
      </c>
    </row>
    <row r="34" spans="1:19">
      <c r="A34" s="86"/>
      <c r="B34" s="86" t="s">
        <v>28</v>
      </c>
      <c r="C34" s="86"/>
      <c r="D34" s="86" t="s">
        <v>20</v>
      </c>
      <c r="E34" s="87">
        <v>107</v>
      </c>
      <c r="F34" s="87">
        <v>107</v>
      </c>
      <c r="G34" s="87">
        <f t="shared" ref="G34" si="24">(E34*8+F34*4)/12</f>
        <v>107</v>
      </c>
      <c r="H34" s="87">
        <v>107</v>
      </c>
      <c r="I34" s="87">
        <v>107</v>
      </c>
      <c r="J34" s="75" t="s">
        <v>23</v>
      </c>
      <c r="K34" s="75"/>
      <c r="L34" s="75">
        <v>26048.26</v>
      </c>
      <c r="M34" s="75">
        <f t="shared" si="2"/>
        <v>26048.26</v>
      </c>
      <c r="N34" s="75">
        <f t="shared" si="22"/>
        <v>0</v>
      </c>
      <c r="O34" s="75">
        <f t="shared" si="23"/>
        <v>0</v>
      </c>
      <c r="P34" s="75">
        <f>G34*L34</f>
        <v>2787163.82</v>
      </c>
      <c r="Q34" s="75">
        <f t="shared" si="4"/>
        <v>2787163.82</v>
      </c>
      <c r="R34" s="75">
        <f t="shared" si="5"/>
        <v>2787163.82</v>
      </c>
      <c r="S34" s="75">
        <f t="shared" si="6"/>
        <v>2787163.82</v>
      </c>
    </row>
    <row r="35" spans="1:19">
      <c r="A35" s="116" t="s">
        <v>44</v>
      </c>
      <c r="B35" s="94"/>
      <c r="C35" s="94"/>
      <c r="D35" s="94"/>
      <c r="E35" s="92"/>
      <c r="F35" s="92"/>
      <c r="G35" s="92"/>
      <c r="H35" s="92"/>
      <c r="I35" s="92"/>
      <c r="J35" s="78"/>
      <c r="K35" s="78"/>
      <c r="L35" s="78"/>
      <c r="M35" s="78">
        <f t="shared" si="2"/>
        <v>0</v>
      </c>
      <c r="N35" s="78">
        <f>N36+N41</f>
        <v>11553006.48</v>
      </c>
      <c r="O35" s="78">
        <f t="shared" ref="O35:S35" si="25">O36+O41</f>
        <v>2564120.3600000003</v>
      </c>
      <c r="P35" s="78">
        <f t="shared" si="25"/>
        <v>11589307.279999999</v>
      </c>
      <c r="Q35" s="78">
        <f t="shared" si="25"/>
        <v>25706434.120000001</v>
      </c>
      <c r="R35" s="78">
        <f t="shared" si="25"/>
        <v>25706434.119999997</v>
      </c>
      <c r="S35" s="78">
        <f t="shared" si="25"/>
        <v>25706434.119999997</v>
      </c>
    </row>
    <row r="36" spans="1:19" ht="85.5">
      <c r="A36" s="83"/>
      <c r="B36" s="84" t="s">
        <v>76</v>
      </c>
      <c r="C36" s="84"/>
      <c r="D36" s="95"/>
      <c r="E36" s="68"/>
      <c r="F36" s="68"/>
      <c r="G36" s="68"/>
      <c r="H36" s="68"/>
      <c r="I36" s="68"/>
      <c r="J36" s="75"/>
      <c r="K36" s="75"/>
      <c r="L36" s="75"/>
      <c r="M36" s="75">
        <f t="shared" si="2"/>
        <v>0</v>
      </c>
      <c r="N36" s="75">
        <f>SUM(N37:N40)</f>
        <v>11553006.48</v>
      </c>
      <c r="O36" s="75">
        <f t="shared" ref="O36:S36" si="26">SUM(O37:O40)</f>
        <v>2564120.3600000003</v>
      </c>
      <c r="P36" s="75">
        <f t="shared" si="26"/>
        <v>5910786.5999999996</v>
      </c>
      <c r="Q36" s="75">
        <f t="shared" si="26"/>
        <v>20027913.440000001</v>
      </c>
      <c r="R36" s="75">
        <f t="shared" si="26"/>
        <v>20027913.439999998</v>
      </c>
      <c r="S36" s="75">
        <f t="shared" si="26"/>
        <v>20027913.439999998</v>
      </c>
    </row>
    <row r="37" spans="1:19" ht="105">
      <c r="A37" s="83"/>
      <c r="B37" s="86" t="s">
        <v>19</v>
      </c>
      <c r="C37" s="83" t="s">
        <v>0</v>
      </c>
      <c r="D37" s="115" t="s">
        <v>20</v>
      </c>
      <c r="E37" s="87">
        <v>40</v>
      </c>
      <c r="F37" s="87">
        <v>40</v>
      </c>
      <c r="G37" s="87">
        <f t="shared" ref="G37:G40" si="27">(E37*8+F37*4)/12</f>
        <v>40</v>
      </c>
      <c r="H37" s="87">
        <v>40</v>
      </c>
      <c r="I37" s="87">
        <v>40</v>
      </c>
      <c r="J37" s="75">
        <v>41608.51</v>
      </c>
      <c r="K37" s="75">
        <v>11762.02</v>
      </c>
      <c r="L37" s="75">
        <v>27113.7</v>
      </c>
      <c r="M37" s="75">
        <f t="shared" si="2"/>
        <v>80484.23</v>
      </c>
      <c r="N37" s="75">
        <f>G37*J37</f>
        <v>1664340.4000000001</v>
      </c>
      <c r="O37" s="75">
        <f>G37*K37</f>
        <v>470480.80000000005</v>
      </c>
      <c r="P37" s="75">
        <f>G37*L37</f>
        <v>1084548</v>
      </c>
      <c r="Q37" s="75">
        <f t="shared" si="4"/>
        <v>3219369.2</v>
      </c>
      <c r="R37" s="75">
        <f t="shared" si="5"/>
        <v>3219369.1999999997</v>
      </c>
      <c r="S37" s="75">
        <f t="shared" si="6"/>
        <v>3219369.1999999997</v>
      </c>
    </row>
    <row r="38" spans="1:19">
      <c r="A38" s="88"/>
      <c r="B38" s="86" t="s">
        <v>24</v>
      </c>
      <c r="C38" s="86"/>
      <c r="D38" s="86" t="s">
        <v>20</v>
      </c>
      <c r="E38" s="87">
        <v>54</v>
      </c>
      <c r="F38" s="87">
        <v>54</v>
      </c>
      <c r="G38" s="87">
        <f t="shared" si="27"/>
        <v>54</v>
      </c>
      <c r="H38" s="87">
        <v>54</v>
      </c>
      <c r="I38" s="87">
        <v>54</v>
      </c>
      <c r="J38" s="75">
        <v>32991.18</v>
      </c>
      <c r="K38" s="75">
        <v>11762.02</v>
      </c>
      <c r="L38" s="75">
        <v>27113.7</v>
      </c>
      <c r="M38" s="75">
        <f t="shared" si="2"/>
        <v>71866.899999999994</v>
      </c>
      <c r="N38" s="75">
        <f t="shared" ref="N38:N41" si="28">G38*J38</f>
        <v>1781523.72</v>
      </c>
      <c r="O38" s="75">
        <f t="shared" ref="O38:O41" si="29">G38*K38</f>
        <v>635149.08000000007</v>
      </c>
      <c r="P38" s="75">
        <f t="shared" ref="P38:P40" si="30">G38*L38</f>
        <v>1464139.8</v>
      </c>
      <c r="Q38" s="75">
        <f t="shared" si="4"/>
        <v>3880812.5999999996</v>
      </c>
      <c r="R38" s="75">
        <f t="shared" si="5"/>
        <v>3880812.5999999996</v>
      </c>
      <c r="S38" s="75">
        <f t="shared" si="6"/>
        <v>3880812.5999999996</v>
      </c>
    </row>
    <row r="39" spans="1:19" ht="105">
      <c r="A39" s="83"/>
      <c r="B39" s="95"/>
      <c r="C39" s="83" t="s">
        <v>38</v>
      </c>
      <c r="D39" s="115" t="s">
        <v>20</v>
      </c>
      <c r="E39" s="87">
        <v>24</v>
      </c>
      <c r="F39" s="87">
        <v>24</v>
      </c>
      <c r="G39" s="87">
        <f t="shared" si="27"/>
        <v>24</v>
      </c>
      <c r="H39" s="87">
        <v>24</v>
      </c>
      <c r="I39" s="87">
        <v>24</v>
      </c>
      <c r="J39" s="75">
        <v>136848.89000000001</v>
      </c>
      <c r="K39" s="75">
        <v>11762.02</v>
      </c>
      <c r="L39" s="75">
        <v>27113.7</v>
      </c>
      <c r="M39" s="75">
        <f t="shared" si="2"/>
        <v>175724.61000000002</v>
      </c>
      <c r="N39" s="75">
        <f t="shared" si="28"/>
        <v>3284373.3600000003</v>
      </c>
      <c r="O39" s="75">
        <f t="shared" si="29"/>
        <v>282288.48</v>
      </c>
      <c r="P39" s="75">
        <f t="shared" si="30"/>
        <v>650728.80000000005</v>
      </c>
      <c r="Q39" s="75">
        <f t="shared" si="4"/>
        <v>4217390.6400000006</v>
      </c>
      <c r="R39" s="75">
        <f t="shared" si="5"/>
        <v>4217390.6400000006</v>
      </c>
      <c r="S39" s="75">
        <f t="shared" si="6"/>
        <v>4217390.6400000006</v>
      </c>
    </row>
    <row r="40" spans="1:19" ht="120">
      <c r="A40" s="83"/>
      <c r="B40" s="86" t="s">
        <v>24</v>
      </c>
      <c r="C40" s="93" t="s">
        <v>162</v>
      </c>
      <c r="D40" s="115" t="s">
        <v>20</v>
      </c>
      <c r="E40" s="87">
        <v>100</v>
      </c>
      <c r="F40" s="87">
        <v>100</v>
      </c>
      <c r="G40" s="87">
        <f t="shared" si="27"/>
        <v>100</v>
      </c>
      <c r="H40" s="87">
        <v>100</v>
      </c>
      <c r="I40" s="87">
        <v>100</v>
      </c>
      <c r="J40" s="75">
        <v>48227.69</v>
      </c>
      <c r="K40" s="75" t="s">
        <v>163</v>
      </c>
      <c r="L40" s="75">
        <v>27113.7</v>
      </c>
      <c r="M40" s="75">
        <f t="shared" si="2"/>
        <v>87103.41</v>
      </c>
      <c r="N40" s="75">
        <f t="shared" si="28"/>
        <v>4822769</v>
      </c>
      <c r="O40" s="75">
        <f t="shared" si="29"/>
        <v>1176202</v>
      </c>
      <c r="P40" s="75">
        <f t="shared" si="30"/>
        <v>2711370</v>
      </c>
      <c r="Q40" s="75">
        <f t="shared" si="4"/>
        <v>8710341</v>
      </c>
      <c r="R40" s="75">
        <f t="shared" si="5"/>
        <v>8710341</v>
      </c>
      <c r="S40" s="75">
        <f t="shared" si="6"/>
        <v>8710341</v>
      </c>
    </row>
    <row r="41" spans="1:19">
      <c r="A41" s="86"/>
      <c r="B41" s="86" t="s">
        <v>28</v>
      </c>
      <c r="C41" s="86"/>
      <c r="D41" s="86" t="s">
        <v>20</v>
      </c>
      <c r="E41" s="87">
        <v>218</v>
      </c>
      <c r="F41" s="87">
        <v>218</v>
      </c>
      <c r="G41" s="87">
        <f t="shared" ref="G41" si="31">(E41*8+F41*4)/12</f>
        <v>218</v>
      </c>
      <c r="H41" s="87">
        <v>218</v>
      </c>
      <c r="I41" s="87">
        <v>218</v>
      </c>
      <c r="J41" s="75" t="s">
        <v>23</v>
      </c>
      <c r="K41" s="75"/>
      <c r="L41" s="75">
        <v>26048.26</v>
      </c>
      <c r="M41" s="75">
        <f t="shared" si="2"/>
        <v>26048.26</v>
      </c>
      <c r="N41" s="75">
        <f t="shared" si="28"/>
        <v>0</v>
      </c>
      <c r="O41" s="75">
        <f t="shared" si="29"/>
        <v>0</v>
      </c>
      <c r="P41" s="75">
        <f>G41*L41</f>
        <v>5678520.6799999997</v>
      </c>
      <c r="Q41" s="75">
        <f t="shared" si="4"/>
        <v>5678520.6799999997</v>
      </c>
      <c r="R41" s="75">
        <f t="shared" si="5"/>
        <v>5678520.6799999997</v>
      </c>
      <c r="S41" s="75">
        <f t="shared" si="6"/>
        <v>5678520.6799999997</v>
      </c>
    </row>
    <row r="42" spans="1:19">
      <c r="A42" s="116" t="s">
        <v>49</v>
      </c>
      <c r="B42" s="94"/>
      <c r="C42" s="94"/>
      <c r="D42" s="94"/>
      <c r="E42" s="92"/>
      <c r="F42" s="92"/>
      <c r="G42" s="92"/>
      <c r="H42" s="92"/>
      <c r="I42" s="92"/>
      <c r="J42" s="78"/>
      <c r="K42" s="78"/>
      <c r="L42" s="78"/>
      <c r="M42" s="78">
        <f t="shared" si="2"/>
        <v>0</v>
      </c>
      <c r="N42" s="78">
        <f>N43+N47</f>
        <v>4050324.43</v>
      </c>
      <c r="O42" s="78">
        <f t="shared" ref="O42:S42" si="32">O43+O47</f>
        <v>1246774.1200000001</v>
      </c>
      <c r="P42" s="78">
        <f t="shared" si="32"/>
        <v>5635167.7599999998</v>
      </c>
      <c r="Q42" s="78">
        <f t="shared" si="32"/>
        <v>10932266.310000001</v>
      </c>
      <c r="R42" s="78">
        <f t="shared" si="32"/>
        <v>10932266.309999999</v>
      </c>
      <c r="S42" s="78">
        <f t="shared" si="32"/>
        <v>10932266.309999999</v>
      </c>
    </row>
    <row r="43" spans="1:19" ht="85.5">
      <c r="A43" s="83"/>
      <c r="B43" s="84" t="s">
        <v>76</v>
      </c>
      <c r="C43" s="84"/>
      <c r="D43" s="95"/>
      <c r="E43" s="68"/>
      <c r="F43" s="68"/>
      <c r="G43" s="68"/>
      <c r="H43" s="68"/>
      <c r="I43" s="68"/>
      <c r="J43" s="75"/>
      <c r="K43" s="75"/>
      <c r="L43" s="75"/>
      <c r="M43" s="75">
        <f t="shared" si="2"/>
        <v>0</v>
      </c>
      <c r="N43" s="75">
        <f>SUM(N44:N46)</f>
        <v>4050324.43</v>
      </c>
      <c r="O43" s="75">
        <f t="shared" ref="O43:S43" si="33">SUM(O44:O46)</f>
        <v>1246774.1200000001</v>
      </c>
      <c r="P43" s="75">
        <f t="shared" si="33"/>
        <v>2874052.2</v>
      </c>
      <c r="Q43" s="75">
        <f t="shared" si="33"/>
        <v>8171150.75</v>
      </c>
      <c r="R43" s="75">
        <f t="shared" si="33"/>
        <v>8171150.7499999991</v>
      </c>
      <c r="S43" s="75">
        <f t="shared" si="33"/>
        <v>8171150.7499999991</v>
      </c>
    </row>
    <row r="44" spans="1:19" ht="105">
      <c r="A44" s="83"/>
      <c r="B44" s="86" t="s">
        <v>19</v>
      </c>
      <c r="C44" s="83" t="s">
        <v>0</v>
      </c>
      <c r="D44" s="115" t="s">
        <v>20</v>
      </c>
      <c r="E44" s="87">
        <v>20</v>
      </c>
      <c r="F44" s="87">
        <v>20</v>
      </c>
      <c r="G44" s="87">
        <f t="shared" ref="G44:G47" si="34">(E44*8+F44*4)/12</f>
        <v>20</v>
      </c>
      <c r="H44" s="87">
        <v>20</v>
      </c>
      <c r="I44" s="87">
        <v>20</v>
      </c>
      <c r="J44" s="75">
        <v>41608.51</v>
      </c>
      <c r="K44" s="75">
        <v>11762.02</v>
      </c>
      <c r="L44" s="75">
        <v>27113.7</v>
      </c>
      <c r="M44" s="75">
        <f t="shared" si="2"/>
        <v>80484.23</v>
      </c>
      <c r="N44" s="75">
        <f>G44*J44</f>
        <v>832170.20000000007</v>
      </c>
      <c r="O44" s="75">
        <f>G44*K44</f>
        <v>235240.40000000002</v>
      </c>
      <c r="P44" s="75">
        <f>G44*L44</f>
        <v>542274</v>
      </c>
      <c r="Q44" s="75">
        <f t="shared" si="4"/>
        <v>1609684.6</v>
      </c>
      <c r="R44" s="75">
        <f t="shared" si="5"/>
        <v>1609684.5999999999</v>
      </c>
      <c r="S44" s="75">
        <f t="shared" si="6"/>
        <v>1609684.5999999999</v>
      </c>
    </row>
    <row r="45" spans="1:19">
      <c r="A45" s="88"/>
      <c r="B45" s="86" t="s">
        <v>24</v>
      </c>
      <c r="C45" s="86"/>
      <c r="D45" s="86" t="s">
        <v>20</v>
      </c>
      <c r="E45" s="87">
        <v>61</v>
      </c>
      <c r="F45" s="87">
        <v>61</v>
      </c>
      <c r="G45" s="87">
        <f t="shared" si="34"/>
        <v>61</v>
      </c>
      <c r="H45" s="87">
        <v>61</v>
      </c>
      <c r="I45" s="87">
        <v>61</v>
      </c>
      <c r="J45" s="75">
        <v>32991.18</v>
      </c>
      <c r="K45" s="75">
        <v>11762.02</v>
      </c>
      <c r="L45" s="75">
        <v>27113.7</v>
      </c>
      <c r="M45" s="75">
        <f t="shared" si="2"/>
        <v>71866.899999999994</v>
      </c>
      <c r="N45" s="75">
        <f>G45*J45</f>
        <v>2012461.98</v>
      </c>
      <c r="O45" s="75">
        <f>G45*K45</f>
        <v>717483.22</v>
      </c>
      <c r="P45" s="75">
        <f t="shared" ref="P45:P47" si="35">G45*L45</f>
        <v>1653935.7</v>
      </c>
      <c r="Q45" s="75">
        <f t="shared" si="4"/>
        <v>4383880.9000000004</v>
      </c>
      <c r="R45" s="75">
        <f t="shared" si="5"/>
        <v>4383880.8999999994</v>
      </c>
      <c r="S45" s="75">
        <f t="shared" si="6"/>
        <v>4383880.8999999994</v>
      </c>
    </row>
    <row r="46" spans="1:19" ht="120">
      <c r="A46" s="88"/>
      <c r="B46" s="86" t="s">
        <v>24</v>
      </c>
      <c r="C46" s="93" t="s">
        <v>162</v>
      </c>
      <c r="D46" s="115" t="s">
        <v>20</v>
      </c>
      <c r="E46" s="87">
        <v>25</v>
      </c>
      <c r="F46" s="87">
        <v>25</v>
      </c>
      <c r="G46" s="87">
        <f t="shared" si="34"/>
        <v>25</v>
      </c>
      <c r="H46" s="87">
        <v>25</v>
      </c>
      <c r="I46" s="87">
        <v>25</v>
      </c>
      <c r="J46" s="75">
        <f>48227.69</f>
        <v>48227.69</v>
      </c>
      <c r="K46" s="75">
        <v>11762.02</v>
      </c>
      <c r="L46" s="75">
        <v>27113.7</v>
      </c>
      <c r="M46" s="75">
        <f t="shared" ref="M46" si="36">J46+K46+L46</f>
        <v>87103.41</v>
      </c>
      <c r="N46" s="75">
        <f t="shared" ref="N46:N47" si="37">G46*J46</f>
        <v>1205692.25</v>
      </c>
      <c r="O46" s="75">
        <f t="shared" ref="O46:O47" si="38">G46*K46</f>
        <v>294050.5</v>
      </c>
      <c r="P46" s="75">
        <f t="shared" si="35"/>
        <v>677842.5</v>
      </c>
      <c r="Q46" s="75">
        <f t="shared" ref="Q46" si="39">SUM(N46:P46)</f>
        <v>2177585.25</v>
      </c>
      <c r="R46" s="75">
        <f t="shared" ref="R46" si="40">H46*M46</f>
        <v>2177585.25</v>
      </c>
      <c r="S46" s="75">
        <f t="shared" ref="S46" si="41">I46*M46</f>
        <v>2177585.25</v>
      </c>
    </row>
    <row r="47" spans="1:19">
      <c r="A47" s="86"/>
      <c r="B47" s="86" t="s">
        <v>28</v>
      </c>
      <c r="C47" s="86"/>
      <c r="D47" s="86" t="s">
        <v>20</v>
      </c>
      <c r="E47" s="87">
        <v>106</v>
      </c>
      <c r="F47" s="87">
        <v>106</v>
      </c>
      <c r="G47" s="87">
        <f t="shared" si="34"/>
        <v>106</v>
      </c>
      <c r="H47" s="87">
        <v>106</v>
      </c>
      <c r="I47" s="87">
        <v>106</v>
      </c>
      <c r="J47" s="75" t="s">
        <v>23</v>
      </c>
      <c r="K47" s="75"/>
      <c r="L47" s="75">
        <v>26048.26</v>
      </c>
      <c r="M47" s="75">
        <f t="shared" si="2"/>
        <v>26048.26</v>
      </c>
      <c r="N47" s="75">
        <f t="shared" si="37"/>
        <v>0</v>
      </c>
      <c r="O47" s="75">
        <f t="shared" si="38"/>
        <v>0</v>
      </c>
      <c r="P47" s="75">
        <f t="shared" si="35"/>
        <v>2761115.56</v>
      </c>
      <c r="Q47" s="75">
        <f t="shared" si="4"/>
        <v>2761115.56</v>
      </c>
      <c r="R47" s="75">
        <f t="shared" si="5"/>
        <v>2761115.56</v>
      </c>
      <c r="S47" s="75">
        <f t="shared" si="6"/>
        <v>2761115.56</v>
      </c>
    </row>
    <row r="48" spans="1:19">
      <c r="A48" s="116" t="s">
        <v>53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78"/>
      <c r="M48" s="78">
        <f t="shared" si="2"/>
        <v>0</v>
      </c>
      <c r="N48" s="78">
        <f>N49+N53</f>
        <v>6014813.8200000003</v>
      </c>
      <c r="O48" s="78">
        <f t="shared" ref="O48:S48" si="42">O49+O53</f>
        <v>1811351.08</v>
      </c>
      <c r="P48" s="78">
        <f t="shared" si="42"/>
        <v>8186941.8399999999</v>
      </c>
      <c r="Q48" s="78">
        <f t="shared" si="42"/>
        <v>16013106.74</v>
      </c>
      <c r="R48" s="78">
        <f t="shared" si="42"/>
        <v>16013106.739999998</v>
      </c>
      <c r="S48" s="78">
        <f t="shared" si="42"/>
        <v>16013106.739999998</v>
      </c>
    </row>
    <row r="49" spans="1:19" ht="85.5">
      <c r="A49" s="83"/>
      <c r="B49" s="84" t="s">
        <v>76</v>
      </c>
      <c r="C49" s="84"/>
      <c r="D49" s="95"/>
      <c r="E49" s="68"/>
      <c r="F49" s="68"/>
      <c r="G49" s="68"/>
      <c r="H49" s="68"/>
      <c r="I49" s="68"/>
      <c r="J49" s="75"/>
      <c r="K49" s="75"/>
      <c r="L49" s="75"/>
      <c r="M49" s="75">
        <f t="shared" si="2"/>
        <v>0</v>
      </c>
      <c r="N49" s="75">
        <f>SUM(N50:N52)</f>
        <v>6014813.8200000003</v>
      </c>
      <c r="O49" s="75">
        <f t="shared" ref="O49:S49" si="43">SUM(O50:O52)</f>
        <v>1811351.08</v>
      </c>
      <c r="P49" s="75">
        <f t="shared" si="43"/>
        <v>4175509.8000000003</v>
      </c>
      <c r="Q49" s="75">
        <f t="shared" si="43"/>
        <v>12001674.700000001</v>
      </c>
      <c r="R49" s="75">
        <f t="shared" si="43"/>
        <v>12001674.699999999</v>
      </c>
      <c r="S49" s="75">
        <f t="shared" si="43"/>
        <v>12001674.699999999</v>
      </c>
    </row>
    <row r="50" spans="1:19" ht="105">
      <c r="A50" s="83"/>
      <c r="B50" s="86" t="s">
        <v>19</v>
      </c>
      <c r="C50" s="83" t="s">
        <v>0</v>
      </c>
      <c r="D50" s="115" t="s">
        <v>20</v>
      </c>
      <c r="E50" s="87">
        <v>20</v>
      </c>
      <c r="F50" s="87">
        <v>20</v>
      </c>
      <c r="G50" s="87">
        <f t="shared" ref="G50:G52" si="44">(E50*8+F50*4)/12</f>
        <v>20</v>
      </c>
      <c r="H50" s="87">
        <v>20</v>
      </c>
      <c r="I50" s="87">
        <v>20</v>
      </c>
      <c r="J50" s="75">
        <v>41608.51</v>
      </c>
      <c r="K50" s="75">
        <v>11762.02</v>
      </c>
      <c r="L50" s="75">
        <v>27113.7</v>
      </c>
      <c r="M50" s="75">
        <f t="shared" si="2"/>
        <v>80484.23</v>
      </c>
      <c r="N50" s="75">
        <f>G50*J50</f>
        <v>832170.20000000007</v>
      </c>
      <c r="O50" s="75">
        <f>G50*K50</f>
        <v>235240.40000000002</v>
      </c>
      <c r="P50" s="75">
        <f>G50*L50</f>
        <v>542274</v>
      </c>
      <c r="Q50" s="75">
        <f t="shared" si="4"/>
        <v>1609684.6</v>
      </c>
      <c r="R50" s="75">
        <f t="shared" si="5"/>
        <v>1609684.5999999999</v>
      </c>
      <c r="S50" s="75">
        <f t="shared" si="6"/>
        <v>1609684.5999999999</v>
      </c>
    </row>
    <row r="51" spans="1:19">
      <c r="A51" s="88"/>
      <c r="B51" s="86" t="s">
        <v>24</v>
      </c>
      <c r="C51" s="86"/>
      <c r="D51" s="86" t="s">
        <v>20</v>
      </c>
      <c r="E51" s="87">
        <v>84</v>
      </c>
      <c r="F51" s="87">
        <v>84</v>
      </c>
      <c r="G51" s="87">
        <f t="shared" si="44"/>
        <v>84</v>
      </c>
      <c r="H51" s="87">
        <v>84</v>
      </c>
      <c r="I51" s="87">
        <v>84</v>
      </c>
      <c r="J51" s="75">
        <v>32991.18</v>
      </c>
      <c r="K51" s="75">
        <v>11762.02</v>
      </c>
      <c r="L51" s="75">
        <v>27113.7</v>
      </c>
      <c r="M51" s="75">
        <f t="shared" si="2"/>
        <v>71866.899999999994</v>
      </c>
      <c r="N51" s="75">
        <f>G51*J51</f>
        <v>2771259.12</v>
      </c>
      <c r="O51" s="75">
        <f t="shared" ref="O51:O53" si="45">G51*K51</f>
        <v>988009.68</v>
      </c>
      <c r="P51" s="75">
        <f t="shared" ref="P51:P52" si="46">G51*L51</f>
        <v>2277550.8000000003</v>
      </c>
      <c r="Q51" s="75">
        <f t="shared" si="4"/>
        <v>6036819.6000000006</v>
      </c>
      <c r="R51" s="75">
        <f t="shared" si="5"/>
        <v>6036819.5999999996</v>
      </c>
      <c r="S51" s="75">
        <f t="shared" si="6"/>
        <v>6036819.5999999996</v>
      </c>
    </row>
    <row r="52" spans="1:19" ht="120">
      <c r="A52" s="88"/>
      <c r="B52" s="86" t="s">
        <v>24</v>
      </c>
      <c r="C52" s="93" t="s">
        <v>162</v>
      </c>
      <c r="D52" s="115" t="s">
        <v>20</v>
      </c>
      <c r="E52" s="87">
        <v>50</v>
      </c>
      <c r="F52" s="87">
        <v>50</v>
      </c>
      <c r="G52" s="87">
        <f t="shared" si="44"/>
        <v>50</v>
      </c>
      <c r="H52" s="87">
        <v>50</v>
      </c>
      <c r="I52" s="87">
        <v>50</v>
      </c>
      <c r="J52" s="75">
        <v>48227.69</v>
      </c>
      <c r="K52" s="75" t="s">
        <v>163</v>
      </c>
      <c r="L52" s="75">
        <v>27113.7</v>
      </c>
      <c r="M52" s="75">
        <f t="shared" si="2"/>
        <v>87103.41</v>
      </c>
      <c r="N52" s="75">
        <f>G52*J52</f>
        <v>2411384.5</v>
      </c>
      <c r="O52" s="75">
        <f t="shared" si="45"/>
        <v>588101</v>
      </c>
      <c r="P52" s="75">
        <f t="shared" si="46"/>
        <v>1355685</v>
      </c>
      <c r="Q52" s="75">
        <f t="shared" si="4"/>
        <v>4355170.5</v>
      </c>
      <c r="R52" s="75">
        <f t="shared" si="5"/>
        <v>4355170.5</v>
      </c>
      <c r="S52" s="75">
        <f t="shared" si="6"/>
        <v>4355170.5</v>
      </c>
    </row>
    <row r="53" spans="1:19">
      <c r="A53" s="86"/>
      <c r="B53" s="86" t="s">
        <v>28</v>
      </c>
      <c r="C53" s="86"/>
      <c r="D53" s="86" t="s">
        <v>20</v>
      </c>
      <c r="E53" s="87">
        <v>154</v>
      </c>
      <c r="F53" s="87">
        <v>154</v>
      </c>
      <c r="G53" s="87">
        <f t="shared" ref="G53" si="47">(E53*8+F53*4)/12</f>
        <v>154</v>
      </c>
      <c r="H53" s="87">
        <v>154</v>
      </c>
      <c r="I53" s="87">
        <v>154</v>
      </c>
      <c r="J53" s="75" t="s">
        <v>23</v>
      </c>
      <c r="K53" s="75"/>
      <c r="L53" s="75">
        <v>26048.26</v>
      </c>
      <c r="M53" s="75">
        <f t="shared" si="2"/>
        <v>26048.26</v>
      </c>
      <c r="N53" s="75">
        <f t="shared" si="18"/>
        <v>0</v>
      </c>
      <c r="O53" s="75">
        <f t="shared" si="45"/>
        <v>0</v>
      </c>
      <c r="P53" s="75">
        <f>G53*L53</f>
        <v>4011432.0399999996</v>
      </c>
      <c r="Q53" s="75">
        <f t="shared" si="4"/>
        <v>4011432.0399999996</v>
      </c>
      <c r="R53" s="75">
        <f t="shared" si="5"/>
        <v>4011432.0399999996</v>
      </c>
      <c r="S53" s="75">
        <f t="shared" si="6"/>
        <v>4011432.0399999996</v>
      </c>
    </row>
    <row r="54" spans="1:19">
      <c r="A54" s="116" t="s">
        <v>57</v>
      </c>
      <c r="B54" s="94"/>
      <c r="C54" s="94"/>
      <c r="D54" s="94"/>
      <c r="E54" s="92"/>
      <c r="F54" s="92"/>
      <c r="G54" s="92"/>
      <c r="H54" s="92"/>
      <c r="I54" s="92"/>
      <c r="J54" s="78"/>
      <c r="K54" s="78"/>
      <c r="L54" s="78"/>
      <c r="M54" s="78">
        <f t="shared" si="2"/>
        <v>0</v>
      </c>
      <c r="N54" s="78">
        <f>N55+N60</f>
        <v>4870179</v>
      </c>
      <c r="O54" s="78">
        <f t="shared" ref="O54:S54" si="48">O55+O60</f>
        <v>1352632.3</v>
      </c>
      <c r="P54" s="78">
        <f t="shared" si="48"/>
        <v>6113625.4000000004</v>
      </c>
      <c r="Q54" s="78">
        <f t="shared" si="48"/>
        <v>12336436.700000001</v>
      </c>
      <c r="R54" s="78">
        <f t="shared" si="48"/>
        <v>12336436.700000001</v>
      </c>
      <c r="S54" s="78">
        <f t="shared" si="48"/>
        <v>12336436.700000001</v>
      </c>
    </row>
    <row r="55" spans="1:19" ht="85.5">
      <c r="A55" s="83"/>
      <c r="B55" s="84" t="s">
        <v>76</v>
      </c>
      <c r="C55" s="84"/>
      <c r="D55" s="95"/>
      <c r="E55" s="68"/>
      <c r="F55" s="68"/>
      <c r="G55" s="68"/>
      <c r="H55" s="68"/>
      <c r="I55" s="68"/>
      <c r="J55" s="75"/>
      <c r="K55" s="75"/>
      <c r="L55" s="75"/>
      <c r="M55" s="75">
        <f t="shared" si="2"/>
        <v>0</v>
      </c>
      <c r="N55" s="75">
        <f>SUM(N56:N59)</f>
        <v>4870179</v>
      </c>
      <c r="O55" s="75">
        <f t="shared" ref="O55:S55" si="49">SUM(O56:O59)</f>
        <v>1352632.3</v>
      </c>
      <c r="P55" s="75">
        <f t="shared" si="49"/>
        <v>3118075.5</v>
      </c>
      <c r="Q55" s="75">
        <f t="shared" si="49"/>
        <v>9340886.8000000007</v>
      </c>
      <c r="R55" s="75">
        <f t="shared" si="49"/>
        <v>9340886.8000000007</v>
      </c>
      <c r="S55" s="75">
        <f t="shared" si="49"/>
        <v>9340886.8000000007</v>
      </c>
    </row>
    <row r="56" spans="1:19" ht="105">
      <c r="A56" s="83"/>
      <c r="B56" s="86" t="s">
        <v>19</v>
      </c>
      <c r="C56" s="83" t="s">
        <v>0</v>
      </c>
      <c r="D56" s="115" t="s">
        <v>20</v>
      </c>
      <c r="E56" s="87">
        <v>20</v>
      </c>
      <c r="F56" s="87">
        <v>20</v>
      </c>
      <c r="G56" s="87">
        <f t="shared" ref="G56:G60" si="50">(E56*8+F56*4)/12</f>
        <v>20</v>
      </c>
      <c r="H56" s="87">
        <v>20</v>
      </c>
      <c r="I56" s="87">
        <v>20</v>
      </c>
      <c r="J56" s="75">
        <v>41608.51</v>
      </c>
      <c r="K56" s="75">
        <v>11762.02</v>
      </c>
      <c r="L56" s="75">
        <v>27113.7</v>
      </c>
      <c r="M56" s="75">
        <f t="shared" si="2"/>
        <v>80484.23</v>
      </c>
      <c r="N56" s="75">
        <f>G56*J56</f>
        <v>832170.20000000007</v>
      </c>
      <c r="O56" s="75">
        <f>G56*K56</f>
        <v>235240.40000000002</v>
      </c>
      <c r="P56" s="75">
        <f>G56*L56</f>
        <v>542274</v>
      </c>
      <c r="Q56" s="75">
        <f t="shared" si="4"/>
        <v>1609684.6</v>
      </c>
      <c r="R56" s="75">
        <f t="shared" si="5"/>
        <v>1609684.5999999999</v>
      </c>
      <c r="S56" s="75">
        <f t="shared" si="6"/>
        <v>1609684.5999999999</v>
      </c>
    </row>
    <row r="57" spans="1:19">
      <c r="A57" s="88"/>
      <c r="B57" s="86" t="s">
        <v>24</v>
      </c>
      <c r="C57" s="86"/>
      <c r="D57" s="86" t="s">
        <v>20</v>
      </c>
      <c r="E57" s="87">
        <v>45</v>
      </c>
      <c r="F57" s="87">
        <v>45</v>
      </c>
      <c r="G57" s="87">
        <f t="shared" si="50"/>
        <v>45</v>
      </c>
      <c r="H57" s="87">
        <v>45</v>
      </c>
      <c r="I57" s="87">
        <v>45</v>
      </c>
      <c r="J57" s="75">
        <v>32991.18</v>
      </c>
      <c r="K57" s="75">
        <v>11762.02</v>
      </c>
      <c r="L57" s="75">
        <v>27113.7</v>
      </c>
      <c r="M57" s="75">
        <f t="shared" si="2"/>
        <v>71866.899999999994</v>
      </c>
      <c r="N57" s="75">
        <f>G57*J57</f>
        <v>1484603.1</v>
      </c>
      <c r="O57" s="75">
        <f t="shared" ref="O57:O60" si="51">G57*K57</f>
        <v>529290.9</v>
      </c>
      <c r="P57" s="75">
        <f t="shared" ref="P57:P59" si="52">G57*L57</f>
        <v>1220116.5</v>
      </c>
      <c r="Q57" s="75">
        <f t="shared" si="4"/>
        <v>3234010.5</v>
      </c>
      <c r="R57" s="75">
        <f t="shared" si="5"/>
        <v>3234010.4999999995</v>
      </c>
      <c r="S57" s="75">
        <f t="shared" si="6"/>
        <v>3234010.4999999995</v>
      </c>
    </row>
    <row r="58" spans="1:19" ht="75">
      <c r="A58" s="83"/>
      <c r="B58" s="95"/>
      <c r="C58" s="83" t="s">
        <v>78</v>
      </c>
      <c r="D58" s="115" t="s">
        <v>20</v>
      </c>
      <c r="E58" s="87">
        <v>95</v>
      </c>
      <c r="F58" s="87">
        <v>95</v>
      </c>
      <c r="G58" s="87">
        <f t="shared" si="50"/>
        <v>95</v>
      </c>
      <c r="H58" s="87">
        <v>95</v>
      </c>
      <c r="I58" s="87">
        <v>95</v>
      </c>
      <c r="J58" s="75">
        <v>1494.96</v>
      </c>
      <c r="K58" s="75"/>
      <c r="L58" s="75"/>
      <c r="M58" s="75">
        <f t="shared" si="2"/>
        <v>1494.96</v>
      </c>
      <c r="N58" s="75">
        <f t="shared" ref="N58:N60" si="53">G58*J58</f>
        <v>142021.20000000001</v>
      </c>
      <c r="O58" s="75">
        <f t="shared" si="51"/>
        <v>0</v>
      </c>
      <c r="P58" s="75">
        <f t="shared" si="52"/>
        <v>0</v>
      </c>
      <c r="Q58" s="75">
        <f t="shared" si="4"/>
        <v>142021.20000000001</v>
      </c>
      <c r="R58" s="75">
        <f t="shared" si="5"/>
        <v>142021.20000000001</v>
      </c>
      <c r="S58" s="75">
        <f t="shared" si="6"/>
        <v>142021.20000000001</v>
      </c>
    </row>
    <row r="59" spans="1:19" ht="120">
      <c r="A59" s="83"/>
      <c r="B59" s="86" t="s">
        <v>24</v>
      </c>
      <c r="C59" s="93" t="s">
        <v>162</v>
      </c>
      <c r="D59" s="115" t="s">
        <v>20</v>
      </c>
      <c r="E59" s="87">
        <v>50</v>
      </c>
      <c r="F59" s="87">
        <v>50</v>
      </c>
      <c r="G59" s="87">
        <f t="shared" si="50"/>
        <v>50</v>
      </c>
      <c r="H59" s="87">
        <v>50</v>
      </c>
      <c r="I59" s="87">
        <v>50</v>
      </c>
      <c r="J59" s="75">
        <v>48227.69</v>
      </c>
      <c r="K59" s="75" t="s">
        <v>163</v>
      </c>
      <c r="L59" s="75">
        <v>27113.7</v>
      </c>
      <c r="M59" s="75">
        <f t="shared" ref="M59" si="54">J59+K59+L59</f>
        <v>87103.41</v>
      </c>
      <c r="N59" s="75">
        <f t="shared" si="53"/>
        <v>2411384.5</v>
      </c>
      <c r="O59" s="75">
        <f t="shared" si="51"/>
        <v>588101</v>
      </c>
      <c r="P59" s="75">
        <f t="shared" si="52"/>
        <v>1355685</v>
      </c>
      <c r="Q59" s="75">
        <f t="shared" si="4"/>
        <v>4355170.5</v>
      </c>
      <c r="R59" s="75">
        <f t="shared" ref="R59" si="55">H59*M59</f>
        <v>4355170.5</v>
      </c>
      <c r="S59" s="75">
        <f t="shared" ref="S59" si="56">I59*M59</f>
        <v>4355170.5</v>
      </c>
    </row>
    <row r="60" spans="1:19">
      <c r="A60" s="86"/>
      <c r="B60" s="86" t="s">
        <v>28</v>
      </c>
      <c r="C60" s="86"/>
      <c r="D60" s="86" t="s">
        <v>20</v>
      </c>
      <c r="E60" s="87">
        <v>115</v>
      </c>
      <c r="F60" s="87">
        <v>115</v>
      </c>
      <c r="G60" s="87">
        <f t="shared" si="50"/>
        <v>115</v>
      </c>
      <c r="H60" s="87">
        <v>115</v>
      </c>
      <c r="I60" s="87">
        <v>115</v>
      </c>
      <c r="J60" s="75" t="s">
        <v>23</v>
      </c>
      <c r="K60" s="75"/>
      <c r="L60" s="75">
        <v>26048.26</v>
      </c>
      <c r="M60" s="75">
        <f t="shared" si="2"/>
        <v>26048.26</v>
      </c>
      <c r="N60" s="75">
        <f t="shared" si="53"/>
        <v>0</v>
      </c>
      <c r="O60" s="75">
        <f t="shared" si="51"/>
        <v>0</v>
      </c>
      <c r="P60" s="75">
        <f>G60*L60</f>
        <v>2995549.9</v>
      </c>
      <c r="Q60" s="75">
        <f t="shared" si="4"/>
        <v>2995549.9</v>
      </c>
      <c r="R60" s="75">
        <f t="shared" si="5"/>
        <v>2995549.9</v>
      </c>
      <c r="S60" s="75">
        <f t="shared" si="6"/>
        <v>2995549.9</v>
      </c>
    </row>
    <row r="61" spans="1:19">
      <c r="A61" s="116" t="s">
        <v>61</v>
      </c>
      <c r="B61" s="94"/>
      <c r="C61" s="94"/>
      <c r="D61" s="94"/>
      <c r="E61" s="92"/>
      <c r="F61" s="92"/>
      <c r="G61" s="92"/>
      <c r="H61" s="92"/>
      <c r="I61" s="92"/>
      <c r="J61" s="78"/>
      <c r="K61" s="78"/>
      <c r="L61" s="78"/>
      <c r="M61" s="78">
        <f t="shared" si="2"/>
        <v>0</v>
      </c>
      <c r="N61" s="78">
        <f>N62+N67</f>
        <v>9809330.2800000012</v>
      </c>
      <c r="O61" s="78">
        <f t="shared" ref="O61:S61" si="57">O62+O67</f>
        <v>2728788.64</v>
      </c>
      <c r="P61" s="78">
        <f t="shared" si="57"/>
        <v>12333574.719999999</v>
      </c>
      <c r="Q61" s="78">
        <f t="shared" si="57"/>
        <v>24871693.640000001</v>
      </c>
      <c r="R61" s="78">
        <f t="shared" si="57"/>
        <v>24873188.600000001</v>
      </c>
      <c r="S61" s="78">
        <f t="shared" si="57"/>
        <v>24873188.600000001</v>
      </c>
    </row>
    <row r="62" spans="1:19" ht="85.5">
      <c r="A62" s="83"/>
      <c r="B62" s="84" t="s">
        <v>76</v>
      </c>
      <c r="C62" s="84"/>
      <c r="D62" s="95"/>
      <c r="E62" s="68"/>
      <c r="F62" s="68"/>
      <c r="G62" s="68"/>
      <c r="H62" s="68"/>
      <c r="I62" s="68"/>
      <c r="J62" s="75"/>
      <c r="K62" s="75"/>
      <c r="L62" s="75"/>
      <c r="M62" s="75">
        <f t="shared" si="2"/>
        <v>0</v>
      </c>
      <c r="N62" s="75">
        <f>SUM(N63:N66)</f>
        <v>9809330.2800000012</v>
      </c>
      <c r="O62" s="75">
        <f t="shared" ref="O62:S62" si="58">SUM(O63:O66)</f>
        <v>2728788.64</v>
      </c>
      <c r="P62" s="75">
        <f t="shared" si="58"/>
        <v>6290378.4000000004</v>
      </c>
      <c r="Q62" s="75">
        <f t="shared" si="58"/>
        <v>18828497.32</v>
      </c>
      <c r="R62" s="75">
        <f t="shared" si="58"/>
        <v>18829992.280000001</v>
      </c>
      <c r="S62" s="75">
        <f t="shared" si="58"/>
        <v>18829992.280000001</v>
      </c>
    </row>
    <row r="63" spans="1:19" ht="105">
      <c r="A63" s="83"/>
      <c r="B63" s="86" t="s">
        <v>19</v>
      </c>
      <c r="C63" s="83" t="s">
        <v>0</v>
      </c>
      <c r="D63" s="115" t="s">
        <v>20</v>
      </c>
      <c r="E63" s="87">
        <v>40</v>
      </c>
      <c r="F63" s="87">
        <v>40</v>
      </c>
      <c r="G63" s="87">
        <f t="shared" ref="G63:G66" si="59">(E63*8+F63*4)/12</f>
        <v>40</v>
      </c>
      <c r="H63" s="87">
        <v>40</v>
      </c>
      <c r="I63" s="87">
        <v>40</v>
      </c>
      <c r="J63" s="75">
        <v>41608.51</v>
      </c>
      <c r="K63" s="75">
        <v>11762.02</v>
      </c>
      <c r="L63" s="75">
        <v>27113.7</v>
      </c>
      <c r="M63" s="75">
        <f t="shared" si="2"/>
        <v>80484.23</v>
      </c>
      <c r="N63" s="75">
        <f>G63*J63</f>
        <v>1664340.4000000001</v>
      </c>
      <c r="O63" s="75">
        <f>G63*K63</f>
        <v>470480.80000000005</v>
      </c>
      <c r="P63" s="75">
        <f>G63*L63</f>
        <v>1084548</v>
      </c>
      <c r="Q63" s="75">
        <f t="shared" si="4"/>
        <v>3219369.2</v>
      </c>
      <c r="R63" s="75">
        <f t="shared" si="5"/>
        <v>3219369.1999999997</v>
      </c>
      <c r="S63" s="75">
        <f t="shared" si="6"/>
        <v>3219369.1999999997</v>
      </c>
    </row>
    <row r="64" spans="1:19">
      <c r="A64" s="88"/>
      <c r="B64" s="86" t="s">
        <v>24</v>
      </c>
      <c r="C64" s="86"/>
      <c r="D64" s="86" t="s">
        <v>20</v>
      </c>
      <c r="E64" s="87">
        <v>92</v>
      </c>
      <c r="F64" s="87">
        <v>92</v>
      </c>
      <c r="G64" s="87">
        <f t="shared" si="59"/>
        <v>92</v>
      </c>
      <c r="H64" s="87">
        <v>92</v>
      </c>
      <c r="I64" s="87">
        <v>92</v>
      </c>
      <c r="J64" s="75">
        <v>32991.18</v>
      </c>
      <c r="K64" s="75">
        <v>11762.02</v>
      </c>
      <c r="L64" s="75">
        <v>27113.7</v>
      </c>
      <c r="M64" s="75">
        <f t="shared" si="2"/>
        <v>71866.899999999994</v>
      </c>
      <c r="N64" s="75">
        <f t="shared" ref="N64:N67" si="60">G64*J64</f>
        <v>3035188.56</v>
      </c>
      <c r="O64" s="75">
        <f t="shared" ref="O64:O67" si="61">G64*K64</f>
        <v>1082105.8400000001</v>
      </c>
      <c r="P64" s="75">
        <f t="shared" ref="P64:P66" si="62">G64*L64</f>
        <v>2494460.4</v>
      </c>
      <c r="Q64" s="75">
        <f t="shared" si="4"/>
        <v>6611754.8000000007</v>
      </c>
      <c r="R64" s="75">
        <f t="shared" si="5"/>
        <v>6611754.7999999998</v>
      </c>
      <c r="S64" s="75">
        <f t="shared" si="6"/>
        <v>6611754.7999999998</v>
      </c>
    </row>
    <row r="65" spans="1:19" ht="120">
      <c r="A65" s="88"/>
      <c r="B65" s="86" t="s">
        <v>24</v>
      </c>
      <c r="C65" s="112" t="s">
        <v>162</v>
      </c>
      <c r="D65" s="115" t="s">
        <v>20</v>
      </c>
      <c r="E65" s="87">
        <v>100</v>
      </c>
      <c r="F65" s="87">
        <v>100</v>
      </c>
      <c r="G65" s="87">
        <f t="shared" si="59"/>
        <v>100</v>
      </c>
      <c r="H65" s="87">
        <v>100</v>
      </c>
      <c r="I65" s="87">
        <v>100</v>
      </c>
      <c r="J65" s="75">
        <v>48227.69</v>
      </c>
      <c r="K65" s="75" t="s">
        <v>163</v>
      </c>
      <c r="L65" s="75">
        <v>27113.7</v>
      </c>
      <c r="M65" s="75">
        <f t="shared" si="2"/>
        <v>87103.41</v>
      </c>
      <c r="N65" s="75">
        <f t="shared" si="60"/>
        <v>4822769</v>
      </c>
      <c r="O65" s="75">
        <f t="shared" si="61"/>
        <v>1176202</v>
      </c>
      <c r="P65" s="75">
        <f t="shared" si="62"/>
        <v>2711370</v>
      </c>
      <c r="Q65" s="75">
        <f t="shared" si="4"/>
        <v>8710341</v>
      </c>
      <c r="R65" s="75">
        <f t="shared" si="5"/>
        <v>8710341</v>
      </c>
      <c r="S65" s="75">
        <f t="shared" si="6"/>
        <v>8710341</v>
      </c>
    </row>
    <row r="66" spans="1:19" ht="75">
      <c r="A66" s="83"/>
      <c r="B66" s="95"/>
      <c r="C66" s="83" t="s">
        <v>78</v>
      </c>
      <c r="D66" s="115" t="s">
        <v>20</v>
      </c>
      <c r="E66" s="87">
        <v>192</v>
      </c>
      <c r="F66" s="87">
        <v>192</v>
      </c>
      <c r="G66" s="87">
        <f t="shared" si="59"/>
        <v>192</v>
      </c>
      <c r="H66" s="87">
        <v>193</v>
      </c>
      <c r="I66" s="87">
        <v>193</v>
      </c>
      <c r="J66" s="75">
        <v>1494.96</v>
      </c>
      <c r="K66" s="75"/>
      <c r="L66" s="75"/>
      <c r="M66" s="75">
        <f t="shared" si="2"/>
        <v>1494.96</v>
      </c>
      <c r="N66" s="75">
        <f t="shared" si="60"/>
        <v>287032.32000000001</v>
      </c>
      <c r="O66" s="75">
        <f t="shared" si="61"/>
        <v>0</v>
      </c>
      <c r="P66" s="75">
        <f t="shared" si="62"/>
        <v>0</v>
      </c>
      <c r="Q66" s="75">
        <f t="shared" si="4"/>
        <v>287032.32000000001</v>
      </c>
      <c r="R66" s="75">
        <f t="shared" si="5"/>
        <v>288527.28000000003</v>
      </c>
      <c r="S66" s="75">
        <f t="shared" si="6"/>
        <v>288527.28000000003</v>
      </c>
    </row>
    <row r="67" spans="1:19">
      <c r="A67" s="86"/>
      <c r="B67" s="86" t="s">
        <v>28</v>
      </c>
      <c r="C67" s="86"/>
      <c r="D67" s="86" t="s">
        <v>20</v>
      </c>
      <c r="E67" s="87">
        <v>232</v>
      </c>
      <c r="F67" s="87">
        <v>232</v>
      </c>
      <c r="G67" s="87">
        <f t="shared" ref="G67" si="63">(E67*8+F67*4)/12</f>
        <v>232</v>
      </c>
      <c r="H67" s="87">
        <v>232</v>
      </c>
      <c r="I67" s="87">
        <v>232</v>
      </c>
      <c r="J67" s="75" t="s">
        <v>23</v>
      </c>
      <c r="K67" s="75"/>
      <c r="L67" s="75">
        <v>26048.26</v>
      </c>
      <c r="M67" s="75">
        <f t="shared" si="2"/>
        <v>26048.26</v>
      </c>
      <c r="N67" s="75">
        <f t="shared" si="60"/>
        <v>0</v>
      </c>
      <c r="O67" s="75">
        <f t="shared" si="61"/>
        <v>0</v>
      </c>
      <c r="P67" s="75">
        <f>G67*L67</f>
        <v>6043196.3199999994</v>
      </c>
      <c r="Q67" s="75">
        <f t="shared" si="4"/>
        <v>6043196.3199999994</v>
      </c>
      <c r="R67" s="75">
        <f t="shared" si="5"/>
        <v>6043196.3199999994</v>
      </c>
      <c r="S67" s="75">
        <f t="shared" si="6"/>
        <v>6043196.3199999994</v>
      </c>
    </row>
    <row r="68" spans="1:19">
      <c r="A68" s="116" t="s">
        <v>65</v>
      </c>
      <c r="B68" s="94"/>
      <c r="C68" s="94"/>
      <c r="D68" s="94"/>
      <c r="E68" s="92"/>
      <c r="F68" s="92"/>
      <c r="G68" s="92"/>
      <c r="H68" s="92"/>
      <c r="I68" s="92"/>
      <c r="J68" s="78"/>
      <c r="K68" s="78"/>
      <c r="L68" s="78"/>
      <c r="M68" s="78">
        <f t="shared" si="2"/>
        <v>0</v>
      </c>
      <c r="N68" s="78">
        <f>N69+N73</f>
        <v>5172024.5500000007</v>
      </c>
      <c r="O68" s="78">
        <f t="shared" ref="O68:S68" si="64">O69+O73</f>
        <v>1646682.8000000003</v>
      </c>
      <c r="P68" s="78">
        <f t="shared" si="64"/>
        <v>7442674.4000000004</v>
      </c>
      <c r="Q68" s="78">
        <f t="shared" si="64"/>
        <v>14261381.75</v>
      </c>
      <c r="R68" s="78">
        <f t="shared" si="64"/>
        <v>14261381.75</v>
      </c>
      <c r="S68" s="78">
        <f t="shared" si="64"/>
        <v>14261381.75</v>
      </c>
    </row>
    <row r="69" spans="1:19" ht="85.5">
      <c r="A69" s="83"/>
      <c r="B69" s="84" t="s">
        <v>76</v>
      </c>
      <c r="C69" s="84"/>
      <c r="D69" s="95"/>
      <c r="E69" s="68"/>
      <c r="F69" s="68"/>
      <c r="G69" s="68"/>
      <c r="H69" s="68"/>
      <c r="I69" s="68"/>
      <c r="J69" s="75"/>
      <c r="K69" s="75"/>
      <c r="L69" s="75"/>
      <c r="M69" s="75">
        <f t="shared" si="2"/>
        <v>0</v>
      </c>
      <c r="N69" s="75">
        <f>SUM(N70:N72)</f>
        <v>5172024.5500000007</v>
      </c>
      <c r="O69" s="75">
        <f t="shared" ref="O69:S69" si="65">SUM(O70:O72)</f>
        <v>1646682.8000000003</v>
      </c>
      <c r="P69" s="75">
        <f t="shared" si="65"/>
        <v>3795918</v>
      </c>
      <c r="Q69" s="75">
        <f t="shared" si="65"/>
        <v>10614625.35</v>
      </c>
      <c r="R69" s="75">
        <f t="shared" si="65"/>
        <v>10614625.35</v>
      </c>
      <c r="S69" s="75">
        <f t="shared" si="65"/>
        <v>10614625.35</v>
      </c>
    </row>
    <row r="70" spans="1:19" ht="105">
      <c r="A70" s="83"/>
      <c r="B70" s="86" t="s">
        <v>19</v>
      </c>
      <c r="C70" s="83" t="s">
        <v>0</v>
      </c>
      <c r="D70" s="86" t="s">
        <v>20</v>
      </c>
      <c r="E70" s="87">
        <v>20</v>
      </c>
      <c r="F70" s="87">
        <v>20</v>
      </c>
      <c r="G70" s="87">
        <f t="shared" ref="G70:G73" si="66">(E70*8+F70*4)/12</f>
        <v>20</v>
      </c>
      <c r="H70" s="87">
        <v>20</v>
      </c>
      <c r="I70" s="87">
        <v>20</v>
      </c>
      <c r="J70" s="75">
        <v>41608.51</v>
      </c>
      <c r="K70" s="75">
        <v>11762.02</v>
      </c>
      <c r="L70" s="75">
        <v>27113.7</v>
      </c>
      <c r="M70" s="75">
        <f t="shared" si="2"/>
        <v>80484.23</v>
      </c>
      <c r="N70" s="75">
        <f>G70*J70</f>
        <v>832170.20000000007</v>
      </c>
      <c r="O70" s="75">
        <f>G70*K70</f>
        <v>235240.40000000002</v>
      </c>
      <c r="P70" s="75">
        <f>G70*L70</f>
        <v>542274</v>
      </c>
      <c r="Q70" s="75">
        <f t="shared" si="4"/>
        <v>1609684.6</v>
      </c>
      <c r="R70" s="75">
        <f t="shared" si="5"/>
        <v>1609684.5999999999</v>
      </c>
      <c r="S70" s="75">
        <f t="shared" si="6"/>
        <v>1609684.5999999999</v>
      </c>
    </row>
    <row r="71" spans="1:19">
      <c r="A71" s="88"/>
      <c r="B71" s="86" t="s">
        <v>24</v>
      </c>
      <c r="C71" s="86"/>
      <c r="D71" s="86" t="s">
        <v>20</v>
      </c>
      <c r="E71" s="87">
        <v>95</v>
      </c>
      <c r="F71" s="87">
        <v>95</v>
      </c>
      <c r="G71" s="87">
        <f t="shared" si="66"/>
        <v>95</v>
      </c>
      <c r="H71" s="87">
        <v>95</v>
      </c>
      <c r="I71" s="87">
        <v>95</v>
      </c>
      <c r="J71" s="75">
        <v>32991.18</v>
      </c>
      <c r="K71" s="75">
        <v>11762.02</v>
      </c>
      <c r="L71" s="75">
        <v>27113.7</v>
      </c>
      <c r="M71" s="75">
        <f t="shared" si="2"/>
        <v>71866.899999999994</v>
      </c>
      <c r="N71" s="75">
        <f t="shared" ref="N71:N73" si="67">G71*J71</f>
        <v>3134162.1</v>
      </c>
      <c r="O71" s="75">
        <f t="shared" ref="O71:O73" si="68">G71*K71</f>
        <v>1117391.9000000001</v>
      </c>
      <c r="P71" s="75">
        <f t="shared" ref="P71:P72" si="69">G71*L71</f>
        <v>2575801.5</v>
      </c>
      <c r="Q71" s="75">
        <f t="shared" si="4"/>
        <v>6827355.5</v>
      </c>
      <c r="R71" s="75">
        <f t="shared" si="5"/>
        <v>6827355.4999999991</v>
      </c>
      <c r="S71" s="75">
        <f t="shared" si="6"/>
        <v>6827355.4999999991</v>
      </c>
    </row>
    <row r="72" spans="1:19" ht="120">
      <c r="A72" s="88"/>
      <c r="B72" s="86" t="s">
        <v>24</v>
      </c>
      <c r="C72" s="112" t="s">
        <v>162</v>
      </c>
      <c r="D72" s="115" t="s">
        <v>20</v>
      </c>
      <c r="E72" s="87">
        <v>25</v>
      </c>
      <c r="F72" s="87">
        <v>25</v>
      </c>
      <c r="G72" s="87">
        <f t="shared" si="66"/>
        <v>25</v>
      </c>
      <c r="H72" s="87">
        <v>25</v>
      </c>
      <c r="I72" s="87">
        <v>25</v>
      </c>
      <c r="J72" s="75">
        <v>48227.69</v>
      </c>
      <c r="K72" s="75" t="s">
        <v>163</v>
      </c>
      <c r="L72" s="75">
        <v>27113.7</v>
      </c>
      <c r="M72" s="75">
        <f t="shared" ref="M72" si="70">J72+K72+L72</f>
        <v>87103.41</v>
      </c>
      <c r="N72" s="75">
        <f t="shared" si="67"/>
        <v>1205692.25</v>
      </c>
      <c r="O72" s="75">
        <f t="shared" si="68"/>
        <v>294050.5</v>
      </c>
      <c r="P72" s="75">
        <f t="shared" si="69"/>
        <v>677842.5</v>
      </c>
      <c r="Q72" s="75">
        <f t="shared" ref="Q72" si="71">SUM(N72:P72)</f>
        <v>2177585.25</v>
      </c>
      <c r="R72" s="75">
        <f t="shared" ref="R72" si="72">H72*M72</f>
        <v>2177585.25</v>
      </c>
      <c r="S72" s="75">
        <f t="shared" ref="S72" si="73">I72*M72</f>
        <v>2177585.25</v>
      </c>
    </row>
    <row r="73" spans="1:19">
      <c r="A73" s="86"/>
      <c r="B73" s="86" t="s">
        <v>28</v>
      </c>
      <c r="C73" s="86"/>
      <c r="D73" s="86" t="s">
        <v>20</v>
      </c>
      <c r="E73" s="87">
        <v>140</v>
      </c>
      <c r="F73" s="87">
        <v>140</v>
      </c>
      <c r="G73" s="87">
        <f t="shared" si="66"/>
        <v>140</v>
      </c>
      <c r="H73" s="87" t="s">
        <v>67</v>
      </c>
      <c r="I73" s="87" t="s">
        <v>67</v>
      </c>
      <c r="J73" s="75" t="s">
        <v>23</v>
      </c>
      <c r="K73" s="75"/>
      <c r="L73" s="75">
        <v>26048.26</v>
      </c>
      <c r="M73" s="75">
        <f t="shared" si="2"/>
        <v>26048.26</v>
      </c>
      <c r="N73" s="75">
        <f t="shared" si="67"/>
        <v>0</v>
      </c>
      <c r="O73" s="75">
        <f t="shared" si="68"/>
        <v>0</v>
      </c>
      <c r="P73" s="75">
        <f>G73*L73</f>
        <v>3646756.4</v>
      </c>
      <c r="Q73" s="75">
        <f t="shared" si="4"/>
        <v>3646756.4</v>
      </c>
      <c r="R73" s="75">
        <f t="shared" si="5"/>
        <v>3646756.4</v>
      </c>
      <c r="S73" s="75">
        <f t="shared" si="6"/>
        <v>3646756.4</v>
      </c>
    </row>
    <row r="74" spans="1:19">
      <c r="A74" s="116" t="s">
        <v>68</v>
      </c>
      <c r="B74" s="94"/>
      <c r="C74" s="94"/>
      <c r="D74" s="94"/>
      <c r="E74" s="92"/>
      <c r="F74" s="92"/>
      <c r="G74" s="92"/>
      <c r="H74" s="92"/>
      <c r="I74" s="92"/>
      <c r="J74" s="78"/>
      <c r="K74" s="78"/>
      <c r="L74" s="78"/>
      <c r="M74" s="78">
        <f t="shared" si="2"/>
        <v>0</v>
      </c>
      <c r="N74" s="78">
        <f>N75+N79</f>
        <v>5172024.5500000007</v>
      </c>
      <c r="O74" s="78">
        <f t="shared" ref="O74:S74" si="74">O75+O79</f>
        <v>1646682.8000000003</v>
      </c>
      <c r="P74" s="78">
        <f t="shared" si="74"/>
        <v>7442674.4000000004</v>
      </c>
      <c r="Q74" s="78">
        <f t="shared" si="74"/>
        <v>14261381.75</v>
      </c>
      <c r="R74" s="78">
        <f t="shared" si="74"/>
        <v>14261381.75</v>
      </c>
      <c r="S74" s="78">
        <f t="shared" si="74"/>
        <v>14261381.75</v>
      </c>
    </row>
    <row r="75" spans="1:19" ht="85.5">
      <c r="A75" s="83"/>
      <c r="B75" s="84" t="s">
        <v>76</v>
      </c>
      <c r="C75" s="84"/>
      <c r="D75" s="95"/>
      <c r="E75" s="68"/>
      <c r="F75" s="68"/>
      <c r="G75" s="68"/>
      <c r="H75" s="68"/>
      <c r="I75" s="68"/>
      <c r="J75" s="75"/>
      <c r="K75" s="75"/>
      <c r="L75" s="75"/>
      <c r="M75" s="75">
        <f t="shared" si="2"/>
        <v>0</v>
      </c>
      <c r="N75" s="75">
        <f>SUM(N76:N78)</f>
        <v>5172024.5500000007</v>
      </c>
      <c r="O75" s="75">
        <f t="shared" ref="O75:S75" si="75">SUM(O76:O78)</f>
        <v>1646682.8000000003</v>
      </c>
      <c r="P75" s="75">
        <f t="shared" si="75"/>
        <v>3795918</v>
      </c>
      <c r="Q75" s="75">
        <f t="shared" si="75"/>
        <v>10614625.35</v>
      </c>
      <c r="R75" s="75">
        <f t="shared" si="75"/>
        <v>10614625.35</v>
      </c>
      <c r="S75" s="75">
        <f t="shared" si="75"/>
        <v>10614625.35</v>
      </c>
    </row>
    <row r="76" spans="1:19" ht="105">
      <c r="A76" s="83"/>
      <c r="B76" s="86" t="s">
        <v>19</v>
      </c>
      <c r="C76" s="83" t="s">
        <v>0</v>
      </c>
      <c r="D76" s="115" t="s">
        <v>20</v>
      </c>
      <c r="E76" s="87">
        <v>20</v>
      </c>
      <c r="F76" s="87">
        <v>20</v>
      </c>
      <c r="G76" s="87">
        <f t="shared" ref="G76:G79" si="76">(E76*8+F76*4)/12</f>
        <v>20</v>
      </c>
      <c r="H76" s="87">
        <v>20</v>
      </c>
      <c r="I76" s="87">
        <v>20</v>
      </c>
      <c r="J76" s="75">
        <v>41608.51</v>
      </c>
      <c r="K76" s="75">
        <v>11762.02</v>
      </c>
      <c r="L76" s="75">
        <v>27113.7</v>
      </c>
      <c r="M76" s="75">
        <f t="shared" si="2"/>
        <v>80484.23</v>
      </c>
      <c r="N76" s="75">
        <f>G76*J76</f>
        <v>832170.20000000007</v>
      </c>
      <c r="O76" s="75">
        <f>G76*K76</f>
        <v>235240.40000000002</v>
      </c>
      <c r="P76" s="75">
        <f>G76*L76</f>
        <v>542274</v>
      </c>
      <c r="Q76" s="75">
        <f t="shared" si="4"/>
        <v>1609684.6</v>
      </c>
      <c r="R76" s="75">
        <f t="shared" si="5"/>
        <v>1609684.5999999999</v>
      </c>
      <c r="S76" s="75">
        <f t="shared" si="6"/>
        <v>1609684.5999999999</v>
      </c>
    </row>
    <row r="77" spans="1:19">
      <c r="A77" s="88"/>
      <c r="B77" s="86" t="s">
        <v>24</v>
      </c>
      <c r="C77" s="86"/>
      <c r="D77" s="86" t="s">
        <v>20</v>
      </c>
      <c r="E77" s="87">
        <v>95</v>
      </c>
      <c r="F77" s="87">
        <v>95</v>
      </c>
      <c r="G77" s="87">
        <f t="shared" si="76"/>
        <v>95</v>
      </c>
      <c r="H77" s="87">
        <v>95</v>
      </c>
      <c r="I77" s="87">
        <v>95</v>
      </c>
      <c r="J77" s="75">
        <v>32991.18</v>
      </c>
      <c r="K77" s="75">
        <v>11762.02</v>
      </c>
      <c r="L77" s="75">
        <v>27113.7</v>
      </c>
      <c r="M77" s="75">
        <f t="shared" si="2"/>
        <v>71866.899999999994</v>
      </c>
      <c r="N77" s="75">
        <f t="shared" ref="N77:N79" si="77">G77*J77</f>
        <v>3134162.1</v>
      </c>
      <c r="O77" s="75">
        <f t="shared" ref="O77:O79" si="78">G77*K77</f>
        <v>1117391.9000000001</v>
      </c>
      <c r="P77" s="75">
        <f t="shared" ref="P77:P78" si="79">G77*L77</f>
        <v>2575801.5</v>
      </c>
      <c r="Q77" s="75">
        <f t="shared" si="4"/>
        <v>6827355.5</v>
      </c>
      <c r="R77" s="75">
        <f t="shared" si="5"/>
        <v>6827355.4999999991</v>
      </c>
      <c r="S77" s="75">
        <f t="shared" si="6"/>
        <v>6827355.4999999991</v>
      </c>
    </row>
    <row r="78" spans="1:19" ht="120">
      <c r="A78" s="88"/>
      <c r="B78" s="86" t="s">
        <v>24</v>
      </c>
      <c r="C78" s="93" t="s">
        <v>162</v>
      </c>
      <c r="D78" s="115" t="s">
        <v>20</v>
      </c>
      <c r="E78" s="87">
        <v>25</v>
      </c>
      <c r="F78" s="87">
        <v>25</v>
      </c>
      <c r="G78" s="87">
        <f t="shared" si="76"/>
        <v>25</v>
      </c>
      <c r="H78" s="87">
        <v>25</v>
      </c>
      <c r="I78" s="87">
        <v>25</v>
      </c>
      <c r="J78" s="75">
        <v>48227.69</v>
      </c>
      <c r="K78" s="75" t="s">
        <v>163</v>
      </c>
      <c r="L78" s="75">
        <v>27113.7</v>
      </c>
      <c r="M78" s="75">
        <f t="shared" si="2"/>
        <v>87103.41</v>
      </c>
      <c r="N78" s="75">
        <f t="shared" si="77"/>
        <v>1205692.25</v>
      </c>
      <c r="O78" s="75">
        <f t="shared" si="78"/>
        <v>294050.5</v>
      </c>
      <c r="P78" s="75">
        <f t="shared" si="79"/>
        <v>677842.5</v>
      </c>
      <c r="Q78" s="75">
        <f t="shared" si="4"/>
        <v>2177585.25</v>
      </c>
      <c r="R78" s="75">
        <f t="shared" si="5"/>
        <v>2177585.25</v>
      </c>
      <c r="S78" s="75">
        <f t="shared" si="6"/>
        <v>2177585.25</v>
      </c>
    </row>
    <row r="79" spans="1:19">
      <c r="A79" s="86"/>
      <c r="B79" s="86" t="s">
        <v>28</v>
      </c>
      <c r="C79" s="86"/>
      <c r="D79" s="86" t="s">
        <v>20</v>
      </c>
      <c r="E79" s="87">
        <v>140</v>
      </c>
      <c r="F79" s="87">
        <v>140</v>
      </c>
      <c r="G79" s="87">
        <f t="shared" si="76"/>
        <v>140</v>
      </c>
      <c r="H79" s="87" t="s">
        <v>67</v>
      </c>
      <c r="I79" s="87" t="s">
        <v>67</v>
      </c>
      <c r="J79" s="75" t="s">
        <v>23</v>
      </c>
      <c r="K79" s="75"/>
      <c r="L79" s="75">
        <v>26048.26</v>
      </c>
      <c r="M79" s="75">
        <f t="shared" si="2"/>
        <v>26048.26</v>
      </c>
      <c r="N79" s="75">
        <f t="shared" si="77"/>
        <v>0</v>
      </c>
      <c r="O79" s="75">
        <f t="shared" si="78"/>
        <v>0</v>
      </c>
      <c r="P79" s="75">
        <f>G79*L79</f>
        <v>3646756.4</v>
      </c>
      <c r="Q79" s="75">
        <f t="shared" si="4"/>
        <v>3646756.4</v>
      </c>
      <c r="R79" s="75">
        <f t="shared" si="5"/>
        <v>3646756.4</v>
      </c>
      <c r="S79" s="75">
        <f t="shared" si="6"/>
        <v>3646756.4</v>
      </c>
    </row>
    <row r="80" spans="1:19" s="96" customFormat="1" ht="14.25">
      <c r="A80" s="116" t="s">
        <v>71</v>
      </c>
      <c r="B80" s="94"/>
      <c r="C80" s="94"/>
      <c r="D80" s="94"/>
      <c r="E80" s="92"/>
      <c r="F80" s="92"/>
      <c r="G80" s="92"/>
      <c r="H80" s="92"/>
      <c r="I80" s="92"/>
      <c r="J80" s="78"/>
      <c r="K80" s="78"/>
      <c r="L80" s="78"/>
      <c r="M80" s="78">
        <f t="shared" si="2"/>
        <v>0</v>
      </c>
      <c r="N80" s="78">
        <f>N81+N85</f>
        <v>9347178.1000000015</v>
      </c>
      <c r="O80" s="78">
        <f t="shared" ref="O80:S80" si="80">O81+O85</f>
        <v>2858170.8600000003</v>
      </c>
      <c r="P80" s="78">
        <f t="shared" si="80"/>
        <v>12918356.280000001</v>
      </c>
      <c r="Q80" s="78">
        <f t="shared" si="80"/>
        <v>25123705.240000002</v>
      </c>
      <c r="R80" s="78">
        <f t="shared" si="80"/>
        <v>25123705.239999998</v>
      </c>
      <c r="S80" s="78">
        <f t="shared" si="80"/>
        <v>25123705.239999998</v>
      </c>
    </row>
    <row r="81" spans="1:19" ht="85.5">
      <c r="A81" s="83"/>
      <c r="B81" s="84" t="s">
        <v>76</v>
      </c>
      <c r="C81" s="84"/>
      <c r="D81" s="95"/>
      <c r="E81" s="68"/>
      <c r="F81" s="68"/>
      <c r="G81" s="68"/>
      <c r="H81" s="68"/>
      <c r="I81" s="68"/>
      <c r="J81" s="75"/>
      <c r="K81" s="75"/>
      <c r="L81" s="75"/>
      <c r="M81" s="75">
        <f t="shared" ref="M81:M85" si="81">J81+K81+L81</f>
        <v>0</v>
      </c>
      <c r="N81" s="75">
        <f>SUM(N82:N84)</f>
        <v>9347178.1000000015</v>
      </c>
      <c r="O81" s="75">
        <f t="shared" ref="O81:S81" si="82">SUM(O82:O84)</f>
        <v>2858170.8600000003</v>
      </c>
      <c r="P81" s="75">
        <f t="shared" si="82"/>
        <v>6588629.1000000006</v>
      </c>
      <c r="Q81" s="75">
        <f t="shared" si="82"/>
        <v>18793978.060000002</v>
      </c>
      <c r="R81" s="75">
        <f t="shared" si="82"/>
        <v>18793978.059999999</v>
      </c>
      <c r="S81" s="75">
        <f t="shared" si="82"/>
        <v>18793978.059999999</v>
      </c>
    </row>
    <row r="82" spans="1:19" ht="105">
      <c r="A82" s="83"/>
      <c r="B82" s="86" t="s">
        <v>19</v>
      </c>
      <c r="C82" s="83" t="s">
        <v>0</v>
      </c>
      <c r="D82" s="115" t="s">
        <v>20</v>
      </c>
      <c r="E82" s="87">
        <v>20</v>
      </c>
      <c r="F82" s="87">
        <v>20</v>
      </c>
      <c r="G82" s="87">
        <f t="shared" ref="G82:G85" si="83">(E82*8+F82*4)/12</f>
        <v>20</v>
      </c>
      <c r="H82" s="87">
        <v>20</v>
      </c>
      <c r="I82" s="87">
        <v>20</v>
      </c>
      <c r="J82" s="75">
        <v>41608.51</v>
      </c>
      <c r="K82" s="75">
        <v>11762.02</v>
      </c>
      <c r="L82" s="75">
        <v>27113.7</v>
      </c>
      <c r="M82" s="75">
        <f t="shared" si="81"/>
        <v>80484.23</v>
      </c>
      <c r="N82" s="75">
        <f>G82*J82</f>
        <v>832170.20000000007</v>
      </c>
      <c r="O82" s="75">
        <f>G82*K82</f>
        <v>235240.40000000002</v>
      </c>
      <c r="P82" s="75">
        <f>G82*L82</f>
        <v>542274</v>
      </c>
      <c r="Q82" s="75">
        <f t="shared" ref="Q82:Q85" si="84">SUM(N82:P82)</f>
        <v>1609684.6</v>
      </c>
      <c r="R82" s="75">
        <f t="shared" ref="R82:R85" si="85">H82*M82</f>
        <v>1609684.5999999999</v>
      </c>
      <c r="S82" s="75">
        <f t="shared" ref="S82:S85" si="86">I82*M82</f>
        <v>1609684.5999999999</v>
      </c>
    </row>
    <row r="83" spans="1:19">
      <c r="A83" s="88"/>
      <c r="B83" s="86" t="s">
        <v>24</v>
      </c>
      <c r="C83" s="86"/>
      <c r="D83" s="86" t="s">
        <v>20</v>
      </c>
      <c r="E83" s="87">
        <v>147</v>
      </c>
      <c r="F83" s="87">
        <v>147</v>
      </c>
      <c r="G83" s="87">
        <f t="shared" si="83"/>
        <v>147</v>
      </c>
      <c r="H83" s="87">
        <v>147</v>
      </c>
      <c r="I83" s="87">
        <v>147</v>
      </c>
      <c r="J83" s="75">
        <v>32991.18</v>
      </c>
      <c r="K83" s="75">
        <v>11762.02</v>
      </c>
      <c r="L83" s="75">
        <v>27113.7</v>
      </c>
      <c r="M83" s="75">
        <f t="shared" si="81"/>
        <v>71866.899999999994</v>
      </c>
      <c r="N83" s="75">
        <f t="shared" ref="N83:N85" si="87">G83*J83</f>
        <v>4849703.46</v>
      </c>
      <c r="O83" s="75">
        <f t="shared" ref="O83:O85" si="88">G83*K83</f>
        <v>1729016.9400000002</v>
      </c>
      <c r="P83" s="75">
        <f t="shared" ref="P83:P84" si="89">G83*L83</f>
        <v>3985713.9</v>
      </c>
      <c r="Q83" s="75">
        <f t="shared" si="84"/>
        <v>10564434.300000001</v>
      </c>
      <c r="R83" s="75">
        <f t="shared" si="85"/>
        <v>10564434.299999999</v>
      </c>
      <c r="S83" s="75">
        <f t="shared" si="86"/>
        <v>10564434.299999999</v>
      </c>
    </row>
    <row r="84" spans="1:19" ht="120">
      <c r="A84" s="88"/>
      <c r="B84" s="86" t="s">
        <v>24</v>
      </c>
      <c r="C84" s="83" t="s">
        <v>162</v>
      </c>
      <c r="D84" s="115" t="s">
        <v>20</v>
      </c>
      <c r="E84" s="87">
        <v>76</v>
      </c>
      <c r="F84" s="87">
        <v>76</v>
      </c>
      <c r="G84" s="87">
        <f t="shared" si="83"/>
        <v>76</v>
      </c>
      <c r="H84" s="87">
        <v>76</v>
      </c>
      <c r="I84" s="87">
        <v>76</v>
      </c>
      <c r="J84" s="75">
        <v>48227.69</v>
      </c>
      <c r="K84" s="75" t="s">
        <v>163</v>
      </c>
      <c r="L84" s="75">
        <v>27113.7</v>
      </c>
      <c r="M84" s="75">
        <f t="shared" si="81"/>
        <v>87103.41</v>
      </c>
      <c r="N84" s="75">
        <f t="shared" si="87"/>
        <v>3665304.4400000004</v>
      </c>
      <c r="O84" s="75">
        <f t="shared" si="88"/>
        <v>893913.52</v>
      </c>
      <c r="P84" s="75">
        <f t="shared" si="89"/>
        <v>2060641.2</v>
      </c>
      <c r="Q84" s="75">
        <f t="shared" si="84"/>
        <v>6619859.1600000011</v>
      </c>
      <c r="R84" s="75">
        <f t="shared" si="85"/>
        <v>6619859.1600000001</v>
      </c>
      <c r="S84" s="75">
        <f t="shared" si="86"/>
        <v>6619859.1600000001</v>
      </c>
    </row>
    <row r="85" spans="1:19">
      <c r="A85" s="86"/>
      <c r="B85" s="97" t="s">
        <v>75</v>
      </c>
      <c r="C85" s="97"/>
      <c r="D85" s="86" t="s">
        <v>20</v>
      </c>
      <c r="E85" s="87">
        <v>243</v>
      </c>
      <c r="F85" s="87">
        <v>243</v>
      </c>
      <c r="G85" s="87">
        <f t="shared" si="83"/>
        <v>243</v>
      </c>
      <c r="H85" s="87">
        <v>243</v>
      </c>
      <c r="I85" s="87">
        <v>243</v>
      </c>
      <c r="J85" s="75" t="s">
        <v>23</v>
      </c>
      <c r="K85" s="75"/>
      <c r="L85" s="75">
        <v>26048.26</v>
      </c>
      <c r="M85" s="75">
        <f t="shared" si="81"/>
        <v>26048.26</v>
      </c>
      <c r="N85" s="75">
        <f t="shared" si="87"/>
        <v>0</v>
      </c>
      <c r="O85" s="75">
        <f t="shared" si="88"/>
        <v>0</v>
      </c>
      <c r="P85" s="75">
        <f>G85*L85</f>
        <v>6329727.1799999997</v>
      </c>
      <c r="Q85" s="75">
        <f t="shared" si="84"/>
        <v>6329727.1799999997</v>
      </c>
      <c r="R85" s="75">
        <f t="shared" si="85"/>
        <v>6329727.1799999997</v>
      </c>
      <c r="S85" s="75">
        <f t="shared" si="86"/>
        <v>6329727.1799999997</v>
      </c>
    </row>
    <row r="86" spans="1:19">
      <c r="A86" s="155" t="s">
        <v>154</v>
      </c>
      <c r="B86" s="155"/>
      <c r="C86" s="155"/>
      <c r="D86" s="86"/>
      <c r="E86" s="87"/>
      <c r="F86" s="87"/>
      <c r="G86" s="87"/>
      <c r="H86" s="87"/>
      <c r="I86" s="87"/>
      <c r="J86" s="75"/>
      <c r="K86" s="75"/>
      <c r="L86" s="75"/>
      <c r="M86" s="75"/>
      <c r="N86" s="75"/>
      <c r="O86" s="75"/>
      <c r="P86" s="75"/>
      <c r="Q86" s="75"/>
      <c r="R86" s="75"/>
      <c r="S86" s="75"/>
    </row>
    <row r="87" spans="1:19" ht="30">
      <c r="A87" s="159" t="s">
        <v>3</v>
      </c>
      <c r="B87" s="159" t="s">
        <v>86</v>
      </c>
      <c r="C87" s="117" t="s">
        <v>87</v>
      </c>
      <c r="D87" s="159" t="s">
        <v>4</v>
      </c>
      <c r="E87" s="160" t="s">
        <v>5</v>
      </c>
      <c r="F87" s="160"/>
      <c r="G87" s="160"/>
      <c r="H87" s="160"/>
      <c r="I87" s="160"/>
      <c r="J87" s="147" t="s">
        <v>6</v>
      </c>
      <c r="K87" s="147"/>
      <c r="L87" s="147"/>
      <c r="M87" s="147"/>
      <c r="N87" s="147" t="s">
        <v>7</v>
      </c>
      <c r="O87" s="147"/>
      <c r="P87" s="147"/>
      <c r="Q87" s="147"/>
      <c r="R87" s="147"/>
      <c r="S87" s="147"/>
    </row>
    <row r="88" spans="1:19" ht="120">
      <c r="A88" s="159"/>
      <c r="B88" s="159"/>
      <c r="C88" s="117"/>
      <c r="D88" s="159"/>
      <c r="E88" s="128" t="s">
        <v>9</v>
      </c>
      <c r="F88" s="128" t="s">
        <v>197</v>
      </c>
      <c r="G88" s="128" t="s">
        <v>196</v>
      </c>
      <c r="H88" s="128" t="s">
        <v>10</v>
      </c>
      <c r="I88" s="128" t="s">
        <v>193</v>
      </c>
      <c r="J88" s="114" t="s">
        <v>88</v>
      </c>
      <c r="K88" s="114" t="s">
        <v>89</v>
      </c>
      <c r="L88" s="114" t="s">
        <v>90</v>
      </c>
      <c r="M88" s="114" t="s">
        <v>91</v>
      </c>
      <c r="N88" s="131" t="s">
        <v>200</v>
      </c>
      <c r="O88" s="123" t="s">
        <v>93</v>
      </c>
      <c r="P88" s="123" t="s">
        <v>94</v>
      </c>
      <c r="Q88" s="118" t="s">
        <v>95</v>
      </c>
      <c r="R88" s="130" t="s">
        <v>97</v>
      </c>
      <c r="S88" s="130" t="s">
        <v>201</v>
      </c>
    </row>
    <row r="89" spans="1:19" ht="45">
      <c r="A89" s="98" t="s">
        <v>13</v>
      </c>
      <c r="B89" s="98" t="s">
        <v>13</v>
      </c>
      <c r="C89" s="98"/>
      <c r="D89" s="98" t="s">
        <v>15</v>
      </c>
      <c r="E89" s="99" t="s">
        <v>16</v>
      </c>
      <c r="F89" s="99" t="s">
        <v>16</v>
      </c>
      <c r="G89" s="99"/>
      <c r="H89" s="99" t="s">
        <v>16</v>
      </c>
      <c r="I89" s="99" t="s">
        <v>16</v>
      </c>
      <c r="J89" s="114" t="s">
        <v>17</v>
      </c>
      <c r="K89" s="114" t="s">
        <v>17</v>
      </c>
      <c r="L89" s="114" t="s">
        <v>17</v>
      </c>
      <c r="M89" s="114" t="s">
        <v>17</v>
      </c>
      <c r="N89" s="114" t="s">
        <v>17</v>
      </c>
      <c r="O89" s="123" t="s">
        <v>17</v>
      </c>
      <c r="P89" s="123" t="s">
        <v>17</v>
      </c>
      <c r="Q89" s="118" t="s">
        <v>17</v>
      </c>
      <c r="R89" s="114" t="s">
        <v>17</v>
      </c>
      <c r="S89" s="114" t="s">
        <v>17</v>
      </c>
    </row>
    <row r="90" spans="1:19" ht="90">
      <c r="A90" s="161" t="s">
        <v>98</v>
      </c>
      <c r="B90" s="164" t="s">
        <v>99</v>
      </c>
      <c r="C90" s="61" t="s">
        <v>100</v>
      </c>
      <c r="D90" s="62" t="s">
        <v>101</v>
      </c>
      <c r="E90" s="59">
        <v>250</v>
      </c>
      <c r="F90" s="59">
        <v>250</v>
      </c>
      <c r="G90" s="59">
        <f>((E90*8)+(F90*4))/12</f>
        <v>250</v>
      </c>
      <c r="H90" s="59">
        <v>250</v>
      </c>
      <c r="I90" s="59">
        <v>250</v>
      </c>
      <c r="J90" s="110">
        <f>SUM(K90:M90)</f>
        <v>37723.009999999995</v>
      </c>
      <c r="K90" s="110">
        <f>22328.93+690.85</f>
        <v>23019.78</v>
      </c>
      <c r="L90" s="70">
        <v>3857.41</v>
      </c>
      <c r="M90" s="70">
        <v>10845.82</v>
      </c>
      <c r="N90" s="71">
        <f>SUM(O90:Q90)</f>
        <v>9430752.5</v>
      </c>
      <c r="O90" s="71">
        <f>G90*K90</f>
        <v>5754945</v>
      </c>
      <c r="P90" s="71">
        <f>G90*L90</f>
        <v>964352.5</v>
      </c>
      <c r="Q90" s="75">
        <f>G90*M90</f>
        <v>2711455</v>
      </c>
      <c r="R90" s="75">
        <f>H90*J90</f>
        <v>9430752.4999999981</v>
      </c>
      <c r="S90" s="75">
        <f>I90*J90</f>
        <v>9430752.4999999981</v>
      </c>
    </row>
    <row r="91" spans="1:19" ht="120.75" customHeight="1">
      <c r="A91" s="161"/>
      <c r="B91" s="165"/>
      <c r="C91" s="63" t="s">
        <v>167</v>
      </c>
      <c r="D91" s="64" t="s">
        <v>101</v>
      </c>
      <c r="E91" s="59" t="s">
        <v>104</v>
      </c>
      <c r="F91" s="59" t="s">
        <v>104</v>
      </c>
      <c r="G91" s="59"/>
      <c r="H91" s="59" t="s">
        <v>104</v>
      </c>
      <c r="I91" s="59" t="s">
        <v>104</v>
      </c>
      <c r="J91" s="59" t="s">
        <v>104</v>
      </c>
      <c r="K91" s="59" t="s">
        <v>104</v>
      </c>
      <c r="L91" s="72" t="s">
        <v>104</v>
      </c>
      <c r="M91" s="72" t="s">
        <v>104</v>
      </c>
      <c r="N91" s="114"/>
      <c r="O91" s="71"/>
      <c r="P91" s="72" t="s">
        <v>104</v>
      </c>
      <c r="Q91" s="72" t="s">
        <v>104</v>
      </c>
      <c r="R91" s="100"/>
      <c r="S91" s="100"/>
    </row>
    <row r="92" spans="1:19">
      <c r="A92" s="161"/>
      <c r="B92" s="165"/>
      <c r="C92" s="63" t="s">
        <v>168</v>
      </c>
      <c r="D92" s="64"/>
      <c r="E92" s="59">
        <v>1</v>
      </c>
      <c r="F92" s="59">
        <v>1</v>
      </c>
      <c r="G92" s="101">
        <f>((E92*8)+(F92*4))/12</f>
        <v>1</v>
      </c>
      <c r="H92" s="59">
        <v>1</v>
      </c>
      <c r="I92" s="59">
        <v>1</v>
      </c>
      <c r="J92" s="71">
        <f>K92</f>
        <v>24684.9</v>
      </c>
      <c r="K92" s="75">
        <v>24684.9</v>
      </c>
      <c r="L92" s="72" t="s">
        <v>104</v>
      </c>
      <c r="M92" s="72" t="s">
        <v>104</v>
      </c>
      <c r="N92" s="114">
        <f>O92</f>
        <v>24684.9</v>
      </c>
      <c r="O92" s="71">
        <f t="shared" ref="O92:O96" si="90">G92*K92</f>
        <v>24684.9</v>
      </c>
      <c r="P92" s="72" t="s">
        <v>104</v>
      </c>
      <c r="Q92" s="72" t="s">
        <v>104</v>
      </c>
      <c r="R92" s="100">
        <f>H92*K92</f>
        <v>24684.9</v>
      </c>
      <c r="S92" s="100">
        <f>I92*K92</f>
        <v>24684.9</v>
      </c>
    </row>
    <row r="93" spans="1:19">
      <c r="A93" s="161"/>
      <c r="B93" s="165"/>
      <c r="C93" s="63" t="s">
        <v>169</v>
      </c>
      <c r="D93" s="64"/>
      <c r="E93" s="59">
        <v>1</v>
      </c>
      <c r="F93" s="59">
        <v>1</v>
      </c>
      <c r="G93" s="101">
        <f t="shared" ref="G93:G96" si="91">((E93*8)+(F93*4))/12</f>
        <v>1</v>
      </c>
      <c r="H93" s="59">
        <v>1</v>
      </c>
      <c r="I93" s="59">
        <v>1</v>
      </c>
      <c r="J93" s="71">
        <f t="shared" ref="J93:J96" si="92">K93</f>
        <v>89075.19</v>
      </c>
      <c r="K93" s="75">
        <v>89075.19</v>
      </c>
      <c r="L93" s="72" t="s">
        <v>104</v>
      </c>
      <c r="M93" s="72" t="s">
        <v>104</v>
      </c>
      <c r="N93" s="114">
        <f t="shared" ref="N93:N96" si="93">O93</f>
        <v>89075.19</v>
      </c>
      <c r="O93" s="71">
        <f t="shared" si="90"/>
        <v>89075.19</v>
      </c>
      <c r="P93" s="72" t="s">
        <v>104</v>
      </c>
      <c r="Q93" s="72" t="s">
        <v>104</v>
      </c>
      <c r="R93" s="100">
        <f t="shared" ref="R93:R96" si="94">H93*K93</f>
        <v>89075.19</v>
      </c>
      <c r="S93" s="100">
        <f t="shared" ref="S93:S96" si="95">I93*K93</f>
        <v>89075.19</v>
      </c>
    </row>
    <row r="94" spans="1:19">
      <c r="A94" s="161"/>
      <c r="B94" s="165"/>
      <c r="C94" s="63" t="s">
        <v>170</v>
      </c>
      <c r="D94" s="64"/>
      <c r="E94" s="59">
        <v>8</v>
      </c>
      <c r="F94" s="59">
        <v>8</v>
      </c>
      <c r="G94" s="101">
        <f t="shared" si="91"/>
        <v>8</v>
      </c>
      <c r="H94" s="59">
        <v>8</v>
      </c>
      <c r="I94" s="59">
        <v>8</v>
      </c>
      <c r="J94" s="71">
        <f t="shared" si="92"/>
        <v>63972.15</v>
      </c>
      <c r="K94" s="75">
        <v>63972.15</v>
      </c>
      <c r="L94" s="72" t="s">
        <v>104</v>
      </c>
      <c r="M94" s="72" t="s">
        <v>104</v>
      </c>
      <c r="N94" s="114">
        <f t="shared" si="93"/>
        <v>511777.2</v>
      </c>
      <c r="O94" s="71">
        <f t="shared" si="90"/>
        <v>511777.2</v>
      </c>
      <c r="P94" s="72" t="s">
        <v>104</v>
      </c>
      <c r="Q94" s="72" t="s">
        <v>104</v>
      </c>
      <c r="R94" s="100">
        <f t="shared" si="94"/>
        <v>511777.2</v>
      </c>
      <c r="S94" s="100">
        <f t="shared" si="95"/>
        <v>511777.2</v>
      </c>
    </row>
    <row r="95" spans="1:19">
      <c r="A95" s="161"/>
      <c r="B95" s="165"/>
      <c r="C95" s="63" t="s">
        <v>171</v>
      </c>
      <c r="D95" s="64"/>
      <c r="E95" s="59">
        <v>1</v>
      </c>
      <c r="F95" s="59">
        <v>1</v>
      </c>
      <c r="G95" s="101">
        <f t="shared" si="91"/>
        <v>1</v>
      </c>
      <c r="H95" s="59">
        <v>1</v>
      </c>
      <c r="I95" s="59">
        <v>1</v>
      </c>
      <c r="J95" s="71">
        <f t="shared" si="92"/>
        <v>168582.97</v>
      </c>
      <c r="K95" s="75">
        <v>168582.97</v>
      </c>
      <c r="L95" s="72" t="s">
        <v>104</v>
      </c>
      <c r="M95" s="72" t="s">
        <v>104</v>
      </c>
      <c r="N95" s="114">
        <f t="shared" si="93"/>
        <v>168582.97</v>
      </c>
      <c r="O95" s="71">
        <f t="shared" si="90"/>
        <v>168582.97</v>
      </c>
      <c r="P95" s="72" t="s">
        <v>104</v>
      </c>
      <c r="Q95" s="72" t="s">
        <v>104</v>
      </c>
      <c r="R95" s="100">
        <f t="shared" si="94"/>
        <v>168582.97</v>
      </c>
      <c r="S95" s="100">
        <f t="shared" si="95"/>
        <v>168582.97</v>
      </c>
    </row>
    <row r="96" spans="1:19">
      <c r="A96" s="161"/>
      <c r="B96" s="165"/>
      <c r="C96" s="63" t="s">
        <v>173</v>
      </c>
      <c r="D96" s="64"/>
      <c r="E96" s="59">
        <v>2</v>
      </c>
      <c r="F96" s="59">
        <v>2</v>
      </c>
      <c r="G96" s="101">
        <f t="shared" si="91"/>
        <v>2</v>
      </c>
      <c r="H96" s="59">
        <v>2</v>
      </c>
      <c r="I96" s="59">
        <v>2</v>
      </c>
      <c r="J96" s="71">
        <f t="shared" si="92"/>
        <v>22724.03</v>
      </c>
      <c r="K96" s="75">
        <v>22724.03</v>
      </c>
      <c r="L96" s="72" t="s">
        <v>104</v>
      </c>
      <c r="M96" s="72" t="s">
        <v>104</v>
      </c>
      <c r="N96" s="114">
        <f t="shared" si="93"/>
        <v>45448.06</v>
      </c>
      <c r="O96" s="71">
        <f t="shared" si="90"/>
        <v>45448.06</v>
      </c>
      <c r="P96" s="72" t="s">
        <v>104</v>
      </c>
      <c r="Q96" s="72" t="s">
        <v>104</v>
      </c>
      <c r="R96" s="100">
        <f t="shared" si="94"/>
        <v>45448.06</v>
      </c>
      <c r="S96" s="100">
        <f t="shared" si="95"/>
        <v>45448.06</v>
      </c>
    </row>
    <row r="97" spans="1:22" ht="120">
      <c r="A97" s="161"/>
      <c r="B97" s="165"/>
      <c r="C97" s="61" t="s">
        <v>105</v>
      </c>
      <c r="D97" s="64" t="s">
        <v>101</v>
      </c>
      <c r="E97" s="59">
        <v>3</v>
      </c>
      <c r="F97" s="59">
        <v>3</v>
      </c>
      <c r="G97" s="59">
        <f t="shared" ref="G97:G98" si="96">((E97*8)+(F97*4))/12</f>
        <v>3</v>
      </c>
      <c r="H97" s="59">
        <v>3</v>
      </c>
      <c r="I97" s="59">
        <v>3</v>
      </c>
      <c r="J97" s="75">
        <f>SUM(K97:M97)</f>
        <v>131822.46000000002</v>
      </c>
      <c r="K97" s="75">
        <f>116428.38+690.85</f>
        <v>117119.23000000001</v>
      </c>
      <c r="L97" s="72">
        <v>3857.41</v>
      </c>
      <c r="M97" s="70">
        <v>10845.82</v>
      </c>
      <c r="N97" s="71">
        <f>SUM(O97:Q97)</f>
        <v>395467.38000000006</v>
      </c>
      <c r="O97" s="71">
        <f>G97*K97</f>
        <v>351357.69000000006</v>
      </c>
      <c r="P97" s="71">
        <f>G97*L97</f>
        <v>11572.23</v>
      </c>
      <c r="Q97" s="75">
        <f>G97*M97</f>
        <v>32537.46</v>
      </c>
      <c r="R97" s="100">
        <f t="shared" ref="R97:R192" si="97">H97*J97</f>
        <v>395467.38000000006</v>
      </c>
      <c r="S97" s="100">
        <f t="shared" ref="S97:S192" si="98">I97*J97</f>
        <v>395467.38000000006</v>
      </c>
    </row>
    <row r="98" spans="1:22">
      <c r="A98" s="161"/>
      <c r="B98" s="166"/>
      <c r="C98" s="66" t="s">
        <v>106</v>
      </c>
      <c r="D98" s="67"/>
      <c r="E98" s="59">
        <f>E90+E97</f>
        <v>253</v>
      </c>
      <c r="F98" s="59">
        <f>F90+F97</f>
        <v>253</v>
      </c>
      <c r="G98" s="59">
        <f t="shared" si="96"/>
        <v>253</v>
      </c>
      <c r="H98" s="59">
        <f t="shared" ref="H98:I98" si="99">H90+H97</f>
        <v>253</v>
      </c>
      <c r="I98" s="59">
        <f t="shared" si="99"/>
        <v>253</v>
      </c>
      <c r="J98" s="71" t="s">
        <v>104</v>
      </c>
      <c r="K98" s="71" t="s">
        <v>104</v>
      </c>
      <c r="L98" s="71" t="s">
        <v>104</v>
      </c>
      <c r="M98" s="71" t="s">
        <v>104</v>
      </c>
      <c r="N98" s="71">
        <f>SUM(N90:N97)</f>
        <v>10665788.200000001</v>
      </c>
      <c r="O98" s="71">
        <f t="shared" ref="O98:Q98" si="100">SUM(O90:O97)</f>
        <v>6945871.0100000007</v>
      </c>
      <c r="P98" s="71">
        <f t="shared" si="100"/>
        <v>975924.73</v>
      </c>
      <c r="Q98" s="71">
        <f t="shared" si="100"/>
        <v>2743992.46</v>
      </c>
      <c r="R98" s="75">
        <f>SUM(R90:R97)</f>
        <v>10665788.199999999</v>
      </c>
      <c r="S98" s="75">
        <f>SUM(S90:S97)</f>
        <v>10665788.199999999</v>
      </c>
    </row>
    <row r="99" spans="1:22" ht="90">
      <c r="A99" s="161"/>
      <c r="B99" s="162" t="s">
        <v>107</v>
      </c>
      <c r="C99" s="61" t="s">
        <v>100</v>
      </c>
      <c r="D99" s="62" t="s">
        <v>101</v>
      </c>
      <c r="E99" s="59">
        <v>217</v>
      </c>
      <c r="F99" s="59">
        <v>217</v>
      </c>
      <c r="G99" s="59">
        <f>(E99*8+F99*4)/12</f>
        <v>217</v>
      </c>
      <c r="H99" s="59">
        <v>217</v>
      </c>
      <c r="I99" s="59">
        <v>217</v>
      </c>
      <c r="J99" s="110">
        <f>SUM(K99:M99)</f>
        <v>48699.21</v>
      </c>
      <c r="K99" s="110">
        <f>33147.58+848.4</f>
        <v>33995.980000000003</v>
      </c>
      <c r="L99" s="70">
        <v>3857.41</v>
      </c>
      <c r="M99" s="70">
        <v>10845.82</v>
      </c>
      <c r="N99" s="71">
        <f>SUM(O99:Q99)</f>
        <v>10567728.57</v>
      </c>
      <c r="O99" s="71">
        <f>G99*K99</f>
        <v>7377127.6600000011</v>
      </c>
      <c r="P99" s="73">
        <f>G99*L99</f>
        <v>837057.97</v>
      </c>
      <c r="Q99" s="71">
        <f>G99*M99</f>
        <v>2353542.94</v>
      </c>
      <c r="R99" s="75">
        <f t="shared" si="97"/>
        <v>10567728.57</v>
      </c>
      <c r="S99" s="75">
        <f t="shared" si="98"/>
        <v>10567728.57</v>
      </c>
      <c r="V99" s="85"/>
    </row>
    <row r="100" spans="1:22" ht="111.75" customHeight="1">
      <c r="A100" s="161"/>
      <c r="B100" s="162"/>
      <c r="C100" s="63" t="s">
        <v>102</v>
      </c>
      <c r="D100" s="64" t="s">
        <v>101</v>
      </c>
      <c r="E100" s="59" t="s">
        <v>104</v>
      </c>
      <c r="F100" s="59" t="s">
        <v>104</v>
      </c>
      <c r="G100" s="59" t="s">
        <v>104</v>
      </c>
      <c r="H100" s="59" t="s">
        <v>104</v>
      </c>
      <c r="I100" s="59" t="s">
        <v>104</v>
      </c>
      <c r="J100" s="59" t="s">
        <v>104</v>
      </c>
      <c r="K100" s="59" t="s">
        <v>104</v>
      </c>
      <c r="L100" s="59" t="s">
        <v>104</v>
      </c>
      <c r="M100" s="59" t="s">
        <v>104</v>
      </c>
      <c r="N100" s="71"/>
      <c r="O100" s="71"/>
      <c r="P100" s="59" t="s">
        <v>104</v>
      </c>
      <c r="Q100" s="59" t="s">
        <v>104</v>
      </c>
      <c r="R100" s="75"/>
      <c r="S100" s="75"/>
    </row>
    <row r="101" spans="1:22" ht="20.25" customHeight="1">
      <c r="A101" s="161"/>
      <c r="B101" s="162"/>
      <c r="C101" s="63" t="s">
        <v>169</v>
      </c>
      <c r="D101" s="64" t="s">
        <v>101</v>
      </c>
      <c r="E101" s="59">
        <v>2</v>
      </c>
      <c r="F101" s="60">
        <v>2</v>
      </c>
      <c r="G101" s="101">
        <f t="shared" ref="G101:G104" si="101">((E101*8)+(F101*4))/12</f>
        <v>2</v>
      </c>
      <c r="H101" s="59">
        <v>2</v>
      </c>
      <c r="I101" s="59">
        <v>2</v>
      </c>
      <c r="J101" s="71">
        <f>K101</f>
        <v>89075.19</v>
      </c>
      <c r="K101" s="75">
        <v>89075.19</v>
      </c>
      <c r="L101" s="59" t="s">
        <v>104</v>
      </c>
      <c r="M101" s="59" t="s">
        <v>104</v>
      </c>
      <c r="N101" s="71">
        <f>O101</f>
        <v>178150.38</v>
      </c>
      <c r="O101" s="71">
        <f>G101*K101</f>
        <v>178150.38</v>
      </c>
      <c r="P101" s="59" t="s">
        <v>104</v>
      </c>
      <c r="Q101" s="59" t="s">
        <v>104</v>
      </c>
      <c r="R101" s="75">
        <f>H101*K101</f>
        <v>178150.38</v>
      </c>
      <c r="S101" s="75">
        <f>I101*K101</f>
        <v>178150.38</v>
      </c>
    </row>
    <row r="102" spans="1:22" ht="21" customHeight="1">
      <c r="A102" s="161"/>
      <c r="B102" s="162"/>
      <c r="C102" s="63" t="s">
        <v>171</v>
      </c>
      <c r="D102" s="64" t="s">
        <v>101</v>
      </c>
      <c r="E102" s="59">
        <v>1</v>
      </c>
      <c r="F102" s="60">
        <v>1</v>
      </c>
      <c r="G102" s="101">
        <f t="shared" si="101"/>
        <v>1</v>
      </c>
      <c r="H102" s="59">
        <v>1</v>
      </c>
      <c r="I102" s="59">
        <v>1</v>
      </c>
      <c r="J102" s="71">
        <f t="shared" ref="J102:J103" si="102">K102</f>
        <v>256522.21</v>
      </c>
      <c r="K102" s="75">
        <v>256522.21</v>
      </c>
      <c r="L102" s="59" t="s">
        <v>104</v>
      </c>
      <c r="M102" s="59" t="s">
        <v>104</v>
      </c>
      <c r="N102" s="71">
        <f t="shared" ref="N102:N103" si="103">O102</f>
        <v>256522.21</v>
      </c>
      <c r="O102" s="71">
        <f>G102*K102</f>
        <v>256522.21</v>
      </c>
      <c r="P102" s="59" t="s">
        <v>104</v>
      </c>
      <c r="Q102" s="59" t="s">
        <v>104</v>
      </c>
      <c r="R102" s="75">
        <f t="shared" ref="R102:R103" si="104">H102*K102</f>
        <v>256522.21</v>
      </c>
      <c r="S102" s="75">
        <f t="shared" ref="S102:S103" si="105">I102*K102</f>
        <v>256522.21</v>
      </c>
    </row>
    <row r="103" spans="1:22" ht="21" customHeight="1">
      <c r="A103" s="161"/>
      <c r="B103" s="162"/>
      <c r="C103" s="63" t="s">
        <v>173</v>
      </c>
      <c r="D103" s="64" t="s">
        <v>101</v>
      </c>
      <c r="E103" s="60">
        <v>3</v>
      </c>
      <c r="F103" s="60">
        <v>3</v>
      </c>
      <c r="G103" s="101">
        <f t="shared" si="101"/>
        <v>3</v>
      </c>
      <c r="H103" s="60">
        <v>3</v>
      </c>
      <c r="I103" s="60">
        <v>3</v>
      </c>
      <c r="J103" s="71">
        <f t="shared" si="102"/>
        <v>22724.03</v>
      </c>
      <c r="K103" s="75">
        <v>22724.03</v>
      </c>
      <c r="L103" s="59" t="s">
        <v>104</v>
      </c>
      <c r="M103" s="59" t="s">
        <v>104</v>
      </c>
      <c r="N103" s="71">
        <f t="shared" si="103"/>
        <v>68172.09</v>
      </c>
      <c r="O103" s="71">
        <f>G103*K103</f>
        <v>68172.09</v>
      </c>
      <c r="P103" s="59" t="s">
        <v>104</v>
      </c>
      <c r="Q103" s="59" t="s">
        <v>104</v>
      </c>
      <c r="R103" s="75">
        <f t="shared" si="104"/>
        <v>68172.09</v>
      </c>
      <c r="S103" s="75">
        <f t="shared" si="105"/>
        <v>68172.09</v>
      </c>
    </row>
    <row r="104" spans="1:22" ht="120">
      <c r="A104" s="161"/>
      <c r="B104" s="162"/>
      <c r="C104" s="61" t="s">
        <v>105</v>
      </c>
      <c r="D104" s="64" t="s">
        <v>101</v>
      </c>
      <c r="E104" s="60">
        <v>2</v>
      </c>
      <c r="F104" s="60">
        <v>2</v>
      </c>
      <c r="G104" s="101">
        <f t="shared" si="101"/>
        <v>2</v>
      </c>
      <c r="H104" s="60">
        <v>2</v>
      </c>
      <c r="I104" s="60">
        <v>2</v>
      </c>
      <c r="J104" s="71">
        <f>K104</f>
        <v>146025.35999999999</v>
      </c>
      <c r="K104" s="73">
        <f>145176.96+848.4</f>
        <v>146025.35999999999</v>
      </c>
      <c r="L104" s="70">
        <v>3857.41</v>
      </c>
      <c r="M104" s="70">
        <v>10845.82</v>
      </c>
      <c r="N104" s="71">
        <f>SUM(O104:Q104)</f>
        <v>321457.18</v>
      </c>
      <c r="O104" s="71">
        <f>G104*K104</f>
        <v>292050.71999999997</v>
      </c>
      <c r="P104" s="73">
        <f>G104*L104</f>
        <v>7714.82</v>
      </c>
      <c r="Q104" s="71">
        <f>G104*M104</f>
        <v>21691.64</v>
      </c>
      <c r="R104" s="75">
        <f>H104*K104</f>
        <v>292050.71999999997</v>
      </c>
      <c r="S104" s="75">
        <f>I104*K104</f>
        <v>292050.71999999997</v>
      </c>
    </row>
    <row r="105" spans="1:22">
      <c r="A105" s="161"/>
      <c r="B105" s="113"/>
      <c r="C105" s="66" t="s">
        <v>106</v>
      </c>
      <c r="D105" s="64"/>
      <c r="E105" s="60">
        <f>E99+E104</f>
        <v>219</v>
      </c>
      <c r="F105" s="60">
        <f>F99+F104</f>
        <v>219</v>
      </c>
      <c r="G105" s="59">
        <f t="shared" ref="G105:G106" si="106">((E105*8)+(F105*4))/12</f>
        <v>219</v>
      </c>
      <c r="H105" s="60">
        <f t="shared" ref="H105:I105" si="107">H99+H104</f>
        <v>219</v>
      </c>
      <c r="I105" s="60">
        <f t="shared" si="107"/>
        <v>219</v>
      </c>
      <c r="J105" s="59" t="s">
        <v>104</v>
      </c>
      <c r="K105" s="59" t="s">
        <v>104</v>
      </c>
      <c r="L105" s="59" t="s">
        <v>104</v>
      </c>
      <c r="M105" s="59" t="s">
        <v>104</v>
      </c>
      <c r="N105" s="74">
        <f>SUM(N99:N104)</f>
        <v>11392030.430000002</v>
      </c>
      <c r="O105" s="74">
        <f t="shared" ref="O105:S105" si="108">SUM(O99:O104)</f>
        <v>8172023.0600000005</v>
      </c>
      <c r="P105" s="74">
        <f t="shared" si="108"/>
        <v>844772.78999999992</v>
      </c>
      <c r="Q105" s="74">
        <f t="shared" si="108"/>
        <v>2375234.58</v>
      </c>
      <c r="R105" s="74">
        <f t="shared" si="108"/>
        <v>11362623.970000003</v>
      </c>
      <c r="S105" s="74">
        <f t="shared" si="108"/>
        <v>11362623.970000003</v>
      </c>
    </row>
    <row r="106" spans="1:22" ht="90">
      <c r="A106" s="161"/>
      <c r="B106" s="162" t="s">
        <v>108</v>
      </c>
      <c r="C106" s="61" t="s">
        <v>100</v>
      </c>
      <c r="D106" s="62" t="s">
        <v>101</v>
      </c>
      <c r="E106" s="60">
        <v>48</v>
      </c>
      <c r="F106" s="60">
        <v>48</v>
      </c>
      <c r="G106" s="59">
        <f t="shared" si="106"/>
        <v>48</v>
      </c>
      <c r="H106" s="60">
        <v>48</v>
      </c>
      <c r="I106" s="60">
        <v>48</v>
      </c>
      <c r="J106" s="110">
        <f>SUM(K106:M106)</f>
        <v>55356.51</v>
      </c>
      <c r="K106" s="110">
        <f>39660.87+992.41</f>
        <v>40653.280000000006</v>
      </c>
      <c r="L106" s="70">
        <v>3857.41</v>
      </c>
      <c r="M106" s="70">
        <v>10845.82</v>
      </c>
      <c r="N106" s="73">
        <f>SUM(O106:Q106)</f>
        <v>2657112.4800000004</v>
      </c>
      <c r="O106" s="73">
        <f>G106*K106</f>
        <v>1951357.4400000004</v>
      </c>
      <c r="P106" s="73">
        <f>G106*L106</f>
        <v>185155.68</v>
      </c>
      <c r="Q106" s="73">
        <f>G106*M106</f>
        <v>520599.36</v>
      </c>
      <c r="R106" s="75">
        <f t="shared" si="97"/>
        <v>2657112.48</v>
      </c>
      <c r="S106" s="75">
        <f t="shared" si="98"/>
        <v>2657112.48</v>
      </c>
    </row>
    <row r="107" spans="1:22" ht="120">
      <c r="A107" s="161"/>
      <c r="B107" s="162"/>
      <c r="C107" s="63" t="s">
        <v>102</v>
      </c>
      <c r="D107" s="64" t="s">
        <v>101</v>
      </c>
      <c r="E107" s="59" t="s">
        <v>104</v>
      </c>
      <c r="F107" s="59" t="s">
        <v>104</v>
      </c>
      <c r="G107" s="59" t="s">
        <v>104</v>
      </c>
      <c r="H107" s="59" t="s">
        <v>104</v>
      </c>
      <c r="I107" s="59" t="s">
        <v>104</v>
      </c>
      <c r="J107" s="59" t="s">
        <v>104</v>
      </c>
      <c r="K107" s="59" t="s">
        <v>104</v>
      </c>
      <c r="L107" s="59" t="s">
        <v>104</v>
      </c>
      <c r="M107" s="59" t="s">
        <v>104</v>
      </c>
      <c r="N107" s="71"/>
      <c r="O107" s="71"/>
      <c r="P107" s="59" t="s">
        <v>104</v>
      </c>
      <c r="Q107" s="59" t="s">
        <v>104</v>
      </c>
      <c r="R107" s="75"/>
      <c r="S107" s="75"/>
    </row>
    <row r="108" spans="1:22" ht="120">
      <c r="A108" s="161"/>
      <c r="B108" s="162"/>
      <c r="C108" s="61" t="s">
        <v>105</v>
      </c>
      <c r="D108" s="64" t="s">
        <v>101</v>
      </c>
      <c r="E108" s="60"/>
      <c r="F108" s="60"/>
      <c r="G108" s="60"/>
      <c r="H108" s="60"/>
      <c r="I108" s="60"/>
      <c r="J108" s="73"/>
      <c r="K108" s="73"/>
      <c r="L108" s="74"/>
      <c r="M108" s="73"/>
      <c r="N108" s="73"/>
      <c r="O108" s="73"/>
      <c r="P108" s="73"/>
      <c r="Q108" s="73"/>
      <c r="R108" s="75">
        <f t="shared" si="97"/>
        <v>0</v>
      </c>
      <c r="S108" s="75">
        <f t="shared" si="98"/>
        <v>0</v>
      </c>
    </row>
    <row r="109" spans="1:22">
      <c r="A109" s="161"/>
      <c r="B109" s="113"/>
      <c r="C109" s="66" t="s">
        <v>106</v>
      </c>
      <c r="D109" s="64"/>
      <c r="E109" s="60">
        <f>SUM(E106:E108)</f>
        <v>48</v>
      </c>
      <c r="F109" s="60">
        <f>SUM(F106:F108)</f>
        <v>48</v>
      </c>
      <c r="G109" s="59">
        <f t="shared" ref="G109:G140" si="109">((E109*8)+(F109*4))/12</f>
        <v>48</v>
      </c>
      <c r="H109" s="60">
        <f t="shared" ref="H109:S109" si="110">SUM(H106:H108)</f>
        <v>48</v>
      </c>
      <c r="I109" s="60">
        <f t="shared" si="110"/>
        <v>48</v>
      </c>
      <c r="J109" s="73" t="s">
        <v>104</v>
      </c>
      <c r="K109" s="73" t="s">
        <v>104</v>
      </c>
      <c r="L109" s="73" t="s">
        <v>104</v>
      </c>
      <c r="M109" s="73" t="s">
        <v>104</v>
      </c>
      <c r="N109" s="74">
        <f t="shared" si="110"/>
        <v>2657112.4800000004</v>
      </c>
      <c r="O109" s="74">
        <f t="shared" si="110"/>
        <v>1951357.4400000004</v>
      </c>
      <c r="P109" s="74">
        <f t="shared" si="110"/>
        <v>185155.68</v>
      </c>
      <c r="Q109" s="74">
        <f t="shared" si="110"/>
        <v>520599.36</v>
      </c>
      <c r="R109" s="74">
        <f t="shared" si="110"/>
        <v>2657112.48</v>
      </c>
      <c r="S109" s="74">
        <f t="shared" si="110"/>
        <v>2657112.48</v>
      </c>
    </row>
    <row r="110" spans="1:22" ht="165">
      <c r="A110" s="161"/>
      <c r="B110" s="163" t="s">
        <v>109</v>
      </c>
      <c r="C110" s="61" t="s">
        <v>110</v>
      </c>
      <c r="D110" s="64" t="s">
        <v>101</v>
      </c>
      <c r="E110" s="60">
        <v>287</v>
      </c>
      <c r="F110" s="60">
        <v>287</v>
      </c>
      <c r="G110" s="59">
        <f t="shared" si="109"/>
        <v>287</v>
      </c>
      <c r="H110" s="60">
        <v>287</v>
      </c>
      <c r="I110" s="60">
        <v>287</v>
      </c>
      <c r="J110" s="75">
        <f>K110</f>
        <v>2770.76</v>
      </c>
      <c r="K110" s="75">
        <v>2770.76</v>
      </c>
      <c r="L110" s="73" t="s">
        <v>104</v>
      </c>
      <c r="M110" s="73" t="s">
        <v>104</v>
      </c>
      <c r="N110" s="73">
        <f>SUM(O110:Q110)</f>
        <v>795208.12000000011</v>
      </c>
      <c r="O110" s="73">
        <f>K110*E110</f>
        <v>795208.12000000011</v>
      </c>
      <c r="P110" s="73" t="s">
        <v>104</v>
      </c>
      <c r="Q110" s="73" t="s">
        <v>104</v>
      </c>
      <c r="R110" s="75">
        <f t="shared" si="97"/>
        <v>795208.12000000011</v>
      </c>
      <c r="S110" s="75">
        <f t="shared" si="98"/>
        <v>795208.12000000011</v>
      </c>
    </row>
    <row r="111" spans="1:22" ht="180">
      <c r="A111" s="161"/>
      <c r="B111" s="163"/>
      <c r="C111" s="61" t="s">
        <v>174</v>
      </c>
      <c r="D111" s="64" t="s">
        <v>101</v>
      </c>
      <c r="E111" s="60">
        <v>344</v>
      </c>
      <c r="F111" s="60">
        <v>344</v>
      </c>
      <c r="G111" s="59">
        <f t="shared" si="109"/>
        <v>344</v>
      </c>
      <c r="H111" s="60">
        <v>344</v>
      </c>
      <c r="I111" s="60">
        <v>344</v>
      </c>
      <c r="J111" s="75">
        <f>K111</f>
        <v>3829.24</v>
      </c>
      <c r="K111" s="75">
        <v>3829.24</v>
      </c>
      <c r="L111" s="73" t="s">
        <v>104</v>
      </c>
      <c r="M111" s="73" t="s">
        <v>104</v>
      </c>
      <c r="N111" s="73">
        <f>SUM(O111:Q111)</f>
        <v>1317258.5599999998</v>
      </c>
      <c r="O111" s="73">
        <f>G111*J111</f>
        <v>1317258.5599999998</v>
      </c>
      <c r="P111" s="73" t="s">
        <v>104</v>
      </c>
      <c r="Q111" s="73" t="s">
        <v>104</v>
      </c>
      <c r="R111" s="75">
        <f t="shared" si="97"/>
        <v>1317258.5599999998</v>
      </c>
      <c r="S111" s="75">
        <f t="shared" si="98"/>
        <v>1317258.5599999998</v>
      </c>
    </row>
    <row r="112" spans="1:22">
      <c r="A112" s="161"/>
      <c r="B112" s="69"/>
      <c r="C112" s="66" t="s">
        <v>106</v>
      </c>
      <c r="D112" s="69"/>
      <c r="E112" s="60">
        <f>SUM(E110:E111)</f>
        <v>631</v>
      </c>
      <c r="F112" s="60">
        <f>SUM(F110:F111)</f>
        <v>631</v>
      </c>
      <c r="G112" s="59">
        <f t="shared" si="109"/>
        <v>631</v>
      </c>
      <c r="H112" s="60">
        <f t="shared" ref="H112:S112" si="111">SUM(H110:H111)</f>
        <v>631</v>
      </c>
      <c r="I112" s="60">
        <f t="shared" si="111"/>
        <v>631</v>
      </c>
      <c r="J112" s="73" t="s">
        <v>104</v>
      </c>
      <c r="K112" s="73" t="s">
        <v>104</v>
      </c>
      <c r="L112" s="73" t="s">
        <v>104</v>
      </c>
      <c r="M112" s="74">
        <f t="shared" si="111"/>
        <v>0</v>
      </c>
      <c r="N112" s="74">
        <f t="shared" si="111"/>
        <v>2112466.6799999997</v>
      </c>
      <c r="O112" s="74">
        <f t="shared" si="111"/>
        <v>2112466.6799999997</v>
      </c>
      <c r="P112" s="74">
        <f t="shared" si="111"/>
        <v>0</v>
      </c>
      <c r="Q112" s="74">
        <f t="shared" si="111"/>
        <v>0</v>
      </c>
      <c r="R112" s="74">
        <f t="shared" si="111"/>
        <v>2112466.6799999997</v>
      </c>
      <c r="S112" s="74">
        <f t="shared" si="111"/>
        <v>2112466.6799999997</v>
      </c>
    </row>
    <row r="113" spans="1:19">
      <c r="A113" s="161"/>
      <c r="B113" s="102" t="s">
        <v>112</v>
      </c>
      <c r="C113" s="102"/>
      <c r="D113" s="69"/>
      <c r="E113" s="103"/>
      <c r="F113" s="103"/>
      <c r="G113" s="103"/>
      <c r="H113" s="103"/>
      <c r="I113" s="103"/>
      <c r="J113" s="106"/>
      <c r="K113" s="106"/>
      <c r="L113" s="104"/>
      <c r="M113" s="104"/>
      <c r="N113" s="104">
        <f>SUM(O113:Q113)</f>
        <v>26827397.789999999</v>
      </c>
      <c r="O113" s="104">
        <f>O98+O105+O109+O112</f>
        <v>19181718.190000001</v>
      </c>
      <c r="P113" s="104">
        <f t="shared" ref="P113:S113" si="112">P98+P105+P109+P112</f>
        <v>2005853.2</v>
      </c>
      <c r="Q113" s="104">
        <f t="shared" si="112"/>
        <v>5639826.4000000004</v>
      </c>
      <c r="R113" s="104">
        <f t="shared" si="112"/>
        <v>26797991.330000002</v>
      </c>
      <c r="S113" s="104">
        <f t="shared" si="112"/>
        <v>26797991.330000002</v>
      </c>
    </row>
    <row r="114" spans="1:19" ht="90">
      <c r="A114" s="161" t="s">
        <v>113</v>
      </c>
      <c r="B114" s="162" t="s">
        <v>99</v>
      </c>
      <c r="C114" s="61" t="s">
        <v>100</v>
      </c>
      <c r="D114" s="62" t="s">
        <v>101</v>
      </c>
      <c r="E114" s="59">
        <v>190</v>
      </c>
      <c r="F114" s="59">
        <v>190</v>
      </c>
      <c r="G114" s="59">
        <f t="shared" si="109"/>
        <v>190</v>
      </c>
      <c r="H114" s="59">
        <v>190</v>
      </c>
      <c r="I114" s="59">
        <v>190</v>
      </c>
      <c r="J114" s="110">
        <f>SUM(K114:M114)</f>
        <v>37723.009999999995</v>
      </c>
      <c r="K114" s="110">
        <f>22328.93+690.85</f>
        <v>23019.78</v>
      </c>
      <c r="L114" s="70">
        <v>3857.41</v>
      </c>
      <c r="M114" s="70">
        <v>10845.82</v>
      </c>
      <c r="N114" s="71">
        <f>SUM(O114:Q114)</f>
        <v>7167371.9000000004</v>
      </c>
      <c r="O114" s="71">
        <f>G114*K114</f>
        <v>4373758.2</v>
      </c>
      <c r="P114" s="71">
        <f>G114*L114</f>
        <v>732907.9</v>
      </c>
      <c r="Q114" s="75">
        <f>G114*M114</f>
        <v>2060705.8</v>
      </c>
      <c r="R114" s="75">
        <f t="shared" si="97"/>
        <v>7167371.8999999994</v>
      </c>
      <c r="S114" s="75">
        <f t="shared" si="98"/>
        <v>7167371.8999999994</v>
      </c>
    </row>
    <row r="115" spans="1:19" ht="135">
      <c r="A115" s="161"/>
      <c r="B115" s="162"/>
      <c r="C115" s="63" t="s">
        <v>167</v>
      </c>
      <c r="D115" s="64" t="s">
        <v>101</v>
      </c>
      <c r="E115" s="59" t="s">
        <v>104</v>
      </c>
      <c r="F115" s="59" t="s">
        <v>104</v>
      </c>
      <c r="G115" s="59" t="s">
        <v>104</v>
      </c>
      <c r="H115" s="59" t="s">
        <v>104</v>
      </c>
      <c r="I115" s="59" t="s">
        <v>104</v>
      </c>
      <c r="J115" s="59" t="s">
        <v>104</v>
      </c>
      <c r="K115" s="59" t="s">
        <v>104</v>
      </c>
      <c r="L115" s="59" t="s">
        <v>104</v>
      </c>
      <c r="M115" s="59" t="s">
        <v>104</v>
      </c>
      <c r="N115" s="71"/>
      <c r="O115" s="71"/>
      <c r="P115" s="59" t="s">
        <v>104</v>
      </c>
      <c r="Q115" s="59" t="s">
        <v>104</v>
      </c>
      <c r="R115" s="75"/>
      <c r="S115" s="75"/>
    </row>
    <row r="116" spans="1:19">
      <c r="A116" s="161"/>
      <c r="B116" s="162"/>
      <c r="C116" s="63" t="s">
        <v>175</v>
      </c>
      <c r="D116" s="64" t="s">
        <v>101</v>
      </c>
      <c r="E116" s="59">
        <v>0</v>
      </c>
      <c r="F116" s="59">
        <v>0</v>
      </c>
      <c r="G116" s="101">
        <f t="shared" si="109"/>
        <v>0</v>
      </c>
      <c r="H116" s="59">
        <v>0</v>
      </c>
      <c r="I116" s="59">
        <v>0</v>
      </c>
      <c r="J116" s="75">
        <f>K116</f>
        <v>24684.9</v>
      </c>
      <c r="K116" s="75">
        <v>24684.9</v>
      </c>
      <c r="L116" s="59" t="s">
        <v>104</v>
      </c>
      <c r="M116" s="59" t="s">
        <v>104</v>
      </c>
      <c r="N116" s="71">
        <f>O116</f>
        <v>0</v>
      </c>
      <c r="O116" s="71">
        <f>G116*K116</f>
        <v>0</v>
      </c>
      <c r="P116" s="59" t="s">
        <v>104</v>
      </c>
      <c r="Q116" s="59" t="s">
        <v>104</v>
      </c>
      <c r="R116" s="75">
        <f>H116*K116</f>
        <v>0</v>
      </c>
      <c r="S116" s="75">
        <f>I116*K116</f>
        <v>0</v>
      </c>
    </row>
    <row r="117" spans="1:19">
      <c r="A117" s="161"/>
      <c r="B117" s="162"/>
      <c r="C117" s="63" t="s">
        <v>170</v>
      </c>
      <c r="D117" s="64" t="s">
        <v>101</v>
      </c>
      <c r="E117" s="59">
        <v>0</v>
      </c>
      <c r="F117" s="59">
        <v>0</v>
      </c>
      <c r="G117" s="101">
        <f t="shared" si="109"/>
        <v>0</v>
      </c>
      <c r="H117" s="59">
        <v>0</v>
      </c>
      <c r="I117" s="59">
        <v>0</v>
      </c>
      <c r="J117" s="75">
        <f t="shared" ref="J117:J121" si="113">K117</f>
        <v>63972.15</v>
      </c>
      <c r="K117" s="75">
        <v>63972.15</v>
      </c>
      <c r="L117" s="59" t="s">
        <v>104</v>
      </c>
      <c r="M117" s="59" t="s">
        <v>104</v>
      </c>
      <c r="N117" s="71">
        <f t="shared" ref="N117:N121" si="114">O117</f>
        <v>0</v>
      </c>
      <c r="O117" s="71">
        <f t="shared" ref="O117:O121" si="115">G117*K117</f>
        <v>0</v>
      </c>
      <c r="P117" s="59" t="s">
        <v>104</v>
      </c>
      <c r="Q117" s="59" t="s">
        <v>104</v>
      </c>
      <c r="R117" s="75">
        <f t="shared" ref="R117:R121" si="116">H117*K117</f>
        <v>0</v>
      </c>
      <c r="S117" s="75">
        <f t="shared" ref="S117:S121" si="117">I117*K117</f>
        <v>0</v>
      </c>
    </row>
    <row r="118" spans="1:19">
      <c r="A118" s="161"/>
      <c r="B118" s="162"/>
      <c r="C118" s="63" t="s">
        <v>171</v>
      </c>
      <c r="D118" s="64" t="s">
        <v>101</v>
      </c>
      <c r="E118" s="59">
        <v>2</v>
      </c>
      <c r="F118" s="59">
        <v>2</v>
      </c>
      <c r="G118" s="101">
        <f t="shared" si="109"/>
        <v>2</v>
      </c>
      <c r="H118" s="59">
        <v>2</v>
      </c>
      <c r="I118" s="59">
        <v>2</v>
      </c>
      <c r="J118" s="75">
        <f t="shared" si="113"/>
        <v>168582.97</v>
      </c>
      <c r="K118" s="75">
        <v>168582.97</v>
      </c>
      <c r="L118" s="59" t="s">
        <v>104</v>
      </c>
      <c r="M118" s="59" t="s">
        <v>104</v>
      </c>
      <c r="N118" s="71">
        <f t="shared" si="114"/>
        <v>337165.94</v>
      </c>
      <c r="O118" s="71">
        <f t="shared" si="115"/>
        <v>337165.94</v>
      </c>
      <c r="P118" s="59" t="s">
        <v>104</v>
      </c>
      <c r="Q118" s="59" t="s">
        <v>104</v>
      </c>
      <c r="R118" s="75">
        <f t="shared" si="116"/>
        <v>337165.94</v>
      </c>
      <c r="S118" s="75">
        <f t="shared" si="117"/>
        <v>337165.94</v>
      </c>
    </row>
    <row r="119" spans="1:19">
      <c r="A119" s="161"/>
      <c r="B119" s="162"/>
      <c r="C119" s="63" t="s">
        <v>172</v>
      </c>
      <c r="D119" s="64" t="s">
        <v>101</v>
      </c>
      <c r="E119" s="59">
        <v>0</v>
      </c>
      <c r="F119" s="129">
        <v>0</v>
      </c>
      <c r="G119" s="101">
        <f t="shared" si="109"/>
        <v>0</v>
      </c>
      <c r="H119" s="59">
        <v>0</v>
      </c>
      <c r="I119" s="59">
        <v>0</v>
      </c>
      <c r="J119" s="75">
        <f t="shared" si="113"/>
        <v>172299.06</v>
      </c>
      <c r="K119" s="75">
        <v>172299.06</v>
      </c>
      <c r="L119" s="59" t="s">
        <v>104</v>
      </c>
      <c r="M119" s="59" t="s">
        <v>104</v>
      </c>
      <c r="N119" s="71">
        <f t="shared" si="114"/>
        <v>0</v>
      </c>
      <c r="O119" s="71">
        <f t="shared" si="115"/>
        <v>0</v>
      </c>
      <c r="P119" s="59" t="s">
        <v>104</v>
      </c>
      <c r="Q119" s="59" t="s">
        <v>104</v>
      </c>
      <c r="R119" s="75">
        <f t="shared" si="116"/>
        <v>0</v>
      </c>
      <c r="S119" s="75">
        <f t="shared" si="117"/>
        <v>0</v>
      </c>
    </row>
    <row r="120" spans="1:19">
      <c r="A120" s="161"/>
      <c r="B120" s="162"/>
      <c r="C120" s="63" t="s">
        <v>177</v>
      </c>
      <c r="D120" s="64" t="s">
        <v>101</v>
      </c>
      <c r="E120" s="59">
        <v>0</v>
      </c>
      <c r="F120" s="59">
        <v>0</v>
      </c>
      <c r="G120" s="101">
        <f t="shared" si="109"/>
        <v>0</v>
      </c>
      <c r="H120" s="59">
        <v>0</v>
      </c>
      <c r="I120" s="59">
        <v>0</v>
      </c>
      <c r="J120" s="75">
        <f t="shared" si="113"/>
        <v>95991.28</v>
      </c>
      <c r="K120" s="75">
        <v>95991.28</v>
      </c>
      <c r="L120" s="59" t="s">
        <v>104</v>
      </c>
      <c r="M120" s="59" t="s">
        <v>104</v>
      </c>
      <c r="N120" s="71">
        <f t="shared" si="114"/>
        <v>0</v>
      </c>
      <c r="O120" s="71">
        <f t="shared" si="115"/>
        <v>0</v>
      </c>
      <c r="P120" s="59" t="s">
        <v>104</v>
      </c>
      <c r="Q120" s="59" t="s">
        <v>104</v>
      </c>
      <c r="R120" s="75">
        <f t="shared" si="116"/>
        <v>0</v>
      </c>
      <c r="S120" s="75">
        <f t="shared" si="117"/>
        <v>0</v>
      </c>
    </row>
    <row r="121" spans="1:19">
      <c r="A121" s="161"/>
      <c r="B121" s="162"/>
      <c r="C121" s="63" t="s">
        <v>173</v>
      </c>
      <c r="D121" s="64" t="s">
        <v>101</v>
      </c>
      <c r="E121" s="59">
        <v>9</v>
      </c>
      <c r="F121" s="59">
        <v>9</v>
      </c>
      <c r="G121" s="101">
        <f t="shared" si="109"/>
        <v>9</v>
      </c>
      <c r="H121" s="59">
        <v>9</v>
      </c>
      <c r="I121" s="59">
        <v>9</v>
      </c>
      <c r="J121" s="75">
        <f t="shared" si="113"/>
        <v>22724.03</v>
      </c>
      <c r="K121" s="75">
        <v>22724.03</v>
      </c>
      <c r="L121" s="59" t="s">
        <v>104</v>
      </c>
      <c r="M121" s="59" t="s">
        <v>104</v>
      </c>
      <c r="N121" s="71">
        <f t="shared" si="114"/>
        <v>204516.27</v>
      </c>
      <c r="O121" s="71">
        <f t="shared" si="115"/>
        <v>204516.27</v>
      </c>
      <c r="P121" s="59" t="s">
        <v>104</v>
      </c>
      <c r="Q121" s="59" t="s">
        <v>104</v>
      </c>
      <c r="R121" s="75">
        <f t="shared" si="116"/>
        <v>204516.27</v>
      </c>
      <c r="S121" s="75">
        <f t="shared" si="117"/>
        <v>204516.27</v>
      </c>
    </row>
    <row r="122" spans="1:19" ht="120">
      <c r="A122" s="161"/>
      <c r="B122" s="162"/>
      <c r="C122" s="61" t="s">
        <v>105</v>
      </c>
      <c r="D122" s="64" t="s">
        <v>101</v>
      </c>
      <c r="E122" s="59">
        <v>2</v>
      </c>
      <c r="F122" s="59">
        <v>2</v>
      </c>
      <c r="G122" s="101">
        <f t="shared" si="109"/>
        <v>2</v>
      </c>
      <c r="H122" s="59">
        <v>2</v>
      </c>
      <c r="I122" s="59">
        <v>2</v>
      </c>
      <c r="J122" s="75">
        <f>SUM(K122:M122)</f>
        <v>136897.79</v>
      </c>
      <c r="K122" s="75">
        <f>116428.38+690.85</f>
        <v>117119.23000000001</v>
      </c>
      <c r="L122" s="72">
        <v>3857.41</v>
      </c>
      <c r="M122" s="72">
        <v>15921.15</v>
      </c>
      <c r="N122" s="71">
        <f>SUM(O122:Q122)</f>
        <v>273795.58</v>
      </c>
      <c r="O122" s="71">
        <f>G122*K122</f>
        <v>234238.46000000002</v>
      </c>
      <c r="P122" s="71">
        <f>G122*L122</f>
        <v>7714.82</v>
      </c>
      <c r="Q122" s="75">
        <f>G122*M122</f>
        <v>31842.3</v>
      </c>
      <c r="R122" s="75">
        <f t="shared" si="97"/>
        <v>273795.58</v>
      </c>
      <c r="S122" s="75">
        <f t="shared" si="98"/>
        <v>273795.58</v>
      </c>
    </row>
    <row r="123" spans="1:19">
      <c r="A123" s="161"/>
      <c r="B123" s="162"/>
      <c r="C123" s="66" t="s">
        <v>106</v>
      </c>
      <c r="D123" s="67"/>
      <c r="E123" s="59">
        <f>E114+E122</f>
        <v>192</v>
      </c>
      <c r="F123" s="59">
        <f t="shared" ref="F123:G123" si="118">F114+F122</f>
        <v>192</v>
      </c>
      <c r="G123" s="59">
        <f t="shared" si="118"/>
        <v>192</v>
      </c>
      <c r="H123" s="59">
        <f t="shared" ref="H123" si="119">H114+H122</f>
        <v>192</v>
      </c>
      <c r="I123" s="59">
        <f t="shared" ref="I123" si="120">I114+I122</f>
        <v>192</v>
      </c>
      <c r="J123" s="71" t="s">
        <v>104</v>
      </c>
      <c r="K123" s="71" t="s">
        <v>104</v>
      </c>
      <c r="L123" s="71" t="s">
        <v>104</v>
      </c>
      <c r="M123" s="71" t="s">
        <v>104</v>
      </c>
      <c r="N123" s="71">
        <f t="shared" ref="N123:Q123" si="121">SUM(N114:N122)</f>
        <v>7982849.6900000004</v>
      </c>
      <c r="O123" s="71">
        <f t="shared" si="121"/>
        <v>5149678.87</v>
      </c>
      <c r="P123" s="71">
        <f>SUM(P114:P122)</f>
        <v>740622.72</v>
      </c>
      <c r="Q123" s="71">
        <f t="shared" si="121"/>
        <v>2092548.1</v>
      </c>
      <c r="R123" s="75">
        <f>SUM(R114:R122)</f>
        <v>7982849.6899999995</v>
      </c>
      <c r="S123" s="75">
        <f>SUM(S114:S122)</f>
        <v>7982849.6899999995</v>
      </c>
    </row>
    <row r="124" spans="1:19" ht="90">
      <c r="A124" s="161"/>
      <c r="B124" s="162" t="s">
        <v>107</v>
      </c>
      <c r="C124" s="61" t="s">
        <v>100</v>
      </c>
      <c r="D124" s="62" t="s">
        <v>101</v>
      </c>
      <c r="E124" s="59">
        <v>235</v>
      </c>
      <c r="F124" s="59">
        <v>235</v>
      </c>
      <c r="G124" s="101">
        <f t="shared" si="109"/>
        <v>235</v>
      </c>
      <c r="H124" s="59">
        <v>235</v>
      </c>
      <c r="I124" s="59">
        <v>235</v>
      </c>
      <c r="J124" s="110">
        <f>SUM(K124:M124)</f>
        <v>53774.54</v>
      </c>
      <c r="K124" s="110">
        <f>33147.58+848.4</f>
        <v>33995.980000000003</v>
      </c>
      <c r="L124" s="70">
        <v>3857.41</v>
      </c>
      <c r="M124" s="72">
        <v>15921.15</v>
      </c>
      <c r="N124" s="71">
        <f>SUM(O124:Q124)</f>
        <v>12637016.9</v>
      </c>
      <c r="O124" s="71">
        <f>G124*K124</f>
        <v>7989055.3000000007</v>
      </c>
      <c r="P124" s="71">
        <f>G124*L124</f>
        <v>906491.35</v>
      </c>
      <c r="Q124" s="71">
        <f>G124*M124</f>
        <v>3741470.25</v>
      </c>
      <c r="R124" s="75">
        <f t="shared" si="97"/>
        <v>12637016.9</v>
      </c>
      <c r="S124" s="75">
        <f t="shared" si="98"/>
        <v>12637016.9</v>
      </c>
    </row>
    <row r="125" spans="1:19" ht="120">
      <c r="A125" s="161"/>
      <c r="B125" s="162"/>
      <c r="C125" s="63" t="s">
        <v>102</v>
      </c>
      <c r="D125" s="64" t="s">
        <v>101</v>
      </c>
      <c r="E125" s="59" t="s">
        <v>104</v>
      </c>
      <c r="F125" s="59" t="s">
        <v>104</v>
      </c>
      <c r="G125" s="59" t="s">
        <v>104</v>
      </c>
      <c r="H125" s="59" t="s">
        <v>104</v>
      </c>
      <c r="I125" s="59" t="s">
        <v>104</v>
      </c>
      <c r="J125" s="59" t="s">
        <v>104</v>
      </c>
      <c r="K125" s="59" t="s">
        <v>104</v>
      </c>
      <c r="L125" s="59" t="s">
        <v>104</v>
      </c>
      <c r="M125" s="59" t="s">
        <v>104</v>
      </c>
      <c r="N125" s="71"/>
      <c r="O125" s="71"/>
      <c r="P125" s="59" t="s">
        <v>104</v>
      </c>
      <c r="Q125" s="59" t="s">
        <v>104</v>
      </c>
      <c r="R125" s="75"/>
      <c r="S125" s="75"/>
    </row>
    <row r="126" spans="1:19">
      <c r="A126" s="161"/>
      <c r="B126" s="162"/>
      <c r="C126" s="63" t="s">
        <v>175</v>
      </c>
      <c r="D126" s="64" t="s">
        <v>101</v>
      </c>
      <c r="E126" s="60">
        <v>0</v>
      </c>
      <c r="F126" s="60">
        <v>0</v>
      </c>
      <c r="G126" s="101">
        <f t="shared" si="109"/>
        <v>0</v>
      </c>
      <c r="H126" s="60">
        <v>0</v>
      </c>
      <c r="I126" s="60">
        <v>0</v>
      </c>
      <c r="J126" s="75">
        <f>K126</f>
        <v>24684.9</v>
      </c>
      <c r="K126" s="75">
        <v>24684.9</v>
      </c>
      <c r="L126" s="59" t="s">
        <v>104</v>
      </c>
      <c r="M126" s="59" t="s">
        <v>104</v>
      </c>
      <c r="N126" s="71">
        <f>O126</f>
        <v>0</v>
      </c>
      <c r="O126" s="71">
        <f>G126*K126</f>
        <v>0</v>
      </c>
      <c r="P126" s="59" t="s">
        <v>104</v>
      </c>
      <c r="Q126" s="59" t="s">
        <v>104</v>
      </c>
      <c r="R126" s="75">
        <f>H126*K126</f>
        <v>0</v>
      </c>
      <c r="S126" s="75">
        <f>I126*K126</f>
        <v>0</v>
      </c>
    </row>
    <row r="127" spans="1:19">
      <c r="A127" s="161"/>
      <c r="B127" s="162"/>
      <c r="C127" s="63" t="s">
        <v>169</v>
      </c>
      <c r="D127" s="64" t="s">
        <v>101</v>
      </c>
      <c r="E127" s="60">
        <v>0</v>
      </c>
      <c r="F127" s="60">
        <v>0</v>
      </c>
      <c r="G127" s="101">
        <f t="shared" si="109"/>
        <v>0</v>
      </c>
      <c r="H127" s="60">
        <v>0</v>
      </c>
      <c r="I127" s="60">
        <v>0</v>
      </c>
      <c r="J127" s="75">
        <f t="shared" ref="J127:J130" si="122">K127</f>
        <v>89075.19</v>
      </c>
      <c r="K127" s="75">
        <v>89075.19</v>
      </c>
      <c r="L127" s="59" t="s">
        <v>104</v>
      </c>
      <c r="M127" s="59" t="s">
        <v>104</v>
      </c>
      <c r="N127" s="71">
        <f t="shared" ref="N127:N130" si="123">O127</f>
        <v>0</v>
      </c>
      <c r="O127" s="71">
        <f t="shared" ref="O127:O130" si="124">G127*K127</f>
        <v>0</v>
      </c>
      <c r="P127" s="59" t="s">
        <v>104</v>
      </c>
      <c r="Q127" s="59" t="s">
        <v>104</v>
      </c>
      <c r="R127" s="75">
        <f t="shared" ref="R127:R130" si="125">H127*K127</f>
        <v>0</v>
      </c>
      <c r="S127" s="75">
        <f t="shared" ref="S127:S130" si="126">I127*K127</f>
        <v>0</v>
      </c>
    </row>
    <row r="128" spans="1:19">
      <c r="A128" s="161"/>
      <c r="B128" s="162"/>
      <c r="C128" s="63" t="s">
        <v>171</v>
      </c>
      <c r="D128" s="64" t="s">
        <v>101</v>
      </c>
      <c r="E128" s="60">
        <v>0</v>
      </c>
      <c r="F128" s="60">
        <v>0</v>
      </c>
      <c r="G128" s="101">
        <f t="shared" si="109"/>
        <v>0</v>
      </c>
      <c r="H128" s="60">
        <v>0</v>
      </c>
      <c r="I128" s="60">
        <v>0</v>
      </c>
      <c r="J128" s="75">
        <f t="shared" si="122"/>
        <v>256522.21</v>
      </c>
      <c r="K128" s="75">
        <v>256522.21</v>
      </c>
      <c r="L128" s="59" t="s">
        <v>104</v>
      </c>
      <c r="M128" s="59" t="s">
        <v>104</v>
      </c>
      <c r="N128" s="71">
        <f t="shared" si="123"/>
        <v>0</v>
      </c>
      <c r="O128" s="71">
        <f t="shared" si="124"/>
        <v>0</v>
      </c>
      <c r="P128" s="59" t="s">
        <v>104</v>
      </c>
      <c r="Q128" s="59" t="s">
        <v>104</v>
      </c>
      <c r="R128" s="75">
        <f t="shared" si="125"/>
        <v>0</v>
      </c>
      <c r="S128" s="75">
        <f t="shared" si="126"/>
        <v>0</v>
      </c>
    </row>
    <row r="129" spans="1:19">
      <c r="A129" s="161"/>
      <c r="B129" s="162"/>
      <c r="C129" s="63" t="s">
        <v>177</v>
      </c>
      <c r="D129" s="64" t="s">
        <v>101</v>
      </c>
      <c r="E129" s="60">
        <v>1</v>
      </c>
      <c r="F129" s="60">
        <v>1</v>
      </c>
      <c r="G129" s="101">
        <f t="shared" si="109"/>
        <v>1</v>
      </c>
      <c r="H129" s="60">
        <v>1</v>
      </c>
      <c r="I129" s="60">
        <v>1</v>
      </c>
      <c r="J129" s="75">
        <f t="shared" si="122"/>
        <v>31601.01</v>
      </c>
      <c r="K129" s="75">
        <v>31601.01</v>
      </c>
      <c r="L129" s="59" t="s">
        <v>104</v>
      </c>
      <c r="M129" s="59" t="s">
        <v>104</v>
      </c>
      <c r="N129" s="71">
        <f t="shared" si="123"/>
        <v>31601.01</v>
      </c>
      <c r="O129" s="71">
        <f t="shared" si="124"/>
        <v>31601.01</v>
      </c>
      <c r="P129" s="59" t="s">
        <v>104</v>
      </c>
      <c r="Q129" s="59" t="s">
        <v>104</v>
      </c>
      <c r="R129" s="75">
        <f t="shared" si="125"/>
        <v>31601.01</v>
      </c>
      <c r="S129" s="75">
        <f t="shared" si="126"/>
        <v>31601.01</v>
      </c>
    </row>
    <row r="130" spans="1:19">
      <c r="A130" s="161"/>
      <c r="B130" s="162"/>
      <c r="C130" s="63" t="s">
        <v>173</v>
      </c>
      <c r="D130" s="64" t="s">
        <v>101</v>
      </c>
      <c r="E130" s="60">
        <v>10</v>
      </c>
      <c r="F130" s="60">
        <v>10</v>
      </c>
      <c r="G130" s="101">
        <f t="shared" si="109"/>
        <v>10</v>
      </c>
      <c r="H130" s="60">
        <v>10</v>
      </c>
      <c r="I130" s="60">
        <v>10</v>
      </c>
      <c r="J130" s="75">
        <f t="shared" si="122"/>
        <v>22724.03</v>
      </c>
      <c r="K130" s="75">
        <v>22724.03</v>
      </c>
      <c r="L130" s="59" t="s">
        <v>104</v>
      </c>
      <c r="M130" s="59" t="s">
        <v>104</v>
      </c>
      <c r="N130" s="71">
        <f t="shared" si="123"/>
        <v>227240.3</v>
      </c>
      <c r="O130" s="71">
        <f t="shared" si="124"/>
        <v>227240.3</v>
      </c>
      <c r="P130" s="59" t="s">
        <v>104</v>
      </c>
      <c r="Q130" s="59" t="s">
        <v>104</v>
      </c>
      <c r="R130" s="75">
        <f t="shared" si="125"/>
        <v>227240.3</v>
      </c>
      <c r="S130" s="75">
        <f t="shared" si="126"/>
        <v>227240.3</v>
      </c>
    </row>
    <row r="131" spans="1:19" ht="120">
      <c r="A131" s="161"/>
      <c r="B131" s="162"/>
      <c r="C131" s="61" t="s">
        <v>105</v>
      </c>
      <c r="D131" s="64" t="s">
        <v>101</v>
      </c>
      <c r="E131" s="60">
        <v>3</v>
      </c>
      <c r="F131" s="60">
        <v>3</v>
      </c>
      <c r="G131" s="60">
        <f t="shared" si="109"/>
        <v>3</v>
      </c>
      <c r="H131" s="60">
        <v>3</v>
      </c>
      <c r="I131" s="60">
        <v>3</v>
      </c>
      <c r="J131" s="75">
        <f>SUM(K131:M131)</f>
        <v>160728.59</v>
      </c>
      <c r="K131" s="75">
        <f>145176.96+848.4</f>
        <v>146025.35999999999</v>
      </c>
      <c r="L131" s="72">
        <v>3857.41</v>
      </c>
      <c r="M131" s="70">
        <v>10845.82</v>
      </c>
      <c r="N131" s="71">
        <f>SUM(O131:Q131)</f>
        <v>482185.76999999996</v>
      </c>
      <c r="O131" s="71">
        <f>G131*K131</f>
        <v>438076.07999999996</v>
      </c>
      <c r="P131" s="73">
        <f>G131*L131</f>
        <v>11572.23</v>
      </c>
      <c r="Q131" s="73">
        <f>G131*M131</f>
        <v>32537.46</v>
      </c>
      <c r="R131" s="75">
        <f t="shared" si="97"/>
        <v>482185.77</v>
      </c>
      <c r="S131" s="75">
        <f t="shared" si="98"/>
        <v>482185.77</v>
      </c>
    </row>
    <row r="132" spans="1:19">
      <c r="A132" s="161"/>
      <c r="B132" s="113"/>
      <c r="C132" s="66" t="s">
        <v>106</v>
      </c>
      <c r="D132" s="64"/>
      <c r="E132" s="60">
        <f>E124+E131</f>
        <v>238</v>
      </c>
      <c r="F132" s="60">
        <f t="shared" ref="F132:I132" si="127">F124+F131</f>
        <v>238</v>
      </c>
      <c r="G132" s="60">
        <f t="shared" si="127"/>
        <v>238</v>
      </c>
      <c r="H132" s="60">
        <f t="shared" si="127"/>
        <v>238</v>
      </c>
      <c r="I132" s="60">
        <f t="shared" si="127"/>
        <v>238</v>
      </c>
      <c r="J132" s="73" t="s">
        <v>104</v>
      </c>
      <c r="K132" s="73" t="s">
        <v>104</v>
      </c>
      <c r="L132" s="74" t="s">
        <v>104</v>
      </c>
      <c r="M132" s="74" t="s">
        <v>104</v>
      </c>
      <c r="N132" s="74">
        <f t="shared" ref="N132:S132" si="128">SUM(N124:N131)</f>
        <v>13378043.98</v>
      </c>
      <c r="O132" s="74">
        <f t="shared" si="128"/>
        <v>8685972.6899999995</v>
      </c>
      <c r="P132" s="74">
        <f t="shared" si="128"/>
        <v>918063.58</v>
      </c>
      <c r="Q132" s="74">
        <f t="shared" si="128"/>
        <v>3774007.71</v>
      </c>
      <c r="R132" s="75">
        <f t="shared" si="128"/>
        <v>13378043.98</v>
      </c>
      <c r="S132" s="75">
        <f t="shared" si="128"/>
        <v>13378043.98</v>
      </c>
    </row>
    <row r="133" spans="1:19" ht="90">
      <c r="A133" s="161"/>
      <c r="B133" s="162" t="s">
        <v>108</v>
      </c>
      <c r="C133" s="61" t="s">
        <v>100</v>
      </c>
      <c r="D133" s="62" t="s">
        <v>101</v>
      </c>
      <c r="E133" s="60">
        <v>43</v>
      </c>
      <c r="F133" s="60">
        <v>43</v>
      </c>
      <c r="G133" s="60">
        <f t="shared" si="109"/>
        <v>43</v>
      </c>
      <c r="H133" s="60">
        <v>43</v>
      </c>
      <c r="I133" s="60">
        <v>43</v>
      </c>
      <c r="J133" s="110">
        <f>SUM(K133:M133)</f>
        <v>55356.51</v>
      </c>
      <c r="K133" s="110">
        <f>39660.87+992.41</f>
        <v>40653.280000000006</v>
      </c>
      <c r="L133" s="70">
        <v>3857.41</v>
      </c>
      <c r="M133" s="70">
        <v>10845.82</v>
      </c>
      <c r="N133" s="73">
        <f>SUM(O133:Q133)</f>
        <v>2380329.9300000006</v>
      </c>
      <c r="O133" s="73">
        <f>G133*K133</f>
        <v>1748091.0400000003</v>
      </c>
      <c r="P133" s="73">
        <f>G133*L133</f>
        <v>165868.63</v>
      </c>
      <c r="Q133" s="73">
        <f>G133*M133</f>
        <v>466370.26</v>
      </c>
      <c r="R133" s="75">
        <f t="shared" si="97"/>
        <v>2380329.9300000002</v>
      </c>
      <c r="S133" s="75">
        <f t="shared" si="98"/>
        <v>2380329.9300000002</v>
      </c>
    </row>
    <row r="134" spans="1:19" ht="120">
      <c r="A134" s="161"/>
      <c r="B134" s="162"/>
      <c r="C134" s="63" t="s">
        <v>102</v>
      </c>
      <c r="D134" s="64" t="s">
        <v>101</v>
      </c>
      <c r="E134" s="59" t="s">
        <v>104</v>
      </c>
      <c r="F134" s="59" t="s">
        <v>104</v>
      </c>
      <c r="G134" s="59" t="s">
        <v>104</v>
      </c>
      <c r="H134" s="59" t="s">
        <v>104</v>
      </c>
      <c r="I134" s="59" t="s">
        <v>104</v>
      </c>
      <c r="J134" s="59" t="s">
        <v>104</v>
      </c>
      <c r="K134" s="59" t="s">
        <v>104</v>
      </c>
      <c r="L134" s="59" t="s">
        <v>104</v>
      </c>
      <c r="M134" s="59" t="s">
        <v>104</v>
      </c>
      <c r="N134" s="71"/>
      <c r="O134" s="71"/>
      <c r="P134" s="59" t="s">
        <v>104</v>
      </c>
      <c r="Q134" s="59" t="s">
        <v>104</v>
      </c>
      <c r="R134" s="75"/>
      <c r="S134" s="75"/>
    </row>
    <row r="135" spans="1:19">
      <c r="A135" s="161"/>
      <c r="B135" s="162"/>
      <c r="C135" s="63" t="s">
        <v>169</v>
      </c>
      <c r="D135" s="64" t="s">
        <v>101</v>
      </c>
      <c r="E135" s="60">
        <v>0</v>
      </c>
      <c r="F135" s="60">
        <v>0</v>
      </c>
      <c r="G135" s="120">
        <f t="shared" si="109"/>
        <v>0</v>
      </c>
      <c r="H135" s="60">
        <v>0</v>
      </c>
      <c r="I135" s="60">
        <v>0</v>
      </c>
      <c r="J135" s="75">
        <f>K135</f>
        <v>89075.19</v>
      </c>
      <c r="K135" s="75">
        <v>89075.19</v>
      </c>
      <c r="L135" s="59" t="s">
        <v>104</v>
      </c>
      <c r="M135" s="59" t="s">
        <v>104</v>
      </c>
      <c r="N135" s="71">
        <f>O135</f>
        <v>0</v>
      </c>
      <c r="O135" s="71">
        <f>G135*K135</f>
        <v>0</v>
      </c>
      <c r="P135" s="59" t="s">
        <v>104</v>
      </c>
      <c r="Q135" s="59" t="s">
        <v>104</v>
      </c>
      <c r="R135" s="75">
        <f>H135*K135</f>
        <v>0</v>
      </c>
      <c r="S135" s="75">
        <f>I135*K135</f>
        <v>0</v>
      </c>
    </row>
    <row r="136" spans="1:19">
      <c r="A136" s="161"/>
      <c r="B136" s="162"/>
      <c r="C136" s="63" t="s">
        <v>173</v>
      </c>
      <c r="D136" s="64" t="s">
        <v>101</v>
      </c>
      <c r="E136" s="60">
        <v>2</v>
      </c>
      <c r="F136" s="60">
        <v>2</v>
      </c>
      <c r="G136" s="120">
        <f t="shared" si="109"/>
        <v>2</v>
      </c>
      <c r="H136" s="60">
        <v>2</v>
      </c>
      <c r="I136" s="60">
        <v>2</v>
      </c>
      <c r="J136" s="75">
        <f>K136</f>
        <v>22724.03</v>
      </c>
      <c r="K136" s="75">
        <v>22724.03</v>
      </c>
      <c r="L136" s="59" t="s">
        <v>104</v>
      </c>
      <c r="M136" s="59" t="s">
        <v>104</v>
      </c>
      <c r="N136" s="71">
        <f>O136</f>
        <v>45448.06</v>
      </c>
      <c r="O136" s="71">
        <f>G136*K136</f>
        <v>45448.06</v>
      </c>
      <c r="P136" s="59" t="s">
        <v>104</v>
      </c>
      <c r="Q136" s="59" t="s">
        <v>104</v>
      </c>
      <c r="R136" s="75">
        <f>H136*K136</f>
        <v>45448.06</v>
      </c>
      <c r="S136" s="75">
        <f>I136*K136</f>
        <v>45448.06</v>
      </c>
    </row>
    <row r="137" spans="1:19" ht="120">
      <c r="A137" s="161"/>
      <c r="B137" s="162"/>
      <c r="C137" s="61" t="s">
        <v>105</v>
      </c>
      <c r="D137" s="64" t="s">
        <v>101</v>
      </c>
      <c r="E137" s="60">
        <v>1</v>
      </c>
      <c r="F137" s="60">
        <v>1</v>
      </c>
      <c r="G137" s="120">
        <f t="shared" si="109"/>
        <v>1</v>
      </c>
      <c r="H137" s="60">
        <v>1</v>
      </c>
      <c r="I137" s="60">
        <v>1</v>
      </c>
      <c r="J137" s="73">
        <f>K137</f>
        <v>174917.94</v>
      </c>
      <c r="K137" s="73">
        <f>173925.53+992.41</f>
        <v>174917.94</v>
      </c>
      <c r="L137" s="70">
        <v>3857.41</v>
      </c>
      <c r="M137" s="70">
        <v>10845.82</v>
      </c>
      <c r="N137" s="71">
        <f>SUM(O137:Q137)</f>
        <v>189621.17</v>
      </c>
      <c r="O137" s="73">
        <f>G137*K137</f>
        <v>174917.94</v>
      </c>
      <c r="P137" s="73">
        <f>G137*L137</f>
        <v>3857.41</v>
      </c>
      <c r="Q137" s="73">
        <f>G137*M137</f>
        <v>10845.82</v>
      </c>
      <c r="R137" s="75">
        <f>H137*K137</f>
        <v>174917.94</v>
      </c>
      <c r="S137" s="75">
        <f>I137*K137</f>
        <v>174917.94</v>
      </c>
    </row>
    <row r="138" spans="1:19">
      <c r="A138" s="161"/>
      <c r="B138" s="113"/>
      <c r="C138" s="66" t="s">
        <v>106</v>
      </c>
      <c r="D138" s="64"/>
      <c r="E138" s="60">
        <f>E133+E137</f>
        <v>44</v>
      </c>
      <c r="F138" s="60">
        <f t="shared" ref="F138:I138" si="129">F133+F137</f>
        <v>44</v>
      </c>
      <c r="G138" s="60">
        <f t="shared" si="129"/>
        <v>44</v>
      </c>
      <c r="H138" s="60">
        <f t="shared" si="129"/>
        <v>44</v>
      </c>
      <c r="I138" s="60">
        <f t="shared" si="129"/>
        <v>44</v>
      </c>
      <c r="J138" s="73" t="s">
        <v>104</v>
      </c>
      <c r="K138" s="73" t="s">
        <v>104</v>
      </c>
      <c r="L138" s="74" t="s">
        <v>104</v>
      </c>
      <c r="M138" s="74" t="s">
        <v>104</v>
      </c>
      <c r="N138" s="74">
        <f t="shared" ref="N138:Q138" si="130">SUM(N133:N137)</f>
        <v>2615399.1600000006</v>
      </c>
      <c r="O138" s="74">
        <f t="shared" si="130"/>
        <v>1968457.0400000003</v>
      </c>
      <c r="P138" s="74">
        <f t="shared" si="130"/>
        <v>169726.04</v>
      </c>
      <c r="Q138" s="74">
        <f t="shared" si="130"/>
        <v>477216.08</v>
      </c>
      <c r="R138" s="75">
        <f>SUM(R133:R137)</f>
        <v>2600695.9300000002</v>
      </c>
      <c r="S138" s="75">
        <f>SUM(S133:S137)</f>
        <v>2600695.9300000002</v>
      </c>
    </row>
    <row r="139" spans="1:19" ht="165">
      <c r="A139" s="161"/>
      <c r="B139" s="163" t="s">
        <v>109</v>
      </c>
      <c r="C139" s="61" t="s">
        <v>110</v>
      </c>
      <c r="D139" s="64" t="s">
        <v>101</v>
      </c>
      <c r="E139" s="60">
        <v>238</v>
      </c>
      <c r="F139" s="60">
        <v>238</v>
      </c>
      <c r="G139" s="120">
        <f t="shared" si="109"/>
        <v>238</v>
      </c>
      <c r="H139" s="60">
        <v>238</v>
      </c>
      <c r="I139" s="60">
        <v>238</v>
      </c>
      <c r="J139" s="75">
        <f>K139</f>
        <v>2770.76</v>
      </c>
      <c r="K139" s="75">
        <v>2770.76</v>
      </c>
      <c r="L139" s="72" t="s">
        <v>104</v>
      </c>
      <c r="M139" s="72" t="s">
        <v>104</v>
      </c>
      <c r="N139" s="73">
        <f>SUM(O139:Q139)</f>
        <v>659440.88</v>
      </c>
      <c r="O139" s="73">
        <f>K139*E139</f>
        <v>659440.88</v>
      </c>
      <c r="P139" s="73" t="s">
        <v>104</v>
      </c>
      <c r="Q139" s="73" t="s">
        <v>104</v>
      </c>
      <c r="R139" s="75">
        <f t="shared" si="97"/>
        <v>659440.88</v>
      </c>
      <c r="S139" s="75">
        <f t="shared" si="98"/>
        <v>659440.88</v>
      </c>
    </row>
    <row r="140" spans="1:19" ht="180">
      <c r="A140" s="161"/>
      <c r="B140" s="163"/>
      <c r="C140" s="61" t="s">
        <v>178</v>
      </c>
      <c r="D140" s="64" t="s">
        <v>101</v>
      </c>
      <c r="E140" s="60">
        <v>343</v>
      </c>
      <c r="F140" s="60">
        <v>343</v>
      </c>
      <c r="G140" s="120">
        <f t="shared" si="109"/>
        <v>343</v>
      </c>
      <c r="H140" s="60">
        <v>343</v>
      </c>
      <c r="I140" s="60">
        <v>343</v>
      </c>
      <c r="J140" s="75">
        <v>3829.24</v>
      </c>
      <c r="K140" s="75">
        <f>J140</f>
        <v>3829.24</v>
      </c>
      <c r="L140" s="72" t="s">
        <v>104</v>
      </c>
      <c r="M140" s="72" t="s">
        <v>104</v>
      </c>
      <c r="N140" s="73">
        <f>SUM(O140:Q140)</f>
        <v>1313429.3199999998</v>
      </c>
      <c r="O140" s="73">
        <f>K140*E140</f>
        <v>1313429.3199999998</v>
      </c>
      <c r="P140" s="73" t="s">
        <v>104</v>
      </c>
      <c r="Q140" s="73" t="s">
        <v>104</v>
      </c>
      <c r="R140" s="75">
        <f t="shared" si="97"/>
        <v>1313429.3199999998</v>
      </c>
      <c r="S140" s="75">
        <f t="shared" si="98"/>
        <v>1313429.3199999998</v>
      </c>
    </row>
    <row r="141" spans="1:19">
      <c r="A141" s="161"/>
      <c r="B141" s="69"/>
      <c r="C141" s="66" t="s">
        <v>106</v>
      </c>
      <c r="D141" s="69"/>
      <c r="E141" s="60">
        <f>SUM(E139:E140)</f>
        <v>581</v>
      </c>
      <c r="F141" s="60">
        <f>SUM(F139:F140)</f>
        <v>581</v>
      </c>
      <c r="G141" s="60">
        <f t="shared" ref="G141:I141" si="131">SUM(G139:G140)</f>
        <v>581</v>
      </c>
      <c r="H141" s="60">
        <f t="shared" si="131"/>
        <v>581</v>
      </c>
      <c r="I141" s="60">
        <f t="shared" si="131"/>
        <v>581</v>
      </c>
      <c r="J141" s="73" t="s">
        <v>104</v>
      </c>
      <c r="K141" s="73" t="s">
        <v>104</v>
      </c>
      <c r="L141" s="74" t="s">
        <v>104</v>
      </c>
      <c r="M141" s="74">
        <f t="shared" ref="M141:Q141" si="132">SUM(M139:M140)</f>
        <v>0</v>
      </c>
      <c r="N141" s="74">
        <f t="shared" si="132"/>
        <v>1972870.1999999997</v>
      </c>
      <c r="O141" s="74">
        <f t="shared" si="132"/>
        <v>1972870.1999999997</v>
      </c>
      <c r="P141" s="74">
        <f t="shared" si="132"/>
        <v>0</v>
      </c>
      <c r="Q141" s="74">
        <f t="shared" si="132"/>
        <v>0</v>
      </c>
      <c r="R141" s="75">
        <f>SUM(R139:R140)</f>
        <v>1972870.1999999997</v>
      </c>
      <c r="S141" s="75">
        <f>SUM(S139:S140)</f>
        <v>1972870.1999999997</v>
      </c>
    </row>
    <row r="142" spans="1:19">
      <c r="A142" s="161"/>
      <c r="B142" s="102" t="s">
        <v>112</v>
      </c>
      <c r="C142" s="102"/>
      <c r="D142" s="69"/>
      <c r="E142" s="103"/>
      <c r="F142" s="103"/>
      <c r="G142" s="103"/>
      <c r="H142" s="103"/>
      <c r="I142" s="103"/>
      <c r="J142" s="106"/>
      <c r="K142" s="106"/>
      <c r="L142" s="104"/>
      <c r="M142" s="104"/>
      <c r="N142" s="104">
        <f>SUM(O142:Q142)</f>
        <v>25949163.030000001</v>
      </c>
      <c r="O142" s="104">
        <f>O123+O132+O138+O141</f>
        <v>17776978.800000001</v>
      </c>
      <c r="P142" s="104">
        <f>P123+P132+P138+P141</f>
        <v>1828412.3399999999</v>
      </c>
      <c r="Q142" s="104">
        <f>Q123+Q132+Q138+Q141</f>
        <v>6343771.8900000006</v>
      </c>
      <c r="R142" s="104">
        <f>R123+R132+R138+R141</f>
        <v>25934459.800000001</v>
      </c>
      <c r="S142" s="104">
        <f>S123+S132+S138+S141</f>
        <v>25934459.800000001</v>
      </c>
    </row>
    <row r="143" spans="1:19" ht="90">
      <c r="A143" s="161" t="s">
        <v>114</v>
      </c>
      <c r="B143" s="162" t="s">
        <v>99</v>
      </c>
      <c r="C143" s="61" t="s">
        <v>100</v>
      </c>
      <c r="D143" s="62" t="s">
        <v>101</v>
      </c>
      <c r="E143" s="59">
        <v>185</v>
      </c>
      <c r="F143" s="59">
        <v>185</v>
      </c>
      <c r="G143" s="120">
        <f t="shared" ref="G143:G148" si="133">((E143*8)+(F143*4))/12</f>
        <v>185</v>
      </c>
      <c r="H143" s="59">
        <v>185</v>
      </c>
      <c r="I143" s="59">
        <v>185</v>
      </c>
      <c r="J143" s="110">
        <f>SUM(K143:M143)</f>
        <v>37723.009999999995</v>
      </c>
      <c r="K143" s="110">
        <f>22328.93+690.85</f>
        <v>23019.78</v>
      </c>
      <c r="L143" s="70">
        <v>3857.41</v>
      </c>
      <c r="M143" s="70">
        <v>10845.82</v>
      </c>
      <c r="N143" s="71">
        <f>SUM(O143:Q143)</f>
        <v>6978756.8499999996</v>
      </c>
      <c r="O143" s="71">
        <f>G143*K143</f>
        <v>4258659.3</v>
      </c>
      <c r="P143" s="71">
        <f>G143*L143</f>
        <v>713620.85</v>
      </c>
      <c r="Q143" s="75">
        <f>G143*M143</f>
        <v>2006476.7</v>
      </c>
      <c r="R143" s="75">
        <f t="shared" si="97"/>
        <v>6978756.8499999987</v>
      </c>
      <c r="S143" s="75">
        <f t="shared" si="98"/>
        <v>6978756.8499999987</v>
      </c>
    </row>
    <row r="144" spans="1:19" ht="135">
      <c r="A144" s="161"/>
      <c r="B144" s="162"/>
      <c r="C144" s="63" t="s">
        <v>167</v>
      </c>
      <c r="D144" s="64" t="s">
        <v>101</v>
      </c>
      <c r="E144" s="59" t="s">
        <v>104</v>
      </c>
      <c r="F144" s="59" t="s">
        <v>104</v>
      </c>
      <c r="G144" s="59" t="s">
        <v>104</v>
      </c>
      <c r="H144" s="59" t="s">
        <v>104</v>
      </c>
      <c r="I144" s="59" t="s">
        <v>104</v>
      </c>
      <c r="J144" s="59" t="s">
        <v>104</v>
      </c>
      <c r="K144" s="59" t="s">
        <v>104</v>
      </c>
      <c r="L144" s="59" t="s">
        <v>104</v>
      </c>
      <c r="M144" s="59" t="s">
        <v>104</v>
      </c>
      <c r="N144" s="71"/>
      <c r="O144" s="71"/>
      <c r="P144" s="59" t="s">
        <v>104</v>
      </c>
      <c r="Q144" s="59" t="s">
        <v>104</v>
      </c>
      <c r="R144" s="75"/>
      <c r="S144" s="75"/>
    </row>
    <row r="145" spans="1:19">
      <c r="A145" s="161"/>
      <c r="B145" s="162"/>
      <c r="C145" s="63" t="s">
        <v>179</v>
      </c>
      <c r="D145" s="64" t="s">
        <v>101</v>
      </c>
      <c r="E145" s="59">
        <v>1</v>
      </c>
      <c r="F145" s="59">
        <v>1</v>
      </c>
      <c r="G145" s="120">
        <f t="shared" si="133"/>
        <v>1</v>
      </c>
      <c r="H145" s="59">
        <v>1</v>
      </c>
      <c r="I145" s="59">
        <v>1</v>
      </c>
      <c r="J145" s="75">
        <f t="shared" ref="J145:J148" si="134">K145</f>
        <v>66860.39</v>
      </c>
      <c r="K145" s="75">
        <v>66860.39</v>
      </c>
      <c r="L145" s="59" t="s">
        <v>104</v>
      </c>
      <c r="M145" s="59" t="s">
        <v>104</v>
      </c>
      <c r="N145" s="71">
        <f>O145</f>
        <v>66860.39</v>
      </c>
      <c r="O145" s="71">
        <f>G145*K145</f>
        <v>66860.39</v>
      </c>
      <c r="P145" s="59" t="s">
        <v>104</v>
      </c>
      <c r="Q145" s="59" t="s">
        <v>104</v>
      </c>
      <c r="R145" s="75">
        <f>H145*K145</f>
        <v>66860.39</v>
      </c>
      <c r="S145" s="75">
        <f>I145*K145</f>
        <v>66860.39</v>
      </c>
    </row>
    <row r="146" spans="1:19">
      <c r="A146" s="161"/>
      <c r="B146" s="162"/>
      <c r="C146" s="63" t="s">
        <v>176</v>
      </c>
      <c r="D146" s="64" t="s">
        <v>101</v>
      </c>
      <c r="E146" s="59">
        <v>2</v>
      </c>
      <c r="F146" s="59">
        <v>2</v>
      </c>
      <c r="G146" s="120">
        <f t="shared" si="133"/>
        <v>2</v>
      </c>
      <c r="H146" s="59">
        <v>2</v>
      </c>
      <c r="I146" s="59">
        <v>2</v>
      </c>
      <c r="J146" s="75">
        <f t="shared" si="134"/>
        <v>66860.39</v>
      </c>
      <c r="K146" s="75">
        <v>66860.39</v>
      </c>
      <c r="L146" s="59" t="s">
        <v>104</v>
      </c>
      <c r="M146" s="59" t="s">
        <v>104</v>
      </c>
      <c r="N146" s="71">
        <f t="shared" ref="N146:N148" si="135">O146</f>
        <v>133720.78</v>
      </c>
      <c r="O146" s="71">
        <f t="shared" ref="O146:O147" si="136">G146*K146</f>
        <v>133720.78</v>
      </c>
      <c r="P146" s="59" t="s">
        <v>104</v>
      </c>
      <c r="Q146" s="59" t="s">
        <v>104</v>
      </c>
      <c r="R146" s="75">
        <f t="shared" ref="R146:R148" si="137">H146*K146</f>
        <v>133720.78</v>
      </c>
      <c r="S146" s="75">
        <f t="shared" ref="S146:S148" si="138">I146*K146</f>
        <v>133720.78</v>
      </c>
    </row>
    <row r="147" spans="1:19">
      <c r="A147" s="161"/>
      <c r="B147" s="162"/>
      <c r="C147" s="63" t="s">
        <v>170</v>
      </c>
      <c r="D147" s="64" t="s">
        <v>101</v>
      </c>
      <c r="E147" s="59">
        <v>2</v>
      </c>
      <c r="F147" s="59">
        <v>2</v>
      </c>
      <c r="G147" s="120">
        <f t="shared" si="133"/>
        <v>2</v>
      </c>
      <c r="H147" s="59">
        <v>2</v>
      </c>
      <c r="I147" s="59">
        <v>2</v>
      </c>
      <c r="J147" s="75">
        <f t="shared" si="134"/>
        <v>63972.15</v>
      </c>
      <c r="K147" s="75">
        <v>63972.15</v>
      </c>
      <c r="L147" s="59" t="s">
        <v>104</v>
      </c>
      <c r="M147" s="59" t="s">
        <v>104</v>
      </c>
      <c r="N147" s="71">
        <f t="shared" si="135"/>
        <v>127944.3</v>
      </c>
      <c r="O147" s="71">
        <f t="shared" si="136"/>
        <v>127944.3</v>
      </c>
      <c r="P147" s="59" t="s">
        <v>104</v>
      </c>
      <c r="Q147" s="59" t="s">
        <v>104</v>
      </c>
      <c r="R147" s="75">
        <f t="shared" si="137"/>
        <v>127944.3</v>
      </c>
      <c r="S147" s="75">
        <f t="shared" si="138"/>
        <v>127944.3</v>
      </c>
    </row>
    <row r="148" spans="1:19">
      <c r="A148" s="161"/>
      <c r="B148" s="162"/>
      <c r="C148" s="63" t="s">
        <v>173</v>
      </c>
      <c r="D148" s="64" t="s">
        <v>101</v>
      </c>
      <c r="E148" s="59">
        <v>1</v>
      </c>
      <c r="F148" s="59">
        <v>1</v>
      </c>
      <c r="G148" s="120">
        <f t="shared" si="133"/>
        <v>1</v>
      </c>
      <c r="H148" s="59">
        <v>1</v>
      </c>
      <c r="I148" s="59">
        <v>1</v>
      </c>
      <c r="J148" s="75">
        <f t="shared" si="134"/>
        <v>22724.03</v>
      </c>
      <c r="K148" s="75">
        <v>22724.03</v>
      </c>
      <c r="L148" s="59" t="s">
        <v>104</v>
      </c>
      <c r="M148" s="59" t="s">
        <v>104</v>
      </c>
      <c r="N148" s="71">
        <f t="shared" si="135"/>
        <v>22724.03</v>
      </c>
      <c r="O148" s="71">
        <f t="shared" ref="O148" si="139">G148*K148</f>
        <v>22724.03</v>
      </c>
      <c r="P148" s="59" t="s">
        <v>104</v>
      </c>
      <c r="Q148" s="59" t="s">
        <v>104</v>
      </c>
      <c r="R148" s="75">
        <f t="shared" si="137"/>
        <v>22724.03</v>
      </c>
      <c r="S148" s="75">
        <f t="shared" si="138"/>
        <v>22724.03</v>
      </c>
    </row>
    <row r="149" spans="1:19" ht="120">
      <c r="A149" s="161"/>
      <c r="B149" s="162"/>
      <c r="C149" s="61" t="s">
        <v>105</v>
      </c>
      <c r="D149" s="64" t="s">
        <v>101</v>
      </c>
      <c r="E149" s="59"/>
      <c r="F149" s="59"/>
      <c r="G149" s="59"/>
      <c r="H149" s="59"/>
      <c r="I149" s="59"/>
      <c r="J149" s="75">
        <f>SUM(K149:M149)</f>
        <v>131822.46000000002</v>
      </c>
      <c r="K149" s="75">
        <f>116428.38+690.85</f>
        <v>117119.23000000001</v>
      </c>
      <c r="L149" s="72">
        <v>3857.41</v>
      </c>
      <c r="M149" s="70">
        <v>10845.82</v>
      </c>
      <c r="N149" s="71">
        <f>SUM(O149:Q149)</f>
        <v>0</v>
      </c>
      <c r="O149" s="71">
        <f>E149*K149</f>
        <v>0</v>
      </c>
      <c r="P149" s="71">
        <f>E149*L149</f>
        <v>0</v>
      </c>
      <c r="Q149" s="75">
        <f>E149*M149</f>
        <v>0</v>
      </c>
      <c r="R149" s="75">
        <f t="shared" si="97"/>
        <v>0</v>
      </c>
      <c r="S149" s="75">
        <f t="shared" si="98"/>
        <v>0</v>
      </c>
    </row>
    <row r="150" spans="1:19">
      <c r="A150" s="161"/>
      <c r="B150" s="162"/>
      <c r="C150" s="66" t="s">
        <v>106</v>
      </c>
      <c r="D150" s="67"/>
      <c r="E150" s="59">
        <f>E143+E149</f>
        <v>185</v>
      </c>
      <c r="F150" s="59">
        <f t="shared" ref="F150:I150" si="140">F143+F149</f>
        <v>185</v>
      </c>
      <c r="G150" s="59">
        <f t="shared" si="140"/>
        <v>185</v>
      </c>
      <c r="H150" s="59">
        <f t="shared" si="140"/>
        <v>185</v>
      </c>
      <c r="I150" s="59">
        <f t="shared" si="140"/>
        <v>185</v>
      </c>
      <c r="J150" s="71" t="s">
        <v>104</v>
      </c>
      <c r="K150" s="71" t="s">
        <v>104</v>
      </c>
      <c r="L150" s="71" t="s">
        <v>104</v>
      </c>
      <c r="M150" s="71" t="s">
        <v>104</v>
      </c>
      <c r="N150" s="71">
        <f t="shared" ref="N150:S150" si="141">SUM(N143:N149)</f>
        <v>7330006.3499999996</v>
      </c>
      <c r="O150" s="71">
        <f t="shared" si="141"/>
        <v>4609908.8</v>
      </c>
      <c r="P150" s="71">
        <f t="shared" si="141"/>
        <v>713620.85</v>
      </c>
      <c r="Q150" s="71">
        <f t="shared" si="141"/>
        <v>2006476.7</v>
      </c>
      <c r="R150" s="71">
        <f t="shared" si="141"/>
        <v>7330006.3499999987</v>
      </c>
      <c r="S150" s="71">
        <f t="shared" si="141"/>
        <v>7330006.3499999987</v>
      </c>
    </row>
    <row r="151" spans="1:19" ht="90">
      <c r="A151" s="161"/>
      <c r="B151" s="162" t="s">
        <v>107</v>
      </c>
      <c r="C151" s="61" t="s">
        <v>100</v>
      </c>
      <c r="D151" s="62" t="s">
        <v>101</v>
      </c>
      <c r="E151" s="59">
        <v>269</v>
      </c>
      <c r="F151" s="59">
        <v>269</v>
      </c>
      <c r="G151" s="120">
        <f t="shared" ref="G151:G154" si="142">((E151*8)+(F151*4))/12</f>
        <v>269</v>
      </c>
      <c r="H151" s="59">
        <v>269</v>
      </c>
      <c r="I151" s="59">
        <v>269</v>
      </c>
      <c r="J151" s="110">
        <f>SUM(K151:M151)</f>
        <v>48699.21</v>
      </c>
      <c r="K151" s="110">
        <f>33147.58+848.4</f>
        <v>33995.980000000003</v>
      </c>
      <c r="L151" s="70">
        <v>3857.41</v>
      </c>
      <c r="M151" s="70">
        <v>10845.82</v>
      </c>
      <c r="N151" s="71">
        <f>SUM(O151:Q151)</f>
        <v>13100087.49</v>
      </c>
      <c r="O151" s="71">
        <f>G151*K151</f>
        <v>9144918.620000001</v>
      </c>
      <c r="P151" s="71">
        <f>G151*L151</f>
        <v>1037643.2899999999</v>
      </c>
      <c r="Q151" s="71">
        <f>G151*M151</f>
        <v>2917525.58</v>
      </c>
      <c r="R151" s="75">
        <f t="shared" si="97"/>
        <v>13100087.49</v>
      </c>
      <c r="S151" s="75">
        <f t="shared" si="98"/>
        <v>13100087.49</v>
      </c>
    </row>
    <row r="152" spans="1:19" ht="135">
      <c r="A152" s="161"/>
      <c r="B152" s="162"/>
      <c r="C152" s="63" t="s">
        <v>167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59" t="s">
        <v>104</v>
      </c>
      <c r="Q152" s="59" t="s">
        <v>104</v>
      </c>
      <c r="R152" s="75"/>
      <c r="S152" s="75"/>
    </row>
    <row r="153" spans="1:19">
      <c r="A153" s="161"/>
      <c r="B153" s="162"/>
      <c r="C153" s="63" t="s">
        <v>179</v>
      </c>
      <c r="D153" s="64" t="s">
        <v>101</v>
      </c>
      <c r="E153" s="60">
        <v>1</v>
      </c>
      <c r="F153" s="60">
        <v>1</v>
      </c>
      <c r="G153" s="120">
        <f t="shared" si="142"/>
        <v>1</v>
      </c>
      <c r="H153" s="60">
        <v>1</v>
      </c>
      <c r="I153" s="60">
        <v>1</v>
      </c>
      <c r="J153" s="75">
        <f t="shared" ref="J153:J154" si="143">K153</f>
        <v>66860.39</v>
      </c>
      <c r="K153" s="75">
        <v>66860.39</v>
      </c>
      <c r="L153" s="59" t="s">
        <v>104</v>
      </c>
      <c r="M153" s="59" t="s">
        <v>104</v>
      </c>
      <c r="N153" s="71">
        <f t="shared" ref="N153:N154" si="144">O153</f>
        <v>66860.39</v>
      </c>
      <c r="O153" s="71">
        <f t="shared" ref="O153:O154" si="145">G153*K153</f>
        <v>66860.39</v>
      </c>
      <c r="P153" s="59" t="s">
        <v>104</v>
      </c>
      <c r="Q153" s="59" t="s">
        <v>104</v>
      </c>
      <c r="R153" s="75">
        <f>H153*K153</f>
        <v>66860.39</v>
      </c>
      <c r="S153" s="75">
        <f>I153*K153</f>
        <v>66860.39</v>
      </c>
    </row>
    <row r="154" spans="1:19">
      <c r="A154" s="161"/>
      <c r="B154" s="162"/>
      <c r="C154" s="63" t="s">
        <v>169</v>
      </c>
      <c r="D154" s="64" t="s">
        <v>101</v>
      </c>
      <c r="E154" s="60">
        <v>1</v>
      </c>
      <c r="F154" s="60">
        <v>1</v>
      </c>
      <c r="G154" s="120">
        <f t="shared" si="142"/>
        <v>1</v>
      </c>
      <c r="H154" s="60">
        <v>1</v>
      </c>
      <c r="I154" s="60">
        <v>1</v>
      </c>
      <c r="J154" s="75">
        <f t="shared" si="143"/>
        <v>89075.19</v>
      </c>
      <c r="K154" s="75">
        <v>89075.19</v>
      </c>
      <c r="L154" s="59" t="s">
        <v>104</v>
      </c>
      <c r="M154" s="59" t="s">
        <v>104</v>
      </c>
      <c r="N154" s="71">
        <f t="shared" si="144"/>
        <v>89075.19</v>
      </c>
      <c r="O154" s="71">
        <f t="shared" si="145"/>
        <v>89075.19</v>
      </c>
      <c r="P154" s="59" t="s">
        <v>104</v>
      </c>
      <c r="Q154" s="59" t="s">
        <v>104</v>
      </c>
      <c r="R154" s="75">
        <f t="shared" ref="R154:R155" si="146">H154*K154</f>
        <v>89075.19</v>
      </c>
      <c r="S154" s="75">
        <f t="shared" ref="S154:S155" si="147">I154*K154</f>
        <v>89075.19</v>
      </c>
    </row>
    <row r="155" spans="1:19">
      <c r="A155" s="161"/>
      <c r="B155" s="162"/>
      <c r="C155" s="63" t="s">
        <v>173</v>
      </c>
      <c r="D155" s="64" t="s">
        <v>101</v>
      </c>
      <c r="E155" s="60">
        <v>4</v>
      </c>
      <c r="F155" s="60">
        <v>4</v>
      </c>
      <c r="G155" s="120">
        <f t="shared" ref="G155:G161" si="148">((E155*8)+(F155*4))/12</f>
        <v>4</v>
      </c>
      <c r="H155" s="60">
        <v>4</v>
      </c>
      <c r="I155" s="60">
        <v>4</v>
      </c>
      <c r="J155" s="75">
        <f>K155</f>
        <v>22724.03</v>
      </c>
      <c r="K155" s="75">
        <v>22724.03</v>
      </c>
      <c r="L155" s="59" t="s">
        <v>104</v>
      </c>
      <c r="M155" s="59" t="s">
        <v>104</v>
      </c>
      <c r="N155" s="71">
        <f>O155</f>
        <v>90896.12</v>
      </c>
      <c r="O155" s="71">
        <f>G155*K155</f>
        <v>90896.12</v>
      </c>
      <c r="P155" s="59" t="s">
        <v>104</v>
      </c>
      <c r="Q155" s="59" t="s">
        <v>104</v>
      </c>
      <c r="R155" s="75">
        <f t="shared" si="146"/>
        <v>90896.12</v>
      </c>
      <c r="S155" s="75">
        <f t="shared" si="147"/>
        <v>90896.12</v>
      </c>
    </row>
    <row r="156" spans="1:19" ht="120">
      <c r="A156" s="161"/>
      <c r="B156" s="162"/>
      <c r="C156" s="61" t="s">
        <v>105</v>
      </c>
      <c r="D156" s="64" t="s">
        <v>101</v>
      </c>
      <c r="E156" s="60">
        <v>5</v>
      </c>
      <c r="F156" s="60">
        <v>5</v>
      </c>
      <c r="G156" s="60">
        <f t="shared" si="148"/>
        <v>5</v>
      </c>
      <c r="H156" s="60">
        <v>5</v>
      </c>
      <c r="I156" s="60">
        <v>5</v>
      </c>
      <c r="J156" s="75">
        <f>SUM(K156:M156)</f>
        <v>160728.59</v>
      </c>
      <c r="K156" s="75">
        <f>145176.96+848.4</f>
        <v>146025.35999999999</v>
      </c>
      <c r="L156" s="72">
        <v>3857.41</v>
      </c>
      <c r="M156" s="70">
        <v>10845.82</v>
      </c>
      <c r="N156" s="73">
        <f>SUM(O156:Q156)</f>
        <v>803642.95</v>
      </c>
      <c r="O156" s="73">
        <f>G156*K156</f>
        <v>730126.79999999993</v>
      </c>
      <c r="P156" s="73">
        <f>G156*L156</f>
        <v>19287.05</v>
      </c>
      <c r="Q156" s="73">
        <f>G156*M156</f>
        <v>54229.1</v>
      </c>
      <c r="R156" s="75">
        <f t="shared" si="97"/>
        <v>803642.95</v>
      </c>
      <c r="S156" s="75">
        <f t="shared" si="98"/>
        <v>803642.95</v>
      </c>
    </row>
    <row r="157" spans="1:19">
      <c r="A157" s="161"/>
      <c r="B157" s="113"/>
      <c r="C157" s="66" t="s">
        <v>106</v>
      </c>
      <c r="D157" s="64"/>
      <c r="E157" s="60">
        <f>E151+E156</f>
        <v>274</v>
      </c>
      <c r="F157" s="60">
        <f t="shared" ref="F157:I157" si="149">F151+F156</f>
        <v>274</v>
      </c>
      <c r="G157" s="60">
        <f t="shared" si="149"/>
        <v>274</v>
      </c>
      <c r="H157" s="60">
        <f t="shared" si="149"/>
        <v>274</v>
      </c>
      <c r="I157" s="60">
        <f t="shared" si="149"/>
        <v>274</v>
      </c>
      <c r="J157" s="73" t="s">
        <v>104</v>
      </c>
      <c r="K157" s="73" t="s">
        <v>104</v>
      </c>
      <c r="L157" s="74" t="s">
        <v>104</v>
      </c>
      <c r="M157" s="74" t="s">
        <v>104</v>
      </c>
      <c r="N157" s="74">
        <f t="shared" ref="N157:S157" si="150">SUM(N151:N156)</f>
        <v>14150562.139999999</v>
      </c>
      <c r="O157" s="74">
        <f t="shared" si="150"/>
        <v>10121877.120000001</v>
      </c>
      <c r="P157" s="74">
        <f t="shared" si="150"/>
        <v>1056930.3399999999</v>
      </c>
      <c r="Q157" s="74">
        <f t="shared" si="150"/>
        <v>2971754.68</v>
      </c>
      <c r="R157" s="74">
        <f t="shared" si="150"/>
        <v>14150562.139999999</v>
      </c>
      <c r="S157" s="74">
        <f t="shared" si="150"/>
        <v>14150562.139999999</v>
      </c>
    </row>
    <row r="158" spans="1:19" ht="90">
      <c r="A158" s="161"/>
      <c r="B158" s="162" t="s">
        <v>108</v>
      </c>
      <c r="C158" s="61" t="s">
        <v>100</v>
      </c>
      <c r="D158" s="62" t="s">
        <v>101</v>
      </c>
      <c r="E158" s="60">
        <v>56</v>
      </c>
      <c r="F158" s="60">
        <v>56</v>
      </c>
      <c r="G158" s="60">
        <f t="shared" si="148"/>
        <v>56</v>
      </c>
      <c r="H158" s="60">
        <v>56</v>
      </c>
      <c r="I158" s="60">
        <v>56</v>
      </c>
      <c r="J158" s="110">
        <f>SUM(K158:M158)</f>
        <v>55356.51</v>
      </c>
      <c r="K158" s="110">
        <f>39660.87+992.41</f>
        <v>40653.280000000006</v>
      </c>
      <c r="L158" s="70">
        <v>3857.41</v>
      </c>
      <c r="M158" s="70">
        <v>10845.82</v>
      </c>
      <c r="N158" s="73">
        <f>SUM(O158:Q158)</f>
        <v>3099964.56</v>
      </c>
      <c r="O158" s="73">
        <f>G158*K158</f>
        <v>2276583.6800000002</v>
      </c>
      <c r="P158" s="73">
        <f>G158*L158</f>
        <v>216014.96</v>
      </c>
      <c r="Q158" s="73">
        <f>G158*M158</f>
        <v>607365.91999999993</v>
      </c>
      <c r="R158" s="75">
        <f t="shared" si="97"/>
        <v>3099964.56</v>
      </c>
      <c r="S158" s="75">
        <f t="shared" si="98"/>
        <v>3099964.56</v>
      </c>
    </row>
    <row r="159" spans="1:19" ht="135">
      <c r="A159" s="161"/>
      <c r="B159" s="162"/>
      <c r="C159" s="63" t="s">
        <v>167</v>
      </c>
      <c r="D159" s="64" t="s">
        <v>101</v>
      </c>
      <c r="E159" s="59" t="s">
        <v>104</v>
      </c>
      <c r="F159" s="59" t="s">
        <v>104</v>
      </c>
      <c r="G159" s="59" t="s">
        <v>104</v>
      </c>
      <c r="H159" s="59" t="s">
        <v>104</v>
      </c>
      <c r="I159" s="59" t="s">
        <v>104</v>
      </c>
      <c r="J159" s="59" t="s">
        <v>104</v>
      </c>
      <c r="K159" s="59" t="s">
        <v>104</v>
      </c>
      <c r="L159" s="59" t="s">
        <v>104</v>
      </c>
      <c r="M159" s="59" t="s">
        <v>104</v>
      </c>
      <c r="N159" s="71"/>
      <c r="O159" s="71"/>
      <c r="P159" s="59" t="s">
        <v>104</v>
      </c>
      <c r="Q159" s="59" t="s">
        <v>104</v>
      </c>
      <c r="R159" s="75"/>
      <c r="S159" s="75"/>
    </row>
    <row r="160" spans="1:19">
      <c r="A160" s="161"/>
      <c r="B160" s="162"/>
      <c r="C160" s="63" t="s">
        <v>169</v>
      </c>
      <c r="D160" s="64" t="s">
        <v>101</v>
      </c>
      <c r="E160" s="60">
        <v>1</v>
      </c>
      <c r="F160" s="60">
        <v>1</v>
      </c>
      <c r="G160" s="120">
        <f t="shared" si="148"/>
        <v>1</v>
      </c>
      <c r="H160" s="60">
        <v>1</v>
      </c>
      <c r="I160" s="60">
        <v>1</v>
      </c>
      <c r="J160" s="75">
        <f>K160</f>
        <v>89075.19</v>
      </c>
      <c r="K160" s="75">
        <v>89075.19</v>
      </c>
      <c r="L160" s="59" t="s">
        <v>104</v>
      </c>
      <c r="M160" s="59" t="s">
        <v>104</v>
      </c>
      <c r="N160" s="71">
        <f>O160</f>
        <v>89075.19</v>
      </c>
      <c r="O160" s="71">
        <f>G160*K160</f>
        <v>89075.19</v>
      </c>
      <c r="P160" s="59" t="s">
        <v>104</v>
      </c>
      <c r="Q160" s="59" t="s">
        <v>104</v>
      </c>
      <c r="R160" s="75">
        <f>H160*K160</f>
        <v>89075.19</v>
      </c>
      <c r="S160" s="75">
        <f>I160*K160</f>
        <v>89075.19</v>
      </c>
    </row>
    <row r="161" spans="1:19">
      <c r="A161" s="161"/>
      <c r="B161" s="162"/>
      <c r="C161" s="63" t="s">
        <v>173</v>
      </c>
      <c r="D161" s="64" t="s">
        <v>101</v>
      </c>
      <c r="E161" s="60">
        <v>1</v>
      </c>
      <c r="F161" s="60">
        <v>1</v>
      </c>
      <c r="G161" s="120">
        <f t="shared" si="148"/>
        <v>1</v>
      </c>
      <c r="H161" s="60">
        <v>1</v>
      </c>
      <c r="I161" s="60">
        <v>1</v>
      </c>
      <c r="J161" s="75">
        <f>K161</f>
        <v>22724.03</v>
      </c>
      <c r="K161" s="75">
        <v>22724.03</v>
      </c>
      <c r="L161" s="59" t="s">
        <v>104</v>
      </c>
      <c r="M161" s="59" t="s">
        <v>104</v>
      </c>
      <c r="N161" s="71">
        <f>O161</f>
        <v>22724.03</v>
      </c>
      <c r="O161" s="71">
        <f t="shared" ref="O161:O162" si="151">E161*K161</f>
        <v>22724.03</v>
      </c>
      <c r="P161" s="59" t="s">
        <v>104</v>
      </c>
      <c r="Q161" s="59" t="s">
        <v>104</v>
      </c>
      <c r="R161" s="75">
        <f>H161*K161</f>
        <v>22724.03</v>
      </c>
      <c r="S161" s="75">
        <f>I161*K161</f>
        <v>22724.03</v>
      </c>
    </row>
    <row r="162" spans="1:19" ht="120">
      <c r="A162" s="161"/>
      <c r="B162" s="162"/>
      <c r="C162" s="61" t="s">
        <v>105</v>
      </c>
      <c r="D162" s="64" t="s">
        <v>101</v>
      </c>
      <c r="E162" s="60"/>
      <c r="F162" s="60"/>
      <c r="G162" s="60"/>
      <c r="H162" s="60"/>
      <c r="I162" s="60"/>
      <c r="J162" s="75">
        <f>SUM(K162:M162)</f>
        <v>189621.17</v>
      </c>
      <c r="K162" s="75">
        <f>173925.53+992.41</f>
        <v>174917.94</v>
      </c>
      <c r="L162" s="72">
        <v>3857.41</v>
      </c>
      <c r="M162" s="70">
        <v>10845.82</v>
      </c>
      <c r="N162" s="73"/>
      <c r="O162" s="71">
        <f t="shared" si="151"/>
        <v>0</v>
      </c>
      <c r="P162" s="73"/>
      <c r="Q162" s="73"/>
      <c r="R162" s="75">
        <f t="shared" si="97"/>
        <v>0</v>
      </c>
      <c r="S162" s="75">
        <f t="shared" si="98"/>
        <v>0</v>
      </c>
    </row>
    <row r="163" spans="1:19">
      <c r="A163" s="161"/>
      <c r="B163" s="113"/>
      <c r="C163" s="66" t="s">
        <v>106</v>
      </c>
      <c r="D163" s="64"/>
      <c r="E163" s="60">
        <f>E158+E162</f>
        <v>56</v>
      </c>
      <c r="F163" s="60">
        <f t="shared" ref="F163:I163" si="152">F158+F162</f>
        <v>56</v>
      </c>
      <c r="G163" s="60">
        <f t="shared" si="152"/>
        <v>56</v>
      </c>
      <c r="H163" s="60">
        <f t="shared" si="152"/>
        <v>56</v>
      </c>
      <c r="I163" s="60">
        <f t="shared" si="152"/>
        <v>56</v>
      </c>
      <c r="J163" s="73" t="s">
        <v>104</v>
      </c>
      <c r="K163" s="73" t="s">
        <v>104</v>
      </c>
      <c r="L163" s="74" t="s">
        <v>104</v>
      </c>
      <c r="M163" s="74" t="s">
        <v>104</v>
      </c>
      <c r="N163" s="74">
        <f t="shared" ref="N163:S163" si="153">SUM(N158:N162)</f>
        <v>3211763.78</v>
      </c>
      <c r="O163" s="74">
        <f t="shared" si="153"/>
        <v>2388382.9</v>
      </c>
      <c r="P163" s="74">
        <f t="shared" si="153"/>
        <v>216014.96</v>
      </c>
      <c r="Q163" s="74">
        <f t="shared" si="153"/>
        <v>607365.91999999993</v>
      </c>
      <c r="R163" s="74">
        <f t="shared" si="153"/>
        <v>3211763.78</v>
      </c>
      <c r="S163" s="74">
        <f t="shared" si="153"/>
        <v>3211763.78</v>
      </c>
    </row>
    <row r="164" spans="1:19" ht="165">
      <c r="A164" s="161"/>
      <c r="B164" s="163" t="s">
        <v>109</v>
      </c>
      <c r="C164" s="61" t="s">
        <v>110</v>
      </c>
      <c r="D164" s="64" t="s">
        <v>101</v>
      </c>
      <c r="E164" s="60">
        <v>386</v>
      </c>
      <c r="F164" s="60">
        <v>386</v>
      </c>
      <c r="G164" s="60">
        <f t="shared" ref="G164:G165" si="154">((E164*8)+(F164*4))/12</f>
        <v>386</v>
      </c>
      <c r="H164" s="60">
        <v>386</v>
      </c>
      <c r="I164" s="60">
        <v>386</v>
      </c>
      <c r="J164" s="75">
        <f>K164</f>
        <v>2770.76</v>
      </c>
      <c r="K164" s="75">
        <v>2770.76</v>
      </c>
      <c r="L164" s="72" t="s">
        <v>104</v>
      </c>
      <c r="M164" s="72" t="s">
        <v>104</v>
      </c>
      <c r="N164" s="73">
        <f>SUM(O164:Q164)</f>
        <v>1069513.3600000001</v>
      </c>
      <c r="O164" s="73">
        <f>K164*E164</f>
        <v>1069513.3600000001</v>
      </c>
      <c r="P164" s="73" t="s">
        <v>104</v>
      </c>
      <c r="Q164" s="73" t="s">
        <v>104</v>
      </c>
      <c r="R164" s="75">
        <f t="shared" si="97"/>
        <v>1069513.3600000001</v>
      </c>
      <c r="S164" s="75">
        <f t="shared" si="98"/>
        <v>1069513.3600000001</v>
      </c>
    </row>
    <row r="165" spans="1:19" ht="180">
      <c r="A165" s="161"/>
      <c r="B165" s="163"/>
      <c r="C165" s="61" t="s">
        <v>174</v>
      </c>
      <c r="D165" s="64" t="s">
        <v>101</v>
      </c>
      <c r="E165" s="60">
        <v>371</v>
      </c>
      <c r="F165" s="60">
        <v>371</v>
      </c>
      <c r="G165" s="60">
        <f t="shared" si="154"/>
        <v>371</v>
      </c>
      <c r="H165" s="60">
        <v>371</v>
      </c>
      <c r="I165" s="60">
        <v>371</v>
      </c>
      <c r="J165" s="75">
        <v>3829.24</v>
      </c>
      <c r="K165" s="75">
        <f>J165</f>
        <v>3829.24</v>
      </c>
      <c r="L165" s="72" t="s">
        <v>104</v>
      </c>
      <c r="M165" s="72" t="s">
        <v>104</v>
      </c>
      <c r="N165" s="73">
        <f>SUM(O165:Q165)</f>
        <v>1420648.0399999998</v>
      </c>
      <c r="O165" s="73">
        <f>K165*E165</f>
        <v>1420648.0399999998</v>
      </c>
      <c r="P165" s="73" t="s">
        <v>104</v>
      </c>
      <c r="Q165" s="73" t="s">
        <v>104</v>
      </c>
      <c r="R165" s="75">
        <f t="shared" si="97"/>
        <v>1420648.0399999998</v>
      </c>
      <c r="S165" s="75">
        <f t="shared" si="98"/>
        <v>1420648.0399999998</v>
      </c>
    </row>
    <row r="166" spans="1:19">
      <c r="A166" s="161"/>
      <c r="B166" s="69"/>
      <c r="C166" s="66" t="s">
        <v>106</v>
      </c>
      <c r="D166" s="69"/>
      <c r="E166" s="60">
        <f>SUM(E164:E165)</f>
        <v>757</v>
      </c>
      <c r="F166" s="60">
        <f t="shared" ref="F166:I166" si="155">SUM(F164:F165)</f>
        <v>757</v>
      </c>
      <c r="G166" s="60">
        <f t="shared" si="155"/>
        <v>757</v>
      </c>
      <c r="H166" s="60">
        <f t="shared" si="155"/>
        <v>757</v>
      </c>
      <c r="I166" s="60">
        <f t="shared" si="155"/>
        <v>757</v>
      </c>
      <c r="J166" s="73" t="s">
        <v>104</v>
      </c>
      <c r="K166" s="73" t="s">
        <v>104</v>
      </c>
      <c r="L166" s="74" t="s">
        <v>104</v>
      </c>
      <c r="M166" s="74">
        <f t="shared" ref="M166:Q166" si="156">SUM(M164:M165)</f>
        <v>0</v>
      </c>
      <c r="N166" s="74">
        <f t="shared" si="156"/>
        <v>2490161.4</v>
      </c>
      <c r="O166" s="74">
        <f t="shared" si="156"/>
        <v>2490161.4</v>
      </c>
      <c r="P166" s="74">
        <f t="shared" si="156"/>
        <v>0</v>
      </c>
      <c r="Q166" s="74">
        <f t="shared" si="156"/>
        <v>0</v>
      </c>
      <c r="R166" s="75">
        <f>SUM(R164:R165)</f>
        <v>2490161.4</v>
      </c>
      <c r="S166" s="75">
        <f>SUM(S164:S165)</f>
        <v>2490161.4</v>
      </c>
    </row>
    <row r="167" spans="1:19">
      <c r="A167" s="161"/>
      <c r="B167" s="102" t="s">
        <v>112</v>
      </c>
      <c r="C167" s="102"/>
      <c r="D167" s="69"/>
      <c r="E167" s="103"/>
      <c r="F167" s="103"/>
      <c r="G167" s="103"/>
      <c r="H167" s="103"/>
      <c r="I167" s="103"/>
      <c r="J167" s="106"/>
      <c r="K167" s="106"/>
      <c r="L167" s="104"/>
      <c r="M167" s="104"/>
      <c r="N167" s="104">
        <f>SUM(O167:Q167)</f>
        <v>27182493.669999998</v>
      </c>
      <c r="O167" s="104">
        <f t="shared" ref="O167:S167" si="157">O150+O157+O163+O166</f>
        <v>19610330.219999999</v>
      </c>
      <c r="P167" s="104">
        <f t="shared" si="157"/>
        <v>1986566.15</v>
      </c>
      <c r="Q167" s="104">
        <f t="shared" si="157"/>
        <v>5585597.2999999998</v>
      </c>
      <c r="R167" s="104">
        <f t="shared" si="157"/>
        <v>27182493.669999998</v>
      </c>
      <c r="S167" s="104">
        <f t="shared" si="157"/>
        <v>27182493.669999998</v>
      </c>
    </row>
    <row r="168" spans="1:19" ht="90">
      <c r="A168" s="161" t="s">
        <v>115</v>
      </c>
      <c r="B168" s="162" t="s">
        <v>99</v>
      </c>
      <c r="C168" s="61" t="s">
        <v>100</v>
      </c>
      <c r="D168" s="62" t="s">
        <v>101</v>
      </c>
      <c r="E168" s="59">
        <v>198</v>
      </c>
      <c r="F168" s="59">
        <v>198</v>
      </c>
      <c r="G168" s="60">
        <f t="shared" ref="G168" si="158">((E168*8)+(F168*4))/12</f>
        <v>198</v>
      </c>
      <c r="H168" s="59">
        <v>198</v>
      </c>
      <c r="I168" s="59">
        <v>198</v>
      </c>
      <c r="J168" s="110">
        <f>SUM(K168:M168)</f>
        <v>37723.009999999995</v>
      </c>
      <c r="K168" s="110">
        <f>22328.93+690.85</f>
        <v>23019.78</v>
      </c>
      <c r="L168" s="70">
        <v>3857.41</v>
      </c>
      <c r="M168" s="70">
        <v>10845.82</v>
      </c>
      <c r="N168" s="71">
        <f>SUM(O168:Q168)</f>
        <v>7469155.9799999986</v>
      </c>
      <c r="O168" s="71">
        <f>G168*K168</f>
        <v>4557916.4399999995</v>
      </c>
      <c r="P168" s="71">
        <f>G168*L168</f>
        <v>763767.17999999993</v>
      </c>
      <c r="Q168" s="75">
        <f>G168*M168</f>
        <v>2147472.36</v>
      </c>
      <c r="R168" s="75">
        <f t="shared" si="97"/>
        <v>7469155.9799999986</v>
      </c>
      <c r="S168" s="75">
        <f t="shared" si="98"/>
        <v>7469155.9799999986</v>
      </c>
    </row>
    <row r="169" spans="1:19" ht="135">
      <c r="A169" s="161"/>
      <c r="B169" s="162"/>
      <c r="C169" s="63" t="s">
        <v>167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59" t="s">
        <v>104</v>
      </c>
      <c r="Q169" s="59" t="s">
        <v>104</v>
      </c>
      <c r="R169" s="75"/>
      <c r="S169" s="75"/>
    </row>
    <row r="170" spans="1:19">
      <c r="A170" s="161"/>
      <c r="B170" s="162"/>
      <c r="C170" s="63" t="s">
        <v>176</v>
      </c>
      <c r="D170" s="64" t="s">
        <v>101</v>
      </c>
      <c r="E170" s="59">
        <v>1</v>
      </c>
      <c r="F170" s="59">
        <v>1</v>
      </c>
      <c r="G170" s="60">
        <f t="shared" ref="G170:G186" si="159">((E170*8)+(F170*4))/12</f>
        <v>1</v>
      </c>
      <c r="H170" s="59">
        <v>1</v>
      </c>
      <c r="I170" s="59">
        <v>1</v>
      </c>
      <c r="J170" s="75">
        <f>K170</f>
        <v>66860.39</v>
      </c>
      <c r="K170" s="71">
        <f>66860.39</f>
        <v>66860.39</v>
      </c>
      <c r="L170" s="59" t="s">
        <v>104</v>
      </c>
      <c r="M170" s="59" t="s">
        <v>104</v>
      </c>
      <c r="N170" s="71">
        <f>O170</f>
        <v>66860.39</v>
      </c>
      <c r="O170" s="71">
        <f>G170*K170</f>
        <v>66860.39</v>
      </c>
      <c r="P170" s="59" t="s">
        <v>104</v>
      </c>
      <c r="Q170" s="59" t="s">
        <v>104</v>
      </c>
      <c r="R170" s="75">
        <f>H170*K170</f>
        <v>66860.39</v>
      </c>
      <c r="S170" s="75">
        <f>I170*K170</f>
        <v>66860.39</v>
      </c>
    </row>
    <row r="171" spans="1:19">
      <c r="A171" s="161"/>
      <c r="B171" s="162"/>
      <c r="C171" s="63" t="s">
        <v>170</v>
      </c>
      <c r="D171" s="64" t="s">
        <v>101</v>
      </c>
      <c r="E171" s="59">
        <v>19</v>
      </c>
      <c r="F171" s="59">
        <v>19</v>
      </c>
      <c r="G171" s="60">
        <f t="shared" si="159"/>
        <v>19</v>
      </c>
      <c r="H171" s="59">
        <v>19</v>
      </c>
      <c r="I171" s="59">
        <v>19</v>
      </c>
      <c r="J171" s="75">
        <f>K171</f>
        <v>63972.15</v>
      </c>
      <c r="K171" s="75">
        <v>63972.15</v>
      </c>
      <c r="L171" s="59" t="s">
        <v>104</v>
      </c>
      <c r="M171" s="59" t="s">
        <v>104</v>
      </c>
      <c r="N171" s="71">
        <f>O171</f>
        <v>1215470.8500000001</v>
      </c>
      <c r="O171" s="71">
        <f>G171*K171</f>
        <v>1215470.8500000001</v>
      </c>
      <c r="P171" s="59" t="s">
        <v>104</v>
      </c>
      <c r="Q171" s="59" t="s">
        <v>104</v>
      </c>
      <c r="R171" s="75">
        <f>H171*K171</f>
        <v>1215470.8500000001</v>
      </c>
      <c r="S171" s="75">
        <f>I171*K171</f>
        <v>1215470.8500000001</v>
      </c>
    </row>
    <row r="172" spans="1:19">
      <c r="A172" s="161"/>
      <c r="B172" s="162"/>
      <c r="C172" s="63" t="s">
        <v>177</v>
      </c>
      <c r="D172" s="64" t="s">
        <v>101</v>
      </c>
      <c r="E172" s="59">
        <v>1</v>
      </c>
      <c r="F172" s="59">
        <v>1</v>
      </c>
      <c r="G172" s="120">
        <f t="shared" si="159"/>
        <v>1</v>
      </c>
      <c r="H172" s="59">
        <v>1</v>
      </c>
      <c r="I172" s="59">
        <v>1</v>
      </c>
      <c r="J172" s="75">
        <f t="shared" ref="J172:J173" si="160">K172</f>
        <v>95991.28</v>
      </c>
      <c r="K172" s="75">
        <v>95991.28</v>
      </c>
      <c r="L172" s="59" t="s">
        <v>104</v>
      </c>
      <c r="M172" s="59" t="s">
        <v>104</v>
      </c>
      <c r="N172" s="71">
        <f t="shared" ref="N172:N173" si="161">O172</f>
        <v>95991.28</v>
      </c>
      <c r="O172" s="71">
        <f t="shared" ref="O172:O173" si="162">G172*K172</f>
        <v>95991.28</v>
      </c>
      <c r="P172" s="59" t="s">
        <v>104</v>
      </c>
      <c r="Q172" s="59" t="s">
        <v>104</v>
      </c>
      <c r="R172" s="75">
        <f t="shared" ref="R172:R173" si="163">H172*K172</f>
        <v>95991.28</v>
      </c>
      <c r="S172" s="75">
        <f t="shared" ref="S172:S173" si="164">I172*K172</f>
        <v>95991.28</v>
      </c>
    </row>
    <row r="173" spans="1:19">
      <c r="A173" s="161"/>
      <c r="B173" s="162"/>
      <c r="C173" s="63" t="s">
        <v>173</v>
      </c>
      <c r="D173" s="64" t="s">
        <v>101</v>
      </c>
      <c r="E173" s="59">
        <v>1</v>
      </c>
      <c r="F173" s="59">
        <v>1</v>
      </c>
      <c r="G173" s="60">
        <f t="shared" si="159"/>
        <v>1</v>
      </c>
      <c r="H173" s="59">
        <v>1</v>
      </c>
      <c r="I173" s="59">
        <v>1</v>
      </c>
      <c r="J173" s="75">
        <f t="shared" si="160"/>
        <v>22724.03</v>
      </c>
      <c r="K173" s="75">
        <v>22724.03</v>
      </c>
      <c r="L173" s="59" t="s">
        <v>104</v>
      </c>
      <c r="M173" s="59" t="s">
        <v>104</v>
      </c>
      <c r="N173" s="71">
        <f t="shared" si="161"/>
        <v>22724.03</v>
      </c>
      <c r="O173" s="71">
        <f t="shared" si="162"/>
        <v>22724.03</v>
      </c>
      <c r="P173" s="59" t="s">
        <v>104</v>
      </c>
      <c r="Q173" s="59" t="s">
        <v>104</v>
      </c>
      <c r="R173" s="75">
        <f t="shared" si="163"/>
        <v>22724.03</v>
      </c>
      <c r="S173" s="75">
        <f t="shared" si="164"/>
        <v>22724.03</v>
      </c>
    </row>
    <row r="174" spans="1:19" ht="120">
      <c r="A174" s="161"/>
      <c r="B174" s="162"/>
      <c r="C174" s="61" t="s">
        <v>105</v>
      </c>
      <c r="D174" s="64" t="s">
        <v>101</v>
      </c>
      <c r="E174" s="59">
        <v>4</v>
      </c>
      <c r="F174" s="59">
        <v>4</v>
      </c>
      <c r="G174" s="59">
        <f t="shared" si="159"/>
        <v>4</v>
      </c>
      <c r="H174" s="59">
        <v>4</v>
      </c>
      <c r="I174" s="59">
        <v>4</v>
      </c>
      <c r="J174" s="75">
        <f>SUM(K174:M174)</f>
        <v>131822.46000000002</v>
      </c>
      <c r="K174" s="75">
        <f>116428.38+690.85</f>
        <v>117119.23000000001</v>
      </c>
      <c r="L174" s="72">
        <v>3857.41</v>
      </c>
      <c r="M174" s="70">
        <v>10845.82</v>
      </c>
      <c r="N174" s="71">
        <f>SUM(O174:Q174)</f>
        <v>527289.84000000008</v>
      </c>
      <c r="O174" s="71">
        <f>G174*K174</f>
        <v>468476.92000000004</v>
      </c>
      <c r="P174" s="71">
        <f>G174*L174</f>
        <v>15429.64</v>
      </c>
      <c r="Q174" s="75">
        <f>G174*M174</f>
        <v>43383.28</v>
      </c>
      <c r="R174" s="75">
        <f t="shared" si="97"/>
        <v>527289.84000000008</v>
      </c>
      <c r="S174" s="75">
        <f t="shared" si="98"/>
        <v>527289.84000000008</v>
      </c>
    </row>
    <row r="175" spans="1:19">
      <c r="A175" s="161"/>
      <c r="B175" s="162"/>
      <c r="C175" s="66" t="s">
        <v>106</v>
      </c>
      <c r="D175" s="67"/>
      <c r="E175" s="59">
        <f>E168+E174</f>
        <v>202</v>
      </c>
      <c r="F175" s="59">
        <f t="shared" ref="F175:I175" si="165">F168+F174</f>
        <v>202</v>
      </c>
      <c r="G175" s="59">
        <f t="shared" si="165"/>
        <v>202</v>
      </c>
      <c r="H175" s="59">
        <f t="shared" si="165"/>
        <v>202</v>
      </c>
      <c r="I175" s="59">
        <f t="shared" si="165"/>
        <v>202</v>
      </c>
      <c r="J175" s="71" t="s">
        <v>104</v>
      </c>
      <c r="K175" s="71" t="s">
        <v>104</v>
      </c>
      <c r="L175" s="71" t="s">
        <v>104</v>
      </c>
      <c r="M175" s="71" t="s">
        <v>104</v>
      </c>
      <c r="N175" s="71">
        <f>SUM(N168:N174)</f>
        <v>9397492.3699999973</v>
      </c>
      <c r="O175" s="71">
        <f>SUM(O168:O174)</f>
        <v>6427439.9100000001</v>
      </c>
      <c r="P175" s="71">
        <f>SUM(P168:P174)</f>
        <v>779196.82</v>
      </c>
      <c r="Q175" s="71">
        <f t="shared" ref="Q175:S175" si="166">SUM(Q168:Q174)</f>
        <v>2190855.6399999997</v>
      </c>
      <c r="R175" s="71">
        <f t="shared" si="166"/>
        <v>9397492.3699999973</v>
      </c>
      <c r="S175" s="71">
        <f t="shared" si="166"/>
        <v>9397492.3699999973</v>
      </c>
    </row>
    <row r="176" spans="1:19" ht="90">
      <c r="A176" s="161"/>
      <c r="B176" s="162" t="s">
        <v>107</v>
      </c>
      <c r="C176" s="61" t="s">
        <v>100</v>
      </c>
      <c r="D176" s="62" t="s">
        <v>101</v>
      </c>
      <c r="E176" s="59">
        <v>191</v>
      </c>
      <c r="F176" s="59">
        <v>191</v>
      </c>
      <c r="G176" s="59">
        <f t="shared" si="159"/>
        <v>191</v>
      </c>
      <c r="H176" s="59">
        <v>191</v>
      </c>
      <c r="I176" s="59">
        <v>191</v>
      </c>
      <c r="J176" s="110">
        <f>SUM(K176:M176)</f>
        <v>48699.21</v>
      </c>
      <c r="K176" s="110">
        <f>33147.58+848.4</f>
        <v>33995.980000000003</v>
      </c>
      <c r="L176" s="70">
        <v>3857.41</v>
      </c>
      <c r="M176" s="70">
        <v>10845.82</v>
      </c>
      <c r="N176" s="71">
        <f>SUM(O176:Q176)</f>
        <v>9301549.1099999994</v>
      </c>
      <c r="O176" s="71">
        <f>G176*K176</f>
        <v>6493232.1800000006</v>
      </c>
      <c r="P176" s="71">
        <f>G176*L176</f>
        <v>736765.30999999994</v>
      </c>
      <c r="Q176" s="71">
        <f>G176*M176</f>
        <v>2071551.6199999999</v>
      </c>
      <c r="R176" s="75">
        <f t="shared" si="97"/>
        <v>9301549.1099999994</v>
      </c>
      <c r="S176" s="75">
        <f t="shared" si="98"/>
        <v>9301549.1099999994</v>
      </c>
    </row>
    <row r="177" spans="1:19" ht="135">
      <c r="A177" s="161"/>
      <c r="B177" s="162"/>
      <c r="C177" s="63" t="s">
        <v>167</v>
      </c>
      <c r="D177" s="64" t="s">
        <v>101</v>
      </c>
      <c r="E177" s="59" t="s">
        <v>104</v>
      </c>
      <c r="F177" s="59" t="s">
        <v>104</v>
      </c>
      <c r="G177" s="59" t="s">
        <v>104</v>
      </c>
      <c r="H177" s="59" t="s">
        <v>104</v>
      </c>
      <c r="I177" s="59" t="s">
        <v>104</v>
      </c>
      <c r="J177" s="59" t="s">
        <v>104</v>
      </c>
      <c r="K177" s="59" t="s">
        <v>104</v>
      </c>
      <c r="L177" s="59" t="s">
        <v>104</v>
      </c>
      <c r="M177" s="59" t="s">
        <v>104</v>
      </c>
      <c r="N177" s="71"/>
      <c r="O177" s="71"/>
      <c r="P177" s="59" t="s">
        <v>104</v>
      </c>
      <c r="Q177" s="59" t="s">
        <v>104</v>
      </c>
      <c r="R177" s="75"/>
      <c r="S177" s="75"/>
    </row>
    <row r="178" spans="1:19">
      <c r="A178" s="161"/>
      <c r="B178" s="162"/>
      <c r="C178" s="63" t="s">
        <v>168</v>
      </c>
      <c r="D178" s="64" t="s">
        <v>101</v>
      </c>
      <c r="E178" s="60">
        <v>1</v>
      </c>
      <c r="F178" s="60">
        <v>1</v>
      </c>
      <c r="G178" s="101">
        <f t="shared" si="159"/>
        <v>1</v>
      </c>
      <c r="H178" s="60">
        <v>1</v>
      </c>
      <c r="I178" s="60">
        <v>1</v>
      </c>
      <c r="J178" s="75">
        <f>K178</f>
        <v>24684.9</v>
      </c>
      <c r="K178" s="75">
        <v>24684.9</v>
      </c>
      <c r="L178" s="59" t="s">
        <v>104</v>
      </c>
      <c r="M178" s="59" t="s">
        <v>104</v>
      </c>
      <c r="N178" s="71">
        <f>O178</f>
        <v>24684.9</v>
      </c>
      <c r="O178" s="71">
        <f t="shared" ref="O178:O180" si="167">G178*K178</f>
        <v>24684.9</v>
      </c>
      <c r="P178" s="59" t="s">
        <v>104</v>
      </c>
      <c r="Q178" s="59" t="s">
        <v>104</v>
      </c>
      <c r="R178" s="75">
        <f>H178*K178</f>
        <v>24684.9</v>
      </c>
      <c r="S178" s="75">
        <f t="shared" ref="S178:S180" si="168">I178*K178</f>
        <v>24684.9</v>
      </c>
    </row>
    <row r="179" spans="1:19">
      <c r="A179" s="161"/>
      <c r="B179" s="162"/>
      <c r="C179" s="63" t="s">
        <v>169</v>
      </c>
      <c r="D179" s="64" t="s">
        <v>101</v>
      </c>
      <c r="E179" s="60">
        <v>1</v>
      </c>
      <c r="F179" s="60">
        <v>1</v>
      </c>
      <c r="G179" s="101">
        <f t="shared" si="159"/>
        <v>1</v>
      </c>
      <c r="H179" s="60">
        <v>1</v>
      </c>
      <c r="I179" s="60">
        <v>1</v>
      </c>
      <c r="J179" s="75">
        <f t="shared" ref="J179:J180" si="169">K179</f>
        <v>89075.19</v>
      </c>
      <c r="K179" s="75">
        <v>89075.19</v>
      </c>
      <c r="L179" s="59" t="s">
        <v>104</v>
      </c>
      <c r="M179" s="59" t="s">
        <v>104</v>
      </c>
      <c r="N179" s="71">
        <f t="shared" ref="N179:N180" si="170">O179</f>
        <v>89075.19</v>
      </c>
      <c r="O179" s="71">
        <f t="shared" si="167"/>
        <v>89075.19</v>
      </c>
      <c r="P179" s="59" t="s">
        <v>104</v>
      </c>
      <c r="Q179" s="59" t="s">
        <v>104</v>
      </c>
      <c r="R179" s="75">
        <f t="shared" ref="R179:R180" si="171">H179*K179</f>
        <v>89075.19</v>
      </c>
      <c r="S179" s="75">
        <f t="shared" si="168"/>
        <v>89075.19</v>
      </c>
    </row>
    <row r="180" spans="1:19">
      <c r="A180" s="161"/>
      <c r="B180" s="162"/>
      <c r="C180" s="63" t="s">
        <v>173</v>
      </c>
      <c r="D180" s="64" t="s">
        <v>101</v>
      </c>
      <c r="E180" s="60">
        <v>4</v>
      </c>
      <c r="F180" s="60">
        <v>4</v>
      </c>
      <c r="G180" s="101">
        <f t="shared" si="159"/>
        <v>4</v>
      </c>
      <c r="H180" s="60">
        <v>4</v>
      </c>
      <c r="I180" s="60">
        <v>4</v>
      </c>
      <c r="J180" s="75">
        <f t="shared" si="169"/>
        <v>22724.03</v>
      </c>
      <c r="K180" s="75">
        <v>22724.03</v>
      </c>
      <c r="L180" s="59" t="s">
        <v>104</v>
      </c>
      <c r="M180" s="59" t="s">
        <v>104</v>
      </c>
      <c r="N180" s="71">
        <f t="shared" si="170"/>
        <v>90896.12</v>
      </c>
      <c r="O180" s="71">
        <f t="shared" si="167"/>
        <v>90896.12</v>
      </c>
      <c r="P180" s="59" t="s">
        <v>104</v>
      </c>
      <c r="Q180" s="59" t="s">
        <v>104</v>
      </c>
      <c r="R180" s="75">
        <f t="shared" si="171"/>
        <v>90896.12</v>
      </c>
      <c r="S180" s="75">
        <f t="shared" si="168"/>
        <v>90896.12</v>
      </c>
    </row>
    <row r="181" spans="1:19" ht="120">
      <c r="A181" s="161"/>
      <c r="B181" s="162"/>
      <c r="C181" s="61" t="s">
        <v>105</v>
      </c>
      <c r="D181" s="64" t="s">
        <v>101</v>
      </c>
      <c r="E181" s="60">
        <v>4</v>
      </c>
      <c r="F181" s="60">
        <v>4</v>
      </c>
      <c r="G181" s="101">
        <f t="shared" si="159"/>
        <v>4</v>
      </c>
      <c r="H181" s="60">
        <v>4</v>
      </c>
      <c r="I181" s="60">
        <v>4</v>
      </c>
      <c r="J181" s="75">
        <f>SUM(K181:M181)</f>
        <v>160728.59</v>
      </c>
      <c r="K181" s="75">
        <f>145176.96+848.4</f>
        <v>146025.35999999999</v>
      </c>
      <c r="L181" s="72">
        <v>3857.41</v>
      </c>
      <c r="M181" s="70">
        <v>10845.82</v>
      </c>
      <c r="N181" s="73">
        <f>SUM(O181:Q181)</f>
        <v>642914.36</v>
      </c>
      <c r="O181" s="73">
        <f>G181*K181</f>
        <v>584101.43999999994</v>
      </c>
      <c r="P181" s="73">
        <f>G181*L181</f>
        <v>15429.64</v>
      </c>
      <c r="Q181" s="73">
        <f>G181*M181</f>
        <v>43383.28</v>
      </c>
      <c r="R181" s="75">
        <f t="shared" si="97"/>
        <v>642914.36</v>
      </c>
      <c r="S181" s="75">
        <f t="shared" si="98"/>
        <v>642914.36</v>
      </c>
    </row>
    <row r="182" spans="1:19">
      <c r="A182" s="161"/>
      <c r="B182" s="113"/>
      <c r="C182" s="66" t="s">
        <v>106</v>
      </c>
      <c r="D182" s="64"/>
      <c r="E182" s="60">
        <f>E176+E181</f>
        <v>195</v>
      </c>
      <c r="F182" s="60">
        <f t="shared" ref="F182:I182" si="172">F176+F181</f>
        <v>195</v>
      </c>
      <c r="G182" s="60">
        <f t="shared" si="172"/>
        <v>195</v>
      </c>
      <c r="H182" s="60">
        <f t="shared" si="172"/>
        <v>195</v>
      </c>
      <c r="I182" s="60">
        <f t="shared" si="172"/>
        <v>195</v>
      </c>
      <c r="J182" s="73" t="s">
        <v>104</v>
      </c>
      <c r="K182" s="73" t="s">
        <v>104</v>
      </c>
      <c r="L182" s="73" t="s">
        <v>104</v>
      </c>
      <c r="M182" s="73" t="s">
        <v>104</v>
      </c>
      <c r="N182" s="74">
        <f>SUM(N176:N181)</f>
        <v>10149119.679999998</v>
      </c>
      <c r="O182" s="74">
        <f>SUM(O176:O181)</f>
        <v>7281989.8300000019</v>
      </c>
      <c r="P182" s="74">
        <f>SUM(P176:P181)</f>
        <v>752194.95</v>
      </c>
      <c r="Q182" s="74">
        <f t="shared" ref="Q182:S182" si="173">SUM(Q176:Q181)</f>
        <v>2114934.9</v>
      </c>
      <c r="R182" s="74">
        <f t="shared" si="173"/>
        <v>10149119.679999998</v>
      </c>
      <c r="S182" s="74">
        <f t="shared" si="173"/>
        <v>10149119.679999998</v>
      </c>
    </row>
    <row r="183" spans="1:19" ht="90">
      <c r="A183" s="161"/>
      <c r="B183" s="162" t="s">
        <v>108</v>
      </c>
      <c r="C183" s="61" t="s">
        <v>100</v>
      </c>
      <c r="D183" s="62" t="s">
        <v>101</v>
      </c>
      <c r="E183" s="60">
        <v>34</v>
      </c>
      <c r="F183" s="60">
        <v>34</v>
      </c>
      <c r="G183" s="101">
        <f t="shared" si="159"/>
        <v>34</v>
      </c>
      <c r="H183" s="60">
        <v>34</v>
      </c>
      <c r="I183" s="60">
        <v>34</v>
      </c>
      <c r="J183" s="110">
        <f>SUM(K183:M183)</f>
        <v>55356.51</v>
      </c>
      <c r="K183" s="110">
        <f>39660.87+992.41</f>
        <v>40653.280000000006</v>
      </c>
      <c r="L183" s="70">
        <v>3857.41</v>
      </c>
      <c r="M183" s="70">
        <v>10845.82</v>
      </c>
      <c r="N183" s="73">
        <f>SUM(O183:Q183)</f>
        <v>1882121.3400000003</v>
      </c>
      <c r="O183" s="73">
        <f>G183*K183</f>
        <v>1382211.5200000003</v>
      </c>
      <c r="P183" s="73">
        <f>G183*L183</f>
        <v>131151.94</v>
      </c>
      <c r="Q183" s="73">
        <f>G183*M183</f>
        <v>368757.88</v>
      </c>
      <c r="R183" s="75">
        <f t="shared" si="97"/>
        <v>1882121.34</v>
      </c>
      <c r="S183" s="75">
        <f t="shared" si="98"/>
        <v>1882121.34</v>
      </c>
    </row>
    <row r="184" spans="1:19" ht="135">
      <c r="A184" s="161"/>
      <c r="B184" s="162"/>
      <c r="C184" s="63" t="s">
        <v>167</v>
      </c>
      <c r="D184" s="64" t="s">
        <v>101</v>
      </c>
      <c r="E184" s="59" t="s">
        <v>104</v>
      </c>
      <c r="F184" s="59" t="s">
        <v>104</v>
      </c>
      <c r="G184" s="59" t="s">
        <v>104</v>
      </c>
      <c r="H184" s="59" t="s">
        <v>104</v>
      </c>
      <c r="I184" s="59" t="s">
        <v>104</v>
      </c>
      <c r="J184" s="59" t="s">
        <v>104</v>
      </c>
      <c r="K184" s="59" t="s">
        <v>104</v>
      </c>
      <c r="L184" s="59" t="s">
        <v>104</v>
      </c>
      <c r="M184" s="59" t="s">
        <v>104</v>
      </c>
      <c r="N184" s="71"/>
      <c r="O184" s="71"/>
      <c r="P184" s="59" t="s">
        <v>104</v>
      </c>
      <c r="Q184" s="59" t="s">
        <v>104</v>
      </c>
      <c r="R184" s="75"/>
      <c r="S184" s="75"/>
    </row>
    <row r="185" spans="1:19">
      <c r="A185" s="161"/>
      <c r="B185" s="162"/>
      <c r="C185" s="63" t="s">
        <v>169</v>
      </c>
      <c r="D185" s="64" t="s">
        <v>101</v>
      </c>
      <c r="E185" s="60">
        <v>1</v>
      </c>
      <c r="F185" s="60">
        <v>1</v>
      </c>
      <c r="G185" s="101">
        <f t="shared" si="159"/>
        <v>1</v>
      </c>
      <c r="H185" s="60">
        <v>1</v>
      </c>
      <c r="I185" s="60">
        <v>1</v>
      </c>
      <c r="J185" s="75">
        <f>K185</f>
        <v>89075.19</v>
      </c>
      <c r="K185" s="75">
        <v>89075.19</v>
      </c>
      <c r="L185" s="59" t="s">
        <v>104</v>
      </c>
      <c r="M185" s="59" t="s">
        <v>104</v>
      </c>
      <c r="N185" s="71">
        <f>O185</f>
        <v>89075.19</v>
      </c>
      <c r="O185" s="71">
        <f>G185*K185</f>
        <v>89075.19</v>
      </c>
      <c r="P185" s="59" t="s">
        <v>104</v>
      </c>
      <c r="Q185" s="59" t="s">
        <v>104</v>
      </c>
      <c r="R185" s="75">
        <f>H185*K185</f>
        <v>89075.19</v>
      </c>
      <c r="S185" s="75">
        <f>I185*K185</f>
        <v>89075.19</v>
      </c>
    </row>
    <row r="186" spans="1:19" ht="120">
      <c r="A186" s="161"/>
      <c r="B186" s="162"/>
      <c r="C186" s="61" t="s">
        <v>105</v>
      </c>
      <c r="D186" s="64" t="s">
        <v>101</v>
      </c>
      <c r="E186" s="60"/>
      <c r="F186" s="60">
        <v>0</v>
      </c>
      <c r="G186" s="101">
        <f t="shared" si="159"/>
        <v>0</v>
      </c>
      <c r="H186" s="60">
        <v>0</v>
      </c>
      <c r="I186" s="60">
        <v>0</v>
      </c>
      <c r="J186" s="75">
        <f>SUM(K186:M186)</f>
        <v>189621.17</v>
      </c>
      <c r="K186" s="75">
        <f>173925.53+992.41</f>
        <v>174917.94</v>
      </c>
      <c r="L186" s="72">
        <v>3857.41</v>
      </c>
      <c r="M186" s="70">
        <v>10845.82</v>
      </c>
      <c r="N186" s="73"/>
      <c r="O186" s="73"/>
      <c r="P186" s="73"/>
      <c r="Q186" s="73"/>
      <c r="R186" s="75">
        <f t="shared" si="97"/>
        <v>0</v>
      </c>
      <c r="S186" s="75">
        <f t="shared" si="98"/>
        <v>0</v>
      </c>
    </row>
    <row r="187" spans="1:19">
      <c r="A187" s="161"/>
      <c r="B187" s="113"/>
      <c r="C187" s="66" t="s">
        <v>106</v>
      </c>
      <c r="D187" s="64"/>
      <c r="E187" s="60">
        <f>E183+E186</f>
        <v>34</v>
      </c>
      <c r="F187" s="60">
        <f t="shared" ref="F187:I187" si="174">F183+F186</f>
        <v>34</v>
      </c>
      <c r="G187" s="60">
        <f t="shared" si="174"/>
        <v>34</v>
      </c>
      <c r="H187" s="60">
        <f t="shared" si="174"/>
        <v>34</v>
      </c>
      <c r="I187" s="60">
        <f t="shared" si="174"/>
        <v>34</v>
      </c>
      <c r="J187" s="73" t="s">
        <v>104</v>
      </c>
      <c r="K187" s="73" t="s">
        <v>104</v>
      </c>
      <c r="L187" s="73" t="s">
        <v>104</v>
      </c>
      <c r="M187" s="73" t="s">
        <v>104</v>
      </c>
      <c r="N187" s="74">
        <f>SUM(N183:N186)</f>
        <v>1971196.5300000003</v>
      </c>
      <c r="O187" s="74">
        <f>SUM(O183:O186)</f>
        <v>1471286.7100000002</v>
      </c>
      <c r="P187" s="74">
        <f>SUM(P183:P186)</f>
        <v>131151.94</v>
      </c>
      <c r="Q187" s="74">
        <f t="shared" ref="Q187:S187" si="175">SUM(Q183:Q186)</f>
        <v>368757.88</v>
      </c>
      <c r="R187" s="74">
        <f t="shared" si="175"/>
        <v>1971196.53</v>
      </c>
      <c r="S187" s="74">
        <f t="shared" si="175"/>
        <v>1971196.53</v>
      </c>
    </row>
    <row r="188" spans="1:19" ht="165">
      <c r="A188" s="161"/>
      <c r="B188" s="163" t="s">
        <v>109</v>
      </c>
      <c r="C188" s="61" t="s">
        <v>110</v>
      </c>
      <c r="D188" s="64" t="s">
        <v>101</v>
      </c>
      <c r="E188" s="60">
        <v>264</v>
      </c>
      <c r="F188" s="60">
        <v>264</v>
      </c>
      <c r="G188" s="101">
        <f t="shared" ref="G188:G189" si="176">((E188*8)+(F188*4))/12</f>
        <v>264</v>
      </c>
      <c r="H188" s="60">
        <v>264</v>
      </c>
      <c r="I188" s="60">
        <v>264</v>
      </c>
      <c r="J188" s="75">
        <f>K188</f>
        <v>2770.76</v>
      </c>
      <c r="K188" s="75">
        <v>2770.76</v>
      </c>
      <c r="L188" s="73" t="s">
        <v>104</v>
      </c>
      <c r="M188" s="73" t="s">
        <v>104</v>
      </c>
      <c r="N188" s="73">
        <f>SUM(O188:Q188)</f>
        <v>731480.64</v>
      </c>
      <c r="O188" s="73">
        <f>G188*K188</f>
        <v>731480.64</v>
      </c>
      <c r="P188" s="73" t="s">
        <v>104</v>
      </c>
      <c r="Q188" s="73" t="s">
        <v>104</v>
      </c>
      <c r="R188" s="75">
        <f t="shared" si="97"/>
        <v>731480.64</v>
      </c>
      <c r="S188" s="75">
        <f t="shared" si="98"/>
        <v>731480.64</v>
      </c>
    </row>
    <row r="189" spans="1:19" ht="180">
      <c r="A189" s="161"/>
      <c r="B189" s="163"/>
      <c r="C189" s="61" t="s">
        <v>174</v>
      </c>
      <c r="D189" s="64" t="s">
        <v>101</v>
      </c>
      <c r="E189" s="60">
        <v>240</v>
      </c>
      <c r="F189" s="60">
        <v>240</v>
      </c>
      <c r="G189" s="101">
        <f t="shared" si="176"/>
        <v>240</v>
      </c>
      <c r="H189" s="60">
        <v>240</v>
      </c>
      <c r="I189" s="60">
        <v>240</v>
      </c>
      <c r="J189" s="75">
        <f>K189</f>
        <v>3829.24</v>
      </c>
      <c r="K189" s="75">
        <v>3829.24</v>
      </c>
      <c r="L189" s="73" t="s">
        <v>104</v>
      </c>
      <c r="M189" s="73" t="s">
        <v>104</v>
      </c>
      <c r="N189" s="73">
        <f>SUM(O189:Q189)</f>
        <v>919017.6</v>
      </c>
      <c r="O189" s="73">
        <f>G189*K189</f>
        <v>919017.6</v>
      </c>
      <c r="P189" s="73" t="s">
        <v>104</v>
      </c>
      <c r="Q189" s="73" t="s">
        <v>104</v>
      </c>
      <c r="R189" s="75">
        <f t="shared" si="97"/>
        <v>919017.6</v>
      </c>
      <c r="S189" s="75">
        <f t="shared" si="98"/>
        <v>919017.6</v>
      </c>
    </row>
    <row r="190" spans="1:19">
      <c r="A190" s="161"/>
      <c r="B190" s="69"/>
      <c r="C190" s="66" t="s">
        <v>106</v>
      </c>
      <c r="D190" s="69"/>
      <c r="E190" s="103">
        <f>SUM(E188:E189)</f>
        <v>504</v>
      </c>
      <c r="F190" s="103">
        <f t="shared" ref="F190:I190" si="177">SUM(F188:F189)</f>
        <v>504</v>
      </c>
      <c r="G190" s="103">
        <f t="shared" si="177"/>
        <v>504</v>
      </c>
      <c r="H190" s="103">
        <f t="shared" si="177"/>
        <v>504</v>
      </c>
      <c r="I190" s="103">
        <f t="shared" si="177"/>
        <v>504</v>
      </c>
      <c r="J190" s="73" t="s">
        <v>104</v>
      </c>
      <c r="K190" s="73" t="s">
        <v>104</v>
      </c>
      <c r="L190" s="73" t="s">
        <v>104</v>
      </c>
      <c r="M190" s="74">
        <f t="shared" ref="M190:Q190" si="178">SUM(M188:M189)</f>
        <v>0</v>
      </c>
      <c r="N190" s="74">
        <f>SUM(N188:N189)</f>
        <v>1650498.24</v>
      </c>
      <c r="O190" s="74">
        <f t="shared" si="178"/>
        <v>1650498.24</v>
      </c>
      <c r="P190" s="74">
        <f t="shared" si="178"/>
        <v>0</v>
      </c>
      <c r="Q190" s="74">
        <f t="shared" si="178"/>
        <v>0</v>
      </c>
      <c r="R190" s="75">
        <f>SUM(R188:R189)</f>
        <v>1650498.24</v>
      </c>
      <c r="S190" s="75">
        <f>SUM(S188:S189)</f>
        <v>1650498.24</v>
      </c>
    </row>
    <row r="191" spans="1:19">
      <c r="A191" s="161"/>
      <c r="B191" s="102" t="s">
        <v>112</v>
      </c>
      <c r="C191" s="102"/>
      <c r="D191" s="69"/>
      <c r="E191" s="103"/>
      <c r="F191" s="103"/>
      <c r="G191" s="103"/>
      <c r="H191" s="103"/>
      <c r="I191" s="103"/>
      <c r="J191" s="106"/>
      <c r="K191" s="106"/>
      <c r="L191" s="104"/>
      <c r="M191" s="104"/>
      <c r="N191" s="104">
        <f>SUM(O191:Q191)</f>
        <v>23168306.82</v>
      </c>
      <c r="O191" s="105">
        <f>O175+O182+O187+O190</f>
        <v>16831214.690000001</v>
      </c>
      <c r="P191" s="104">
        <f t="shared" ref="P191:S191" si="179">P175+P182+P187+P190</f>
        <v>1662543.71</v>
      </c>
      <c r="Q191" s="104">
        <f t="shared" si="179"/>
        <v>4674548.419999999</v>
      </c>
      <c r="R191" s="104">
        <f t="shared" si="179"/>
        <v>23168306.819999997</v>
      </c>
      <c r="S191" s="104">
        <f t="shared" si="179"/>
        <v>23168306.819999997</v>
      </c>
    </row>
    <row r="192" spans="1:19" ht="90">
      <c r="A192" s="161" t="s">
        <v>116</v>
      </c>
      <c r="B192" s="164" t="s">
        <v>99</v>
      </c>
      <c r="C192" s="61" t="s">
        <v>100</v>
      </c>
      <c r="D192" s="62" t="s">
        <v>101</v>
      </c>
      <c r="E192" s="59">
        <v>329</v>
      </c>
      <c r="F192" s="59">
        <v>329</v>
      </c>
      <c r="G192" s="101">
        <f t="shared" ref="G192" si="180">((E192*8)+(F192*4))/12</f>
        <v>329</v>
      </c>
      <c r="H192" s="59">
        <v>329</v>
      </c>
      <c r="I192" s="59">
        <v>329</v>
      </c>
      <c r="J192" s="110">
        <f>SUM(K192:M192)</f>
        <v>37723.009999999995</v>
      </c>
      <c r="K192" s="110">
        <f>22328.93+690.85</f>
        <v>23019.78</v>
      </c>
      <c r="L192" s="70">
        <v>3857.41</v>
      </c>
      <c r="M192" s="70">
        <v>10845.82</v>
      </c>
      <c r="N192" s="71">
        <f>SUM(O192:Q192)</f>
        <v>12410870.289999999</v>
      </c>
      <c r="O192" s="71">
        <f>G192*K192</f>
        <v>7573507.6199999992</v>
      </c>
      <c r="P192" s="71">
        <f>G192*L192</f>
        <v>1269087.8899999999</v>
      </c>
      <c r="Q192" s="75">
        <f>G192*M192</f>
        <v>3568274.78</v>
      </c>
      <c r="R192" s="75">
        <f t="shared" si="97"/>
        <v>12410870.289999999</v>
      </c>
      <c r="S192" s="75">
        <f t="shared" si="98"/>
        <v>12410870.289999999</v>
      </c>
    </row>
    <row r="193" spans="1:19" ht="135">
      <c r="A193" s="161"/>
      <c r="B193" s="165"/>
      <c r="C193" s="63" t="s">
        <v>167</v>
      </c>
      <c r="D193" s="64" t="s">
        <v>101</v>
      </c>
      <c r="E193" s="59" t="s">
        <v>104</v>
      </c>
      <c r="F193" s="59" t="s">
        <v>104</v>
      </c>
      <c r="G193" s="59" t="s">
        <v>104</v>
      </c>
      <c r="H193" s="59" t="s">
        <v>104</v>
      </c>
      <c r="I193" s="59" t="s">
        <v>104</v>
      </c>
      <c r="J193" s="59" t="s">
        <v>104</v>
      </c>
      <c r="K193" s="59" t="s">
        <v>104</v>
      </c>
      <c r="L193" s="59" t="s">
        <v>104</v>
      </c>
      <c r="M193" s="59" t="s">
        <v>104</v>
      </c>
      <c r="N193" s="71"/>
      <c r="O193" s="71"/>
      <c r="P193" s="59" t="s">
        <v>104</v>
      </c>
      <c r="Q193" s="59" t="s">
        <v>104</v>
      </c>
      <c r="R193" s="75"/>
      <c r="S193" s="75"/>
    </row>
    <row r="194" spans="1:19">
      <c r="A194" s="161"/>
      <c r="B194" s="165"/>
      <c r="C194" s="63" t="s">
        <v>176</v>
      </c>
      <c r="D194" s="64" t="s">
        <v>101</v>
      </c>
      <c r="E194" s="59">
        <v>1</v>
      </c>
      <c r="F194" s="59">
        <v>1</v>
      </c>
      <c r="G194" s="101">
        <f t="shared" ref="G194:G195" si="181">((E194*8)+(F194*4))/12</f>
        <v>1</v>
      </c>
      <c r="H194" s="59">
        <v>1</v>
      </c>
      <c r="I194" s="59">
        <v>1</v>
      </c>
      <c r="J194" s="75">
        <f t="shared" ref="J194:J197" si="182">K194</f>
        <v>66860.39</v>
      </c>
      <c r="K194" s="71">
        <f>66860.39</f>
        <v>66860.39</v>
      </c>
      <c r="L194" s="59" t="s">
        <v>104</v>
      </c>
      <c r="M194" s="59" t="s">
        <v>104</v>
      </c>
      <c r="N194" s="71">
        <f t="shared" ref="N194:N195" si="183">O194</f>
        <v>66860.39</v>
      </c>
      <c r="O194" s="71">
        <f>G194*K194</f>
        <v>66860.39</v>
      </c>
      <c r="P194" s="59" t="s">
        <v>104</v>
      </c>
      <c r="Q194" s="59" t="s">
        <v>104</v>
      </c>
      <c r="R194" s="75">
        <f>H194*K194</f>
        <v>66860.39</v>
      </c>
      <c r="S194" s="75">
        <f t="shared" ref="S194:S195" si="184">I194*K194</f>
        <v>66860.39</v>
      </c>
    </row>
    <row r="195" spans="1:19">
      <c r="A195" s="161"/>
      <c r="B195" s="165"/>
      <c r="C195" s="63" t="s">
        <v>170</v>
      </c>
      <c r="D195" s="64" t="s">
        <v>101</v>
      </c>
      <c r="E195" s="59">
        <v>2</v>
      </c>
      <c r="F195" s="59">
        <v>2</v>
      </c>
      <c r="G195" s="101">
        <f t="shared" si="181"/>
        <v>2</v>
      </c>
      <c r="H195" s="59">
        <v>2</v>
      </c>
      <c r="I195" s="59">
        <v>2</v>
      </c>
      <c r="J195" s="75">
        <f t="shared" si="182"/>
        <v>63972.15</v>
      </c>
      <c r="K195" s="71">
        <v>63972.15</v>
      </c>
      <c r="L195" s="59" t="s">
        <v>104</v>
      </c>
      <c r="M195" s="59" t="s">
        <v>104</v>
      </c>
      <c r="N195" s="71">
        <f t="shared" si="183"/>
        <v>127944.3</v>
      </c>
      <c r="O195" s="71">
        <f t="shared" ref="O195:O197" si="185">G195*K195</f>
        <v>127944.3</v>
      </c>
      <c r="P195" s="59" t="s">
        <v>104</v>
      </c>
      <c r="Q195" s="59" t="s">
        <v>104</v>
      </c>
      <c r="R195" s="75">
        <f t="shared" ref="R195:R197" si="186">H195*K195</f>
        <v>127944.3</v>
      </c>
      <c r="S195" s="75">
        <f t="shared" si="184"/>
        <v>127944.3</v>
      </c>
    </row>
    <row r="196" spans="1:19">
      <c r="A196" s="161"/>
      <c r="B196" s="165"/>
      <c r="C196" s="63" t="s">
        <v>171</v>
      </c>
      <c r="D196" s="64" t="s">
        <v>101</v>
      </c>
      <c r="E196" s="59">
        <v>1</v>
      </c>
      <c r="F196" s="59">
        <v>1</v>
      </c>
      <c r="G196" s="101">
        <f t="shared" ref="G196:G199" si="187">((E196*8)+(F196*4))/12</f>
        <v>1</v>
      </c>
      <c r="H196" s="59">
        <v>1</v>
      </c>
      <c r="I196" s="59">
        <v>1</v>
      </c>
      <c r="J196" s="75">
        <f t="shared" si="182"/>
        <v>168582.97</v>
      </c>
      <c r="K196" s="75">
        <f>168582.97</f>
        <v>168582.97</v>
      </c>
      <c r="L196" s="59" t="s">
        <v>104</v>
      </c>
      <c r="M196" s="59" t="s">
        <v>104</v>
      </c>
      <c r="N196" s="71">
        <f>O196</f>
        <v>168582.97</v>
      </c>
      <c r="O196" s="71">
        <f t="shared" si="185"/>
        <v>168582.97</v>
      </c>
      <c r="P196" s="59" t="s">
        <v>104</v>
      </c>
      <c r="Q196" s="59" t="s">
        <v>104</v>
      </c>
      <c r="R196" s="75">
        <f t="shared" si="186"/>
        <v>168582.97</v>
      </c>
      <c r="S196" s="75">
        <f>I196*K196</f>
        <v>168582.97</v>
      </c>
    </row>
    <row r="197" spans="1:19">
      <c r="A197" s="161"/>
      <c r="B197" s="165"/>
      <c r="C197" s="63" t="s">
        <v>173</v>
      </c>
      <c r="D197" s="64" t="s">
        <v>101</v>
      </c>
      <c r="E197" s="59">
        <v>1</v>
      </c>
      <c r="F197" s="59">
        <v>1</v>
      </c>
      <c r="G197" s="101">
        <f t="shared" si="187"/>
        <v>1</v>
      </c>
      <c r="H197" s="59">
        <v>1</v>
      </c>
      <c r="I197" s="59">
        <v>1</v>
      </c>
      <c r="J197" s="75">
        <f t="shared" si="182"/>
        <v>22724.03</v>
      </c>
      <c r="K197" s="75">
        <v>22724.03</v>
      </c>
      <c r="L197" s="59" t="s">
        <v>104</v>
      </c>
      <c r="M197" s="59" t="s">
        <v>104</v>
      </c>
      <c r="N197" s="71">
        <f>O197</f>
        <v>22724.03</v>
      </c>
      <c r="O197" s="71">
        <f t="shared" si="185"/>
        <v>22724.03</v>
      </c>
      <c r="P197" s="59" t="s">
        <v>104</v>
      </c>
      <c r="Q197" s="59" t="s">
        <v>104</v>
      </c>
      <c r="R197" s="75">
        <f t="shared" si="186"/>
        <v>22724.03</v>
      </c>
      <c r="S197" s="75">
        <f>I197*K197</f>
        <v>22724.03</v>
      </c>
    </row>
    <row r="198" spans="1:19" ht="120">
      <c r="A198" s="161"/>
      <c r="B198" s="165"/>
      <c r="C198" s="61" t="s">
        <v>105</v>
      </c>
      <c r="D198" s="64" t="s">
        <v>101</v>
      </c>
      <c r="E198" s="59">
        <v>1</v>
      </c>
      <c r="F198" s="59">
        <v>1</v>
      </c>
      <c r="G198" s="101">
        <f t="shared" si="187"/>
        <v>1</v>
      </c>
      <c r="H198" s="59">
        <v>1</v>
      </c>
      <c r="I198" s="59">
        <v>1</v>
      </c>
      <c r="J198" s="75">
        <f>SUM(K198:M198)</f>
        <v>131822.46000000002</v>
      </c>
      <c r="K198" s="75">
        <f>116428.38+690.85</f>
        <v>117119.23000000001</v>
      </c>
      <c r="L198" s="100">
        <v>3857.41</v>
      </c>
      <c r="M198" s="70">
        <v>10845.82</v>
      </c>
      <c r="N198" s="71">
        <f>SUM(O198:Q198)</f>
        <v>131822.46000000002</v>
      </c>
      <c r="O198" s="71">
        <f>G198*K198</f>
        <v>117119.23000000001</v>
      </c>
      <c r="P198" s="71">
        <f>G198*L198</f>
        <v>3857.41</v>
      </c>
      <c r="Q198" s="75">
        <f>G198*M198</f>
        <v>10845.82</v>
      </c>
      <c r="R198" s="75">
        <f t="shared" ref="R198:R217" si="188">H198*J198</f>
        <v>131822.46000000002</v>
      </c>
      <c r="S198" s="75">
        <f t="shared" ref="S198:S217" si="189">I198*J198</f>
        <v>131822.46000000002</v>
      </c>
    </row>
    <row r="199" spans="1:19" ht="105">
      <c r="A199" s="161"/>
      <c r="B199" s="165"/>
      <c r="C199" s="61" t="s">
        <v>117</v>
      </c>
      <c r="D199" s="64" t="s">
        <v>101</v>
      </c>
      <c r="E199" s="59">
        <v>4</v>
      </c>
      <c r="F199" s="59">
        <v>4</v>
      </c>
      <c r="G199" s="59">
        <f t="shared" si="187"/>
        <v>4</v>
      </c>
      <c r="H199" s="59">
        <v>4</v>
      </c>
      <c r="I199" s="59">
        <v>4</v>
      </c>
      <c r="J199" s="75">
        <f>K199</f>
        <v>20712.060000000001</v>
      </c>
      <c r="K199" s="75">
        <v>20712.060000000001</v>
      </c>
      <c r="L199" s="72" t="s">
        <v>104</v>
      </c>
      <c r="M199" s="72" t="s">
        <v>104</v>
      </c>
      <c r="N199" s="71">
        <f>SUM(O199:Q199)</f>
        <v>82848.240000000005</v>
      </c>
      <c r="O199" s="71">
        <f>G199*K199</f>
        <v>82848.240000000005</v>
      </c>
      <c r="P199" s="71"/>
      <c r="Q199" s="71"/>
      <c r="R199" s="75">
        <f t="shared" si="188"/>
        <v>82848.240000000005</v>
      </c>
      <c r="S199" s="75">
        <f t="shared" si="189"/>
        <v>82848.240000000005</v>
      </c>
    </row>
    <row r="200" spans="1:19">
      <c r="A200" s="161"/>
      <c r="B200" s="166"/>
      <c r="C200" s="66" t="s">
        <v>106</v>
      </c>
      <c r="D200" s="67"/>
      <c r="E200" s="59">
        <f>E192+E198</f>
        <v>330</v>
      </c>
      <c r="F200" s="59">
        <f t="shared" ref="F200:I200" si="190">F192+F198</f>
        <v>330</v>
      </c>
      <c r="G200" s="59">
        <f t="shared" si="190"/>
        <v>330</v>
      </c>
      <c r="H200" s="59">
        <f t="shared" si="190"/>
        <v>330</v>
      </c>
      <c r="I200" s="59">
        <f t="shared" si="190"/>
        <v>330</v>
      </c>
      <c r="J200" s="71" t="s">
        <v>104</v>
      </c>
      <c r="K200" s="71" t="s">
        <v>104</v>
      </c>
      <c r="L200" s="71" t="s">
        <v>104</v>
      </c>
      <c r="M200" s="71" t="s">
        <v>104</v>
      </c>
      <c r="N200" s="71">
        <f>SUM(N192:N199)</f>
        <v>13011652.680000002</v>
      </c>
      <c r="O200" s="71">
        <f t="shared" ref="O200:S200" si="191">SUM(O192:O199)</f>
        <v>8159586.7799999993</v>
      </c>
      <c r="P200" s="71">
        <f t="shared" si="191"/>
        <v>1272945.2999999998</v>
      </c>
      <c r="Q200" s="71">
        <f t="shared" si="191"/>
        <v>3579120.5999999996</v>
      </c>
      <c r="R200" s="71">
        <f t="shared" si="191"/>
        <v>13011652.680000002</v>
      </c>
      <c r="S200" s="71">
        <f t="shared" si="191"/>
        <v>13011652.680000002</v>
      </c>
    </row>
    <row r="201" spans="1:19" ht="90">
      <c r="A201" s="161"/>
      <c r="B201" s="164" t="s">
        <v>107</v>
      </c>
      <c r="C201" s="61" t="s">
        <v>100</v>
      </c>
      <c r="D201" s="62" t="s">
        <v>101</v>
      </c>
      <c r="E201" s="59">
        <v>77</v>
      </c>
      <c r="F201" s="59">
        <v>77</v>
      </c>
      <c r="G201" s="101">
        <f t="shared" ref="G201:G213" si="192">((E201*8)+(F201*4))/12</f>
        <v>77</v>
      </c>
      <c r="H201" s="59">
        <v>77</v>
      </c>
      <c r="I201" s="59">
        <v>77</v>
      </c>
      <c r="J201" s="110">
        <f>SUM(K201:M201)</f>
        <v>48699.21</v>
      </c>
      <c r="K201" s="110">
        <f>33147.58+848.4</f>
        <v>33995.980000000003</v>
      </c>
      <c r="L201" s="70">
        <v>3857.41</v>
      </c>
      <c r="M201" s="70">
        <v>10845.82</v>
      </c>
      <c r="N201" s="71">
        <f>SUM(O201:Q201)</f>
        <v>3749839.1700000004</v>
      </c>
      <c r="O201" s="71">
        <f>G201*K201</f>
        <v>2617690.4600000004</v>
      </c>
      <c r="P201" s="71">
        <f>G201*L201</f>
        <v>297020.57</v>
      </c>
      <c r="Q201" s="71">
        <f>G201*M201</f>
        <v>835128.14</v>
      </c>
      <c r="R201" s="75">
        <f t="shared" si="188"/>
        <v>3749839.17</v>
      </c>
      <c r="S201" s="75">
        <f t="shared" si="189"/>
        <v>3749839.17</v>
      </c>
    </row>
    <row r="202" spans="1:19" ht="120">
      <c r="A202" s="161"/>
      <c r="B202" s="165"/>
      <c r="C202" s="61" t="s">
        <v>118</v>
      </c>
      <c r="D202" s="62" t="s">
        <v>101</v>
      </c>
      <c r="E202" s="59">
        <v>307</v>
      </c>
      <c r="F202" s="59">
        <v>307</v>
      </c>
      <c r="G202" s="101">
        <f t="shared" si="192"/>
        <v>307</v>
      </c>
      <c r="H202" s="59">
        <v>307</v>
      </c>
      <c r="I202" s="59">
        <v>307</v>
      </c>
      <c r="J202" s="110">
        <f>SUM(K202:M202)</f>
        <v>52011.049999999996</v>
      </c>
      <c r="K202" s="110">
        <f>36459.42+848.4</f>
        <v>37307.82</v>
      </c>
      <c r="L202" s="70">
        <v>3857.41</v>
      </c>
      <c r="M202" s="70">
        <v>10845.82</v>
      </c>
      <c r="N202" s="71">
        <f>SUM(O202:Q202)</f>
        <v>15967392.35</v>
      </c>
      <c r="O202" s="71">
        <f t="shared" ref="O202" si="193">G202*K202</f>
        <v>11453500.74</v>
      </c>
      <c r="P202" s="71">
        <f>G202*L202</f>
        <v>1184224.8699999999</v>
      </c>
      <c r="Q202" s="71">
        <f>G202*M202</f>
        <v>3329666.7399999998</v>
      </c>
      <c r="R202" s="75">
        <f t="shared" si="188"/>
        <v>15967392.349999998</v>
      </c>
      <c r="S202" s="75">
        <f t="shared" si="189"/>
        <v>15967392.349999998</v>
      </c>
    </row>
    <row r="203" spans="1:19" ht="120">
      <c r="A203" s="161"/>
      <c r="B203" s="165"/>
      <c r="C203" s="63" t="s">
        <v>102</v>
      </c>
      <c r="D203" s="64" t="s">
        <v>101</v>
      </c>
      <c r="E203" s="59" t="s">
        <v>104</v>
      </c>
      <c r="F203" s="59" t="s">
        <v>104</v>
      </c>
      <c r="G203" s="59" t="s">
        <v>104</v>
      </c>
      <c r="H203" s="59" t="s">
        <v>104</v>
      </c>
      <c r="I203" s="59" t="s">
        <v>104</v>
      </c>
      <c r="J203" s="59" t="s">
        <v>104</v>
      </c>
      <c r="K203" s="59" t="s">
        <v>104</v>
      </c>
      <c r="L203" s="59" t="s">
        <v>104</v>
      </c>
      <c r="M203" s="59" t="s">
        <v>104</v>
      </c>
      <c r="N203" s="71"/>
      <c r="O203" s="71"/>
      <c r="P203" s="59" t="s">
        <v>104</v>
      </c>
      <c r="Q203" s="59" t="s">
        <v>104</v>
      </c>
      <c r="R203" s="75"/>
      <c r="S203" s="75"/>
    </row>
    <row r="204" spans="1:19">
      <c r="A204" s="161"/>
      <c r="B204" s="165"/>
      <c r="C204" s="63" t="s">
        <v>179</v>
      </c>
      <c r="D204" s="64" t="s">
        <v>101</v>
      </c>
      <c r="E204" s="60">
        <v>1</v>
      </c>
      <c r="F204" s="60">
        <v>1</v>
      </c>
      <c r="G204" s="101">
        <f t="shared" si="192"/>
        <v>1</v>
      </c>
      <c r="H204" s="60">
        <v>1</v>
      </c>
      <c r="I204" s="60">
        <v>1</v>
      </c>
      <c r="J204" s="75">
        <f>K204</f>
        <v>66860.39</v>
      </c>
      <c r="K204" s="75">
        <v>66860.39</v>
      </c>
      <c r="L204" s="59" t="s">
        <v>104</v>
      </c>
      <c r="M204" s="59" t="s">
        <v>104</v>
      </c>
      <c r="N204" s="71">
        <f>O204</f>
        <v>66860.39</v>
      </c>
      <c r="O204" s="71">
        <f>G204*K204</f>
        <v>66860.39</v>
      </c>
      <c r="P204" s="59" t="s">
        <v>104</v>
      </c>
      <c r="Q204" s="59" t="s">
        <v>104</v>
      </c>
      <c r="R204" s="75">
        <f>H204*K204</f>
        <v>66860.39</v>
      </c>
      <c r="S204" s="75">
        <f>I204*K204</f>
        <v>66860.39</v>
      </c>
    </row>
    <row r="205" spans="1:19">
      <c r="A205" s="161"/>
      <c r="B205" s="165"/>
      <c r="C205" s="63" t="s">
        <v>168</v>
      </c>
      <c r="D205" s="64" t="s">
        <v>101</v>
      </c>
      <c r="E205" s="60">
        <v>1</v>
      </c>
      <c r="F205" s="60">
        <v>1</v>
      </c>
      <c r="G205" s="101">
        <f t="shared" si="192"/>
        <v>1</v>
      </c>
      <c r="H205" s="60">
        <v>1</v>
      </c>
      <c r="I205" s="60">
        <v>1</v>
      </c>
      <c r="J205" s="75">
        <f>K205</f>
        <v>24684.9</v>
      </c>
      <c r="K205" s="75">
        <v>24684.9</v>
      </c>
      <c r="L205" s="59" t="s">
        <v>104</v>
      </c>
      <c r="M205" s="59" t="s">
        <v>104</v>
      </c>
      <c r="N205" s="71">
        <f>O205</f>
        <v>24684.9</v>
      </c>
      <c r="O205" s="71">
        <f>G205*K205</f>
        <v>24684.9</v>
      </c>
      <c r="P205" s="59" t="s">
        <v>104</v>
      </c>
      <c r="Q205" s="59" t="s">
        <v>104</v>
      </c>
      <c r="R205" s="75">
        <f>H205*K205</f>
        <v>24684.9</v>
      </c>
      <c r="S205" s="75">
        <f>I205*K205</f>
        <v>24684.9</v>
      </c>
    </row>
    <row r="206" spans="1:19">
      <c r="A206" s="161"/>
      <c r="B206" s="165"/>
      <c r="C206" s="63" t="s">
        <v>173</v>
      </c>
      <c r="D206" s="64" t="s">
        <v>101</v>
      </c>
      <c r="E206" s="60">
        <v>1</v>
      </c>
      <c r="F206" s="60">
        <v>1</v>
      </c>
      <c r="G206" s="101">
        <f t="shared" si="192"/>
        <v>1</v>
      </c>
      <c r="H206" s="60">
        <v>1</v>
      </c>
      <c r="I206" s="60">
        <v>1</v>
      </c>
      <c r="J206" s="75">
        <f>K206</f>
        <v>22724.03</v>
      </c>
      <c r="K206" s="75">
        <v>22724.03</v>
      </c>
      <c r="L206" s="59" t="s">
        <v>104</v>
      </c>
      <c r="M206" s="59" t="s">
        <v>104</v>
      </c>
      <c r="N206" s="71">
        <f>O206</f>
        <v>22724.03</v>
      </c>
      <c r="O206" s="71">
        <f>G206*K206</f>
        <v>22724.03</v>
      </c>
      <c r="P206" s="59" t="s">
        <v>104</v>
      </c>
      <c r="Q206" s="59" t="s">
        <v>104</v>
      </c>
      <c r="R206" s="75">
        <f>H206*K206</f>
        <v>22724.03</v>
      </c>
      <c r="S206" s="75">
        <f>I206*K206</f>
        <v>22724.03</v>
      </c>
    </row>
    <row r="207" spans="1:19" ht="120">
      <c r="A207" s="161"/>
      <c r="B207" s="165"/>
      <c r="C207" s="61" t="s">
        <v>105</v>
      </c>
      <c r="D207" s="64" t="s">
        <v>101</v>
      </c>
      <c r="E207" s="60"/>
      <c r="F207" s="60"/>
      <c r="G207" s="60"/>
      <c r="H207" s="60"/>
      <c r="I207" s="60"/>
      <c r="J207" s="75">
        <f>SUM(K207:M207)</f>
        <v>160728.59</v>
      </c>
      <c r="K207" s="75">
        <f>145176.96+848.4</f>
        <v>146025.35999999999</v>
      </c>
      <c r="L207" s="72">
        <v>3857.41</v>
      </c>
      <c r="M207" s="70">
        <v>10845.82</v>
      </c>
      <c r="N207" s="73">
        <f>SUM(O207:Q207)</f>
        <v>0</v>
      </c>
      <c r="O207" s="73">
        <f>E207*K207</f>
        <v>0</v>
      </c>
      <c r="P207" s="73">
        <f>E207*L207</f>
        <v>0</v>
      </c>
      <c r="Q207" s="73">
        <f>E207*M207</f>
        <v>0</v>
      </c>
      <c r="R207" s="75">
        <f t="shared" si="188"/>
        <v>0</v>
      </c>
      <c r="S207" s="75">
        <f t="shared" si="189"/>
        <v>0</v>
      </c>
    </row>
    <row r="208" spans="1:19" ht="105">
      <c r="A208" s="161"/>
      <c r="B208" s="165"/>
      <c r="C208" s="61" t="s">
        <v>117</v>
      </c>
      <c r="D208" s="64" t="s">
        <v>101</v>
      </c>
      <c r="E208" s="60">
        <v>3</v>
      </c>
      <c r="F208" s="60">
        <v>3</v>
      </c>
      <c r="G208" s="101">
        <f t="shared" si="192"/>
        <v>3</v>
      </c>
      <c r="H208" s="60">
        <v>3</v>
      </c>
      <c r="I208" s="60">
        <v>3</v>
      </c>
      <c r="J208" s="75">
        <f>K208</f>
        <v>32794.07</v>
      </c>
      <c r="K208" s="75">
        <f>32794.07</f>
        <v>32794.07</v>
      </c>
      <c r="L208" s="72" t="s">
        <v>104</v>
      </c>
      <c r="M208" s="72" t="s">
        <v>104</v>
      </c>
      <c r="N208" s="73">
        <f>SUM(O208:Q208)</f>
        <v>98382.209999999992</v>
      </c>
      <c r="O208" s="73">
        <f>E208*K208</f>
        <v>98382.209999999992</v>
      </c>
      <c r="P208" s="73"/>
      <c r="Q208" s="73"/>
      <c r="R208" s="75">
        <f t="shared" si="188"/>
        <v>98382.209999999992</v>
      </c>
      <c r="S208" s="75">
        <f t="shared" si="189"/>
        <v>98382.209999999992</v>
      </c>
    </row>
    <row r="209" spans="1:19">
      <c r="A209" s="161"/>
      <c r="B209" s="166"/>
      <c r="C209" s="66" t="s">
        <v>106</v>
      </c>
      <c r="D209" s="64"/>
      <c r="E209" s="60">
        <f>E201++E202+E207</f>
        <v>384</v>
      </c>
      <c r="F209" s="60">
        <f>F201++F202+F207</f>
        <v>384</v>
      </c>
      <c r="G209" s="60">
        <f>G201++G202+G207</f>
        <v>384</v>
      </c>
      <c r="H209" s="60">
        <f>H201++H202+H207</f>
        <v>384</v>
      </c>
      <c r="I209" s="60">
        <f>I201++I202+I207</f>
        <v>384</v>
      </c>
      <c r="J209" s="73" t="s">
        <v>104</v>
      </c>
      <c r="K209" s="73" t="s">
        <v>104</v>
      </c>
      <c r="L209" s="74" t="s">
        <v>104</v>
      </c>
      <c r="M209" s="74" t="s">
        <v>104</v>
      </c>
      <c r="N209" s="74">
        <f>SUM(N201:N208)</f>
        <v>19929883.050000001</v>
      </c>
      <c r="O209" s="74">
        <f t="shared" ref="O209:S209" si="194">SUM(O201:O208)</f>
        <v>14283842.730000002</v>
      </c>
      <c r="P209" s="74">
        <f t="shared" si="194"/>
        <v>1481245.44</v>
      </c>
      <c r="Q209" s="74">
        <f t="shared" si="194"/>
        <v>4164794.88</v>
      </c>
      <c r="R209" s="74">
        <f t="shared" si="194"/>
        <v>19929883.049999997</v>
      </c>
      <c r="S209" s="74">
        <f t="shared" si="194"/>
        <v>19929883.049999997</v>
      </c>
    </row>
    <row r="210" spans="1:19" ht="90">
      <c r="A210" s="161"/>
      <c r="B210" s="164" t="s">
        <v>108</v>
      </c>
      <c r="C210" s="61" t="s">
        <v>100</v>
      </c>
      <c r="D210" s="62" t="s">
        <v>101</v>
      </c>
      <c r="E210" s="60">
        <v>94</v>
      </c>
      <c r="F210" s="60">
        <v>94</v>
      </c>
      <c r="G210" s="101">
        <f t="shared" si="192"/>
        <v>94</v>
      </c>
      <c r="H210" s="60">
        <v>94</v>
      </c>
      <c r="I210" s="60">
        <v>94</v>
      </c>
      <c r="J210" s="110">
        <f>SUM(K210:M210)</f>
        <v>55356.51</v>
      </c>
      <c r="K210" s="110">
        <f>39660.87+992.41</f>
        <v>40653.280000000006</v>
      </c>
      <c r="L210" s="70">
        <v>3857.41</v>
      </c>
      <c r="M210" s="70">
        <v>10845.82</v>
      </c>
      <c r="N210" s="73">
        <f>SUM(O210:Q210)</f>
        <v>5203511.9400000004</v>
      </c>
      <c r="O210" s="73">
        <f>G210*K210</f>
        <v>3821408.3200000008</v>
      </c>
      <c r="P210" s="73">
        <f>G210*L210</f>
        <v>362596.54</v>
      </c>
      <c r="Q210" s="73">
        <f>G210*M210</f>
        <v>1019507.08</v>
      </c>
      <c r="R210" s="75">
        <f t="shared" si="188"/>
        <v>5203511.9400000004</v>
      </c>
      <c r="S210" s="75">
        <f t="shared" si="189"/>
        <v>5203511.9400000004</v>
      </c>
    </row>
    <row r="211" spans="1:19" ht="119.25">
      <c r="A211" s="161"/>
      <c r="B211" s="165"/>
      <c r="C211" s="61" t="s">
        <v>180</v>
      </c>
      <c r="D211" s="62" t="s">
        <v>101</v>
      </c>
      <c r="E211" s="60">
        <v>25</v>
      </c>
      <c r="F211" s="60">
        <v>25</v>
      </c>
      <c r="G211" s="101">
        <f t="shared" si="192"/>
        <v>25</v>
      </c>
      <c r="H211" s="60">
        <v>25</v>
      </c>
      <c r="I211" s="60">
        <v>25</v>
      </c>
      <c r="J211" s="110">
        <f>SUM(K211:M211)</f>
        <v>96276.12</v>
      </c>
      <c r="K211" s="110">
        <f>80580.48+992.41</f>
        <v>81572.89</v>
      </c>
      <c r="L211" s="70">
        <v>3857.41</v>
      </c>
      <c r="M211" s="70">
        <v>10845.82</v>
      </c>
      <c r="N211" s="73">
        <f>SUM(O211:Q211)</f>
        <v>2406903</v>
      </c>
      <c r="O211" s="73">
        <f>G211*K211</f>
        <v>2039322.25</v>
      </c>
      <c r="P211" s="73">
        <f>G211*L211</f>
        <v>96435.25</v>
      </c>
      <c r="Q211" s="73">
        <f>G211*M211</f>
        <v>271145.5</v>
      </c>
      <c r="R211" s="75">
        <f t="shared" si="188"/>
        <v>2406903</v>
      </c>
      <c r="S211" s="75">
        <f t="shared" si="189"/>
        <v>2406903</v>
      </c>
    </row>
    <row r="212" spans="1:19" ht="120">
      <c r="A212" s="161"/>
      <c r="B212" s="165"/>
      <c r="C212" s="63" t="s">
        <v>102</v>
      </c>
      <c r="D212" s="64" t="s">
        <v>101</v>
      </c>
      <c r="E212" s="59" t="s">
        <v>104</v>
      </c>
      <c r="F212" s="59" t="s">
        <v>104</v>
      </c>
      <c r="G212" s="59" t="s">
        <v>104</v>
      </c>
      <c r="H212" s="59" t="s">
        <v>104</v>
      </c>
      <c r="I212" s="59" t="s">
        <v>104</v>
      </c>
      <c r="J212" s="59" t="s">
        <v>104</v>
      </c>
      <c r="K212" s="59" t="s">
        <v>104</v>
      </c>
      <c r="L212" s="59" t="s">
        <v>104</v>
      </c>
      <c r="M212" s="59" t="s">
        <v>104</v>
      </c>
      <c r="N212" s="71"/>
      <c r="O212" s="71"/>
      <c r="P212" s="59" t="s">
        <v>104</v>
      </c>
      <c r="Q212" s="59" t="s">
        <v>104</v>
      </c>
      <c r="R212" s="75"/>
      <c r="S212" s="75"/>
    </row>
    <row r="213" spans="1:19">
      <c r="A213" s="161"/>
      <c r="B213" s="165"/>
      <c r="C213" s="63" t="s">
        <v>173</v>
      </c>
      <c r="D213" s="64" t="s">
        <v>101</v>
      </c>
      <c r="E213" s="60">
        <v>2</v>
      </c>
      <c r="F213" s="60">
        <v>2</v>
      </c>
      <c r="G213" s="101">
        <f t="shared" si="192"/>
        <v>2</v>
      </c>
      <c r="H213" s="60">
        <v>2</v>
      </c>
      <c r="I213" s="60">
        <v>2</v>
      </c>
      <c r="J213" s="75">
        <f>K213</f>
        <v>22724.03</v>
      </c>
      <c r="K213" s="75">
        <v>22724.03</v>
      </c>
      <c r="L213" s="59" t="s">
        <v>104</v>
      </c>
      <c r="M213" s="59" t="s">
        <v>104</v>
      </c>
      <c r="N213" s="71">
        <f>O213</f>
        <v>45448.06</v>
      </c>
      <c r="O213" s="71">
        <f>G213*K213</f>
        <v>45448.06</v>
      </c>
      <c r="P213" s="59" t="s">
        <v>104</v>
      </c>
      <c r="Q213" s="59" t="s">
        <v>104</v>
      </c>
      <c r="R213" s="75">
        <f>H213*K213</f>
        <v>45448.06</v>
      </c>
      <c r="S213" s="75">
        <f>I213*K213</f>
        <v>45448.06</v>
      </c>
    </row>
    <row r="214" spans="1:19" ht="120">
      <c r="A214" s="161"/>
      <c r="B214" s="165"/>
      <c r="C214" s="61" t="s">
        <v>105</v>
      </c>
      <c r="D214" s="64" t="s">
        <v>101</v>
      </c>
      <c r="E214" s="60"/>
      <c r="F214" s="60"/>
      <c r="G214" s="60"/>
      <c r="H214" s="60"/>
      <c r="I214" s="60"/>
      <c r="J214" s="75">
        <f>SUM(K214:M214)</f>
        <v>189621.17</v>
      </c>
      <c r="K214" s="75">
        <f>173925.53+992.41</f>
        <v>174917.94</v>
      </c>
      <c r="L214" s="72">
        <v>3857.41</v>
      </c>
      <c r="M214" s="70">
        <v>10845.82</v>
      </c>
      <c r="N214" s="73"/>
      <c r="O214" s="73"/>
      <c r="P214" s="73"/>
      <c r="Q214" s="73"/>
      <c r="R214" s="75">
        <f t="shared" si="188"/>
        <v>0</v>
      </c>
      <c r="S214" s="75">
        <f t="shared" si="189"/>
        <v>0</v>
      </c>
    </row>
    <row r="215" spans="1:19">
      <c r="A215" s="161"/>
      <c r="B215" s="166"/>
      <c r="C215" s="66" t="s">
        <v>106</v>
      </c>
      <c r="D215" s="64"/>
      <c r="E215" s="60">
        <f>E210+E214</f>
        <v>94</v>
      </c>
      <c r="F215" s="60">
        <f t="shared" ref="F215:I215" si="195">F210+F214</f>
        <v>94</v>
      </c>
      <c r="G215" s="60">
        <f t="shared" si="195"/>
        <v>94</v>
      </c>
      <c r="H215" s="60">
        <f t="shared" si="195"/>
        <v>94</v>
      </c>
      <c r="I215" s="60">
        <f t="shared" si="195"/>
        <v>94</v>
      </c>
      <c r="J215" s="73" t="s">
        <v>104</v>
      </c>
      <c r="K215" s="73" t="s">
        <v>104</v>
      </c>
      <c r="L215" s="74" t="s">
        <v>104</v>
      </c>
      <c r="M215" s="74" t="s">
        <v>104</v>
      </c>
      <c r="N215" s="74">
        <f>SUM(N210:N214)</f>
        <v>7655863</v>
      </c>
      <c r="O215" s="74">
        <f t="shared" ref="O215:S215" si="196">SUM(O210:O214)</f>
        <v>5906178.6299999999</v>
      </c>
      <c r="P215" s="74">
        <f t="shared" si="196"/>
        <v>459031.79</v>
      </c>
      <c r="Q215" s="74">
        <f t="shared" si="196"/>
        <v>1290652.58</v>
      </c>
      <c r="R215" s="74">
        <f t="shared" si="196"/>
        <v>7655863</v>
      </c>
      <c r="S215" s="74">
        <f t="shared" si="196"/>
        <v>7655863</v>
      </c>
    </row>
    <row r="216" spans="1:19" ht="165">
      <c r="A216" s="161"/>
      <c r="B216" s="163" t="s">
        <v>109</v>
      </c>
      <c r="C216" s="61" t="s">
        <v>110</v>
      </c>
      <c r="D216" s="64" t="s">
        <v>101</v>
      </c>
      <c r="E216" s="60">
        <v>536</v>
      </c>
      <c r="F216" s="60">
        <v>536</v>
      </c>
      <c r="G216" s="101">
        <f t="shared" ref="G216:G217" si="197">((E216*8)+(F216*4))/12</f>
        <v>536</v>
      </c>
      <c r="H216" s="60">
        <v>536</v>
      </c>
      <c r="I216" s="60">
        <v>536</v>
      </c>
      <c r="J216" s="75">
        <f>K216</f>
        <v>2770.76</v>
      </c>
      <c r="K216" s="75">
        <v>2770.76</v>
      </c>
      <c r="L216" s="72" t="s">
        <v>104</v>
      </c>
      <c r="M216" s="72" t="s">
        <v>104</v>
      </c>
      <c r="N216" s="73">
        <f>SUM(O216:Q216)</f>
        <v>1485127.36</v>
      </c>
      <c r="O216" s="73">
        <f>G216*K216</f>
        <v>1485127.36</v>
      </c>
      <c r="P216" s="73" t="s">
        <v>104</v>
      </c>
      <c r="Q216" s="73" t="s">
        <v>104</v>
      </c>
      <c r="R216" s="75">
        <f t="shared" si="188"/>
        <v>1485127.36</v>
      </c>
      <c r="S216" s="75">
        <f t="shared" si="189"/>
        <v>1485127.36</v>
      </c>
    </row>
    <row r="217" spans="1:19" ht="180">
      <c r="A217" s="161"/>
      <c r="B217" s="163"/>
      <c r="C217" s="61" t="s">
        <v>178</v>
      </c>
      <c r="D217" s="64" t="s">
        <v>101</v>
      </c>
      <c r="E217" s="60">
        <v>693</v>
      </c>
      <c r="F217" s="60">
        <v>693</v>
      </c>
      <c r="G217" s="101">
        <f t="shared" si="197"/>
        <v>693</v>
      </c>
      <c r="H217" s="60">
        <v>693</v>
      </c>
      <c r="I217" s="60">
        <v>693</v>
      </c>
      <c r="J217" s="75">
        <v>3829.24</v>
      </c>
      <c r="K217" s="75">
        <f>J217</f>
        <v>3829.24</v>
      </c>
      <c r="L217" s="72" t="s">
        <v>104</v>
      </c>
      <c r="M217" s="72" t="s">
        <v>104</v>
      </c>
      <c r="N217" s="73">
        <f>SUM(O217:Q217)</f>
        <v>2653663.3199999998</v>
      </c>
      <c r="O217" s="73">
        <f>G217*K217</f>
        <v>2653663.3199999998</v>
      </c>
      <c r="P217" s="106" t="s">
        <v>104</v>
      </c>
      <c r="Q217" s="104" t="s">
        <v>104</v>
      </c>
      <c r="R217" s="75">
        <f t="shared" si="188"/>
        <v>2653663.3199999998</v>
      </c>
      <c r="S217" s="75">
        <f t="shared" si="189"/>
        <v>2653663.3199999998</v>
      </c>
    </row>
    <row r="218" spans="1:19">
      <c r="A218" s="161"/>
      <c r="B218" s="69"/>
      <c r="C218" s="66" t="s">
        <v>106</v>
      </c>
      <c r="D218" s="69"/>
      <c r="E218" s="103">
        <f>SUM(E216:E217)</f>
        <v>1229</v>
      </c>
      <c r="F218" s="103">
        <f t="shared" ref="F218:I218" si="198">SUM(F216:F217)</f>
        <v>1229</v>
      </c>
      <c r="G218" s="103">
        <f t="shared" si="198"/>
        <v>1229</v>
      </c>
      <c r="H218" s="103">
        <f t="shared" si="198"/>
        <v>1229</v>
      </c>
      <c r="I218" s="103">
        <f t="shared" si="198"/>
        <v>1229</v>
      </c>
      <c r="J218" s="73" t="s">
        <v>104</v>
      </c>
      <c r="K218" s="73" t="s">
        <v>104</v>
      </c>
      <c r="L218" s="74" t="s">
        <v>104</v>
      </c>
      <c r="M218" s="74">
        <f t="shared" ref="M218:Q218" si="199">SUM(M216:M217)</f>
        <v>0</v>
      </c>
      <c r="N218" s="74">
        <f t="shared" si="199"/>
        <v>4138790.6799999997</v>
      </c>
      <c r="O218" s="74">
        <f t="shared" si="199"/>
        <v>4138790.6799999997</v>
      </c>
      <c r="P218" s="74">
        <f t="shared" si="199"/>
        <v>0</v>
      </c>
      <c r="Q218" s="74">
        <f t="shared" si="199"/>
        <v>0</v>
      </c>
      <c r="R218" s="75">
        <f>SUM(R216:R217)</f>
        <v>4138790.6799999997</v>
      </c>
      <c r="S218" s="75">
        <f>SUM(S216:S217)</f>
        <v>4138790.6799999997</v>
      </c>
    </row>
    <row r="219" spans="1:19">
      <c r="A219" s="161"/>
      <c r="B219" s="102" t="s">
        <v>112</v>
      </c>
      <c r="C219" s="102"/>
      <c r="D219" s="69"/>
      <c r="E219" s="103"/>
      <c r="F219" s="103"/>
      <c r="G219" s="103"/>
      <c r="H219" s="103"/>
      <c r="I219" s="103"/>
      <c r="J219" s="106"/>
      <c r="K219" s="106"/>
      <c r="L219" s="104"/>
      <c r="M219" s="104"/>
      <c r="N219" s="104">
        <f t="shared" ref="N219:S219" si="200">N200+N209+N215+N218</f>
        <v>44736189.410000004</v>
      </c>
      <c r="O219" s="104">
        <f t="shared" si="200"/>
        <v>32488398.82</v>
      </c>
      <c r="P219" s="104">
        <f t="shared" si="200"/>
        <v>3213222.53</v>
      </c>
      <c r="Q219" s="104">
        <f t="shared" si="200"/>
        <v>9034568.0599999987</v>
      </c>
      <c r="R219" s="104">
        <f t="shared" si="200"/>
        <v>44736189.409999996</v>
      </c>
      <c r="S219" s="104">
        <f t="shared" si="200"/>
        <v>44736189.409999996</v>
      </c>
    </row>
    <row r="220" spans="1:19" ht="225">
      <c r="A220" s="161" t="s">
        <v>119</v>
      </c>
      <c r="B220" s="162" t="s">
        <v>99</v>
      </c>
      <c r="C220" s="61" t="s">
        <v>120</v>
      </c>
      <c r="D220" s="62" t="s">
        <v>121</v>
      </c>
      <c r="E220" s="129" t="s">
        <v>122</v>
      </c>
      <c r="F220" s="129" t="s">
        <v>122</v>
      </c>
      <c r="G220" s="129" t="s">
        <v>122</v>
      </c>
      <c r="H220" s="129" t="s">
        <v>122</v>
      </c>
      <c r="I220" s="129" t="s">
        <v>122</v>
      </c>
      <c r="J220" s="110" t="s">
        <v>124</v>
      </c>
      <c r="K220" s="110" t="s">
        <v>202</v>
      </c>
      <c r="L220" s="70" t="s">
        <v>126</v>
      </c>
      <c r="M220" s="70" t="s">
        <v>195</v>
      </c>
      <c r="N220" s="71">
        <f t="shared" ref="N220:N226" si="201">SUM(O220:Q220)</f>
        <v>1993411.78</v>
      </c>
      <c r="O220" s="71">
        <f>642642.05*2+690.85*46</f>
        <v>1317063.2000000002</v>
      </c>
      <c r="P220" s="71">
        <f>3857.41*46</f>
        <v>177440.86</v>
      </c>
      <c r="Q220" s="75">
        <f>10845.82*46</f>
        <v>498907.72</v>
      </c>
      <c r="R220" s="75">
        <f>642642.05*2+15655.31*46</f>
        <v>2005428.36</v>
      </c>
      <c r="S220" s="75">
        <f>642642.05*2+15655.31*46</f>
        <v>2005428.36</v>
      </c>
    </row>
    <row r="221" spans="1:19" ht="240">
      <c r="A221" s="161"/>
      <c r="B221" s="162"/>
      <c r="C221" s="61" t="s">
        <v>128</v>
      </c>
      <c r="D221" s="62" t="s">
        <v>121</v>
      </c>
      <c r="E221" s="129" t="s">
        <v>184</v>
      </c>
      <c r="F221" s="129" t="s">
        <v>184</v>
      </c>
      <c r="G221" s="129" t="s">
        <v>184</v>
      </c>
      <c r="H221" s="129" t="s">
        <v>184</v>
      </c>
      <c r="I221" s="129" t="s">
        <v>184</v>
      </c>
      <c r="J221" s="110" t="s">
        <v>131</v>
      </c>
      <c r="K221" s="110" t="s">
        <v>203</v>
      </c>
      <c r="L221" s="70" t="s">
        <v>126</v>
      </c>
      <c r="M221" s="70" t="s">
        <v>195</v>
      </c>
      <c r="N221" s="71">
        <f t="shared" si="201"/>
        <v>3309439.3999999994</v>
      </c>
      <c r="O221" s="71">
        <f>604145.69*4+690.85*58</f>
        <v>2456652.0599999996</v>
      </c>
      <c r="P221" s="71">
        <f>3857.41*58</f>
        <v>223729.78</v>
      </c>
      <c r="Q221" s="75">
        <f>10845.82*58</f>
        <v>629057.55999999994</v>
      </c>
      <c r="R221" s="75">
        <f>604145.69*4+15655.31*58</f>
        <v>3324590.7399999998</v>
      </c>
      <c r="S221" s="75">
        <f>R221</f>
        <v>3324590.7399999998</v>
      </c>
    </row>
    <row r="222" spans="1:19" ht="120">
      <c r="A222" s="161"/>
      <c r="B222" s="162"/>
      <c r="C222" s="63" t="s">
        <v>102</v>
      </c>
      <c r="D222" s="64" t="s">
        <v>101</v>
      </c>
      <c r="E222" s="65"/>
      <c r="F222" s="65"/>
      <c r="G222" s="65"/>
      <c r="H222" s="65"/>
      <c r="I222" s="65"/>
      <c r="J222" s="75">
        <f>K222</f>
        <v>27251.919999999998</v>
      </c>
      <c r="K222" s="75">
        <v>27251.919999999998</v>
      </c>
      <c r="L222" s="72" t="s">
        <v>103</v>
      </c>
      <c r="M222" s="72" t="s">
        <v>103</v>
      </c>
      <c r="N222" s="71">
        <f t="shared" si="201"/>
        <v>0</v>
      </c>
      <c r="O222" s="71">
        <f>E222*K222</f>
        <v>0</v>
      </c>
      <c r="P222" s="71" t="s">
        <v>104</v>
      </c>
      <c r="Q222" s="122" t="s">
        <v>104</v>
      </c>
      <c r="R222" s="75">
        <f t="shared" ref="R222:R236" si="202">H222*J222</f>
        <v>0</v>
      </c>
      <c r="S222" s="75">
        <f t="shared" ref="S222:S236" si="203">I222*J222</f>
        <v>0</v>
      </c>
    </row>
    <row r="223" spans="1:19" ht="105">
      <c r="A223" s="161"/>
      <c r="B223" s="162"/>
      <c r="C223" s="61" t="s">
        <v>188</v>
      </c>
      <c r="D223" s="64" t="s">
        <v>101</v>
      </c>
      <c r="E223" s="59">
        <v>1</v>
      </c>
      <c r="F223" s="59">
        <v>1</v>
      </c>
      <c r="G223" s="101">
        <f t="shared" ref="G223" si="204">((E223*8)+(F223*4))/12</f>
        <v>1</v>
      </c>
      <c r="H223" s="59">
        <v>1</v>
      </c>
      <c r="I223" s="59">
        <v>1</v>
      </c>
      <c r="J223" s="75">
        <f>K223</f>
        <v>24958.99</v>
      </c>
      <c r="K223" s="75">
        <v>24958.99</v>
      </c>
      <c r="L223" s="71" t="s">
        <v>104</v>
      </c>
      <c r="M223" s="71" t="s">
        <v>104</v>
      </c>
      <c r="N223" s="71">
        <f>O223</f>
        <v>24958.99</v>
      </c>
      <c r="O223" s="71">
        <f>G223*K223</f>
        <v>24958.99</v>
      </c>
      <c r="P223" s="71" t="s">
        <v>104</v>
      </c>
      <c r="Q223" s="122" t="s">
        <v>104</v>
      </c>
      <c r="R223" s="75">
        <f>H223*K223</f>
        <v>24958.99</v>
      </c>
      <c r="S223" s="75">
        <f>I223*K223</f>
        <v>24958.99</v>
      </c>
    </row>
    <row r="224" spans="1:19">
      <c r="A224" s="161"/>
      <c r="B224" s="162"/>
      <c r="C224" s="66" t="s">
        <v>106</v>
      </c>
      <c r="D224" s="67"/>
      <c r="E224" s="129" t="s">
        <v>185</v>
      </c>
      <c r="F224" s="129" t="s">
        <v>185</v>
      </c>
      <c r="G224" s="129" t="s">
        <v>185</v>
      </c>
      <c r="H224" s="129" t="s">
        <v>185</v>
      </c>
      <c r="I224" s="129" t="s">
        <v>185</v>
      </c>
      <c r="J224" s="71" t="s">
        <v>104</v>
      </c>
      <c r="K224" s="71" t="s">
        <v>104</v>
      </c>
      <c r="L224" s="71" t="s">
        <v>104</v>
      </c>
      <c r="M224" s="71" t="s">
        <v>104</v>
      </c>
      <c r="N224" s="71">
        <f>SUM(O224:Q224)</f>
        <v>5327810.17</v>
      </c>
      <c r="O224" s="71">
        <f>SUM(O220:O223)</f>
        <v>3798674.25</v>
      </c>
      <c r="P224" s="71">
        <f>SUM(P220:P223)</f>
        <v>401170.64</v>
      </c>
      <c r="Q224" s="71">
        <f t="shared" ref="Q224:S224" si="205">SUM(Q220:Q223)</f>
        <v>1127965.2799999998</v>
      </c>
      <c r="R224" s="71">
        <f t="shared" si="205"/>
        <v>5354978.09</v>
      </c>
      <c r="S224" s="71">
        <f t="shared" si="205"/>
        <v>5354978.09</v>
      </c>
    </row>
    <row r="225" spans="1:22" ht="225">
      <c r="A225" s="161"/>
      <c r="B225" s="162" t="s">
        <v>107</v>
      </c>
      <c r="C225" s="61" t="s">
        <v>120</v>
      </c>
      <c r="D225" s="62" t="s">
        <v>121</v>
      </c>
      <c r="E225" s="129" t="s">
        <v>182</v>
      </c>
      <c r="F225" s="129" t="s">
        <v>182</v>
      </c>
      <c r="G225" s="129" t="s">
        <v>182</v>
      </c>
      <c r="H225" s="129" t="s">
        <v>182</v>
      </c>
      <c r="I225" s="129" t="s">
        <v>182</v>
      </c>
      <c r="J225" s="110" t="s">
        <v>138</v>
      </c>
      <c r="K225" s="110" t="s">
        <v>204</v>
      </c>
      <c r="L225" s="70" t="s">
        <v>126</v>
      </c>
      <c r="M225" s="70" t="s">
        <v>195</v>
      </c>
      <c r="N225" s="71">
        <f t="shared" si="201"/>
        <v>2610049.31</v>
      </c>
      <c r="O225" s="71">
        <f>2*955112.98+45*848.4</f>
        <v>1948403.96</v>
      </c>
      <c r="P225" s="71">
        <f>3857.41*45</f>
        <v>173583.44999999998</v>
      </c>
      <c r="Q225" s="71">
        <f>10845.82*45</f>
        <v>488061.89999999997</v>
      </c>
      <c r="R225" s="75">
        <f>2*955112.98+45*15872.43</f>
        <v>2624485.31</v>
      </c>
      <c r="S225" s="75">
        <f>2*955112.98+45*15872.43</f>
        <v>2624485.31</v>
      </c>
      <c r="U225" s="80">
        <f>(3*8+2*4)/12</f>
        <v>2.6666666666666665</v>
      </c>
      <c r="V225" s="80">
        <f>(66*8+45*4)/12</f>
        <v>59</v>
      </c>
    </row>
    <row r="226" spans="1:22" ht="240">
      <c r="A226" s="161"/>
      <c r="B226" s="162"/>
      <c r="C226" s="61" t="s">
        <v>128</v>
      </c>
      <c r="D226" s="62" t="s">
        <v>121</v>
      </c>
      <c r="E226" s="79" t="s">
        <v>189</v>
      </c>
      <c r="F226" s="79" t="s">
        <v>189</v>
      </c>
      <c r="G226" s="79" t="s">
        <v>189</v>
      </c>
      <c r="H226" s="79" t="s">
        <v>189</v>
      </c>
      <c r="I226" s="79" t="s">
        <v>189</v>
      </c>
      <c r="J226" s="110" t="s">
        <v>142</v>
      </c>
      <c r="K226" s="110" t="s">
        <v>205</v>
      </c>
      <c r="L226" s="70" t="s">
        <v>126</v>
      </c>
      <c r="M226" s="70" t="s">
        <v>195</v>
      </c>
      <c r="N226" s="71">
        <f t="shared" si="201"/>
        <v>4980449.76</v>
      </c>
      <c r="O226" s="71">
        <f>5*756594.85+848.4*77</f>
        <v>3848301.05</v>
      </c>
      <c r="P226" s="71">
        <f>3857.41*77</f>
        <v>297020.57</v>
      </c>
      <c r="Q226" s="71">
        <f>10845.82*77</f>
        <v>835128.14</v>
      </c>
      <c r="R226" s="75">
        <f>5*756594.85+15872.43*77</f>
        <v>5005151.3600000003</v>
      </c>
      <c r="S226" s="75">
        <f>756594.85*5+15872.43*77</f>
        <v>5005151.3600000003</v>
      </c>
      <c r="U226" s="80">
        <f>(3*8+5*4)/12</f>
        <v>3.6666666666666665</v>
      </c>
      <c r="V226" s="80">
        <f>(47*8+77*4)/12</f>
        <v>57</v>
      </c>
    </row>
    <row r="227" spans="1:22" ht="135">
      <c r="A227" s="161"/>
      <c r="B227" s="162"/>
      <c r="C227" s="63" t="s">
        <v>167</v>
      </c>
      <c r="D227" s="64" t="s">
        <v>101</v>
      </c>
      <c r="E227" s="59" t="s">
        <v>104</v>
      </c>
      <c r="F227" s="59" t="s">
        <v>104</v>
      </c>
      <c r="G227" s="59" t="s">
        <v>104</v>
      </c>
      <c r="H227" s="59" t="s">
        <v>104</v>
      </c>
      <c r="I227" s="59" t="s">
        <v>104</v>
      </c>
      <c r="J227" s="59" t="s">
        <v>104</v>
      </c>
      <c r="K227" s="59" t="s">
        <v>104</v>
      </c>
      <c r="L227" s="59" t="s">
        <v>104</v>
      </c>
      <c r="M227" s="59" t="s">
        <v>104</v>
      </c>
      <c r="N227" s="71"/>
      <c r="O227" s="71"/>
      <c r="P227" s="59" t="s">
        <v>104</v>
      </c>
      <c r="Q227" s="59" t="s">
        <v>104</v>
      </c>
      <c r="R227" s="75"/>
      <c r="S227" s="75"/>
    </row>
    <row r="228" spans="1:22">
      <c r="A228" s="161"/>
      <c r="B228" s="113"/>
      <c r="C228" s="63" t="s">
        <v>169</v>
      </c>
      <c r="D228" s="64"/>
      <c r="E228" s="60">
        <v>3</v>
      </c>
      <c r="F228" s="60">
        <v>3</v>
      </c>
      <c r="G228" s="101">
        <f t="shared" ref="G228:G230" si="206">((E228*8)+(F228*4))/12</f>
        <v>3</v>
      </c>
      <c r="H228" s="60">
        <v>3</v>
      </c>
      <c r="I228" s="60">
        <v>3</v>
      </c>
      <c r="J228" s="75">
        <f>K228</f>
        <v>107600.45</v>
      </c>
      <c r="K228" s="75">
        <v>107600.45</v>
      </c>
      <c r="L228" s="59" t="s">
        <v>104</v>
      </c>
      <c r="M228" s="59" t="s">
        <v>104</v>
      </c>
      <c r="N228" s="71">
        <f>O228</f>
        <v>322801.34999999998</v>
      </c>
      <c r="O228" s="73">
        <f>G228*K228</f>
        <v>322801.34999999998</v>
      </c>
      <c r="P228" s="59" t="s">
        <v>104</v>
      </c>
      <c r="Q228" s="59" t="s">
        <v>104</v>
      </c>
      <c r="R228" s="75">
        <f>H228*K228</f>
        <v>322801.34999999998</v>
      </c>
      <c r="S228" s="75">
        <f>I228*K228</f>
        <v>322801.34999999998</v>
      </c>
    </row>
    <row r="229" spans="1:22">
      <c r="A229" s="161"/>
      <c r="B229" s="113"/>
      <c r="C229" s="63" t="s">
        <v>173</v>
      </c>
      <c r="D229" s="64"/>
      <c r="E229" s="60">
        <v>2</v>
      </c>
      <c r="F229" s="60">
        <v>2</v>
      </c>
      <c r="G229" s="101">
        <f t="shared" si="206"/>
        <v>2</v>
      </c>
      <c r="H229" s="60">
        <v>2</v>
      </c>
      <c r="I229" s="60">
        <v>2</v>
      </c>
      <c r="J229" s="75">
        <f>K229</f>
        <v>27251.919999999998</v>
      </c>
      <c r="K229" s="75">
        <v>27251.919999999998</v>
      </c>
      <c r="L229" s="107" t="s">
        <v>104</v>
      </c>
      <c r="M229" s="107" t="s">
        <v>104</v>
      </c>
      <c r="N229" s="71">
        <f>O229</f>
        <v>54503.839999999997</v>
      </c>
      <c r="O229" s="73">
        <f>G229*K229</f>
        <v>54503.839999999997</v>
      </c>
      <c r="P229" s="59" t="s">
        <v>104</v>
      </c>
      <c r="Q229" s="59" t="s">
        <v>104</v>
      </c>
      <c r="R229" s="75">
        <f>H229*K229</f>
        <v>54503.839999999997</v>
      </c>
      <c r="S229" s="75">
        <f>I229*K229</f>
        <v>54503.839999999997</v>
      </c>
    </row>
    <row r="230" spans="1:22" ht="120">
      <c r="A230" s="161"/>
      <c r="B230" s="113"/>
      <c r="C230" s="76" t="s">
        <v>181</v>
      </c>
      <c r="D230" s="64" t="s">
        <v>101</v>
      </c>
      <c r="E230" s="79">
        <v>1</v>
      </c>
      <c r="F230" s="79">
        <v>1</v>
      </c>
      <c r="G230" s="101">
        <f t="shared" si="206"/>
        <v>1</v>
      </c>
      <c r="H230" s="79">
        <v>1</v>
      </c>
      <c r="I230" s="79">
        <v>1</v>
      </c>
      <c r="J230" s="75">
        <f>SUM(K230:M230)</f>
        <v>217701.8</v>
      </c>
      <c r="K230" s="75">
        <f>217701.8+1169.2-1169.2</f>
        <v>217701.8</v>
      </c>
      <c r="L230" s="74"/>
      <c r="M230" s="74"/>
      <c r="N230" s="73">
        <f>SUM(O230:Q230)</f>
        <v>217701.8</v>
      </c>
      <c r="O230" s="73">
        <f>G230*K230</f>
        <v>217701.8</v>
      </c>
      <c r="P230" s="73">
        <f>G230*L230</f>
        <v>0</v>
      </c>
      <c r="Q230" s="73">
        <f>G230*M230</f>
        <v>0</v>
      </c>
      <c r="R230" s="75">
        <f t="shared" si="202"/>
        <v>217701.8</v>
      </c>
      <c r="S230" s="75">
        <f t="shared" si="203"/>
        <v>217701.8</v>
      </c>
    </row>
    <row r="231" spans="1:22" ht="105">
      <c r="A231" s="161"/>
      <c r="B231" s="113"/>
      <c r="C231" s="61" t="s">
        <v>188</v>
      </c>
      <c r="D231" s="64" t="s">
        <v>101</v>
      </c>
      <c r="E231" s="68">
        <v>5</v>
      </c>
      <c r="F231" s="79">
        <v>5</v>
      </c>
      <c r="G231" s="101">
        <v>5</v>
      </c>
      <c r="H231" s="79">
        <v>5</v>
      </c>
      <c r="I231" s="79">
        <v>5</v>
      </c>
      <c r="J231" s="75">
        <f>K231</f>
        <v>39518.410000000003</v>
      </c>
      <c r="K231" s="75">
        <v>39518.410000000003</v>
      </c>
      <c r="L231" s="74"/>
      <c r="M231" s="74"/>
      <c r="N231" s="73">
        <f>O231</f>
        <v>197592.05000000002</v>
      </c>
      <c r="O231" s="73">
        <f>G231*K231</f>
        <v>197592.05000000002</v>
      </c>
      <c r="P231" s="73"/>
      <c r="Q231" s="73"/>
      <c r="R231" s="75">
        <f>H231*K231</f>
        <v>197592.05000000002</v>
      </c>
      <c r="S231" s="75">
        <f>I231*K231</f>
        <v>197592.05000000002</v>
      </c>
    </row>
    <row r="232" spans="1:22">
      <c r="A232" s="161"/>
      <c r="B232" s="113"/>
      <c r="C232" s="66" t="s">
        <v>106</v>
      </c>
      <c r="D232" s="64"/>
      <c r="E232" s="77" t="s">
        <v>186</v>
      </c>
      <c r="F232" s="77" t="s">
        <v>186</v>
      </c>
      <c r="G232" s="77" t="s">
        <v>186</v>
      </c>
      <c r="H232" s="77" t="s">
        <v>186</v>
      </c>
      <c r="I232" s="77" t="s">
        <v>186</v>
      </c>
      <c r="J232" s="73" t="s">
        <v>104</v>
      </c>
      <c r="K232" s="73" t="s">
        <v>104</v>
      </c>
      <c r="L232" s="74" t="s">
        <v>104</v>
      </c>
      <c r="M232" s="74" t="s">
        <v>104</v>
      </c>
      <c r="N232" s="74">
        <f>SUM(O232:Q232)</f>
        <v>8383098.1099999985</v>
      </c>
      <c r="O232" s="74">
        <f>SUM(O225:O231)</f>
        <v>6589304.0499999989</v>
      </c>
      <c r="P232" s="74">
        <f>SUM(P225:P231)</f>
        <v>470604.02</v>
      </c>
      <c r="Q232" s="74">
        <f t="shared" ref="Q232:S232" si="207">SUM(Q225:Q231)</f>
        <v>1323190.04</v>
      </c>
      <c r="R232" s="74">
        <f t="shared" si="207"/>
        <v>8422235.709999999</v>
      </c>
      <c r="S232" s="74">
        <f t="shared" si="207"/>
        <v>8422235.709999999</v>
      </c>
    </row>
    <row r="233" spans="1:22" ht="240">
      <c r="A233" s="161"/>
      <c r="B233" s="113" t="s">
        <v>108</v>
      </c>
      <c r="C233" s="61" t="s">
        <v>128</v>
      </c>
      <c r="D233" s="62" t="s">
        <v>121</v>
      </c>
      <c r="E233" s="129" t="s">
        <v>187</v>
      </c>
      <c r="F233" s="129" t="s">
        <v>187</v>
      </c>
      <c r="G233" s="129" t="s">
        <v>187</v>
      </c>
      <c r="H233" s="129" t="s">
        <v>187</v>
      </c>
      <c r="I233" s="129" t="s">
        <v>187</v>
      </c>
      <c r="J233" s="110" t="s">
        <v>150</v>
      </c>
      <c r="K233" s="110" t="s">
        <v>206</v>
      </c>
      <c r="L233" s="70" t="s">
        <v>126</v>
      </c>
      <c r="M233" s="70" t="s">
        <v>195</v>
      </c>
      <c r="N233" s="73">
        <f>SUM(O233:Q233)</f>
        <v>996755.3</v>
      </c>
      <c r="O233" s="73">
        <f>808407.62+992.41*12</f>
        <v>820316.54</v>
      </c>
      <c r="P233" s="73">
        <f>12*3857.41</f>
        <v>46288.92</v>
      </c>
      <c r="Q233" s="46">
        <f>12*10845.82</f>
        <v>130149.84</v>
      </c>
      <c r="R233" s="75">
        <f>808407.62+12*16070.9</f>
        <v>1001258.4199999999</v>
      </c>
      <c r="S233" s="75">
        <f>808407.62+12*16070.9</f>
        <v>1001258.4199999999</v>
      </c>
      <c r="V233" s="80">
        <f>(7*8+12*4)/12</f>
        <v>8.6666666666666661</v>
      </c>
    </row>
    <row r="234" spans="1:22">
      <c r="A234" s="161"/>
      <c r="B234" s="113"/>
      <c r="C234" s="66" t="s">
        <v>106</v>
      </c>
      <c r="D234" s="64"/>
      <c r="E234" s="129" t="s">
        <v>187</v>
      </c>
      <c r="F234" s="129" t="s">
        <v>187</v>
      </c>
      <c r="G234" s="129" t="s">
        <v>187</v>
      </c>
      <c r="H234" s="129" t="s">
        <v>187</v>
      </c>
      <c r="I234" s="129" t="s">
        <v>187</v>
      </c>
      <c r="J234" s="73" t="s">
        <v>104</v>
      </c>
      <c r="K234" s="73" t="s">
        <v>104</v>
      </c>
      <c r="L234" s="74" t="s">
        <v>104</v>
      </c>
      <c r="M234" s="74" t="s">
        <v>104</v>
      </c>
      <c r="N234" s="74">
        <f>SUM(N233:N233)</f>
        <v>996755.3</v>
      </c>
      <c r="O234" s="74">
        <f>SUM(O233:O233)</f>
        <v>820316.54</v>
      </c>
      <c r="P234" s="74">
        <f>SUM(P233:P233)</f>
        <v>46288.92</v>
      </c>
      <c r="Q234" s="74">
        <f>SUM(Q233:Q233)</f>
        <v>130149.84</v>
      </c>
      <c r="R234" s="75">
        <f>SUM(R233)</f>
        <v>1001258.4199999999</v>
      </c>
      <c r="S234" s="75">
        <f>SUM(S233)</f>
        <v>1001258.4199999999</v>
      </c>
    </row>
    <row r="235" spans="1:22" ht="165">
      <c r="A235" s="161"/>
      <c r="B235" s="163" t="s">
        <v>109</v>
      </c>
      <c r="C235" s="61" t="s">
        <v>110</v>
      </c>
      <c r="D235" s="64" t="s">
        <v>101</v>
      </c>
      <c r="E235" s="60">
        <v>160</v>
      </c>
      <c r="F235" s="60">
        <v>160</v>
      </c>
      <c r="G235" s="101">
        <f t="shared" ref="G235:G236" si="208">((E235*8)+(F235*4))/12</f>
        <v>160</v>
      </c>
      <c r="H235" s="60">
        <v>160</v>
      </c>
      <c r="I235" s="60">
        <v>160</v>
      </c>
      <c r="J235" s="75">
        <f>K235</f>
        <v>3461.18</v>
      </c>
      <c r="K235" s="75">
        <v>3461.18</v>
      </c>
      <c r="L235" s="72" t="s">
        <v>104</v>
      </c>
      <c r="M235" s="72" t="s">
        <v>104</v>
      </c>
      <c r="N235" s="73">
        <f>SUM(O235:Q235)</f>
        <v>553788.79999999993</v>
      </c>
      <c r="O235" s="73">
        <f>K235*E235</f>
        <v>553788.79999999993</v>
      </c>
      <c r="P235" s="73" t="s">
        <v>104</v>
      </c>
      <c r="Q235" s="73" t="s">
        <v>104</v>
      </c>
      <c r="R235" s="75">
        <f t="shared" si="202"/>
        <v>553788.79999999993</v>
      </c>
      <c r="S235" s="75">
        <f t="shared" si="203"/>
        <v>553788.79999999993</v>
      </c>
    </row>
    <row r="236" spans="1:22" ht="180">
      <c r="A236" s="161"/>
      <c r="B236" s="163"/>
      <c r="C236" s="61" t="s">
        <v>174</v>
      </c>
      <c r="D236" s="64" t="s">
        <v>101</v>
      </c>
      <c r="E236" s="60">
        <v>178</v>
      </c>
      <c r="F236" s="60">
        <v>178</v>
      </c>
      <c r="G236" s="101">
        <f t="shared" si="208"/>
        <v>178</v>
      </c>
      <c r="H236" s="60">
        <v>178</v>
      </c>
      <c r="I236" s="60">
        <v>178</v>
      </c>
      <c r="J236" s="75">
        <f>K236</f>
        <v>4783.41</v>
      </c>
      <c r="K236" s="75">
        <v>4783.41</v>
      </c>
      <c r="L236" s="72" t="s">
        <v>104</v>
      </c>
      <c r="M236" s="72" t="s">
        <v>104</v>
      </c>
      <c r="N236" s="73">
        <f>SUM(O236:Q236)</f>
        <v>851446.98</v>
      </c>
      <c r="O236" s="73">
        <f>K236*E236</f>
        <v>851446.98</v>
      </c>
      <c r="P236" s="73" t="s">
        <v>104</v>
      </c>
      <c r="Q236" s="74" t="s">
        <v>104</v>
      </c>
      <c r="R236" s="75">
        <f t="shared" si="202"/>
        <v>851446.98</v>
      </c>
      <c r="S236" s="75">
        <f t="shared" si="203"/>
        <v>851446.98</v>
      </c>
    </row>
    <row r="237" spans="1:22">
      <c r="A237" s="161"/>
      <c r="B237" s="69"/>
      <c r="C237" s="66" t="s">
        <v>106</v>
      </c>
      <c r="D237" s="69"/>
      <c r="E237" s="60">
        <f>SUM(E235:E236)</f>
        <v>338</v>
      </c>
      <c r="F237" s="60">
        <f t="shared" ref="F237:I237" si="209">SUM(F235:F236)</f>
        <v>338</v>
      </c>
      <c r="G237" s="60">
        <f t="shared" si="209"/>
        <v>338</v>
      </c>
      <c r="H237" s="60">
        <f t="shared" si="209"/>
        <v>338</v>
      </c>
      <c r="I237" s="60">
        <f t="shared" si="209"/>
        <v>338</v>
      </c>
      <c r="J237" s="74" t="s">
        <v>104</v>
      </c>
      <c r="K237" s="74" t="s">
        <v>104</v>
      </c>
      <c r="L237" s="74" t="s">
        <v>104</v>
      </c>
      <c r="M237" s="74">
        <f t="shared" ref="M237:S237" si="210">SUM(M235:M236)</f>
        <v>0</v>
      </c>
      <c r="N237" s="74">
        <f>SUM(N235:N236)</f>
        <v>1405235.7799999998</v>
      </c>
      <c r="O237" s="74">
        <f>SUM(O235:O236)</f>
        <v>1405235.7799999998</v>
      </c>
      <c r="P237" s="74">
        <f t="shared" si="210"/>
        <v>0</v>
      </c>
      <c r="Q237" s="74">
        <f t="shared" si="210"/>
        <v>0</v>
      </c>
      <c r="R237" s="74">
        <f t="shared" si="210"/>
        <v>1405235.7799999998</v>
      </c>
      <c r="S237" s="74">
        <f t="shared" si="210"/>
        <v>1405235.7799999998</v>
      </c>
    </row>
    <row r="238" spans="1:22">
      <c r="A238" s="161"/>
      <c r="B238" s="102" t="s">
        <v>112</v>
      </c>
      <c r="C238" s="102"/>
      <c r="D238" s="69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>
        <f>N224+N232+N234+N237</f>
        <v>16112899.359999998</v>
      </c>
      <c r="O238" s="104">
        <f t="shared" ref="O238:S238" si="211">O224+O232+O234+O237</f>
        <v>12613530.619999999</v>
      </c>
      <c r="P238" s="104">
        <f t="shared" si="211"/>
        <v>918063.58000000007</v>
      </c>
      <c r="Q238" s="104">
        <f t="shared" si="211"/>
        <v>2581305.1599999997</v>
      </c>
      <c r="R238" s="104">
        <f t="shared" si="211"/>
        <v>16183707.999999998</v>
      </c>
      <c r="S238" s="104">
        <f t="shared" si="211"/>
        <v>16183707.999999998</v>
      </c>
    </row>
    <row r="239" spans="1:22">
      <c r="A239" s="96" t="s">
        <v>156</v>
      </c>
    </row>
    <row r="240" spans="1:22" ht="30">
      <c r="A240" s="112" t="s">
        <v>3</v>
      </c>
      <c r="B240" s="112" t="s">
        <v>81</v>
      </c>
      <c r="C240" s="112" t="s">
        <v>4</v>
      </c>
      <c r="D240" s="167" t="s">
        <v>5</v>
      </c>
      <c r="E240" s="167"/>
      <c r="F240" s="167"/>
      <c r="G240" s="167"/>
      <c r="H240" s="167"/>
      <c r="I240" s="153" t="s">
        <v>6</v>
      </c>
      <c r="J240" s="153" t="s">
        <v>7</v>
      </c>
      <c r="K240" s="153"/>
      <c r="L240" s="153"/>
    </row>
    <row r="241" spans="1:12" ht="30">
      <c r="A241" s="82"/>
      <c r="B241" s="82"/>
      <c r="C241" s="82"/>
      <c r="D241" s="127" t="s">
        <v>9</v>
      </c>
      <c r="E241" s="128" t="s">
        <v>197</v>
      </c>
      <c r="F241" s="126" t="s">
        <v>196</v>
      </c>
      <c r="G241" s="127" t="s">
        <v>10</v>
      </c>
      <c r="H241" s="127" t="s">
        <v>193</v>
      </c>
      <c r="I241" s="153"/>
      <c r="J241" s="127" t="s">
        <v>9</v>
      </c>
      <c r="K241" s="127" t="s">
        <v>10</v>
      </c>
      <c r="L241" s="127" t="s">
        <v>193</v>
      </c>
    </row>
    <row r="242" spans="1:12" ht="94.5" customHeight="1">
      <c r="A242" s="83" t="s">
        <v>13</v>
      </c>
      <c r="B242" s="83" t="s">
        <v>14</v>
      </c>
      <c r="C242" s="112" t="s">
        <v>15</v>
      </c>
      <c r="D242" s="83" t="s">
        <v>16</v>
      </c>
      <c r="E242" s="83" t="s">
        <v>16</v>
      </c>
      <c r="F242" s="83" t="s">
        <v>16</v>
      </c>
      <c r="G242" s="83" t="s">
        <v>16</v>
      </c>
      <c r="H242" s="83" t="s">
        <v>16</v>
      </c>
      <c r="I242" s="112" t="s">
        <v>17</v>
      </c>
      <c r="J242" s="112" t="s">
        <v>17</v>
      </c>
      <c r="K242" s="112" t="s">
        <v>17</v>
      </c>
      <c r="L242" s="112" t="s">
        <v>17</v>
      </c>
    </row>
    <row r="243" spans="1:12" ht="105">
      <c r="A243" s="108" t="s">
        <v>157</v>
      </c>
      <c r="B243" s="112" t="s">
        <v>158</v>
      </c>
      <c r="C243" s="82" t="s">
        <v>198</v>
      </c>
      <c r="D243" s="109">
        <v>228312</v>
      </c>
      <c r="E243" s="109">
        <v>228312</v>
      </c>
      <c r="F243" s="109">
        <v>228312</v>
      </c>
      <c r="G243" s="109">
        <v>228312</v>
      </c>
      <c r="H243" s="109">
        <v>228312</v>
      </c>
      <c r="I243" s="75">
        <v>90.55</v>
      </c>
      <c r="J243" s="75">
        <f>I243*D243</f>
        <v>20673651.599999998</v>
      </c>
      <c r="K243" s="75">
        <f>J243</f>
        <v>20673651.599999998</v>
      </c>
      <c r="L243" s="75">
        <f>K243</f>
        <v>20673651.599999998</v>
      </c>
    </row>
    <row r="244" spans="1:12" ht="105">
      <c r="A244" s="115" t="s">
        <v>160</v>
      </c>
      <c r="B244" s="112" t="s">
        <v>158</v>
      </c>
      <c r="C244" s="82" t="s">
        <v>198</v>
      </c>
      <c r="D244" s="109">
        <v>39024</v>
      </c>
      <c r="E244" s="109">
        <v>39024</v>
      </c>
      <c r="F244" s="109">
        <v>39024</v>
      </c>
      <c r="G244" s="109">
        <v>39024</v>
      </c>
      <c r="H244" s="109">
        <v>39024</v>
      </c>
      <c r="I244" s="75">
        <v>136.69999999999999</v>
      </c>
      <c r="J244" s="75">
        <f>I244*D244</f>
        <v>5334580.8</v>
      </c>
      <c r="K244" s="75">
        <f t="shared" ref="K244:L244" si="212">J244</f>
        <v>5334580.8</v>
      </c>
      <c r="L244" s="75">
        <f t="shared" si="212"/>
        <v>5334580.8</v>
      </c>
    </row>
    <row r="247" spans="1:12">
      <c r="A247" s="80" t="s">
        <v>190</v>
      </c>
    </row>
  </sheetData>
  <sheetProtection password="CF7A" sheet="1" objects="1" scenarios="1"/>
  <mergeCells count="46">
    <mergeCell ref="D240:H240"/>
    <mergeCell ref="I240:I241"/>
    <mergeCell ref="J240:L240"/>
    <mergeCell ref="A192:A219"/>
    <mergeCell ref="B216:B217"/>
    <mergeCell ref="A220:A238"/>
    <mergeCell ref="B220:B224"/>
    <mergeCell ref="B225:B227"/>
    <mergeCell ref="B235:B236"/>
    <mergeCell ref="B210:B215"/>
    <mergeCell ref="B201:B209"/>
    <mergeCell ref="B192:B200"/>
    <mergeCell ref="A143:A167"/>
    <mergeCell ref="B143:B150"/>
    <mergeCell ref="B151:B156"/>
    <mergeCell ref="B158:B162"/>
    <mergeCell ref="B164:B165"/>
    <mergeCell ref="A168:A191"/>
    <mergeCell ref="B168:B175"/>
    <mergeCell ref="B176:B181"/>
    <mergeCell ref="B183:B186"/>
    <mergeCell ref="B188:B189"/>
    <mergeCell ref="A90:A113"/>
    <mergeCell ref="B90:B98"/>
    <mergeCell ref="B99:B104"/>
    <mergeCell ref="B106:B108"/>
    <mergeCell ref="B110:B111"/>
    <mergeCell ref="A114:A142"/>
    <mergeCell ref="B114:B123"/>
    <mergeCell ref="B124:B131"/>
    <mergeCell ref="B133:B137"/>
    <mergeCell ref="B139:B140"/>
    <mergeCell ref="N87:S87"/>
    <mergeCell ref="A5:S5"/>
    <mergeCell ref="E8:I8"/>
    <mergeCell ref="J8:M8"/>
    <mergeCell ref="N8:S8"/>
    <mergeCell ref="N10:Q10"/>
    <mergeCell ref="A86:C86"/>
    <mergeCell ref="E9:G9"/>
    <mergeCell ref="A87:A88"/>
    <mergeCell ref="B87:B88"/>
    <mergeCell ref="D87:D88"/>
    <mergeCell ref="E87:I87"/>
    <mergeCell ref="J87:M87"/>
    <mergeCell ref="N9:Q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01.01.2016</vt:lpstr>
      <vt:lpstr>01.06.2017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2017-01-09T04:04:47Z</cp:lastPrinted>
  <dcterms:modified xsi:type="dcterms:W3CDTF">2017-06-22T02:42:59Z</dcterms:modified>
</cp:coreProperties>
</file>