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19320" windowHeight="11760" firstSheet="1" activeTab="1"/>
  </bookViews>
  <sheets>
    <sheet name="01.01.2016" sheetId="1" state="hidden" r:id="rId1"/>
    <sheet name="26.12.2016" sheetId="3" r:id="rId2"/>
  </sheets>
  <calcPr calcId="124519"/>
</workbook>
</file>

<file path=xl/calcChain.xml><?xml version="1.0" encoding="utf-8"?>
<calcChain xmlns="http://schemas.openxmlformats.org/spreadsheetml/2006/main">
  <c r="O18" i="3"/>
  <c r="S230"/>
  <c r="R230"/>
  <c r="S223"/>
  <c r="R223"/>
  <c r="S222"/>
  <c r="R222"/>
  <c r="R218"/>
  <c r="S217"/>
  <c r="R217"/>
  <c r="P230"/>
  <c r="Q223"/>
  <c r="P223"/>
  <c r="O223"/>
  <c r="Q217"/>
  <c r="Q218"/>
  <c r="P218"/>
  <c r="O218"/>
  <c r="Q222"/>
  <c r="P222"/>
  <c r="O222"/>
  <c r="Q230"/>
  <c r="N230"/>
  <c r="O230"/>
  <c r="N206"/>
  <c r="S202"/>
  <c r="R202"/>
  <c r="J202"/>
  <c r="G202"/>
  <c r="O202" s="1"/>
  <c r="N202" s="1"/>
  <c r="G159"/>
  <c r="E110"/>
  <c r="J109"/>
  <c r="G64"/>
  <c r="G62"/>
  <c r="G63"/>
  <c r="G97"/>
  <c r="P97" s="1"/>
  <c r="G43"/>
  <c r="P43" s="1"/>
  <c r="G44"/>
  <c r="P44" s="1"/>
  <c r="K227" l="1"/>
  <c r="V223"/>
  <c r="S228"/>
  <c r="R228"/>
  <c r="J228"/>
  <c r="O228"/>
  <c r="N228" s="1"/>
  <c r="S220"/>
  <c r="R220"/>
  <c r="G220"/>
  <c r="O220" s="1"/>
  <c r="N220" s="1"/>
  <c r="J220"/>
  <c r="V230"/>
  <c r="U223"/>
  <c r="V222"/>
  <c r="U222"/>
  <c r="J219"/>
  <c r="S191" l="1"/>
  <c r="S192"/>
  <c r="R192"/>
  <c r="R193"/>
  <c r="R194"/>
  <c r="R191"/>
  <c r="J191"/>
  <c r="J192"/>
  <c r="G191"/>
  <c r="O191" s="1"/>
  <c r="N191" s="1"/>
  <c r="G192"/>
  <c r="O192" s="1"/>
  <c r="N192" s="1"/>
  <c r="G81"/>
  <c r="P81" s="1"/>
  <c r="G82"/>
  <c r="P82" s="1"/>
  <c r="G83"/>
  <c r="P83" s="1"/>
  <c r="G80"/>
  <c r="P80" s="1"/>
  <c r="G75"/>
  <c r="P75" s="1"/>
  <c r="G76"/>
  <c r="P76" s="1"/>
  <c r="G77"/>
  <c r="P77" s="1"/>
  <c r="G74"/>
  <c r="P74" s="1"/>
  <c r="P73" s="1"/>
  <c r="M70"/>
  <c r="R70" s="1"/>
  <c r="G70"/>
  <c r="P70" s="1"/>
  <c r="G69"/>
  <c r="P69" s="1"/>
  <c r="G71"/>
  <c r="P71" s="1"/>
  <c r="G68"/>
  <c r="O68" s="1"/>
  <c r="P62"/>
  <c r="P64"/>
  <c r="N62"/>
  <c r="N64"/>
  <c r="O62"/>
  <c r="P63"/>
  <c r="O64"/>
  <c r="G61"/>
  <c r="O61" s="1"/>
  <c r="G57"/>
  <c r="O57" s="1"/>
  <c r="M57"/>
  <c r="R57" s="1"/>
  <c r="G55"/>
  <c r="O55" s="1"/>
  <c r="G56"/>
  <c r="P56" s="1"/>
  <c r="G58"/>
  <c r="P58" s="1"/>
  <c r="G54"/>
  <c r="O54" s="1"/>
  <c r="G50"/>
  <c r="P50" s="1"/>
  <c r="G49"/>
  <c r="N49" s="1"/>
  <c r="G48"/>
  <c r="N48" s="1"/>
  <c r="O43"/>
  <c r="J44"/>
  <c r="N44" s="1"/>
  <c r="O44"/>
  <c r="G42"/>
  <c r="N43"/>
  <c r="G38"/>
  <c r="O38" s="1"/>
  <c r="G37"/>
  <c r="P37" s="1"/>
  <c r="G36"/>
  <c r="O36" s="1"/>
  <c r="G35"/>
  <c r="O35" s="1"/>
  <c r="G31"/>
  <c r="O31" s="1"/>
  <c r="G30"/>
  <c r="P30" s="1"/>
  <c r="G29"/>
  <c r="P29" s="1"/>
  <c r="G25"/>
  <c r="P25" s="1"/>
  <c r="G24"/>
  <c r="P24" s="1"/>
  <c r="G23"/>
  <c r="P23" s="1"/>
  <c r="G22"/>
  <c r="P22" s="1"/>
  <c r="P18"/>
  <c r="N15"/>
  <c r="G65"/>
  <c r="P65" s="1"/>
  <c r="G51"/>
  <c r="P51" s="1"/>
  <c r="G45"/>
  <c r="P45" s="1"/>
  <c r="G39"/>
  <c r="P39" s="1"/>
  <c r="G32"/>
  <c r="P32" s="1"/>
  <c r="G26"/>
  <c r="P26" s="1"/>
  <c r="G19"/>
  <c r="P19" s="1"/>
  <c r="G15"/>
  <c r="P15" s="1"/>
  <c r="P72" l="1"/>
  <c r="P79"/>
  <c r="O22"/>
  <c r="M44"/>
  <c r="S44" s="1"/>
  <c r="P21"/>
  <c r="P20" s="1"/>
  <c r="N29"/>
  <c r="O29"/>
  <c r="N38"/>
  <c r="P38"/>
  <c r="O48"/>
  <c r="N57"/>
  <c r="O58"/>
  <c r="Q58" s="1"/>
  <c r="P55"/>
  <c r="N68"/>
  <c r="P68"/>
  <c r="P67" s="1"/>
  <c r="P66" s="1"/>
  <c r="O42"/>
  <c r="P42"/>
  <c r="R44"/>
  <c r="N32"/>
  <c r="O32"/>
  <c r="P31"/>
  <c r="P28" s="1"/>
  <c r="N36"/>
  <c r="P36"/>
  <c r="O50"/>
  <c r="N58"/>
  <c r="P57"/>
  <c r="Q57" s="1"/>
  <c r="Q44"/>
  <c r="O41"/>
  <c r="N45"/>
  <c r="O45"/>
  <c r="N61"/>
  <c r="O65"/>
  <c r="O63"/>
  <c r="O60" s="1"/>
  <c r="P61"/>
  <c r="P60" s="1"/>
  <c r="N70"/>
  <c r="O70"/>
  <c r="N77"/>
  <c r="N75"/>
  <c r="O77"/>
  <c r="O75"/>
  <c r="N83"/>
  <c r="N81"/>
  <c r="O83"/>
  <c r="O81"/>
  <c r="N24"/>
  <c r="N35"/>
  <c r="O39"/>
  <c r="O37"/>
  <c r="O34" s="1"/>
  <c r="P35"/>
  <c r="P34" s="1"/>
  <c r="N42"/>
  <c r="N41" s="1"/>
  <c r="S57"/>
  <c r="N54"/>
  <c r="O56"/>
  <c r="O53" s="1"/>
  <c r="O52" s="1"/>
  <c r="P54"/>
  <c r="O24"/>
  <c r="N22"/>
  <c r="N30"/>
  <c r="N31"/>
  <c r="O30"/>
  <c r="N39"/>
  <c r="N37"/>
  <c r="O51"/>
  <c r="N55"/>
  <c r="Q55" s="1"/>
  <c r="N56"/>
  <c r="N65"/>
  <c r="N63"/>
  <c r="N71"/>
  <c r="N69"/>
  <c r="O71"/>
  <c r="O69"/>
  <c r="N74"/>
  <c r="N76"/>
  <c r="O74"/>
  <c r="O76"/>
  <c r="N80"/>
  <c r="N82"/>
  <c r="O80"/>
  <c r="O82"/>
  <c r="S70"/>
  <c r="P48"/>
  <c r="N50"/>
  <c r="N47" s="1"/>
  <c r="O49"/>
  <c r="P49"/>
  <c r="O23"/>
  <c r="O25"/>
  <c r="N23"/>
  <c r="N25"/>
  <c r="J14"/>
  <c r="M14" s="1"/>
  <c r="G14"/>
  <c r="O14" s="1"/>
  <c r="O67" l="1"/>
  <c r="P53"/>
  <c r="P52" s="1"/>
  <c r="O79"/>
  <c r="O73"/>
  <c r="O72" s="1"/>
  <c r="O21"/>
  <c r="O66"/>
  <c r="Q56"/>
  <c r="N40"/>
  <c r="N67"/>
  <c r="N66" s="1"/>
  <c r="O28"/>
  <c r="P47"/>
  <c r="N53"/>
  <c r="N52" s="1"/>
  <c r="Q70"/>
  <c r="O47"/>
  <c r="O40"/>
  <c r="R14"/>
  <c r="S14"/>
  <c r="N14"/>
  <c r="P14"/>
  <c r="O15"/>
  <c r="G13"/>
  <c r="N13" s="1"/>
  <c r="S176"/>
  <c r="S177"/>
  <c r="R176"/>
  <c r="R177"/>
  <c r="R175"/>
  <c r="R168"/>
  <c r="O13" l="1"/>
  <c r="P13"/>
  <c r="Q14"/>
  <c r="G227"/>
  <c r="P227" s="1"/>
  <c r="P229" s="1"/>
  <c r="S226"/>
  <c r="S225"/>
  <c r="R226"/>
  <c r="R225"/>
  <c r="G226"/>
  <c r="O226" s="1"/>
  <c r="N226" s="1"/>
  <c r="G225"/>
  <c r="J226"/>
  <c r="J225"/>
  <c r="F234"/>
  <c r="H234"/>
  <c r="I234"/>
  <c r="J233"/>
  <c r="R233" s="1"/>
  <c r="G233"/>
  <c r="G232"/>
  <c r="F197"/>
  <c r="H197"/>
  <c r="I197"/>
  <c r="K208"/>
  <c r="J208" s="1"/>
  <c r="R208" s="1"/>
  <c r="G214"/>
  <c r="G213"/>
  <c r="O213" s="1"/>
  <c r="F215"/>
  <c r="H215"/>
  <c r="I215"/>
  <c r="F206"/>
  <c r="H206"/>
  <c r="I206"/>
  <c r="F212"/>
  <c r="H212"/>
  <c r="I212"/>
  <c r="S210"/>
  <c r="R210"/>
  <c r="G210"/>
  <c r="O210" s="1"/>
  <c r="N210" s="1"/>
  <c r="J210"/>
  <c r="G208"/>
  <c r="P208" s="1"/>
  <c r="G207"/>
  <c r="G212" s="1"/>
  <c r="K205"/>
  <c r="G205"/>
  <c r="S203"/>
  <c r="S201"/>
  <c r="R203"/>
  <c r="R201"/>
  <c r="G203"/>
  <c r="O203" s="1"/>
  <c r="N203" s="1"/>
  <c r="G201"/>
  <c r="O201" s="1"/>
  <c r="N201" s="1"/>
  <c r="J203"/>
  <c r="J201"/>
  <c r="G199"/>
  <c r="Q199" s="1"/>
  <c r="G198"/>
  <c r="Q198" s="1"/>
  <c r="G196"/>
  <c r="O196" s="1"/>
  <c r="N196" s="1"/>
  <c r="G195"/>
  <c r="Q195" s="1"/>
  <c r="S194"/>
  <c r="S193"/>
  <c r="G194"/>
  <c r="G193"/>
  <c r="O193" s="1"/>
  <c r="N193" s="1"/>
  <c r="J193"/>
  <c r="J194"/>
  <c r="G189"/>
  <c r="G163"/>
  <c r="G162"/>
  <c r="G138"/>
  <c r="G137"/>
  <c r="G183"/>
  <c r="J176"/>
  <c r="J177"/>
  <c r="G169"/>
  <c r="G170"/>
  <c r="G186"/>
  <c r="G185"/>
  <c r="O185" s="1"/>
  <c r="N185" s="1"/>
  <c r="F187"/>
  <c r="H187"/>
  <c r="I187"/>
  <c r="F184"/>
  <c r="H184"/>
  <c r="I184"/>
  <c r="S182"/>
  <c r="R182"/>
  <c r="G182"/>
  <c r="O182" s="1"/>
  <c r="N182" s="1"/>
  <c r="J182"/>
  <c r="G180"/>
  <c r="F179"/>
  <c r="H179"/>
  <c r="I179"/>
  <c r="G178"/>
  <c r="S175"/>
  <c r="G176"/>
  <c r="G177"/>
  <c r="G175"/>
  <c r="O175" s="1"/>
  <c r="J175"/>
  <c r="G173"/>
  <c r="F172"/>
  <c r="H172"/>
  <c r="I172"/>
  <c r="G171"/>
  <c r="S169"/>
  <c r="S170"/>
  <c r="S168"/>
  <c r="R169"/>
  <c r="R170"/>
  <c r="J169"/>
  <c r="J170"/>
  <c r="J168"/>
  <c r="G168"/>
  <c r="G166"/>
  <c r="Q166" s="1"/>
  <c r="K135"/>
  <c r="S135" s="1"/>
  <c r="K102"/>
  <c r="R102" s="1"/>
  <c r="F136"/>
  <c r="H136"/>
  <c r="I136"/>
  <c r="J102"/>
  <c r="J100"/>
  <c r="J101"/>
  <c r="J99"/>
  <c r="F164"/>
  <c r="H164"/>
  <c r="I164"/>
  <c r="S159"/>
  <c r="S158"/>
  <c r="R159"/>
  <c r="R158"/>
  <c r="F161"/>
  <c r="H161"/>
  <c r="I161"/>
  <c r="G158"/>
  <c r="O158" s="1"/>
  <c r="N158" s="1"/>
  <c r="J159"/>
  <c r="O159"/>
  <c r="N159" s="1"/>
  <c r="J158"/>
  <c r="G156"/>
  <c r="F148"/>
  <c r="H148"/>
  <c r="I148"/>
  <c r="F155"/>
  <c r="H155"/>
  <c r="I155"/>
  <c r="G154"/>
  <c r="J151"/>
  <c r="J152"/>
  <c r="S152"/>
  <c r="S153"/>
  <c r="S151"/>
  <c r="R152"/>
  <c r="R153"/>
  <c r="R151"/>
  <c r="J153"/>
  <c r="G152"/>
  <c r="O152" s="1"/>
  <c r="N152" s="1"/>
  <c r="G151"/>
  <c r="O151" s="1"/>
  <c r="N151" s="1"/>
  <c r="G153"/>
  <c r="O153" s="1"/>
  <c r="N153" s="1"/>
  <c r="G149"/>
  <c r="P149" s="1"/>
  <c r="S144"/>
  <c r="S145"/>
  <c r="S146"/>
  <c r="S143"/>
  <c r="R144"/>
  <c r="R145"/>
  <c r="R146"/>
  <c r="R143"/>
  <c r="G144"/>
  <c r="O144" s="1"/>
  <c r="N144" s="1"/>
  <c r="G145"/>
  <c r="O145" s="1"/>
  <c r="N145" s="1"/>
  <c r="G146"/>
  <c r="O146" s="1"/>
  <c r="N146" s="1"/>
  <c r="G143"/>
  <c r="O143" s="1"/>
  <c r="N143" s="1"/>
  <c r="J143"/>
  <c r="J144"/>
  <c r="J145"/>
  <c r="J146"/>
  <c r="G141"/>
  <c r="P141" s="1"/>
  <c r="F139"/>
  <c r="H139"/>
  <c r="I139"/>
  <c r="G135"/>
  <c r="S134"/>
  <c r="S133"/>
  <c r="R134"/>
  <c r="R133"/>
  <c r="G134"/>
  <c r="O134" s="1"/>
  <c r="N134" s="1"/>
  <c r="G133"/>
  <c r="O133" s="1"/>
  <c r="N133" s="1"/>
  <c r="J133"/>
  <c r="J134"/>
  <c r="G131"/>
  <c r="G129"/>
  <c r="P129" s="1"/>
  <c r="F130"/>
  <c r="H130"/>
  <c r="I130"/>
  <c r="E130"/>
  <c r="S125"/>
  <c r="S126"/>
  <c r="S127"/>
  <c r="S128"/>
  <c r="S124"/>
  <c r="R125"/>
  <c r="R126"/>
  <c r="R127"/>
  <c r="R128"/>
  <c r="R124"/>
  <c r="J125"/>
  <c r="J126"/>
  <c r="J127"/>
  <c r="J128"/>
  <c r="J124"/>
  <c r="G125"/>
  <c r="O125" s="1"/>
  <c r="N125" s="1"/>
  <c r="G126"/>
  <c r="O126" s="1"/>
  <c r="N126" s="1"/>
  <c r="G127"/>
  <c r="O127" s="1"/>
  <c r="N127" s="1"/>
  <c r="G128"/>
  <c r="O128" s="1"/>
  <c r="N128" s="1"/>
  <c r="G124"/>
  <c r="O124" s="1"/>
  <c r="N124" s="1"/>
  <c r="G122"/>
  <c r="P122" s="1"/>
  <c r="H121"/>
  <c r="I121"/>
  <c r="F121"/>
  <c r="G120"/>
  <c r="P120" s="1"/>
  <c r="S115"/>
  <c r="S116"/>
  <c r="S117"/>
  <c r="S118"/>
  <c r="S119"/>
  <c r="S114"/>
  <c r="R115"/>
  <c r="R116"/>
  <c r="R117"/>
  <c r="R118"/>
  <c r="R119"/>
  <c r="R114"/>
  <c r="J115"/>
  <c r="J116"/>
  <c r="J117"/>
  <c r="J118"/>
  <c r="J119"/>
  <c r="J114"/>
  <c r="G115"/>
  <c r="O115" s="1"/>
  <c r="N115" s="1"/>
  <c r="G116"/>
  <c r="O116" s="1"/>
  <c r="N116" s="1"/>
  <c r="G117"/>
  <c r="O117" s="1"/>
  <c r="N117" s="1"/>
  <c r="G118"/>
  <c r="O118" s="1"/>
  <c r="N118" s="1"/>
  <c r="G119"/>
  <c r="O119" s="1"/>
  <c r="N119" s="1"/>
  <c r="G114"/>
  <c r="O114" s="1"/>
  <c r="N114" s="1"/>
  <c r="G112"/>
  <c r="P112" s="1"/>
  <c r="G102"/>
  <c r="G100"/>
  <c r="O100" s="1"/>
  <c r="N100" s="1"/>
  <c r="G101"/>
  <c r="O101" s="1"/>
  <c r="N101" s="1"/>
  <c r="G99"/>
  <c r="O99" s="1"/>
  <c r="N99" s="1"/>
  <c r="G91"/>
  <c r="O91" s="1"/>
  <c r="N91" s="1"/>
  <c r="G92"/>
  <c r="O92" s="1"/>
  <c r="N92" s="1"/>
  <c r="G93"/>
  <c r="O93" s="1"/>
  <c r="N93" s="1"/>
  <c r="G94"/>
  <c r="O94" s="1"/>
  <c r="N94" s="1"/>
  <c r="G90"/>
  <c r="O90" s="1"/>
  <c r="N90" s="1"/>
  <c r="P110"/>
  <c r="Q110"/>
  <c r="G109"/>
  <c r="O109" s="1"/>
  <c r="F110"/>
  <c r="G108"/>
  <c r="F107"/>
  <c r="G104"/>
  <c r="Q104" s="1"/>
  <c r="Q107" s="1"/>
  <c r="F103"/>
  <c r="S102"/>
  <c r="S100"/>
  <c r="S101"/>
  <c r="S99"/>
  <c r="R100"/>
  <c r="R101"/>
  <c r="R99"/>
  <c r="S91"/>
  <c r="S92"/>
  <c r="S93"/>
  <c r="S94"/>
  <c r="S90"/>
  <c r="R91"/>
  <c r="R92"/>
  <c r="R93"/>
  <c r="R94"/>
  <c r="R90"/>
  <c r="J91"/>
  <c r="J92"/>
  <c r="J93"/>
  <c r="J94"/>
  <c r="J90"/>
  <c r="Q97"/>
  <c r="F96"/>
  <c r="G95"/>
  <c r="P95" s="1"/>
  <c r="G88"/>
  <c r="P88" s="1"/>
  <c r="G12"/>
  <c r="J241"/>
  <c r="K241" s="1"/>
  <c r="L241" s="1"/>
  <c r="J240"/>
  <c r="K240" s="1"/>
  <c r="L240" s="1"/>
  <c r="Q234"/>
  <c r="P234"/>
  <c r="M234"/>
  <c r="E234"/>
  <c r="S233"/>
  <c r="O233"/>
  <c r="N233" s="1"/>
  <c r="O232"/>
  <c r="J232"/>
  <c r="S232" s="1"/>
  <c r="S231"/>
  <c r="R231"/>
  <c r="Q231"/>
  <c r="P231"/>
  <c r="O231"/>
  <c r="J227"/>
  <c r="S227" s="1"/>
  <c r="S219"/>
  <c r="R219"/>
  <c r="O219"/>
  <c r="N219" s="1"/>
  <c r="S218"/>
  <c r="Q221"/>
  <c r="P217"/>
  <c r="P221" s="1"/>
  <c r="O217"/>
  <c r="Q215"/>
  <c r="P215"/>
  <c r="M215"/>
  <c r="E215"/>
  <c r="S214"/>
  <c r="R214"/>
  <c r="K214"/>
  <c r="J213"/>
  <c r="S213" s="1"/>
  <c r="E212"/>
  <c r="K211"/>
  <c r="J211" s="1"/>
  <c r="K207"/>
  <c r="E206"/>
  <c r="Q204"/>
  <c r="P204"/>
  <c r="K204"/>
  <c r="O204" s="1"/>
  <c r="K199"/>
  <c r="K198"/>
  <c r="E197"/>
  <c r="J196"/>
  <c r="S196" s="1"/>
  <c r="K195"/>
  <c r="K189"/>
  <c r="Q187"/>
  <c r="P187"/>
  <c r="M187"/>
  <c r="E187"/>
  <c r="J185"/>
  <c r="S185" s="1"/>
  <c r="E184"/>
  <c r="K183"/>
  <c r="J183" s="1"/>
  <c r="R183" s="1"/>
  <c r="K180"/>
  <c r="E179"/>
  <c r="K178"/>
  <c r="J178" s="1"/>
  <c r="K173"/>
  <c r="E172"/>
  <c r="K171"/>
  <c r="K166"/>
  <c r="O166" s="1"/>
  <c r="Q164"/>
  <c r="P164"/>
  <c r="M164"/>
  <c r="E164"/>
  <c r="S163"/>
  <c r="R163"/>
  <c r="K163"/>
  <c r="O163" s="1"/>
  <c r="N163" s="1"/>
  <c r="O162"/>
  <c r="J162"/>
  <c r="S162" s="1"/>
  <c r="S164" s="1"/>
  <c r="E161"/>
  <c r="K160"/>
  <c r="J160" s="1"/>
  <c r="K156"/>
  <c r="E155"/>
  <c r="K154"/>
  <c r="K149"/>
  <c r="E148"/>
  <c r="Q147"/>
  <c r="P147"/>
  <c r="K147"/>
  <c r="O147" s="1"/>
  <c r="K141"/>
  <c r="Q139"/>
  <c r="P139"/>
  <c r="M139"/>
  <c r="E139"/>
  <c r="S138"/>
  <c r="R138"/>
  <c r="K138"/>
  <c r="O138" s="1"/>
  <c r="O137"/>
  <c r="N137" s="1"/>
  <c r="J137"/>
  <c r="S137" s="1"/>
  <c r="S139" s="1"/>
  <c r="E136"/>
  <c r="K131"/>
  <c r="J131" s="1"/>
  <c r="R131" s="1"/>
  <c r="K129"/>
  <c r="K122"/>
  <c r="E121"/>
  <c r="K120"/>
  <c r="J120" s="1"/>
  <c r="R120" s="1"/>
  <c r="K112"/>
  <c r="M110"/>
  <c r="I110"/>
  <c r="H110"/>
  <c r="S109"/>
  <c r="R109"/>
  <c r="O108"/>
  <c r="J108"/>
  <c r="S108" s="1"/>
  <c r="S110" s="1"/>
  <c r="I107"/>
  <c r="H107"/>
  <c r="E107"/>
  <c r="S106"/>
  <c r="R106"/>
  <c r="K104"/>
  <c r="I103"/>
  <c r="H103"/>
  <c r="E103"/>
  <c r="K97"/>
  <c r="I96"/>
  <c r="H96"/>
  <c r="E96"/>
  <c r="K95"/>
  <c r="K88"/>
  <c r="M83"/>
  <c r="S83" s="1"/>
  <c r="M82"/>
  <c r="S82" s="1"/>
  <c r="M81"/>
  <c r="S81" s="1"/>
  <c r="O78"/>
  <c r="M80"/>
  <c r="S80" s="1"/>
  <c r="M79"/>
  <c r="M78"/>
  <c r="M77"/>
  <c r="S77" s="1"/>
  <c r="M76"/>
  <c r="S76" s="1"/>
  <c r="M75"/>
  <c r="S75" s="1"/>
  <c r="M74"/>
  <c r="S74" s="1"/>
  <c r="M73"/>
  <c r="M72"/>
  <c r="M71"/>
  <c r="S71" s="1"/>
  <c r="M69"/>
  <c r="S69" s="1"/>
  <c r="M68"/>
  <c r="S68" s="1"/>
  <c r="M67"/>
  <c r="M66"/>
  <c r="M65"/>
  <c r="S65" s="1"/>
  <c r="M64"/>
  <c r="S64" s="1"/>
  <c r="M63"/>
  <c r="S63" s="1"/>
  <c r="M62"/>
  <c r="S62" s="1"/>
  <c r="P59"/>
  <c r="M61"/>
  <c r="S61" s="1"/>
  <c r="M60"/>
  <c r="M59"/>
  <c r="M58"/>
  <c r="S58" s="1"/>
  <c r="M56"/>
  <c r="S56" s="1"/>
  <c r="M55"/>
  <c r="R55" s="1"/>
  <c r="M54"/>
  <c r="S54" s="1"/>
  <c r="M53"/>
  <c r="M52"/>
  <c r="N51"/>
  <c r="M51"/>
  <c r="R51" s="1"/>
  <c r="M50"/>
  <c r="S50" s="1"/>
  <c r="M49"/>
  <c r="R49" s="1"/>
  <c r="P46"/>
  <c r="O46"/>
  <c r="M48"/>
  <c r="S48" s="1"/>
  <c r="M47"/>
  <c r="M46"/>
  <c r="M45"/>
  <c r="S45" s="1"/>
  <c r="P41"/>
  <c r="P40" s="1"/>
  <c r="M43"/>
  <c r="S43" s="1"/>
  <c r="M42"/>
  <c r="S42" s="1"/>
  <c r="M41"/>
  <c r="M40"/>
  <c r="M39"/>
  <c r="S39" s="1"/>
  <c r="M38"/>
  <c r="S38" s="1"/>
  <c r="M37"/>
  <c r="S37" s="1"/>
  <c r="M36"/>
  <c r="S36" s="1"/>
  <c r="P33"/>
  <c r="O33"/>
  <c r="M35"/>
  <c r="S35" s="1"/>
  <c r="M34"/>
  <c r="M33"/>
  <c r="M32"/>
  <c r="S32" s="1"/>
  <c r="M31"/>
  <c r="S31" s="1"/>
  <c r="M30"/>
  <c r="S30" s="1"/>
  <c r="O27"/>
  <c r="M29"/>
  <c r="S29" s="1"/>
  <c r="M28"/>
  <c r="M27"/>
  <c r="O26"/>
  <c r="N26"/>
  <c r="M26"/>
  <c r="S26" s="1"/>
  <c r="M25"/>
  <c r="S25" s="1"/>
  <c r="M24"/>
  <c r="S24" s="1"/>
  <c r="M23"/>
  <c r="S23" s="1"/>
  <c r="M22"/>
  <c r="S22" s="1"/>
  <c r="M21"/>
  <c r="M20"/>
  <c r="O19"/>
  <c r="N19"/>
  <c r="M19"/>
  <c r="S19" s="1"/>
  <c r="N18"/>
  <c r="N17" s="1"/>
  <c r="N16" s="1"/>
  <c r="M18"/>
  <c r="P17"/>
  <c r="P16" s="1"/>
  <c r="M17"/>
  <c r="M16"/>
  <c r="M15"/>
  <c r="R15" s="1"/>
  <c r="M13"/>
  <c r="S13" s="1"/>
  <c r="M12"/>
  <c r="S12" s="1"/>
  <c r="H205" i="1"/>
  <c r="I205" s="1"/>
  <c r="J205" s="1"/>
  <c r="H204"/>
  <c r="I203"/>
  <c r="J203" s="1"/>
  <c r="H203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O186" s="1"/>
  <c r="N183"/>
  <c r="M183"/>
  <c r="M186" s="1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N174" s="1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O207" i="3" l="1"/>
  <c r="S11"/>
  <c r="S28"/>
  <c r="S27" s="1"/>
  <c r="S41"/>
  <c r="S40" s="1"/>
  <c r="S73"/>
  <c r="S72" s="1"/>
  <c r="S79"/>
  <c r="S215"/>
  <c r="O221"/>
  <c r="N221" s="1"/>
  <c r="S221"/>
  <c r="S229"/>
  <c r="G197"/>
  <c r="P135"/>
  <c r="Q135"/>
  <c r="Q102"/>
  <c r="Q103" s="1"/>
  <c r="P102"/>
  <c r="P103" s="1"/>
  <c r="S21"/>
  <c r="S20" s="1"/>
  <c r="S34"/>
  <c r="S33" s="1"/>
  <c r="S60"/>
  <c r="S59" s="1"/>
  <c r="S67"/>
  <c r="S66" s="1"/>
  <c r="O225"/>
  <c r="N225" s="1"/>
  <c r="R221"/>
  <c r="Q207"/>
  <c r="G234"/>
  <c r="O194"/>
  <c r="N194" s="1"/>
  <c r="O214"/>
  <c r="N214" s="1"/>
  <c r="P12"/>
  <c r="P11" s="1"/>
  <c r="O12"/>
  <c r="O11" s="1"/>
  <c r="O10" s="1"/>
  <c r="N12"/>
  <c r="N11" s="1"/>
  <c r="N10" s="1"/>
  <c r="Q173"/>
  <c r="O173"/>
  <c r="P173"/>
  <c r="O176"/>
  <c r="N176" s="1"/>
  <c r="O169"/>
  <c r="N169" s="1"/>
  <c r="P189"/>
  <c r="P195"/>
  <c r="P198"/>
  <c r="P199"/>
  <c r="P206" s="1"/>
  <c r="O208"/>
  <c r="Q208"/>
  <c r="O227"/>
  <c r="Q227"/>
  <c r="Q229" s="1"/>
  <c r="Q235" s="1"/>
  <c r="O168"/>
  <c r="N168" s="1"/>
  <c r="O177"/>
  <c r="N177" s="1"/>
  <c r="O170"/>
  <c r="N170" s="1"/>
  <c r="O189"/>
  <c r="N189" s="1"/>
  <c r="Q189"/>
  <c r="Q197" s="1"/>
  <c r="O195"/>
  <c r="P207"/>
  <c r="P212" s="1"/>
  <c r="G206"/>
  <c r="O198"/>
  <c r="O199"/>
  <c r="N175"/>
  <c r="S234"/>
  <c r="S208"/>
  <c r="G215"/>
  <c r="O59"/>
  <c r="P78"/>
  <c r="O234"/>
  <c r="O180"/>
  <c r="O184" s="1"/>
  <c r="N218"/>
  <c r="N223"/>
  <c r="O178"/>
  <c r="O154"/>
  <c r="O160"/>
  <c r="O171"/>
  <c r="O156"/>
  <c r="O122"/>
  <c r="G164"/>
  <c r="P166"/>
  <c r="G139"/>
  <c r="G96"/>
  <c r="G103"/>
  <c r="G110"/>
  <c r="Q171"/>
  <c r="Q172" s="1"/>
  <c r="P171"/>
  <c r="G172"/>
  <c r="G179"/>
  <c r="G184"/>
  <c r="P178"/>
  <c r="P180"/>
  <c r="P184" s="1"/>
  <c r="Q178"/>
  <c r="Q180"/>
  <c r="Q184" s="1"/>
  <c r="G136"/>
  <c r="G155"/>
  <c r="G187"/>
  <c r="P148"/>
  <c r="Q149"/>
  <c r="R135"/>
  <c r="R136" s="1"/>
  <c r="J135"/>
  <c r="O135"/>
  <c r="O102"/>
  <c r="N102" s="1"/>
  <c r="G121"/>
  <c r="O110"/>
  <c r="N21"/>
  <c r="N20" s="1"/>
  <c r="O155" i="1"/>
  <c r="N168"/>
  <c r="L187"/>
  <c r="G161" i="3"/>
  <c r="O103" i="1"/>
  <c r="O151"/>
  <c r="Q42" i="3"/>
  <c r="O141"/>
  <c r="O148" s="1"/>
  <c r="O149"/>
  <c r="Q154"/>
  <c r="Q156"/>
  <c r="Q161" s="1"/>
  <c r="G107"/>
  <c r="P197"/>
  <c r="Q141"/>
  <c r="Q148" s="1"/>
  <c r="P154"/>
  <c r="P155" s="1"/>
  <c r="G148"/>
  <c r="P156"/>
  <c r="P161" s="1"/>
  <c r="P27"/>
  <c r="P111" i="1"/>
  <c r="O119"/>
  <c r="P143"/>
  <c r="O168"/>
  <c r="Q49" i="3"/>
  <c r="J180"/>
  <c r="R180" s="1"/>
  <c r="R184" s="1"/>
  <c r="Q206"/>
  <c r="Q120"/>
  <c r="Q122"/>
  <c r="G130"/>
  <c r="O131"/>
  <c r="Q131"/>
  <c r="Q136" s="1"/>
  <c r="Q112"/>
  <c r="P131"/>
  <c r="O112"/>
  <c r="P96"/>
  <c r="Q88"/>
  <c r="O95"/>
  <c r="Q95"/>
  <c r="P130"/>
  <c r="O129"/>
  <c r="Q129"/>
  <c r="N109"/>
  <c r="P104"/>
  <c r="P107" s="1"/>
  <c r="O120"/>
  <c r="Q24"/>
  <c r="Q29"/>
  <c r="Q31"/>
  <c r="Q64"/>
  <c r="Q71"/>
  <c r="Q74"/>
  <c r="Q76"/>
  <c r="Q82"/>
  <c r="J112"/>
  <c r="R112" s="1"/>
  <c r="R121" s="1"/>
  <c r="R137"/>
  <c r="R139" s="1"/>
  <c r="N147"/>
  <c r="N199"/>
  <c r="N204"/>
  <c r="O88"/>
  <c r="N88" s="1"/>
  <c r="O97"/>
  <c r="O104"/>
  <c r="Q81"/>
  <c r="Q13"/>
  <c r="P10"/>
  <c r="Q15"/>
  <c r="Q18"/>
  <c r="Q17" s="1"/>
  <c r="Q23"/>
  <c r="Q30"/>
  <c r="Q35"/>
  <c r="Q37"/>
  <c r="Q39"/>
  <c r="Q50"/>
  <c r="Q61"/>
  <c r="Q63"/>
  <c r="Q65"/>
  <c r="Q69"/>
  <c r="Q77"/>
  <c r="Q80"/>
  <c r="R13"/>
  <c r="Q19"/>
  <c r="Q22"/>
  <c r="R23"/>
  <c r="Q25"/>
  <c r="Q26"/>
  <c r="R31"/>
  <c r="R35"/>
  <c r="Q38"/>
  <c r="R39"/>
  <c r="Q43"/>
  <c r="Q41" s="1"/>
  <c r="Q45"/>
  <c r="Q48"/>
  <c r="Q51"/>
  <c r="S51"/>
  <c r="R54"/>
  <c r="Q62"/>
  <c r="R63"/>
  <c r="Q68"/>
  <c r="R69"/>
  <c r="R74"/>
  <c r="R82"/>
  <c r="J97"/>
  <c r="R97" s="1"/>
  <c r="R103" s="1"/>
  <c r="J149"/>
  <c r="R149" s="1"/>
  <c r="J154"/>
  <c r="R154" s="1"/>
  <c r="J166"/>
  <c r="R166" s="1"/>
  <c r="J171"/>
  <c r="R171" s="1"/>
  <c r="R185"/>
  <c r="N195"/>
  <c r="R196"/>
  <c r="N217"/>
  <c r="R227"/>
  <c r="R229" s="1"/>
  <c r="Q12"/>
  <c r="Q11" s="1"/>
  <c r="R19"/>
  <c r="R25"/>
  <c r="R29"/>
  <c r="Q32"/>
  <c r="Q36"/>
  <c r="R37"/>
  <c r="R43"/>
  <c r="R50"/>
  <c r="R56"/>
  <c r="R61"/>
  <c r="R65"/>
  <c r="Q75"/>
  <c r="R76"/>
  <c r="S78"/>
  <c r="R80"/>
  <c r="Q83"/>
  <c r="N222"/>
  <c r="N231"/>
  <c r="O139"/>
  <c r="N138"/>
  <c r="N139" s="1"/>
  <c r="S160"/>
  <c r="R160"/>
  <c r="O197"/>
  <c r="N198"/>
  <c r="S211"/>
  <c r="R211"/>
  <c r="R12"/>
  <c r="S15"/>
  <c r="S10" s="1"/>
  <c r="O17"/>
  <c r="O16" s="1"/>
  <c r="O20"/>
  <c r="R22"/>
  <c r="R24"/>
  <c r="R26"/>
  <c r="N28"/>
  <c r="N27" s="1"/>
  <c r="R30"/>
  <c r="R32"/>
  <c r="N34"/>
  <c r="N33" s="1"/>
  <c r="R36"/>
  <c r="R38"/>
  <c r="R42"/>
  <c r="R41" s="1"/>
  <c r="R45"/>
  <c r="N46"/>
  <c r="R48"/>
  <c r="S49"/>
  <c r="S47" s="1"/>
  <c r="S55"/>
  <c r="S53" s="1"/>
  <c r="S52" s="1"/>
  <c r="O164"/>
  <c r="Q54"/>
  <c r="Q53" s="1"/>
  <c r="Q52" s="1"/>
  <c r="R58"/>
  <c r="N60"/>
  <c r="N59" s="1"/>
  <c r="R62"/>
  <c r="R64"/>
  <c r="R68"/>
  <c r="R71"/>
  <c r="N73"/>
  <c r="N72" s="1"/>
  <c r="R75"/>
  <c r="R77"/>
  <c r="N79"/>
  <c r="N78" s="1"/>
  <c r="R81"/>
  <c r="R83"/>
  <c r="J88"/>
  <c r="R88" s="1"/>
  <c r="J95"/>
  <c r="J104"/>
  <c r="R104" s="1"/>
  <c r="N108"/>
  <c r="R108"/>
  <c r="R110" s="1"/>
  <c r="S120"/>
  <c r="J122"/>
  <c r="J129"/>
  <c r="S131"/>
  <c r="S136" s="1"/>
  <c r="J141"/>
  <c r="J147"/>
  <c r="J156"/>
  <c r="N162"/>
  <c r="N164" s="1"/>
  <c r="R162"/>
  <c r="R164" s="1"/>
  <c r="J173"/>
  <c r="S180"/>
  <c r="S183"/>
  <c r="J189"/>
  <c r="J195"/>
  <c r="J198"/>
  <c r="J199"/>
  <c r="R199" s="1"/>
  <c r="J204"/>
  <c r="J207"/>
  <c r="N213"/>
  <c r="R213"/>
  <c r="R215" s="1"/>
  <c r="N232"/>
  <c r="N234" s="1"/>
  <c r="R232"/>
  <c r="R234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P148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N208" i="3" l="1"/>
  <c r="O212"/>
  <c r="N207"/>
  <c r="O215"/>
  <c r="R11"/>
  <c r="N135"/>
  <c r="R67"/>
  <c r="Q67"/>
  <c r="Q212"/>
  <c r="Q66"/>
  <c r="R66"/>
  <c r="R47"/>
  <c r="R21"/>
  <c r="Q79"/>
  <c r="Q78" s="1"/>
  <c r="N95"/>
  <c r="N96" s="1"/>
  <c r="N97"/>
  <c r="N103" s="1"/>
  <c r="O103"/>
  <c r="R79"/>
  <c r="R28"/>
  <c r="R53"/>
  <c r="R52" s="1"/>
  <c r="R34"/>
  <c r="R33" s="1"/>
  <c r="P111"/>
  <c r="P136"/>
  <c r="L135" i="1"/>
  <c r="R40" i="3"/>
  <c r="R60"/>
  <c r="R59" s="1"/>
  <c r="R73"/>
  <c r="R72" s="1"/>
  <c r="Q60"/>
  <c r="Q47"/>
  <c r="Q21"/>
  <c r="Q34"/>
  <c r="Q73"/>
  <c r="Q72" s="1"/>
  <c r="Q28"/>
  <c r="Q27" s="1"/>
  <c r="Q40"/>
  <c r="N197"/>
  <c r="N227"/>
  <c r="O229"/>
  <c r="N229" s="1"/>
  <c r="N235" s="1"/>
  <c r="P235"/>
  <c r="O161"/>
  <c r="O179"/>
  <c r="O172"/>
  <c r="R10"/>
  <c r="P172"/>
  <c r="N212"/>
  <c r="P179"/>
  <c r="P188" s="1"/>
  <c r="Q179"/>
  <c r="S235"/>
  <c r="N215"/>
  <c r="Q216"/>
  <c r="P216"/>
  <c r="R172"/>
  <c r="N171"/>
  <c r="R18"/>
  <c r="R17" s="1"/>
  <c r="R16" s="1"/>
  <c r="S184"/>
  <c r="N173"/>
  <c r="N122"/>
  <c r="N166"/>
  <c r="Q155"/>
  <c r="Q165" s="1"/>
  <c r="S97"/>
  <c r="S103" s="1"/>
  <c r="N180"/>
  <c r="N184" s="1"/>
  <c r="N178"/>
  <c r="N129"/>
  <c r="N149"/>
  <c r="S149"/>
  <c r="N112"/>
  <c r="S112"/>
  <c r="S121" s="1"/>
  <c r="N110"/>
  <c r="O155"/>
  <c r="N156"/>
  <c r="N161" s="1"/>
  <c r="S166"/>
  <c r="O121"/>
  <c r="P165"/>
  <c r="N154"/>
  <c r="N141"/>
  <c r="N148" s="1"/>
  <c r="Q188"/>
  <c r="P121"/>
  <c r="P140" s="1"/>
  <c r="Q130"/>
  <c r="N120"/>
  <c r="O96"/>
  <c r="N131"/>
  <c r="N136" s="1"/>
  <c r="N104"/>
  <c r="N107" s="1"/>
  <c r="Q121"/>
  <c r="Q10"/>
  <c r="Q59"/>
  <c r="R46"/>
  <c r="L151" i="1"/>
  <c r="O130" i="3"/>
  <c r="S154"/>
  <c r="R78"/>
  <c r="O136"/>
  <c r="P118" i="1"/>
  <c r="O131"/>
  <c r="R235" i="3"/>
  <c r="Q46"/>
  <c r="Q16"/>
  <c r="O107"/>
  <c r="Q96"/>
  <c r="Q111" s="1"/>
  <c r="Q33"/>
  <c r="Q20"/>
  <c r="S171"/>
  <c r="S46"/>
  <c r="R27"/>
  <c r="R20"/>
  <c r="R155"/>
  <c r="S207"/>
  <c r="S212" s="1"/>
  <c r="R207"/>
  <c r="R212" s="1"/>
  <c r="S199"/>
  <c r="S195"/>
  <c r="R195"/>
  <c r="S178"/>
  <c r="R178"/>
  <c r="S156"/>
  <c r="S161" s="1"/>
  <c r="R156"/>
  <c r="R161" s="1"/>
  <c r="S141"/>
  <c r="R141"/>
  <c r="S129"/>
  <c r="R129"/>
  <c r="S104"/>
  <c r="S107" s="1"/>
  <c r="R107"/>
  <c r="S95"/>
  <c r="R95"/>
  <c r="S204"/>
  <c r="R204"/>
  <c r="S198"/>
  <c r="R198"/>
  <c r="S189"/>
  <c r="R189"/>
  <c r="S173"/>
  <c r="S179" s="1"/>
  <c r="R173"/>
  <c r="R179" s="1"/>
  <c r="S147"/>
  <c r="R147"/>
  <c r="S122"/>
  <c r="R122"/>
  <c r="S88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M147" s="1"/>
  <c r="L147" s="1"/>
  <c r="L140"/>
  <c r="L143" s="1"/>
  <c r="Q197"/>
  <c r="P178"/>
  <c r="P174"/>
  <c r="P168"/>
  <c r="P155"/>
  <c r="O165" i="3" l="1"/>
  <c r="N165" s="1"/>
  <c r="O235"/>
  <c r="N172"/>
  <c r="O111"/>
  <c r="N111" s="1"/>
  <c r="N179"/>
  <c r="S197"/>
  <c r="S18"/>
  <c r="S17" s="1"/>
  <c r="S16" s="1"/>
  <c r="S172"/>
  <c r="O140"/>
  <c r="N130"/>
  <c r="N155"/>
  <c r="N121"/>
  <c r="S155"/>
  <c r="Q140"/>
  <c r="L131" i="1"/>
  <c r="S96" i="3"/>
  <c r="S111" s="1"/>
  <c r="S130"/>
  <c r="S140" s="1"/>
  <c r="R148"/>
  <c r="R165" s="1"/>
  <c r="R96"/>
  <c r="R111" s="1"/>
  <c r="R130"/>
  <c r="R140" s="1"/>
  <c r="R197"/>
  <c r="S148"/>
  <c r="Q147" i="1"/>
  <c r="P163"/>
  <c r="P182"/>
  <c r="L182"/>
  <c r="Q182"/>
  <c r="M182"/>
  <c r="N140" i="3" l="1"/>
  <c r="S165"/>
  <c r="L26" i="1"/>
  <c r="M41"/>
  <c r="M40"/>
  <c r="M39"/>
  <c r="M38" s="1"/>
  <c r="M33"/>
  <c r="M32"/>
  <c r="M26"/>
  <c r="M25"/>
  <c r="M24"/>
  <c r="M18"/>
  <c r="N92"/>
  <c r="N91"/>
  <c r="M92"/>
  <c r="M91"/>
  <c r="L92"/>
  <c r="L91"/>
  <c r="N85"/>
  <c r="N86"/>
  <c r="N87"/>
  <c r="N84"/>
  <c r="N83" s="1"/>
  <c r="M85"/>
  <c r="M84"/>
  <c r="L85"/>
  <c r="L84"/>
  <c r="N78"/>
  <c r="N77"/>
  <c r="M78"/>
  <c r="M77"/>
  <c r="L78"/>
  <c r="L79"/>
  <c r="L80"/>
  <c r="L81"/>
  <c r="L77"/>
  <c r="N76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N53" s="1"/>
  <c r="M55"/>
  <c r="M54"/>
  <c r="L55"/>
  <c r="L54"/>
  <c r="N48"/>
  <c r="M48"/>
  <c r="L48"/>
  <c r="N47"/>
  <c r="N46" s="1"/>
  <c r="M47"/>
  <c r="L47"/>
  <c r="N44"/>
  <c r="N40"/>
  <c r="N41"/>
  <c r="N39"/>
  <c r="L40"/>
  <c r="L41"/>
  <c r="L39"/>
  <c r="N36"/>
  <c r="N33"/>
  <c r="N32"/>
  <c r="L32"/>
  <c r="N25"/>
  <c r="N26"/>
  <c r="L25"/>
  <c r="L24"/>
  <c r="M23" l="1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O73" s="1"/>
  <c r="P73" s="1"/>
  <c r="Q73" s="1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29" l="1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J186" i="3"/>
  <c r="R186" s="1"/>
  <c r="R187" s="1"/>
  <c r="R188" s="1"/>
  <c r="O186"/>
  <c r="O187" s="1"/>
  <c r="O188" s="1"/>
  <c r="N188" l="1"/>
  <c r="N186"/>
  <c r="N187" s="1"/>
  <c r="S186"/>
  <c r="S187" s="1"/>
  <c r="S188" s="1"/>
  <c r="O205"/>
  <c r="O206" s="1"/>
  <c r="O216" s="1"/>
  <c r="J205"/>
  <c r="R205" s="1"/>
  <c r="R206" s="1"/>
  <c r="R216" s="1"/>
  <c r="N205" l="1"/>
  <c r="N216" s="1"/>
  <c r="S205"/>
  <c r="S206" s="1"/>
  <c r="S216" s="1"/>
</calcChain>
</file>

<file path=xl/sharedStrings.xml><?xml version="1.0" encoding="utf-8"?>
<sst xmlns="http://schemas.openxmlformats.org/spreadsheetml/2006/main" count="2073" uniqueCount="199">
  <si>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</si>
  <si>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</si>
  <si>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</si>
  <si>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</si>
  <si>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</si>
  <si>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</si>
  <si>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</si>
  <si>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</si>
  <si>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</si>
  <si>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</si>
  <si>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</si>
  <si>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</si>
  <si>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</si>
  <si>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</si>
  <si>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</si>
  <si>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</si>
  <si>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</si>
  <si>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</si>
  <si>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</si>
  <si>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</si>
  <si>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</si>
  <si>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</si>
  <si>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</si>
  <si>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</si>
  <si>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</si>
  <si>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</si>
  <si>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</si>
  <si>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</si>
  <si>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</si>
  <si>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</si>
  <si>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</si>
  <si>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</si>
  <si>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</si>
  <si>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</si>
  <si>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</si>
  <si>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</si>
  <si>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</si>
  <si>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</si>
  <si>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</si>
  <si>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</si>
  <si>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</si>
  <si>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</si>
  <si>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</si>
  <si>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</si>
  <si>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</si>
  <si>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</si>
  <si>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</si>
  <si>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</si>
  <si>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</si>
  <si>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</si>
  <si>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</si>
  <si>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</si>
  <si>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</si>
  <si>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</si>
  <si>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</si>
  <si>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</si>
  <si>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</si>
  <si>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</si>
  <si>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</si>
  <si>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</si>
  <si>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</si>
  <si>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</si>
  <si>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</si>
  <si>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</si>
  <si>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</si>
  <si>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</si>
  <si>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</si>
  <si>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</si>
  <si>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</si>
  <si>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</si>
  <si>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</si>
  <si>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</si>
  <si>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</si>
  <si>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</si>
  <si>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</si>
  <si>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</si>
  <si>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</si>
  <si>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</si>
  <si>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</si>
  <si>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</si>
  <si>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</si>
  <si>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</si>
  <si>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</si>
  <si>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</si>
  <si>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</si>
  <si>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</si>
  <si>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</si>
  <si>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</si>
  <si>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</si>
  <si>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</si>
  <si>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</si>
  <si>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</si>
  <si>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</si>
  <si>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</si>
  <si>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</si>
  <si>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</si>
  <si>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</si>
  <si>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</si>
  <si>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</si>
  <si>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</si>
  <si>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</si>
  <si>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</si>
  <si>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</si>
  <si>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</si>
  <si>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</si>
  <si>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</si>
  <si>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</si>
  <si>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</si>
  <si>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</si>
  <si>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</si>
  <si>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</si>
  <si>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</si>
  <si>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</si>
  <si>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</si>
  <si>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</si>
  <si>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</si>
  <si>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</si>
  <si>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</si>
  <si>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</si>
  <si>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</si>
  <si>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</si>
  <si>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</si>
  <si>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</si>
  <si>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</si>
  <si>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</si>
  <si>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</si>
  <si>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</si>
  <si>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</si>
  <si>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</si>
  <si>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</si>
  <si>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</si>
  <si>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</si>
  <si>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</si>
  <si>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</si>
  <si>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</si>
  <si>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</si>
  <si>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</si>
  <si>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</si>
  <si>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</si>
  <si>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</si>
  <si>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</si>
  <si>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</si>
  <si>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</si>
  <si>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</si>
  <si>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</si>
  <si>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</si>
  <si>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</si>
  <si>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</si>
  <si>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</si>
  <si>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</si>
  <si>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</si>
  <si>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</si>
  <si>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</si>
  <si>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</si>
  <si>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</si>
  <si>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</si>
  <si>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</si>
  <si>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</si>
  <si>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</si>
  <si>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</si>
  <si>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</si>
  <si>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</si>
  <si>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</si>
  <si>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11 762,02</t>
  </si>
  <si>
    <t>январь-август</t>
  </si>
  <si>
    <t>сентябрь-декабрь</t>
  </si>
  <si>
    <t>среднегодовое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</si>
  <si>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</si>
  <si>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</si>
  <si>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</si>
  <si>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</si>
  <si>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</si>
  <si>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t=9</t>
  </si>
  <si>
    <t>t=12</t>
  </si>
  <si>
    <t xml:space="preserve">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</si>
  <si>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 xml:space="preserve">t=4 </t>
  </si>
  <si>
    <t>t=5</t>
  </si>
  <si>
    <t>t=10</t>
  </si>
  <si>
    <t>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</si>
  <si>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</si>
  <si>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</si>
  <si>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</si>
  <si>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2\45</t>
  </si>
  <si>
    <t>3\33</t>
  </si>
  <si>
    <t>4\58</t>
  </si>
  <si>
    <t>6\104</t>
  </si>
  <si>
    <t>7\122</t>
  </si>
  <si>
    <t>1\12</t>
  </si>
  <si>
    <t>Обучение детей, находящихся на длительном лечении в медицинских учреждениях (индивидуальное, групповое) (k = 11) село</t>
  </si>
  <si>
    <t>5\76</t>
  </si>
  <si>
    <t>Студеникина Татьяна Николаевна (39144)3-16-33</t>
  </si>
  <si>
    <t>Приложение № 3</t>
  </si>
  <si>
    <t>к Приказу от 26.12.2016 г. № 261</t>
  </si>
  <si>
    <t>2019 год</t>
  </si>
  <si>
    <t>Нормативные затраты на оказание муниципальных услуг (работ) на 2017-2019 гг.</t>
  </si>
  <si>
    <t>10845,82- на 1 человека</t>
  </si>
  <si>
    <t>2017 год срзнач.</t>
  </si>
  <si>
    <t>2017 год c 01.09.2017</t>
  </si>
  <si>
    <t>чел.-час.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</si>
</sst>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165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right" wrapText="1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2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0" fontId="1" fillId="0" borderId="4" xfId="0" applyFont="1" applyFill="1" applyBorder="1" applyAlignment="1">
      <alignment horizontal="right"/>
    </xf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/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3" fontId="1" fillId="0" borderId="4" xfId="0" applyNumberFormat="1" applyFont="1" applyFill="1" applyBorder="1" applyAlignment="1">
      <alignment horizontal="right" wrapText="1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3" fillId="3" borderId="4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1" fillId="0" borderId="4" xfId="1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2.75"/>
  <cols>
    <col min="1" max="1" width="19.42578125" customWidth="1"/>
    <col min="2" max="2" width="19.85546875" customWidth="1"/>
    <col min="3" max="3" width="23.7109375" customWidth="1"/>
    <col min="4" max="4" width="8.7109375" customWidth="1"/>
    <col min="5" max="5" width="12.42578125" customWidth="1"/>
    <col min="6" max="7" width="12.7109375" customWidth="1"/>
    <col min="8" max="8" width="14.140625" bestFit="1" customWidth="1"/>
    <col min="9" max="9" width="16" customWidth="1"/>
    <col min="10" max="10" width="13.85546875" customWidth="1"/>
    <col min="11" max="11" width="12.140625" bestFit="1" customWidth="1"/>
    <col min="12" max="12" width="16.7109375" customWidth="1"/>
    <col min="13" max="13" width="15.42578125" customWidth="1"/>
    <col min="14" max="14" width="13.28515625" customWidth="1"/>
    <col min="15" max="15" width="14.28515625" customWidth="1"/>
    <col min="16" max="16" width="13.140625" customWidth="1"/>
    <col min="17" max="17" width="14.85546875" bestFit="1" customWidth="1"/>
    <col min="19" max="19" width="13.5703125" bestFit="1" customWidth="1"/>
  </cols>
  <sheetData>
    <row r="1" spans="1:19" ht="15">
      <c r="A1" s="1"/>
      <c r="O1" s="3" t="s">
        <v>2</v>
      </c>
    </row>
    <row r="2" spans="1:19" ht="15">
      <c r="O2" s="3" t="s">
        <v>153</v>
      </c>
    </row>
    <row r="3" spans="1:19" ht="18.75">
      <c r="A3" s="140" t="s">
        <v>1</v>
      </c>
      <c r="B3" s="140"/>
      <c r="C3" s="141"/>
      <c r="D3" s="140"/>
      <c r="E3" s="140"/>
      <c r="F3" s="140"/>
      <c r="G3" s="140"/>
      <c r="H3" s="140"/>
      <c r="I3" s="141"/>
      <c r="J3" s="140"/>
      <c r="K3" s="140"/>
      <c r="L3" s="140"/>
      <c r="M3" s="140"/>
      <c r="N3" s="141"/>
      <c r="O3" s="140"/>
      <c r="P3" s="140"/>
      <c r="Q3" s="140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5.75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5">
      <c r="A6" s="38" t="s">
        <v>3</v>
      </c>
      <c r="B6" s="38" t="s">
        <v>81</v>
      </c>
      <c r="C6" s="38" t="s">
        <v>152</v>
      </c>
      <c r="D6" s="38" t="s">
        <v>4</v>
      </c>
      <c r="E6" s="134" t="s">
        <v>5</v>
      </c>
      <c r="F6" s="134"/>
      <c r="G6" s="134"/>
      <c r="H6" s="135" t="s">
        <v>6</v>
      </c>
      <c r="I6" s="135"/>
      <c r="J6" s="135"/>
      <c r="K6" s="135"/>
      <c r="L6" s="135" t="s">
        <v>7</v>
      </c>
      <c r="M6" s="135"/>
      <c r="N6" s="135"/>
      <c r="O6" s="135"/>
      <c r="P6" s="135"/>
      <c r="Q6" s="135"/>
    </row>
    <row r="7" spans="1:19" ht="60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139" t="s">
        <v>8</v>
      </c>
      <c r="M7" s="139"/>
      <c r="N7" s="139"/>
      <c r="O7" s="139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5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5.5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105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5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75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5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5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5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5.5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105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5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75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5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5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5.5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105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5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105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5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75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5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5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5.5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105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5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5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60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5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5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5.5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105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5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105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5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75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5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5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5.5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105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5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5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60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5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5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5.5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105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5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5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75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5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5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5.5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105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5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75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5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75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5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5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5.5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105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5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75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5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75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5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5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5.5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105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5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5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75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5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5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5.5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105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5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5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75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5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5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5.5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105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5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5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75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5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>
      <c r="A96" s="143" t="s">
        <v>154</v>
      </c>
      <c r="B96" s="143"/>
      <c r="C96" s="143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30">
      <c r="A97" s="142" t="s">
        <v>3</v>
      </c>
      <c r="B97" s="142" t="s">
        <v>86</v>
      </c>
      <c r="C97" s="7" t="s">
        <v>87</v>
      </c>
      <c r="D97" s="142" t="s">
        <v>4</v>
      </c>
      <c r="E97" s="142" t="s">
        <v>5</v>
      </c>
      <c r="F97" s="142"/>
      <c r="G97" s="142"/>
      <c r="H97" s="142" t="s">
        <v>6</v>
      </c>
      <c r="I97" s="142"/>
      <c r="J97" s="142"/>
      <c r="K97" s="142"/>
      <c r="L97" s="142" t="s">
        <v>7</v>
      </c>
      <c r="M97" s="142"/>
      <c r="N97" s="142"/>
      <c r="O97" s="142"/>
      <c r="P97" s="142"/>
      <c r="Q97" s="142"/>
    </row>
    <row r="98" spans="1:17" ht="120">
      <c r="A98" s="142"/>
      <c r="B98" s="142"/>
      <c r="C98" s="7"/>
      <c r="D98" s="142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5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90">
      <c r="A100" s="138" t="s">
        <v>98</v>
      </c>
      <c r="B100" s="136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120">
      <c r="A101" s="138"/>
      <c r="B101" s="136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20">
      <c r="A102" s="138"/>
      <c r="B102" s="136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5">
      <c r="A103" s="138"/>
      <c r="B103" s="136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90">
      <c r="A104" s="138"/>
      <c r="B104" s="136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120">
      <c r="A105" s="138"/>
      <c r="B105" s="136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20">
      <c r="A106" s="138"/>
      <c r="B106" s="136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5">
      <c r="A107" s="138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90">
      <c r="A108" s="138"/>
      <c r="B108" s="136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120">
      <c r="A109" s="138"/>
      <c r="B109" s="136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20">
      <c r="A110" s="138"/>
      <c r="B110" s="136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5">
      <c r="A111" s="138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>
      <c r="A112" s="138"/>
      <c r="B112" s="137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>
      <c r="A113" s="138"/>
      <c r="B113" s="137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5">
      <c r="A114" s="138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4.25">
      <c r="A115" s="138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90">
      <c r="A116" s="138" t="s">
        <v>113</v>
      </c>
      <c r="B116" s="136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>
      <c r="A117" s="138"/>
      <c r="B117" s="136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20">
      <c r="A118" s="138"/>
      <c r="B118" s="136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5">
      <c r="A119" s="138"/>
      <c r="B119" s="136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90">
      <c r="A120" s="138"/>
      <c r="B120" s="136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>
      <c r="A121" s="138"/>
      <c r="B121" s="136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20">
      <c r="A122" s="138"/>
      <c r="B122" s="136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5">
      <c r="A123" s="138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90">
      <c r="A124" s="138"/>
      <c r="B124" s="136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>
      <c r="A125" s="138"/>
      <c r="B125" s="136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20">
      <c r="A126" s="138"/>
      <c r="B126" s="136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5">
      <c r="A127" s="138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>
      <c r="A128" s="138"/>
      <c r="B128" s="137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>
      <c r="A129" s="138"/>
      <c r="B129" s="137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5">
      <c r="A130" s="138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4.25">
      <c r="A131" s="138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90">
      <c r="A132" s="138" t="s">
        <v>114</v>
      </c>
      <c r="B132" s="136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120">
      <c r="A133" s="138"/>
      <c r="B133" s="136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20">
      <c r="A134" s="138"/>
      <c r="B134" s="136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5">
      <c r="A135" s="138"/>
      <c r="B135" s="136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90">
      <c r="A136" s="138"/>
      <c r="B136" s="136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>
      <c r="A137" s="138"/>
      <c r="B137" s="136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20">
      <c r="A138" s="138"/>
      <c r="B138" s="136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5">
      <c r="A139" s="138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90">
      <c r="A140" s="138"/>
      <c r="B140" s="136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120">
      <c r="A141" s="138"/>
      <c r="B141" s="136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20">
      <c r="A142" s="138"/>
      <c r="B142" s="136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5">
      <c r="A143" s="138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>
      <c r="A144" s="138"/>
      <c r="B144" s="137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>
      <c r="A145" s="138"/>
      <c r="B145" s="137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5">
      <c r="A146" s="138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4.25">
      <c r="A147" s="138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90">
      <c r="A148" s="138" t="s">
        <v>115</v>
      </c>
      <c r="B148" s="136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>
      <c r="A149" s="138"/>
      <c r="B149" s="136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20">
      <c r="A150" s="138"/>
      <c r="B150" s="136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5">
      <c r="A151" s="138"/>
      <c r="B151" s="136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90">
      <c r="A152" s="138"/>
      <c r="B152" s="136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>
      <c r="A153" s="138"/>
      <c r="B153" s="136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20">
      <c r="A154" s="138"/>
      <c r="B154" s="136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5">
      <c r="A155" s="138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90">
      <c r="A156" s="138"/>
      <c r="B156" s="136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120">
      <c r="A157" s="138"/>
      <c r="B157" s="136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20">
      <c r="A158" s="138"/>
      <c r="B158" s="136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5">
      <c r="A159" s="138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>
      <c r="A160" s="138"/>
      <c r="B160" s="137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>
      <c r="A161" s="138"/>
      <c r="B161" s="137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5">
      <c r="A162" s="138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4.25">
      <c r="A163" s="138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90">
      <c r="A164" s="138" t="s">
        <v>116</v>
      </c>
      <c r="B164" s="136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>
      <c r="A165" s="138"/>
      <c r="B165" s="136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20">
      <c r="A166" s="138"/>
      <c r="B166" s="136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105">
      <c r="A167" s="138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5">
      <c r="A168" s="138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90">
      <c r="A169" s="138"/>
      <c r="B169" s="136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>
      <c r="A170" s="138"/>
      <c r="B170" s="136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>
      <c r="A171" s="138"/>
      <c r="B171" s="136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20">
      <c r="A172" s="138"/>
      <c r="B172" s="136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105">
      <c r="A173" s="138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5">
      <c r="A174" s="138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90">
      <c r="A175" s="138"/>
      <c r="B175" s="136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>
      <c r="A176" s="138"/>
      <c r="B176" s="136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20">
      <c r="A177" s="138"/>
      <c r="B177" s="136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5">
      <c r="A178" s="138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>
      <c r="A179" s="138"/>
      <c r="B179" s="137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>
      <c r="A180" s="138"/>
      <c r="B180" s="137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5">
      <c r="A181" s="138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4.25">
      <c r="A182" s="138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>
      <c r="A183" s="138" t="s">
        <v>119</v>
      </c>
      <c r="B183" s="136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240">
      <c r="A184" s="138"/>
      <c r="B184" s="136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120">
      <c r="A185" s="138"/>
      <c r="B185" s="136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5">
      <c r="A186" s="138"/>
      <c r="B186" s="136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138"/>
      <c r="B187" s="136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138"/>
      <c r="B188" s="136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138"/>
      <c r="B189" s="136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20">
      <c r="A190" s="138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5">
      <c r="A191" s="138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138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5">
      <c r="A193" s="138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138"/>
      <c r="B194" s="137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>
      <c r="A195" s="138"/>
      <c r="B195" s="137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5">
      <c r="A196" s="138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4.25">
      <c r="A197" s="138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>
      <c r="A198" s="55" t="s">
        <v>156</v>
      </c>
    </row>
    <row r="199" spans="1:17" ht="30">
      <c r="A199" s="43" t="s">
        <v>3</v>
      </c>
      <c r="B199" s="43" t="s">
        <v>81</v>
      </c>
      <c r="C199" s="43" t="s">
        <v>4</v>
      </c>
      <c r="D199" s="132" t="s">
        <v>5</v>
      </c>
      <c r="E199" s="132"/>
      <c r="F199" s="132"/>
      <c r="G199" s="133" t="s">
        <v>6</v>
      </c>
      <c r="H199" s="133" t="s">
        <v>7</v>
      </c>
      <c r="I199" s="133"/>
      <c r="J199" s="133"/>
    </row>
    <row r="200" spans="1:17" ht="15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133"/>
      <c r="H200" s="50">
        <v>2016</v>
      </c>
      <c r="I200" s="50" t="s">
        <v>9</v>
      </c>
      <c r="J200" s="50" t="s">
        <v>10</v>
      </c>
    </row>
    <row r="201" spans="1:17" ht="75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5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130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>
      <c r="A204" s="131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44"/>
  <sheetViews>
    <sheetView tabSelected="1" topLeftCell="A139" zoomScale="80" zoomScaleNormal="80" workbookViewId="0">
      <selection activeCell="I241" sqref="I241"/>
    </sheetView>
  </sheetViews>
  <sheetFormatPr defaultColWidth="9.140625" defaultRowHeight="15"/>
  <cols>
    <col min="1" max="1" width="19.42578125" style="80" customWidth="1"/>
    <col min="2" max="2" width="19.85546875" style="80" customWidth="1"/>
    <col min="3" max="3" width="23.7109375" style="80" customWidth="1"/>
    <col min="4" max="4" width="8.7109375" style="80" customWidth="1"/>
    <col min="5" max="6" width="13.28515625" style="80" customWidth="1"/>
    <col min="7" max="7" width="14" style="80" customWidth="1"/>
    <col min="8" max="9" width="12.7109375" style="80" customWidth="1"/>
    <col min="10" max="10" width="14.140625" style="80" bestFit="1" customWidth="1"/>
    <col min="11" max="11" width="16" style="80" customWidth="1"/>
    <col min="12" max="12" width="13.85546875" style="80" customWidth="1"/>
    <col min="13" max="13" width="12.140625" style="80" bestFit="1" customWidth="1"/>
    <col min="14" max="14" width="16.7109375" style="80" customWidth="1"/>
    <col min="15" max="15" width="15.42578125" style="80" customWidth="1"/>
    <col min="16" max="16" width="14.7109375" style="80" customWidth="1"/>
    <col min="17" max="17" width="14.28515625" style="80" customWidth="1"/>
    <col min="18" max="18" width="14.140625" style="80" customWidth="1"/>
    <col min="19" max="19" width="14.85546875" style="80" bestFit="1" customWidth="1"/>
    <col min="20" max="20" width="9.140625" style="80"/>
    <col min="21" max="21" width="13.5703125" style="80" bestFit="1" customWidth="1"/>
    <col min="22" max="22" width="9.42578125" style="80" bestFit="1" customWidth="1"/>
    <col min="23" max="16384" width="9.140625" style="80"/>
  </cols>
  <sheetData>
    <row r="1" spans="1:21">
      <c r="Q1" s="121" t="s">
        <v>191</v>
      </c>
    </row>
    <row r="2" spans="1:21">
      <c r="Q2" s="121" t="s">
        <v>192</v>
      </c>
    </row>
    <row r="3" spans="1:21">
      <c r="A3" s="145" t="s">
        <v>194</v>
      </c>
      <c r="B3" s="145"/>
      <c r="C3" s="146"/>
      <c r="D3" s="145"/>
      <c r="E3" s="145"/>
      <c r="F3" s="146"/>
      <c r="G3" s="146"/>
      <c r="H3" s="145"/>
      <c r="I3" s="145"/>
      <c r="J3" s="145"/>
      <c r="K3" s="146"/>
      <c r="L3" s="145"/>
      <c r="M3" s="145"/>
      <c r="N3" s="145"/>
      <c r="O3" s="145"/>
      <c r="P3" s="146"/>
      <c r="Q3" s="145"/>
      <c r="R3" s="145"/>
      <c r="S3" s="145"/>
    </row>
    <row r="4" spans="1:21" ht="36.75" customHeight="1">
      <c r="A4" s="81" t="s">
        <v>155</v>
      </c>
    </row>
    <row r="6" spans="1:21" ht="45">
      <c r="A6" s="112" t="s">
        <v>3</v>
      </c>
      <c r="B6" s="112" t="s">
        <v>81</v>
      </c>
      <c r="C6" s="112" t="s">
        <v>152</v>
      </c>
      <c r="D6" s="112" t="s">
        <v>4</v>
      </c>
      <c r="E6" s="147" t="s">
        <v>5</v>
      </c>
      <c r="F6" s="148"/>
      <c r="G6" s="148"/>
      <c r="H6" s="148"/>
      <c r="I6" s="149"/>
      <c r="J6" s="150" t="s">
        <v>6</v>
      </c>
      <c r="K6" s="150"/>
      <c r="L6" s="150"/>
      <c r="M6" s="150"/>
      <c r="N6" s="150" t="s">
        <v>7</v>
      </c>
      <c r="O6" s="150"/>
      <c r="P6" s="150"/>
      <c r="Q6" s="150"/>
      <c r="R6" s="150"/>
      <c r="S6" s="150"/>
    </row>
    <row r="7" spans="1:21">
      <c r="A7" s="112"/>
      <c r="B7" s="112"/>
      <c r="C7" s="112"/>
      <c r="D7" s="112"/>
      <c r="E7" s="153" t="s">
        <v>9</v>
      </c>
      <c r="F7" s="154"/>
      <c r="G7" s="155"/>
      <c r="H7" s="111"/>
      <c r="I7" s="111"/>
      <c r="J7" s="112"/>
      <c r="K7" s="112"/>
      <c r="L7" s="112"/>
      <c r="M7" s="112"/>
      <c r="N7" s="147"/>
      <c r="O7" s="148"/>
      <c r="P7" s="148"/>
      <c r="Q7" s="149"/>
      <c r="R7" s="112"/>
      <c r="S7" s="112"/>
    </row>
    <row r="8" spans="1:21" ht="60">
      <c r="A8" s="82"/>
      <c r="B8" s="82"/>
      <c r="C8" s="82"/>
      <c r="D8" s="82"/>
      <c r="E8" s="112" t="s">
        <v>164</v>
      </c>
      <c r="F8" s="112" t="s">
        <v>165</v>
      </c>
      <c r="G8" s="119" t="s">
        <v>166</v>
      </c>
      <c r="H8" s="125" t="s">
        <v>10</v>
      </c>
      <c r="I8" s="125" t="s">
        <v>193</v>
      </c>
      <c r="J8" s="83" t="s">
        <v>79</v>
      </c>
      <c r="K8" s="112" t="s">
        <v>80</v>
      </c>
      <c r="L8" s="83" t="s">
        <v>11</v>
      </c>
      <c r="M8" s="115" t="s">
        <v>12</v>
      </c>
      <c r="N8" s="151" t="s">
        <v>9</v>
      </c>
      <c r="O8" s="151"/>
      <c r="P8" s="151"/>
      <c r="Q8" s="151"/>
      <c r="R8" s="125" t="s">
        <v>10</v>
      </c>
      <c r="S8" s="125" t="s">
        <v>193</v>
      </c>
    </row>
    <row r="9" spans="1:21" ht="63" customHeight="1">
      <c r="A9" s="83" t="s">
        <v>13</v>
      </c>
      <c r="B9" s="83" t="s">
        <v>14</v>
      </c>
      <c r="C9" s="83"/>
      <c r="D9" s="112" t="s">
        <v>15</v>
      </c>
      <c r="E9" s="83" t="s">
        <v>16</v>
      </c>
      <c r="F9" s="83" t="s">
        <v>16</v>
      </c>
      <c r="G9" s="83" t="s">
        <v>16</v>
      </c>
      <c r="H9" s="83" t="s">
        <v>16</v>
      </c>
      <c r="I9" s="83" t="s">
        <v>16</v>
      </c>
      <c r="J9" s="112" t="s">
        <v>17</v>
      </c>
      <c r="K9" s="112" t="s">
        <v>17</v>
      </c>
      <c r="L9" s="112" t="s">
        <v>17</v>
      </c>
      <c r="M9" s="112" t="s">
        <v>17</v>
      </c>
      <c r="N9" s="112" t="s">
        <v>85</v>
      </c>
      <c r="O9" s="124" t="s">
        <v>83</v>
      </c>
      <c r="P9" s="124" t="s">
        <v>84</v>
      </c>
      <c r="Q9" s="119" t="s">
        <v>12</v>
      </c>
      <c r="R9" s="112" t="s">
        <v>17</v>
      </c>
      <c r="S9" s="112" t="s">
        <v>17</v>
      </c>
    </row>
    <row r="10" spans="1:21">
      <c r="A10" s="116" t="s">
        <v>18</v>
      </c>
      <c r="B10" s="82"/>
      <c r="C10" s="82"/>
      <c r="D10" s="82"/>
      <c r="E10" s="72"/>
      <c r="F10" s="72"/>
      <c r="G10" s="72"/>
      <c r="H10" s="72"/>
      <c r="I10" s="72"/>
      <c r="J10" s="75"/>
      <c r="K10" s="75"/>
      <c r="L10" s="75"/>
      <c r="M10" s="75"/>
      <c r="N10" s="78">
        <f>N11+N15</f>
        <v>5045536.42</v>
      </c>
      <c r="O10" s="78">
        <f t="shared" ref="O10:S10" si="0">O11+O15</f>
        <v>1376156.34</v>
      </c>
      <c r="P10" s="78">
        <f t="shared" si="0"/>
        <v>6219949.3200000003</v>
      </c>
      <c r="Q10" s="78">
        <f t="shared" si="0"/>
        <v>12641642.08</v>
      </c>
      <c r="R10" s="78">
        <f t="shared" si="0"/>
        <v>12641642.08</v>
      </c>
      <c r="S10" s="78">
        <f t="shared" si="0"/>
        <v>12641642.08</v>
      </c>
    </row>
    <row r="11" spans="1:21" ht="85.5">
      <c r="A11" s="84"/>
      <c r="B11" s="84" t="s">
        <v>76</v>
      </c>
      <c r="C11" s="84"/>
      <c r="D11" s="82"/>
      <c r="E11" s="72"/>
      <c r="F11" s="72"/>
      <c r="G11" s="72"/>
      <c r="H11" s="72"/>
      <c r="I11" s="72"/>
      <c r="J11" s="75"/>
      <c r="K11" s="75"/>
      <c r="L11" s="75"/>
      <c r="M11" s="75"/>
      <c r="N11" s="75">
        <f>N12+N13+N14</f>
        <v>5045536.42</v>
      </c>
      <c r="O11" s="75">
        <f t="shared" ref="O11:S11" si="1">O12+O13+O14</f>
        <v>1376156.34</v>
      </c>
      <c r="P11" s="75">
        <f t="shared" si="1"/>
        <v>3172302.9000000004</v>
      </c>
      <c r="Q11" s="75">
        <f t="shared" si="1"/>
        <v>9593995.6600000001</v>
      </c>
      <c r="R11" s="75">
        <f t="shared" si="1"/>
        <v>9593995.6600000001</v>
      </c>
      <c r="S11" s="75">
        <f t="shared" si="1"/>
        <v>9593995.6600000001</v>
      </c>
      <c r="U11" s="85"/>
    </row>
    <row r="12" spans="1:21" ht="105">
      <c r="A12" s="83"/>
      <c r="B12" s="86" t="s">
        <v>19</v>
      </c>
      <c r="C12" s="83" t="s">
        <v>0</v>
      </c>
      <c r="D12" s="86" t="s">
        <v>20</v>
      </c>
      <c r="E12" s="87">
        <v>20</v>
      </c>
      <c r="F12" s="87">
        <v>20</v>
      </c>
      <c r="G12" s="87">
        <f>(E12*8+F12*4)/12</f>
        <v>20</v>
      </c>
      <c r="H12" s="87">
        <v>20</v>
      </c>
      <c r="I12" s="87">
        <v>20</v>
      </c>
      <c r="J12" s="75">
        <v>47587</v>
      </c>
      <c r="K12" s="75">
        <v>11762.02</v>
      </c>
      <c r="L12" s="75">
        <v>27113.7</v>
      </c>
      <c r="M12" s="75">
        <f>J12+K12+L12</f>
        <v>86462.720000000001</v>
      </c>
      <c r="N12" s="75">
        <f>G12*J12</f>
        <v>951740</v>
      </c>
      <c r="O12" s="75">
        <f>G12*K12</f>
        <v>235240.40000000002</v>
      </c>
      <c r="P12" s="75">
        <f>G12*L12</f>
        <v>542274</v>
      </c>
      <c r="Q12" s="75">
        <f>SUM(N12:P12)</f>
        <v>1729254.3999999999</v>
      </c>
      <c r="R12" s="75">
        <f>H12*M12</f>
        <v>1729254.3999999999</v>
      </c>
      <c r="S12" s="75">
        <f>I12*M12</f>
        <v>1729254.3999999999</v>
      </c>
      <c r="U12" s="85"/>
    </row>
    <row r="13" spans="1:21">
      <c r="A13" s="88"/>
      <c r="B13" s="115" t="s">
        <v>24</v>
      </c>
      <c r="C13" s="115"/>
      <c r="D13" s="115" t="s">
        <v>20</v>
      </c>
      <c r="E13" s="87">
        <v>72</v>
      </c>
      <c r="F13" s="87">
        <v>72</v>
      </c>
      <c r="G13" s="87">
        <f>(E13*8+F13*4)/12</f>
        <v>72</v>
      </c>
      <c r="H13" s="87">
        <v>72</v>
      </c>
      <c r="I13" s="87">
        <v>72</v>
      </c>
      <c r="J13" s="75">
        <v>37686.36</v>
      </c>
      <c r="K13" s="75">
        <v>11762.02</v>
      </c>
      <c r="L13" s="75">
        <v>27113.7</v>
      </c>
      <c r="M13" s="75">
        <f t="shared" ref="M13:M78" si="2">J13+K13+L13</f>
        <v>76562.080000000002</v>
      </c>
      <c r="N13" s="75">
        <f>G13*J13</f>
        <v>2713417.92</v>
      </c>
      <c r="O13" s="75">
        <f t="shared" ref="O13:O15" si="3">G13*K13</f>
        <v>846865.44000000006</v>
      </c>
      <c r="P13" s="75">
        <f>G13*L13</f>
        <v>1952186.4000000001</v>
      </c>
      <c r="Q13" s="75">
        <f t="shared" ref="Q13:Q77" si="4">SUM(N13:P13)</f>
        <v>5512469.7599999998</v>
      </c>
      <c r="R13" s="75">
        <f t="shared" ref="R13:R77" si="5">H13*M13</f>
        <v>5512469.7599999998</v>
      </c>
      <c r="S13" s="75">
        <f t="shared" ref="S13:S77" si="6">I13*M13</f>
        <v>5512469.7599999998</v>
      </c>
      <c r="U13" s="85"/>
    </row>
    <row r="14" spans="1:21" ht="120">
      <c r="A14" s="88"/>
      <c r="B14" s="86" t="s">
        <v>24</v>
      </c>
      <c r="C14" s="83" t="s">
        <v>162</v>
      </c>
      <c r="D14" s="115" t="s">
        <v>20</v>
      </c>
      <c r="E14" s="87">
        <v>25</v>
      </c>
      <c r="F14" s="87">
        <v>25</v>
      </c>
      <c r="G14" s="87">
        <f>(E14*8+F14*4)/12</f>
        <v>25</v>
      </c>
      <c r="H14" s="87">
        <v>25</v>
      </c>
      <c r="I14" s="87">
        <v>25</v>
      </c>
      <c r="J14" s="75">
        <f>55215.14</f>
        <v>55215.14</v>
      </c>
      <c r="K14" s="75">
        <v>11762.02</v>
      </c>
      <c r="L14" s="75">
        <v>27113.7</v>
      </c>
      <c r="M14" s="75">
        <f t="shared" si="2"/>
        <v>94090.86</v>
      </c>
      <c r="N14" s="75">
        <f>G14*J14</f>
        <v>1380378.5</v>
      </c>
      <c r="O14" s="75">
        <f t="shared" si="3"/>
        <v>294050.5</v>
      </c>
      <c r="P14" s="75">
        <f>G14*L14</f>
        <v>677842.5</v>
      </c>
      <c r="Q14" s="75">
        <f t="shared" si="4"/>
        <v>2352271.5</v>
      </c>
      <c r="R14" s="75">
        <f t="shared" si="5"/>
        <v>2352271.5</v>
      </c>
      <c r="S14" s="75">
        <f t="shared" si="6"/>
        <v>2352271.5</v>
      </c>
      <c r="U14" s="85"/>
    </row>
    <row r="15" spans="1:21">
      <c r="A15" s="115"/>
      <c r="B15" s="115" t="s">
        <v>28</v>
      </c>
      <c r="C15" s="115"/>
      <c r="D15" s="82"/>
      <c r="E15" s="87">
        <v>117</v>
      </c>
      <c r="F15" s="87">
        <v>117</v>
      </c>
      <c r="G15" s="87">
        <f t="shared" ref="G15" si="7">(E15*8+F15*4)/12</f>
        <v>117</v>
      </c>
      <c r="H15" s="87">
        <v>117</v>
      </c>
      <c r="I15" s="87">
        <v>117</v>
      </c>
      <c r="J15" s="75" t="s">
        <v>23</v>
      </c>
      <c r="K15" s="75"/>
      <c r="L15" s="75">
        <v>26048.26</v>
      </c>
      <c r="M15" s="75">
        <f t="shared" si="2"/>
        <v>26048.26</v>
      </c>
      <c r="N15" s="75">
        <f t="shared" ref="N15" si="8">E15*J15</f>
        <v>0</v>
      </c>
      <c r="O15" s="75">
        <f t="shared" si="3"/>
        <v>0</v>
      </c>
      <c r="P15" s="75">
        <f>G15*L15</f>
        <v>3047646.42</v>
      </c>
      <c r="Q15" s="75">
        <f t="shared" si="4"/>
        <v>3047646.42</v>
      </c>
      <c r="R15" s="75">
        <f t="shared" si="5"/>
        <v>3047646.42</v>
      </c>
      <c r="S15" s="75">
        <f t="shared" si="6"/>
        <v>3047646.42</v>
      </c>
    </row>
    <row r="16" spans="1:21">
      <c r="A16" s="89" t="s">
        <v>29</v>
      </c>
      <c r="B16" s="115"/>
      <c r="C16" s="115"/>
      <c r="D16" s="82"/>
      <c r="E16" s="87"/>
      <c r="F16" s="87"/>
      <c r="G16" s="87"/>
      <c r="H16" s="87"/>
      <c r="I16" s="87"/>
      <c r="J16" s="75"/>
      <c r="K16" s="75"/>
      <c r="L16" s="75"/>
      <c r="M16" s="75">
        <f t="shared" si="2"/>
        <v>0</v>
      </c>
      <c r="N16" s="78">
        <f>N17+N19</f>
        <v>2191749.33</v>
      </c>
      <c r="O16" s="78">
        <f t="shared" ref="O16:S16" si="9">O17+O19</f>
        <v>388146.66</v>
      </c>
      <c r="P16" s="78">
        <f>P17+P19</f>
        <v>1781458.38</v>
      </c>
      <c r="Q16" s="78">
        <f t="shared" si="9"/>
        <v>4361354.37</v>
      </c>
      <c r="R16" s="78">
        <f t="shared" si="9"/>
        <v>4439105.79</v>
      </c>
      <c r="S16" s="78">
        <f t="shared" si="9"/>
        <v>4439105.79</v>
      </c>
    </row>
    <row r="17" spans="1:19" ht="85.5">
      <c r="A17" s="90"/>
      <c r="B17" s="84" t="s">
        <v>76</v>
      </c>
      <c r="C17" s="84"/>
      <c r="D17" s="82"/>
      <c r="E17" s="68"/>
      <c r="F17" s="68"/>
      <c r="G17" s="68"/>
      <c r="H17" s="68"/>
      <c r="I17" s="68"/>
      <c r="J17" s="75"/>
      <c r="K17" s="75"/>
      <c r="L17" s="75"/>
      <c r="M17" s="75">
        <f t="shared" si="2"/>
        <v>0</v>
      </c>
      <c r="N17" s="75">
        <f t="shared" ref="N17:S17" si="10">SUM(N18:N18)</f>
        <v>2191749.33</v>
      </c>
      <c r="O17" s="75">
        <f t="shared" si="10"/>
        <v>388146.66</v>
      </c>
      <c r="P17" s="75">
        <f t="shared" si="10"/>
        <v>921865.8</v>
      </c>
      <c r="Q17" s="75">
        <f t="shared" si="10"/>
        <v>3501761.79</v>
      </c>
      <c r="R17" s="75">
        <f t="shared" si="10"/>
        <v>3579513.21</v>
      </c>
      <c r="S17" s="75">
        <f t="shared" si="10"/>
        <v>3579513.21</v>
      </c>
    </row>
    <row r="18" spans="1:19" ht="105">
      <c r="A18" s="83"/>
      <c r="B18" s="82"/>
      <c r="C18" s="83" t="s">
        <v>30</v>
      </c>
      <c r="D18" s="115" t="s">
        <v>31</v>
      </c>
      <c r="E18" s="87" t="s">
        <v>183</v>
      </c>
      <c r="F18" s="87" t="s">
        <v>183</v>
      </c>
      <c r="G18" s="87" t="s">
        <v>183</v>
      </c>
      <c r="H18" s="87" t="s">
        <v>183</v>
      </c>
      <c r="I18" s="87" t="s">
        <v>183</v>
      </c>
      <c r="J18" s="75">
        <v>730583.11</v>
      </c>
      <c r="K18" s="75">
        <v>11762.02</v>
      </c>
      <c r="L18" s="75">
        <v>27113.7</v>
      </c>
      <c r="M18" s="75">
        <f t="shared" si="2"/>
        <v>769458.83</v>
      </c>
      <c r="N18" s="75">
        <f>3*J18</f>
        <v>2191749.33</v>
      </c>
      <c r="O18" s="75">
        <f>((33*11762.02*8)+(33*11762.02*4))/12</f>
        <v>388146.66</v>
      </c>
      <c r="P18" s="75">
        <f>L18*34</f>
        <v>921865.8</v>
      </c>
      <c r="Q18" s="75">
        <f t="shared" si="4"/>
        <v>3501761.79</v>
      </c>
      <c r="R18" s="75">
        <f>Q18+77751.42</f>
        <v>3579513.21</v>
      </c>
      <c r="S18" s="75">
        <f>R18</f>
        <v>3579513.21</v>
      </c>
    </row>
    <row r="19" spans="1:19">
      <c r="A19" s="115"/>
      <c r="B19" s="115" t="s">
        <v>28</v>
      </c>
      <c r="C19" s="115"/>
      <c r="D19" s="115" t="s">
        <v>20</v>
      </c>
      <c r="E19" s="87">
        <v>33</v>
      </c>
      <c r="F19" s="87">
        <v>33</v>
      </c>
      <c r="G19" s="87">
        <f t="shared" ref="G19" si="11">(E19*8+F19*4)/12</f>
        <v>33</v>
      </c>
      <c r="H19" s="87">
        <v>33</v>
      </c>
      <c r="I19" s="87">
        <v>33</v>
      </c>
      <c r="J19" s="75" t="s">
        <v>23</v>
      </c>
      <c r="K19" s="75"/>
      <c r="L19" s="75">
        <v>26048.26</v>
      </c>
      <c r="M19" s="75">
        <f t="shared" si="2"/>
        <v>26048.26</v>
      </c>
      <c r="N19" s="75">
        <f t="shared" ref="N19" si="12">E19*J19</f>
        <v>0</v>
      </c>
      <c r="O19" s="75">
        <f t="shared" ref="O19:O26" si="13">E19*K19</f>
        <v>0</v>
      </c>
      <c r="P19" s="75">
        <f>G19*L19</f>
        <v>859592.58</v>
      </c>
      <c r="Q19" s="75">
        <f t="shared" si="4"/>
        <v>859592.58</v>
      </c>
      <c r="R19" s="75">
        <f t="shared" si="5"/>
        <v>859592.58</v>
      </c>
      <c r="S19" s="75">
        <f t="shared" si="6"/>
        <v>859592.58</v>
      </c>
    </row>
    <row r="20" spans="1:19">
      <c r="A20" s="116" t="s">
        <v>35</v>
      </c>
      <c r="B20" s="91"/>
      <c r="C20" s="91"/>
      <c r="D20" s="91"/>
      <c r="E20" s="92"/>
      <c r="F20" s="92"/>
      <c r="G20" s="92"/>
      <c r="H20" s="92"/>
      <c r="I20" s="92"/>
      <c r="J20" s="78"/>
      <c r="K20" s="78"/>
      <c r="L20" s="78"/>
      <c r="M20" s="78">
        <f t="shared" si="2"/>
        <v>0</v>
      </c>
      <c r="N20" s="78">
        <f>N21+N26</f>
        <v>8301824.3600000013</v>
      </c>
      <c r="O20" s="78">
        <f t="shared" ref="O20:S20" si="14">O21+O26</f>
        <v>1434966.44</v>
      </c>
      <c r="P20" s="78">
        <f>P21+P26</f>
        <v>6485759.1200000001</v>
      </c>
      <c r="Q20" s="78">
        <f t="shared" si="14"/>
        <v>16222549.920000002</v>
      </c>
      <c r="R20" s="78">
        <f t="shared" si="14"/>
        <v>16222549.919999998</v>
      </c>
      <c r="S20" s="78">
        <f t="shared" si="14"/>
        <v>16222549.919999998</v>
      </c>
    </row>
    <row r="21" spans="1:19" ht="85.5">
      <c r="A21" s="83"/>
      <c r="B21" s="84" t="s">
        <v>76</v>
      </c>
      <c r="C21" s="84"/>
      <c r="D21" s="82"/>
      <c r="E21" s="68"/>
      <c r="F21" s="68"/>
      <c r="G21" s="68"/>
      <c r="H21" s="68"/>
      <c r="I21" s="68"/>
      <c r="J21" s="75"/>
      <c r="K21" s="75"/>
      <c r="L21" s="75"/>
      <c r="M21" s="75">
        <f t="shared" si="2"/>
        <v>0</v>
      </c>
      <c r="N21" s="75">
        <f>SUM(N22:N25)</f>
        <v>8301824.3600000013</v>
      </c>
      <c r="O21" s="75">
        <f t="shared" ref="O21:S21" si="15">SUM(O22:O25)</f>
        <v>1434966.44</v>
      </c>
      <c r="P21" s="75">
        <f t="shared" si="15"/>
        <v>3307871.4000000004</v>
      </c>
      <c r="Q21" s="75">
        <f t="shared" si="15"/>
        <v>13044662.200000001</v>
      </c>
      <c r="R21" s="75">
        <f t="shared" si="15"/>
        <v>13044662.199999999</v>
      </c>
      <c r="S21" s="75">
        <f t="shared" si="15"/>
        <v>13044662.199999999</v>
      </c>
    </row>
    <row r="22" spans="1:19" ht="105">
      <c r="A22" s="83"/>
      <c r="B22" s="86" t="s">
        <v>19</v>
      </c>
      <c r="C22" s="93" t="s">
        <v>0</v>
      </c>
      <c r="D22" s="115" t="s">
        <v>20</v>
      </c>
      <c r="E22" s="87">
        <v>20</v>
      </c>
      <c r="F22" s="87">
        <v>20</v>
      </c>
      <c r="G22" s="87">
        <f t="shared" ref="G22:G25" si="16">(E22*8+F22*4)/12</f>
        <v>20</v>
      </c>
      <c r="H22" s="87">
        <v>20</v>
      </c>
      <c r="I22" s="87">
        <v>20</v>
      </c>
      <c r="J22" s="75">
        <v>41608.51</v>
      </c>
      <c r="K22" s="75">
        <v>11762.02</v>
      </c>
      <c r="L22" s="75">
        <v>27113.7</v>
      </c>
      <c r="M22" s="75">
        <f t="shared" si="2"/>
        <v>80484.23</v>
      </c>
      <c r="N22" s="75">
        <f>G22*J22</f>
        <v>832170.20000000007</v>
      </c>
      <c r="O22" s="75">
        <f>G22*K22</f>
        <v>235240.40000000002</v>
      </c>
      <c r="P22" s="75">
        <f>G22*L22</f>
        <v>542274</v>
      </c>
      <c r="Q22" s="75">
        <f t="shared" si="4"/>
        <v>1609684.6</v>
      </c>
      <c r="R22" s="75">
        <f t="shared" si="5"/>
        <v>1609684.5999999999</v>
      </c>
      <c r="S22" s="75">
        <f t="shared" si="6"/>
        <v>1609684.5999999999</v>
      </c>
    </row>
    <row r="23" spans="1:19">
      <c r="A23" s="88"/>
      <c r="B23" s="86" t="s">
        <v>24</v>
      </c>
      <c r="C23" s="86"/>
      <c r="D23" s="86" t="s">
        <v>20</v>
      </c>
      <c r="E23" s="87">
        <v>42</v>
      </c>
      <c r="F23" s="87">
        <v>42</v>
      </c>
      <c r="G23" s="87">
        <f t="shared" si="16"/>
        <v>42</v>
      </c>
      <c r="H23" s="87">
        <v>42</v>
      </c>
      <c r="I23" s="87">
        <v>42</v>
      </c>
      <c r="J23" s="75">
        <v>32991.18</v>
      </c>
      <c r="K23" s="75">
        <v>11762.02</v>
      </c>
      <c r="L23" s="75">
        <v>27113.7</v>
      </c>
      <c r="M23" s="75">
        <f t="shared" si="2"/>
        <v>71866.899999999994</v>
      </c>
      <c r="N23" s="75">
        <f>G23*J23</f>
        <v>1385629.56</v>
      </c>
      <c r="O23" s="75">
        <f>G23*K23</f>
        <v>494004.84</v>
      </c>
      <c r="P23" s="75">
        <f>G23*L23</f>
        <v>1138775.4000000001</v>
      </c>
      <c r="Q23" s="75">
        <f t="shared" si="4"/>
        <v>3018409.8000000003</v>
      </c>
      <c r="R23" s="75">
        <f t="shared" si="5"/>
        <v>3018409.8</v>
      </c>
      <c r="S23" s="75">
        <f t="shared" si="6"/>
        <v>3018409.8</v>
      </c>
    </row>
    <row r="24" spans="1:19" ht="105">
      <c r="A24" s="83"/>
      <c r="B24" s="86" t="s">
        <v>24</v>
      </c>
      <c r="C24" s="93" t="s">
        <v>38</v>
      </c>
      <c r="D24" s="115" t="s">
        <v>20</v>
      </c>
      <c r="E24" s="87">
        <v>36</v>
      </c>
      <c r="F24" s="87">
        <v>36</v>
      </c>
      <c r="G24" s="87">
        <f t="shared" si="16"/>
        <v>36</v>
      </c>
      <c r="H24" s="87">
        <v>36</v>
      </c>
      <c r="I24" s="87">
        <v>36</v>
      </c>
      <c r="J24" s="75">
        <v>136848.89000000001</v>
      </c>
      <c r="K24" s="75">
        <v>11762.02</v>
      </c>
      <c r="L24" s="75">
        <v>27113.7</v>
      </c>
      <c r="M24" s="75">
        <f t="shared" si="2"/>
        <v>175724.61000000002</v>
      </c>
      <c r="N24" s="75">
        <f>G24*J24</f>
        <v>4926560.040000001</v>
      </c>
      <c r="O24" s="75">
        <f>G24*K24</f>
        <v>423432.72000000003</v>
      </c>
      <c r="P24" s="75">
        <f>G24*L24</f>
        <v>976093.20000000007</v>
      </c>
      <c r="Q24" s="75">
        <f t="shared" si="4"/>
        <v>6326085.9600000009</v>
      </c>
      <c r="R24" s="75">
        <f t="shared" si="5"/>
        <v>6326085.9600000009</v>
      </c>
      <c r="S24" s="75">
        <f t="shared" si="6"/>
        <v>6326085.9600000009</v>
      </c>
    </row>
    <row r="25" spans="1:19" ht="120">
      <c r="A25" s="83"/>
      <c r="B25" s="86" t="s">
        <v>24</v>
      </c>
      <c r="C25" s="93" t="s">
        <v>162</v>
      </c>
      <c r="D25" s="115" t="s">
        <v>20</v>
      </c>
      <c r="E25" s="87">
        <v>24</v>
      </c>
      <c r="F25" s="87">
        <v>24</v>
      </c>
      <c r="G25" s="87">
        <f t="shared" si="16"/>
        <v>24</v>
      </c>
      <c r="H25" s="87">
        <v>24</v>
      </c>
      <c r="I25" s="87">
        <v>24</v>
      </c>
      <c r="J25" s="75">
        <v>48227.69</v>
      </c>
      <c r="K25" s="75" t="s">
        <v>163</v>
      </c>
      <c r="L25" s="75">
        <v>27113.7</v>
      </c>
      <c r="M25" s="75">
        <f t="shared" si="2"/>
        <v>87103.41</v>
      </c>
      <c r="N25" s="75">
        <f>G25*J25</f>
        <v>1157464.56</v>
      </c>
      <c r="O25" s="75">
        <f>G25*K25</f>
        <v>282288.48</v>
      </c>
      <c r="P25" s="75">
        <f>G25*L25</f>
        <v>650728.80000000005</v>
      </c>
      <c r="Q25" s="75">
        <f t="shared" si="4"/>
        <v>2090481.84</v>
      </c>
      <c r="R25" s="75">
        <f t="shared" si="5"/>
        <v>2090481.84</v>
      </c>
      <c r="S25" s="75">
        <f t="shared" si="6"/>
        <v>2090481.84</v>
      </c>
    </row>
    <row r="26" spans="1:19">
      <c r="A26" s="86"/>
      <c r="B26" s="86" t="s">
        <v>28</v>
      </c>
      <c r="C26" s="86"/>
      <c r="D26" s="115" t="s">
        <v>20</v>
      </c>
      <c r="E26" s="87">
        <v>122</v>
      </c>
      <c r="F26" s="87">
        <v>122</v>
      </c>
      <c r="G26" s="87">
        <f t="shared" ref="G26" si="17">(E26*8+F26*4)/12</f>
        <v>122</v>
      </c>
      <c r="H26" s="87">
        <v>122</v>
      </c>
      <c r="I26" s="87">
        <v>122</v>
      </c>
      <c r="J26" s="75" t="s">
        <v>23</v>
      </c>
      <c r="K26" s="75"/>
      <c r="L26" s="75">
        <v>26048.26</v>
      </c>
      <c r="M26" s="75">
        <f t="shared" si="2"/>
        <v>26048.26</v>
      </c>
      <c r="N26" s="75">
        <f t="shared" ref="N26:N51" si="18">E26*J26</f>
        <v>0</v>
      </c>
      <c r="O26" s="75">
        <f t="shared" si="13"/>
        <v>0</v>
      </c>
      <c r="P26" s="75">
        <f>G26*L26</f>
        <v>3177887.7199999997</v>
      </c>
      <c r="Q26" s="75">
        <f t="shared" si="4"/>
        <v>3177887.7199999997</v>
      </c>
      <c r="R26" s="75">
        <f t="shared" si="5"/>
        <v>3177887.7199999997</v>
      </c>
      <c r="S26" s="75">
        <f t="shared" si="6"/>
        <v>3177887.7199999997</v>
      </c>
    </row>
    <row r="27" spans="1:19">
      <c r="A27" s="116" t="s">
        <v>40</v>
      </c>
      <c r="B27" s="94"/>
      <c r="C27" s="94"/>
      <c r="D27" s="94"/>
      <c r="E27" s="92"/>
      <c r="F27" s="92"/>
      <c r="G27" s="92"/>
      <c r="H27" s="92"/>
      <c r="I27" s="92"/>
      <c r="J27" s="78"/>
      <c r="K27" s="78"/>
      <c r="L27" s="78"/>
      <c r="M27" s="78">
        <f t="shared" si="2"/>
        <v>0</v>
      </c>
      <c r="N27" s="78">
        <f>N28+N32</f>
        <v>4083315.61</v>
      </c>
      <c r="O27" s="78">
        <f t="shared" ref="O27:S27" si="19">O28+O32</f>
        <v>1258536.1400000001</v>
      </c>
      <c r="P27" s="78">
        <f t="shared" si="19"/>
        <v>5688329.7200000007</v>
      </c>
      <c r="Q27" s="78">
        <f t="shared" si="19"/>
        <v>11030181.470000001</v>
      </c>
      <c r="R27" s="78">
        <f t="shared" si="19"/>
        <v>11030181.469999999</v>
      </c>
      <c r="S27" s="78">
        <f t="shared" si="19"/>
        <v>11030181.469999999</v>
      </c>
    </row>
    <row r="28" spans="1:19" ht="85.5">
      <c r="A28" s="83"/>
      <c r="B28" s="84" t="s">
        <v>76</v>
      </c>
      <c r="C28" s="84"/>
      <c r="D28" s="95"/>
      <c r="E28" s="68"/>
      <c r="F28" s="68"/>
      <c r="G28" s="68"/>
      <c r="H28" s="68"/>
      <c r="I28" s="68"/>
      <c r="J28" s="75"/>
      <c r="K28" s="75"/>
      <c r="L28" s="75"/>
      <c r="M28" s="75">
        <f t="shared" si="2"/>
        <v>0</v>
      </c>
      <c r="N28" s="75">
        <f>SUM(N29:N31)</f>
        <v>4083315.61</v>
      </c>
      <c r="O28" s="75">
        <f t="shared" ref="O28:S28" si="20">SUM(O29:O31)</f>
        <v>1258536.1400000001</v>
      </c>
      <c r="P28" s="75">
        <f t="shared" si="20"/>
        <v>2901165.9000000004</v>
      </c>
      <c r="Q28" s="75">
        <f t="shared" si="20"/>
        <v>8243017.6500000004</v>
      </c>
      <c r="R28" s="75">
        <f t="shared" si="20"/>
        <v>8243017.6499999994</v>
      </c>
      <c r="S28" s="75">
        <f t="shared" si="20"/>
        <v>8243017.6499999994</v>
      </c>
    </row>
    <row r="29" spans="1:19" ht="105">
      <c r="A29" s="83"/>
      <c r="B29" s="86" t="s">
        <v>19</v>
      </c>
      <c r="C29" s="83" t="s">
        <v>0</v>
      </c>
      <c r="D29" s="115" t="s">
        <v>20</v>
      </c>
      <c r="E29" s="87">
        <v>20</v>
      </c>
      <c r="F29" s="87">
        <v>20</v>
      </c>
      <c r="G29" s="87">
        <f t="shared" ref="G29:G31" si="21">(E29*8+F29*4)/12</f>
        <v>20</v>
      </c>
      <c r="H29" s="87">
        <v>20</v>
      </c>
      <c r="I29" s="87">
        <v>20</v>
      </c>
      <c r="J29" s="75">
        <v>41608.51</v>
      </c>
      <c r="K29" s="75">
        <v>11762.02</v>
      </c>
      <c r="L29" s="75">
        <v>27113.7</v>
      </c>
      <c r="M29" s="75">
        <f t="shared" si="2"/>
        <v>80484.23</v>
      </c>
      <c r="N29" s="75">
        <f>G29*J29</f>
        <v>832170.20000000007</v>
      </c>
      <c r="O29" s="75">
        <f>G29*K29</f>
        <v>235240.40000000002</v>
      </c>
      <c r="P29" s="75">
        <f>G29*L29</f>
        <v>542274</v>
      </c>
      <c r="Q29" s="75">
        <f t="shared" si="4"/>
        <v>1609684.6</v>
      </c>
      <c r="R29" s="75">
        <f t="shared" si="5"/>
        <v>1609684.5999999999</v>
      </c>
      <c r="S29" s="75">
        <f t="shared" si="6"/>
        <v>1609684.5999999999</v>
      </c>
    </row>
    <row r="30" spans="1:19">
      <c r="A30" s="88"/>
      <c r="B30" s="86" t="s">
        <v>24</v>
      </c>
      <c r="C30" s="86"/>
      <c r="D30" s="86" t="s">
        <v>20</v>
      </c>
      <c r="E30" s="87">
        <v>62</v>
      </c>
      <c r="F30" s="87">
        <v>62</v>
      </c>
      <c r="G30" s="87">
        <f t="shared" si="21"/>
        <v>62</v>
      </c>
      <c r="H30" s="87">
        <v>62</v>
      </c>
      <c r="I30" s="87">
        <v>62</v>
      </c>
      <c r="J30" s="75">
        <v>32991.18</v>
      </c>
      <c r="K30" s="75">
        <v>11762.02</v>
      </c>
      <c r="L30" s="75">
        <v>27113.7</v>
      </c>
      <c r="M30" s="75">
        <f t="shared" si="2"/>
        <v>71866.899999999994</v>
      </c>
      <c r="N30" s="75">
        <f>G30*J30</f>
        <v>2045453.16</v>
      </c>
      <c r="O30" s="75">
        <f>G30*K30</f>
        <v>729245.24</v>
      </c>
      <c r="P30" s="75">
        <f>G30*L30</f>
        <v>1681049.4000000001</v>
      </c>
      <c r="Q30" s="75">
        <f t="shared" si="4"/>
        <v>4455747.8</v>
      </c>
      <c r="R30" s="75">
        <f t="shared" si="5"/>
        <v>4455747.8</v>
      </c>
      <c r="S30" s="75">
        <f t="shared" si="6"/>
        <v>4455747.8</v>
      </c>
    </row>
    <row r="31" spans="1:19" ht="120">
      <c r="A31" s="88"/>
      <c r="B31" s="86" t="s">
        <v>24</v>
      </c>
      <c r="C31" s="93" t="s">
        <v>162</v>
      </c>
      <c r="D31" s="115" t="s">
        <v>20</v>
      </c>
      <c r="E31" s="87">
        <v>25</v>
      </c>
      <c r="F31" s="87">
        <v>25</v>
      </c>
      <c r="G31" s="87">
        <f t="shared" si="21"/>
        <v>25</v>
      </c>
      <c r="H31" s="87">
        <v>25</v>
      </c>
      <c r="I31" s="87">
        <v>25</v>
      </c>
      <c r="J31" s="75">
        <v>48227.69</v>
      </c>
      <c r="K31" s="75" t="s">
        <v>163</v>
      </c>
      <c r="L31" s="75">
        <v>27113.7</v>
      </c>
      <c r="M31" s="75">
        <f t="shared" si="2"/>
        <v>87103.41</v>
      </c>
      <c r="N31" s="75">
        <f t="shared" ref="N31:N32" si="22">G31*J31</f>
        <v>1205692.25</v>
      </c>
      <c r="O31" s="75">
        <f t="shared" ref="O31:O32" si="23">G31*K31</f>
        <v>294050.5</v>
      </c>
      <c r="P31" s="75">
        <f>G31*L31</f>
        <v>677842.5</v>
      </c>
      <c r="Q31" s="75">
        <f t="shared" si="4"/>
        <v>2177585.25</v>
      </c>
      <c r="R31" s="75">
        <f t="shared" si="5"/>
        <v>2177585.25</v>
      </c>
      <c r="S31" s="75">
        <f t="shared" si="6"/>
        <v>2177585.25</v>
      </c>
    </row>
    <row r="32" spans="1:19">
      <c r="A32" s="86"/>
      <c r="B32" s="86" t="s">
        <v>28</v>
      </c>
      <c r="C32" s="86"/>
      <c r="D32" s="86" t="s">
        <v>20</v>
      </c>
      <c r="E32" s="87">
        <v>107</v>
      </c>
      <c r="F32" s="87">
        <v>107</v>
      </c>
      <c r="G32" s="87">
        <f t="shared" ref="G32" si="24">(E32*8+F32*4)/12</f>
        <v>107</v>
      </c>
      <c r="H32" s="87">
        <v>107</v>
      </c>
      <c r="I32" s="87">
        <v>107</v>
      </c>
      <c r="J32" s="75" t="s">
        <v>23</v>
      </c>
      <c r="K32" s="75"/>
      <c r="L32" s="75">
        <v>26048.26</v>
      </c>
      <c r="M32" s="75">
        <f t="shared" si="2"/>
        <v>26048.26</v>
      </c>
      <c r="N32" s="75">
        <f t="shared" si="22"/>
        <v>0</v>
      </c>
      <c r="O32" s="75">
        <f t="shared" si="23"/>
        <v>0</v>
      </c>
      <c r="P32" s="75">
        <f>G32*L32</f>
        <v>2787163.82</v>
      </c>
      <c r="Q32" s="75">
        <f t="shared" si="4"/>
        <v>2787163.82</v>
      </c>
      <c r="R32" s="75">
        <f t="shared" si="5"/>
        <v>2787163.82</v>
      </c>
      <c r="S32" s="75">
        <f t="shared" si="6"/>
        <v>2787163.82</v>
      </c>
    </row>
    <row r="33" spans="1:19">
      <c r="A33" s="116" t="s">
        <v>44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78"/>
      <c r="M33" s="78">
        <f t="shared" si="2"/>
        <v>0</v>
      </c>
      <c r="N33" s="78">
        <f>N34+N39</f>
        <v>11553006.48</v>
      </c>
      <c r="O33" s="78">
        <f t="shared" ref="O33:S33" si="25">O34+O39</f>
        <v>2564120.3600000003</v>
      </c>
      <c r="P33" s="78">
        <f t="shared" si="25"/>
        <v>11589307.279999999</v>
      </c>
      <c r="Q33" s="78">
        <f t="shared" si="25"/>
        <v>25706434.120000001</v>
      </c>
      <c r="R33" s="78">
        <f t="shared" si="25"/>
        <v>25706434.119999997</v>
      </c>
      <c r="S33" s="78">
        <f t="shared" si="25"/>
        <v>25706434.119999997</v>
      </c>
    </row>
    <row r="34" spans="1:19" ht="85.5">
      <c r="A34" s="83"/>
      <c r="B34" s="84" t="s">
        <v>76</v>
      </c>
      <c r="C34" s="84"/>
      <c r="D34" s="95"/>
      <c r="E34" s="68"/>
      <c r="F34" s="68"/>
      <c r="G34" s="68"/>
      <c r="H34" s="68"/>
      <c r="I34" s="68"/>
      <c r="J34" s="75"/>
      <c r="K34" s="75"/>
      <c r="L34" s="75"/>
      <c r="M34" s="75">
        <f t="shared" si="2"/>
        <v>0</v>
      </c>
      <c r="N34" s="75">
        <f>SUM(N35:N38)</f>
        <v>11553006.48</v>
      </c>
      <c r="O34" s="75">
        <f t="shared" ref="O34:S34" si="26">SUM(O35:O38)</f>
        <v>2564120.3600000003</v>
      </c>
      <c r="P34" s="75">
        <f t="shared" si="26"/>
        <v>5910786.5999999996</v>
      </c>
      <c r="Q34" s="75">
        <f t="shared" si="26"/>
        <v>20027913.440000001</v>
      </c>
      <c r="R34" s="75">
        <f t="shared" si="26"/>
        <v>20027913.439999998</v>
      </c>
      <c r="S34" s="75">
        <f t="shared" si="26"/>
        <v>20027913.439999998</v>
      </c>
    </row>
    <row r="35" spans="1:19" ht="105">
      <c r="A35" s="83"/>
      <c r="B35" s="86" t="s">
        <v>19</v>
      </c>
      <c r="C35" s="83" t="s">
        <v>0</v>
      </c>
      <c r="D35" s="115" t="s">
        <v>20</v>
      </c>
      <c r="E35" s="87">
        <v>40</v>
      </c>
      <c r="F35" s="87">
        <v>40</v>
      </c>
      <c r="G35" s="87">
        <f t="shared" ref="G35:G38" si="27">(E35*8+F35*4)/12</f>
        <v>40</v>
      </c>
      <c r="H35" s="87">
        <v>40</v>
      </c>
      <c r="I35" s="87">
        <v>40</v>
      </c>
      <c r="J35" s="75">
        <v>41608.51</v>
      </c>
      <c r="K35" s="75">
        <v>11762.02</v>
      </c>
      <c r="L35" s="75">
        <v>27113.7</v>
      </c>
      <c r="M35" s="75">
        <f t="shared" si="2"/>
        <v>80484.23</v>
      </c>
      <c r="N35" s="75">
        <f>G35*J35</f>
        <v>1664340.4000000001</v>
      </c>
      <c r="O35" s="75">
        <f>G35*K35</f>
        <v>470480.80000000005</v>
      </c>
      <c r="P35" s="75">
        <f>G35*L35</f>
        <v>1084548</v>
      </c>
      <c r="Q35" s="75">
        <f t="shared" si="4"/>
        <v>3219369.2</v>
      </c>
      <c r="R35" s="75">
        <f t="shared" si="5"/>
        <v>3219369.1999999997</v>
      </c>
      <c r="S35" s="75">
        <f t="shared" si="6"/>
        <v>3219369.1999999997</v>
      </c>
    </row>
    <row r="36" spans="1:19">
      <c r="A36" s="88"/>
      <c r="B36" s="86" t="s">
        <v>24</v>
      </c>
      <c r="C36" s="86"/>
      <c r="D36" s="86" t="s">
        <v>20</v>
      </c>
      <c r="E36" s="87">
        <v>54</v>
      </c>
      <c r="F36" s="87">
        <v>54</v>
      </c>
      <c r="G36" s="87">
        <f t="shared" si="27"/>
        <v>54</v>
      </c>
      <c r="H36" s="87">
        <v>54</v>
      </c>
      <c r="I36" s="87">
        <v>54</v>
      </c>
      <c r="J36" s="75">
        <v>32991.18</v>
      </c>
      <c r="K36" s="75">
        <v>11762.02</v>
      </c>
      <c r="L36" s="75">
        <v>27113.7</v>
      </c>
      <c r="M36" s="75">
        <f t="shared" si="2"/>
        <v>71866.899999999994</v>
      </c>
      <c r="N36" s="75">
        <f t="shared" ref="N36:N39" si="28">G36*J36</f>
        <v>1781523.72</v>
      </c>
      <c r="O36" s="75">
        <f t="shared" ref="O36:O39" si="29">G36*K36</f>
        <v>635149.08000000007</v>
      </c>
      <c r="P36" s="75">
        <f t="shared" ref="P36:P38" si="30">G36*L36</f>
        <v>1464139.8</v>
      </c>
      <c r="Q36" s="75">
        <f t="shared" si="4"/>
        <v>3880812.5999999996</v>
      </c>
      <c r="R36" s="75">
        <f t="shared" si="5"/>
        <v>3880812.5999999996</v>
      </c>
      <c r="S36" s="75">
        <f t="shared" si="6"/>
        <v>3880812.5999999996</v>
      </c>
    </row>
    <row r="37" spans="1:19" ht="105">
      <c r="A37" s="83"/>
      <c r="B37" s="95"/>
      <c r="C37" s="83" t="s">
        <v>38</v>
      </c>
      <c r="D37" s="115" t="s">
        <v>20</v>
      </c>
      <c r="E37" s="87">
        <v>24</v>
      </c>
      <c r="F37" s="87">
        <v>24</v>
      </c>
      <c r="G37" s="87">
        <f t="shared" si="27"/>
        <v>24</v>
      </c>
      <c r="H37" s="87">
        <v>24</v>
      </c>
      <c r="I37" s="87">
        <v>24</v>
      </c>
      <c r="J37" s="75">
        <v>136848.89000000001</v>
      </c>
      <c r="K37" s="75">
        <v>11762.02</v>
      </c>
      <c r="L37" s="75">
        <v>27113.7</v>
      </c>
      <c r="M37" s="75">
        <f t="shared" si="2"/>
        <v>175724.61000000002</v>
      </c>
      <c r="N37" s="75">
        <f t="shared" si="28"/>
        <v>3284373.3600000003</v>
      </c>
      <c r="O37" s="75">
        <f t="shared" si="29"/>
        <v>282288.48</v>
      </c>
      <c r="P37" s="75">
        <f t="shared" si="30"/>
        <v>650728.80000000005</v>
      </c>
      <c r="Q37" s="75">
        <f t="shared" si="4"/>
        <v>4217390.6400000006</v>
      </c>
      <c r="R37" s="75">
        <f t="shared" si="5"/>
        <v>4217390.6400000006</v>
      </c>
      <c r="S37" s="75">
        <f t="shared" si="6"/>
        <v>4217390.6400000006</v>
      </c>
    </row>
    <row r="38" spans="1:19" ht="120">
      <c r="A38" s="83"/>
      <c r="B38" s="86" t="s">
        <v>24</v>
      </c>
      <c r="C38" s="93" t="s">
        <v>162</v>
      </c>
      <c r="D38" s="115" t="s">
        <v>20</v>
      </c>
      <c r="E38" s="87">
        <v>100</v>
      </c>
      <c r="F38" s="87">
        <v>100</v>
      </c>
      <c r="G38" s="87">
        <f t="shared" si="27"/>
        <v>100</v>
      </c>
      <c r="H38" s="87">
        <v>100</v>
      </c>
      <c r="I38" s="87">
        <v>100</v>
      </c>
      <c r="J38" s="75">
        <v>48227.69</v>
      </c>
      <c r="K38" s="75" t="s">
        <v>163</v>
      </c>
      <c r="L38" s="75">
        <v>27113.7</v>
      </c>
      <c r="M38" s="75">
        <f t="shared" si="2"/>
        <v>87103.41</v>
      </c>
      <c r="N38" s="75">
        <f t="shared" si="28"/>
        <v>4822769</v>
      </c>
      <c r="O38" s="75">
        <f t="shared" si="29"/>
        <v>1176202</v>
      </c>
      <c r="P38" s="75">
        <f t="shared" si="30"/>
        <v>2711370</v>
      </c>
      <c r="Q38" s="75">
        <f t="shared" si="4"/>
        <v>8710341</v>
      </c>
      <c r="R38" s="75">
        <f t="shared" si="5"/>
        <v>8710341</v>
      </c>
      <c r="S38" s="75">
        <f t="shared" si="6"/>
        <v>8710341</v>
      </c>
    </row>
    <row r="39" spans="1:19">
      <c r="A39" s="86"/>
      <c r="B39" s="86" t="s">
        <v>28</v>
      </c>
      <c r="C39" s="86"/>
      <c r="D39" s="86" t="s">
        <v>20</v>
      </c>
      <c r="E39" s="87">
        <v>218</v>
      </c>
      <c r="F39" s="87">
        <v>218</v>
      </c>
      <c r="G39" s="87">
        <f t="shared" ref="G39" si="31">(E39*8+F39*4)/12</f>
        <v>218</v>
      </c>
      <c r="H39" s="87">
        <v>218</v>
      </c>
      <c r="I39" s="87">
        <v>218</v>
      </c>
      <c r="J39" s="75" t="s">
        <v>23</v>
      </c>
      <c r="K39" s="75"/>
      <c r="L39" s="75">
        <v>26048.26</v>
      </c>
      <c r="M39" s="75">
        <f t="shared" si="2"/>
        <v>26048.26</v>
      </c>
      <c r="N39" s="75">
        <f t="shared" si="28"/>
        <v>0</v>
      </c>
      <c r="O39" s="75">
        <f t="shared" si="29"/>
        <v>0</v>
      </c>
      <c r="P39" s="75">
        <f>G39*L39</f>
        <v>5678520.6799999997</v>
      </c>
      <c r="Q39" s="75">
        <f t="shared" si="4"/>
        <v>5678520.6799999997</v>
      </c>
      <c r="R39" s="75">
        <f t="shared" si="5"/>
        <v>5678520.6799999997</v>
      </c>
      <c r="S39" s="75">
        <f t="shared" si="6"/>
        <v>5678520.6799999997</v>
      </c>
    </row>
    <row r="40" spans="1:19">
      <c r="A40" s="116" t="s">
        <v>49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78"/>
      <c r="M40" s="78">
        <f t="shared" si="2"/>
        <v>0</v>
      </c>
      <c r="N40" s="78">
        <f>N41+N45</f>
        <v>4050324.43</v>
      </c>
      <c r="O40" s="78">
        <f t="shared" ref="O40:S40" si="32">O41+O45</f>
        <v>1246774.1200000001</v>
      </c>
      <c r="P40" s="78">
        <f t="shared" si="32"/>
        <v>5635167.7599999998</v>
      </c>
      <c r="Q40" s="78">
        <f t="shared" si="32"/>
        <v>10932266.310000001</v>
      </c>
      <c r="R40" s="78">
        <f t="shared" si="32"/>
        <v>10932266.309999999</v>
      </c>
      <c r="S40" s="78">
        <f t="shared" si="32"/>
        <v>10932266.309999999</v>
      </c>
    </row>
    <row r="41" spans="1:19" ht="85.5">
      <c r="A41" s="83"/>
      <c r="B41" s="84" t="s">
        <v>76</v>
      </c>
      <c r="C41" s="84"/>
      <c r="D41" s="95"/>
      <c r="E41" s="68"/>
      <c r="F41" s="68"/>
      <c r="G41" s="68"/>
      <c r="H41" s="68"/>
      <c r="I41" s="68"/>
      <c r="J41" s="75"/>
      <c r="K41" s="75"/>
      <c r="L41" s="75"/>
      <c r="M41" s="75">
        <f t="shared" si="2"/>
        <v>0</v>
      </c>
      <c r="N41" s="75">
        <f>SUM(N42:N44)</f>
        <v>4050324.43</v>
      </c>
      <c r="O41" s="75">
        <f t="shared" ref="O41:S41" si="33">SUM(O42:O44)</f>
        <v>1246774.1200000001</v>
      </c>
      <c r="P41" s="75">
        <f t="shared" si="33"/>
        <v>2874052.2</v>
      </c>
      <c r="Q41" s="75">
        <f t="shared" si="33"/>
        <v>8171150.75</v>
      </c>
      <c r="R41" s="75">
        <f t="shared" si="33"/>
        <v>8171150.7499999991</v>
      </c>
      <c r="S41" s="75">
        <f t="shared" si="33"/>
        <v>8171150.7499999991</v>
      </c>
    </row>
    <row r="42" spans="1:19" ht="105">
      <c r="A42" s="83"/>
      <c r="B42" s="86" t="s">
        <v>19</v>
      </c>
      <c r="C42" s="83" t="s">
        <v>0</v>
      </c>
      <c r="D42" s="115" t="s">
        <v>20</v>
      </c>
      <c r="E42" s="87">
        <v>20</v>
      </c>
      <c r="F42" s="87">
        <v>20</v>
      </c>
      <c r="G42" s="87">
        <f t="shared" ref="G42:G45" si="34">(E42*8+F42*4)/12</f>
        <v>20</v>
      </c>
      <c r="H42" s="87">
        <v>20</v>
      </c>
      <c r="I42" s="87">
        <v>20</v>
      </c>
      <c r="J42" s="75">
        <v>41608.51</v>
      </c>
      <c r="K42" s="75">
        <v>11762.02</v>
      </c>
      <c r="L42" s="75">
        <v>27113.7</v>
      </c>
      <c r="M42" s="75">
        <f t="shared" si="2"/>
        <v>80484.23</v>
      </c>
      <c r="N42" s="75">
        <f>G42*J42</f>
        <v>832170.20000000007</v>
      </c>
      <c r="O42" s="75">
        <f>G42*K42</f>
        <v>235240.40000000002</v>
      </c>
      <c r="P42" s="75">
        <f>G42*L42</f>
        <v>542274</v>
      </c>
      <c r="Q42" s="75">
        <f t="shared" si="4"/>
        <v>1609684.6</v>
      </c>
      <c r="R42" s="75">
        <f t="shared" si="5"/>
        <v>1609684.5999999999</v>
      </c>
      <c r="S42" s="75">
        <f t="shared" si="6"/>
        <v>1609684.5999999999</v>
      </c>
    </row>
    <row r="43" spans="1:19">
      <c r="A43" s="88"/>
      <c r="B43" s="86" t="s">
        <v>24</v>
      </c>
      <c r="C43" s="86"/>
      <c r="D43" s="86" t="s">
        <v>20</v>
      </c>
      <c r="E43" s="87">
        <v>61</v>
      </c>
      <c r="F43" s="87">
        <v>61</v>
      </c>
      <c r="G43" s="87">
        <f t="shared" si="34"/>
        <v>61</v>
      </c>
      <c r="H43" s="87">
        <v>61</v>
      </c>
      <c r="I43" s="87">
        <v>61</v>
      </c>
      <c r="J43" s="75">
        <v>32991.18</v>
      </c>
      <c r="K43" s="75">
        <v>11762.02</v>
      </c>
      <c r="L43" s="75">
        <v>27113.7</v>
      </c>
      <c r="M43" s="75">
        <f t="shared" si="2"/>
        <v>71866.899999999994</v>
      </c>
      <c r="N43" s="75">
        <f>G43*J43</f>
        <v>2012461.98</v>
      </c>
      <c r="O43" s="75">
        <f>G43*K43</f>
        <v>717483.22</v>
      </c>
      <c r="P43" s="75">
        <f t="shared" ref="P43:P45" si="35">G43*L43</f>
        <v>1653935.7</v>
      </c>
      <c r="Q43" s="75">
        <f t="shared" si="4"/>
        <v>4383880.9000000004</v>
      </c>
      <c r="R43" s="75">
        <f t="shared" si="5"/>
        <v>4383880.8999999994</v>
      </c>
      <c r="S43" s="75">
        <f t="shared" si="6"/>
        <v>4383880.8999999994</v>
      </c>
    </row>
    <row r="44" spans="1:19" ht="120">
      <c r="A44" s="88"/>
      <c r="B44" s="86" t="s">
        <v>24</v>
      </c>
      <c r="C44" s="93" t="s">
        <v>162</v>
      </c>
      <c r="D44" s="115" t="s">
        <v>20</v>
      </c>
      <c r="E44" s="87">
        <v>25</v>
      </c>
      <c r="F44" s="87">
        <v>25</v>
      </c>
      <c r="G44" s="87">
        <f t="shared" si="34"/>
        <v>25</v>
      </c>
      <c r="H44" s="87">
        <v>25</v>
      </c>
      <c r="I44" s="87">
        <v>25</v>
      </c>
      <c r="J44" s="75">
        <f>48227.69</f>
        <v>48227.69</v>
      </c>
      <c r="K44" s="75">
        <v>11762.02</v>
      </c>
      <c r="L44" s="75">
        <v>27113.7</v>
      </c>
      <c r="M44" s="75">
        <f t="shared" ref="M44" si="36">J44+K44+L44</f>
        <v>87103.41</v>
      </c>
      <c r="N44" s="75">
        <f t="shared" ref="N44:N45" si="37">G44*J44</f>
        <v>1205692.25</v>
      </c>
      <c r="O44" s="75">
        <f t="shared" ref="O44:O45" si="38">G44*K44</f>
        <v>294050.5</v>
      </c>
      <c r="P44" s="75">
        <f t="shared" si="35"/>
        <v>677842.5</v>
      </c>
      <c r="Q44" s="75">
        <f t="shared" ref="Q44" si="39">SUM(N44:P44)</f>
        <v>2177585.25</v>
      </c>
      <c r="R44" s="75">
        <f t="shared" ref="R44" si="40">H44*M44</f>
        <v>2177585.25</v>
      </c>
      <c r="S44" s="75">
        <f t="shared" ref="S44" si="41">I44*M44</f>
        <v>2177585.25</v>
      </c>
    </row>
    <row r="45" spans="1:19">
      <c r="A45" s="86"/>
      <c r="B45" s="86" t="s">
        <v>28</v>
      </c>
      <c r="C45" s="86"/>
      <c r="D45" s="86" t="s">
        <v>20</v>
      </c>
      <c r="E45" s="87">
        <v>106</v>
      </c>
      <c r="F45" s="87">
        <v>106</v>
      </c>
      <c r="G45" s="87">
        <f t="shared" si="34"/>
        <v>106</v>
      </c>
      <c r="H45" s="87">
        <v>106</v>
      </c>
      <c r="I45" s="87">
        <v>106</v>
      </c>
      <c r="J45" s="75" t="s">
        <v>23</v>
      </c>
      <c r="K45" s="75"/>
      <c r="L45" s="75">
        <v>26048.26</v>
      </c>
      <c r="M45" s="75">
        <f t="shared" si="2"/>
        <v>26048.26</v>
      </c>
      <c r="N45" s="75">
        <f t="shared" si="37"/>
        <v>0</v>
      </c>
      <c r="O45" s="75">
        <f t="shared" si="38"/>
        <v>0</v>
      </c>
      <c r="P45" s="75">
        <f t="shared" si="35"/>
        <v>2761115.56</v>
      </c>
      <c r="Q45" s="75">
        <f t="shared" si="4"/>
        <v>2761115.56</v>
      </c>
      <c r="R45" s="75">
        <f t="shared" si="5"/>
        <v>2761115.56</v>
      </c>
      <c r="S45" s="75">
        <f t="shared" si="6"/>
        <v>2761115.56</v>
      </c>
    </row>
    <row r="46" spans="1:19">
      <c r="A46" s="116" t="s">
        <v>53</v>
      </c>
      <c r="B46" s="94"/>
      <c r="C46" s="94"/>
      <c r="D46" s="94"/>
      <c r="E46" s="92"/>
      <c r="F46" s="92"/>
      <c r="G46" s="92"/>
      <c r="H46" s="92"/>
      <c r="I46" s="92"/>
      <c r="J46" s="78"/>
      <c r="K46" s="78"/>
      <c r="L46" s="78"/>
      <c r="M46" s="78">
        <f t="shared" si="2"/>
        <v>0</v>
      </c>
      <c r="N46" s="78">
        <f>N47+N51</f>
        <v>6014813.8200000003</v>
      </c>
      <c r="O46" s="78">
        <f t="shared" ref="O46:S46" si="42">O47+O51</f>
        <v>1811351.08</v>
      </c>
      <c r="P46" s="78">
        <f t="shared" si="42"/>
        <v>8186941.8399999999</v>
      </c>
      <c r="Q46" s="78">
        <f t="shared" si="42"/>
        <v>16013106.74</v>
      </c>
      <c r="R46" s="78">
        <f t="shared" si="42"/>
        <v>16013106.739999998</v>
      </c>
      <c r="S46" s="78">
        <f t="shared" si="42"/>
        <v>16013106.739999998</v>
      </c>
    </row>
    <row r="47" spans="1:19" ht="85.5">
      <c r="A47" s="83"/>
      <c r="B47" s="84" t="s">
        <v>76</v>
      </c>
      <c r="C47" s="84"/>
      <c r="D47" s="95"/>
      <c r="E47" s="68"/>
      <c r="F47" s="68"/>
      <c r="G47" s="68"/>
      <c r="H47" s="68"/>
      <c r="I47" s="68"/>
      <c r="J47" s="75"/>
      <c r="K47" s="75"/>
      <c r="L47" s="75"/>
      <c r="M47" s="75">
        <f t="shared" si="2"/>
        <v>0</v>
      </c>
      <c r="N47" s="75">
        <f>SUM(N48:N50)</f>
        <v>6014813.8200000003</v>
      </c>
      <c r="O47" s="75">
        <f t="shared" ref="O47:S47" si="43">SUM(O48:O50)</f>
        <v>1811351.08</v>
      </c>
      <c r="P47" s="75">
        <f t="shared" si="43"/>
        <v>4175509.8000000003</v>
      </c>
      <c r="Q47" s="75">
        <f t="shared" si="43"/>
        <v>12001674.700000001</v>
      </c>
      <c r="R47" s="75">
        <f t="shared" si="43"/>
        <v>12001674.699999999</v>
      </c>
      <c r="S47" s="75">
        <f t="shared" si="43"/>
        <v>12001674.699999999</v>
      </c>
    </row>
    <row r="48" spans="1:19" ht="105">
      <c r="A48" s="83"/>
      <c r="B48" s="86" t="s">
        <v>19</v>
      </c>
      <c r="C48" s="83" t="s">
        <v>0</v>
      </c>
      <c r="D48" s="115" t="s">
        <v>20</v>
      </c>
      <c r="E48" s="87">
        <v>20</v>
      </c>
      <c r="F48" s="87">
        <v>20</v>
      </c>
      <c r="G48" s="87">
        <f t="shared" ref="G48:G50" si="44">(E48*8+F48*4)/12</f>
        <v>20</v>
      </c>
      <c r="H48" s="87">
        <v>20</v>
      </c>
      <c r="I48" s="87">
        <v>20</v>
      </c>
      <c r="J48" s="75">
        <v>41608.51</v>
      </c>
      <c r="K48" s="75">
        <v>11762.02</v>
      </c>
      <c r="L48" s="75">
        <v>27113.7</v>
      </c>
      <c r="M48" s="75">
        <f t="shared" si="2"/>
        <v>80484.23</v>
      </c>
      <c r="N48" s="75">
        <f>G48*J48</f>
        <v>832170.20000000007</v>
      </c>
      <c r="O48" s="75">
        <f>G48*K48</f>
        <v>235240.40000000002</v>
      </c>
      <c r="P48" s="75">
        <f>G48*L48</f>
        <v>542274</v>
      </c>
      <c r="Q48" s="75">
        <f t="shared" si="4"/>
        <v>1609684.6</v>
      </c>
      <c r="R48" s="75">
        <f t="shared" si="5"/>
        <v>1609684.5999999999</v>
      </c>
      <c r="S48" s="75">
        <f t="shared" si="6"/>
        <v>1609684.5999999999</v>
      </c>
    </row>
    <row r="49" spans="1:19">
      <c r="A49" s="88"/>
      <c r="B49" s="86" t="s">
        <v>24</v>
      </c>
      <c r="C49" s="86"/>
      <c r="D49" s="86" t="s">
        <v>20</v>
      </c>
      <c r="E49" s="87">
        <v>84</v>
      </c>
      <c r="F49" s="87">
        <v>84</v>
      </c>
      <c r="G49" s="87">
        <f t="shared" si="44"/>
        <v>84</v>
      </c>
      <c r="H49" s="87">
        <v>84</v>
      </c>
      <c r="I49" s="87">
        <v>84</v>
      </c>
      <c r="J49" s="75">
        <v>32991.18</v>
      </c>
      <c r="K49" s="75">
        <v>11762.02</v>
      </c>
      <c r="L49" s="75">
        <v>27113.7</v>
      </c>
      <c r="M49" s="75">
        <f t="shared" si="2"/>
        <v>71866.899999999994</v>
      </c>
      <c r="N49" s="75">
        <f>G49*J49</f>
        <v>2771259.12</v>
      </c>
      <c r="O49" s="75">
        <f t="shared" ref="O49:O51" si="45">G49*K49</f>
        <v>988009.68</v>
      </c>
      <c r="P49" s="75">
        <f t="shared" ref="P49:P50" si="46">G49*L49</f>
        <v>2277550.8000000003</v>
      </c>
      <c r="Q49" s="75">
        <f t="shared" si="4"/>
        <v>6036819.6000000006</v>
      </c>
      <c r="R49" s="75">
        <f t="shared" si="5"/>
        <v>6036819.5999999996</v>
      </c>
      <c r="S49" s="75">
        <f t="shared" si="6"/>
        <v>6036819.5999999996</v>
      </c>
    </row>
    <row r="50" spans="1:19" ht="120">
      <c r="A50" s="88"/>
      <c r="B50" s="86" t="s">
        <v>24</v>
      </c>
      <c r="C50" s="93" t="s">
        <v>162</v>
      </c>
      <c r="D50" s="115" t="s">
        <v>20</v>
      </c>
      <c r="E50" s="87">
        <v>50</v>
      </c>
      <c r="F50" s="87">
        <v>50</v>
      </c>
      <c r="G50" s="87">
        <f t="shared" si="44"/>
        <v>50</v>
      </c>
      <c r="H50" s="87">
        <v>50</v>
      </c>
      <c r="I50" s="87">
        <v>50</v>
      </c>
      <c r="J50" s="75">
        <v>48227.69</v>
      </c>
      <c r="K50" s="75" t="s">
        <v>163</v>
      </c>
      <c r="L50" s="75">
        <v>27113.7</v>
      </c>
      <c r="M50" s="75">
        <f t="shared" si="2"/>
        <v>87103.41</v>
      </c>
      <c r="N50" s="75">
        <f>G50*J50</f>
        <v>2411384.5</v>
      </c>
      <c r="O50" s="75">
        <f t="shared" si="45"/>
        <v>588101</v>
      </c>
      <c r="P50" s="75">
        <f t="shared" si="46"/>
        <v>1355685</v>
      </c>
      <c r="Q50" s="75">
        <f t="shared" si="4"/>
        <v>4355170.5</v>
      </c>
      <c r="R50" s="75">
        <f t="shared" si="5"/>
        <v>4355170.5</v>
      </c>
      <c r="S50" s="75">
        <f t="shared" si="6"/>
        <v>4355170.5</v>
      </c>
    </row>
    <row r="51" spans="1:19">
      <c r="A51" s="86"/>
      <c r="B51" s="86" t="s">
        <v>28</v>
      </c>
      <c r="C51" s="86"/>
      <c r="D51" s="86" t="s">
        <v>20</v>
      </c>
      <c r="E51" s="87">
        <v>154</v>
      </c>
      <c r="F51" s="87">
        <v>154</v>
      </c>
      <c r="G51" s="87">
        <f t="shared" ref="G51" si="47">(E51*8+F51*4)/12</f>
        <v>154</v>
      </c>
      <c r="H51" s="87">
        <v>154</v>
      </c>
      <c r="I51" s="87">
        <v>154</v>
      </c>
      <c r="J51" s="75" t="s">
        <v>23</v>
      </c>
      <c r="K51" s="75"/>
      <c r="L51" s="75">
        <v>26048.26</v>
      </c>
      <c r="M51" s="75">
        <f t="shared" si="2"/>
        <v>26048.26</v>
      </c>
      <c r="N51" s="75">
        <f t="shared" si="18"/>
        <v>0</v>
      </c>
      <c r="O51" s="75">
        <f t="shared" si="45"/>
        <v>0</v>
      </c>
      <c r="P51" s="75">
        <f>G51*L51</f>
        <v>4011432.0399999996</v>
      </c>
      <c r="Q51" s="75">
        <f t="shared" si="4"/>
        <v>4011432.0399999996</v>
      </c>
      <c r="R51" s="75">
        <f t="shared" si="5"/>
        <v>4011432.0399999996</v>
      </c>
      <c r="S51" s="75">
        <f t="shared" si="6"/>
        <v>4011432.0399999996</v>
      </c>
    </row>
    <row r="52" spans="1:19">
      <c r="A52" s="116" t="s">
        <v>57</v>
      </c>
      <c r="B52" s="94"/>
      <c r="C52" s="94"/>
      <c r="D52" s="94"/>
      <c r="E52" s="92"/>
      <c r="F52" s="92"/>
      <c r="G52" s="92"/>
      <c r="H52" s="92"/>
      <c r="I52" s="92"/>
      <c r="J52" s="78"/>
      <c r="K52" s="78"/>
      <c r="L52" s="78"/>
      <c r="M52" s="78">
        <f t="shared" si="2"/>
        <v>0</v>
      </c>
      <c r="N52" s="78">
        <f>N53+N58</f>
        <v>4870179</v>
      </c>
      <c r="O52" s="78">
        <f t="shared" ref="O52:S52" si="48">O53+O58</f>
        <v>1352632.3</v>
      </c>
      <c r="P52" s="78">
        <f t="shared" si="48"/>
        <v>6113625.4000000004</v>
      </c>
      <c r="Q52" s="78">
        <f t="shared" si="48"/>
        <v>12336436.700000001</v>
      </c>
      <c r="R52" s="78">
        <f t="shared" si="48"/>
        <v>12336436.700000001</v>
      </c>
      <c r="S52" s="78">
        <f t="shared" si="48"/>
        <v>12336436.700000001</v>
      </c>
    </row>
    <row r="53" spans="1:19" ht="85.5">
      <c r="A53" s="83"/>
      <c r="B53" s="84" t="s">
        <v>76</v>
      </c>
      <c r="C53" s="84"/>
      <c r="D53" s="95"/>
      <c r="E53" s="68"/>
      <c r="F53" s="68"/>
      <c r="G53" s="68"/>
      <c r="H53" s="68"/>
      <c r="I53" s="68"/>
      <c r="J53" s="75"/>
      <c r="K53" s="75"/>
      <c r="L53" s="75"/>
      <c r="M53" s="75">
        <f t="shared" si="2"/>
        <v>0</v>
      </c>
      <c r="N53" s="75">
        <f>SUM(N54:N57)</f>
        <v>4870179</v>
      </c>
      <c r="O53" s="75">
        <f t="shared" ref="O53:S53" si="49">SUM(O54:O57)</f>
        <v>1352632.3</v>
      </c>
      <c r="P53" s="75">
        <f t="shared" si="49"/>
        <v>3118075.5</v>
      </c>
      <c r="Q53" s="75">
        <f t="shared" si="49"/>
        <v>9340886.8000000007</v>
      </c>
      <c r="R53" s="75">
        <f t="shared" si="49"/>
        <v>9340886.8000000007</v>
      </c>
      <c r="S53" s="75">
        <f t="shared" si="49"/>
        <v>9340886.8000000007</v>
      </c>
    </row>
    <row r="54" spans="1:19" ht="105">
      <c r="A54" s="83"/>
      <c r="B54" s="86" t="s">
        <v>19</v>
      </c>
      <c r="C54" s="83" t="s">
        <v>0</v>
      </c>
      <c r="D54" s="115" t="s">
        <v>20</v>
      </c>
      <c r="E54" s="87">
        <v>20</v>
      </c>
      <c r="F54" s="87">
        <v>20</v>
      </c>
      <c r="G54" s="87">
        <f t="shared" ref="G54:G58" si="50">(E54*8+F54*4)/12</f>
        <v>20</v>
      </c>
      <c r="H54" s="87">
        <v>20</v>
      </c>
      <c r="I54" s="87">
        <v>20</v>
      </c>
      <c r="J54" s="75">
        <v>41608.51</v>
      </c>
      <c r="K54" s="75">
        <v>11762.02</v>
      </c>
      <c r="L54" s="75">
        <v>27113.7</v>
      </c>
      <c r="M54" s="75">
        <f t="shared" si="2"/>
        <v>80484.23</v>
      </c>
      <c r="N54" s="75">
        <f>G54*J54</f>
        <v>832170.20000000007</v>
      </c>
      <c r="O54" s="75">
        <f>G54*K54</f>
        <v>235240.40000000002</v>
      </c>
      <c r="P54" s="75">
        <f>G54*L54</f>
        <v>542274</v>
      </c>
      <c r="Q54" s="75">
        <f t="shared" si="4"/>
        <v>1609684.6</v>
      </c>
      <c r="R54" s="75">
        <f t="shared" si="5"/>
        <v>1609684.5999999999</v>
      </c>
      <c r="S54" s="75">
        <f t="shared" si="6"/>
        <v>1609684.5999999999</v>
      </c>
    </row>
    <row r="55" spans="1:19">
      <c r="A55" s="88"/>
      <c r="B55" s="86" t="s">
        <v>24</v>
      </c>
      <c r="C55" s="86"/>
      <c r="D55" s="86" t="s">
        <v>20</v>
      </c>
      <c r="E55" s="87">
        <v>45</v>
      </c>
      <c r="F55" s="87">
        <v>45</v>
      </c>
      <c r="G55" s="87">
        <f t="shared" si="50"/>
        <v>45</v>
      </c>
      <c r="H55" s="87">
        <v>45</v>
      </c>
      <c r="I55" s="87">
        <v>45</v>
      </c>
      <c r="J55" s="75">
        <v>32991.18</v>
      </c>
      <c r="K55" s="75">
        <v>11762.02</v>
      </c>
      <c r="L55" s="75">
        <v>27113.7</v>
      </c>
      <c r="M55" s="75">
        <f t="shared" si="2"/>
        <v>71866.899999999994</v>
      </c>
      <c r="N55" s="75">
        <f>G55*J55</f>
        <v>1484603.1</v>
      </c>
      <c r="O55" s="75">
        <f t="shared" ref="O55:O58" si="51">G55*K55</f>
        <v>529290.9</v>
      </c>
      <c r="P55" s="75">
        <f t="shared" ref="P55:P57" si="52">G55*L55</f>
        <v>1220116.5</v>
      </c>
      <c r="Q55" s="75">
        <f t="shared" si="4"/>
        <v>3234010.5</v>
      </c>
      <c r="R55" s="75">
        <f t="shared" si="5"/>
        <v>3234010.4999999995</v>
      </c>
      <c r="S55" s="75">
        <f t="shared" si="6"/>
        <v>3234010.4999999995</v>
      </c>
    </row>
    <row r="56" spans="1:19" ht="75">
      <c r="A56" s="83"/>
      <c r="B56" s="95"/>
      <c r="C56" s="83" t="s">
        <v>78</v>
      </c>
      <c r="D56" s="115" t="s">
        <v>20</v>
      </c>
      <c r="E56" s="87">
        <v>95</v>
      </c>
      <c r="F56" s="87">
        <v>95</v>
      </c>
      <c r="G56" s="87">
        <f t="shared" si="50"/>
        <v>95</v>
      </c>
      <c r="H56" s="87">
        <v>95</v>
      </c>
      <c r="I56" s="87">
        <v>95</v>
      </c>
      <c r="J56" s="75">
        <v>1494.96</v>
      </c>
      <c r="K56" s="75"/>
      <c r="L56" s="75"/>
      <c r="M56" s="75">
        <f t="shared" si="2"/>
        <v>1494.96</v>
      </c>
      <c r="N56" s="75">
        <f t="shared" ref="N56:N58" si="53">G56*J56</f>
        <v>142021.20000000001</v>
      </c>
      <c r="O56" s="75">
        <f t="shared" si="51"/>
        <v>0</v>
      </c>
      <c r="P56" s="75">
        <f t="shared" si="52"/>
        <v>0</v>
      </c>
      <c r="Q56" s="75">
        <f t="shared" si="4"/>
        <v>142021.20000000001</v>
      </c>
      <c r="R56" s="75">
        <f t="shared" si="5"/>
        <v>142021.20000000001</v>
      </c>
      <c r="S56" s="75">
        <f t="shared" si="6"/>
        <v>142021.20000000001</v>
      </c>
    </row>
    <row r="57" spans="1:19" ht="120">
      <c r="A57" s="83"/>
      <c r="B57" s="86" t="s">
        <v>24</v>
      </c>
      <c r="C57" s="93" t="s">
        <v>162</v>
      </c>
      <c r="D57" s="115" t="s">
        <v>20</v>
      </c>
      <c r="E57" s="87">
        <v>50</v>
      </c>
      <c r="F57" s="87">
        <v>50</v>
      </c>
      <c r="G57" s="87">
        <f t="shared" si="50"/>
        <v>50</v>
      </c>
      <c r="H57" s="87">
        <v>50</v>
      </c>
      <c r="I57" s="87">
        <v>50</v>
      </c>
      <c r="J57" s="75">
        <v>48227.69</v>
      </c>
      <c r="K57" s="75" t="s">
        <v>163</v>
      </c>
      <c r="L57" s="75">
        <v>27113.7</v>
      </c>
      <c r="M57" s="75">
        <f t="shared" ref="M57" si="54">J57+K57+L57</f>
        <v>87103.41</v>
      </c>
      <c r="N57" s="75">
        <f t="shared" si="53"/>
        <v>2411384.5</v>
      </c>
      <c r="O57" s="75">
        <f t="shared" si="51"/>
        <v>588101</v>
      </c>
      <c r="P57" s="75">
        <f t="shared" si="52"/>
        <v>1355685</v>
      </c>
      <c r="Q57" s="75">
        <f t="shared" si="4"/>
        <v>4355170.5</v>
      </c>
      <c r="R57" s="75">
        <f t="shared" ref="R57" si="55">H57*M57</f>
        <v>4355170.5</v>
      </c>
      <c r="S57" s="75">
        <f t="shared" ref="S57" si="56">I57*M57</f>
        <v>4355170.5</v>
      </c>
    </row>
    <row r="58" spans="1:19">
      <c r="A58" s="86"/>
      <c r="B58" s="86" t="s">
        <v>28</v>
      </c>
      <c r="C58" s="86"/>
      <c r="D58" s="86" t="s">
        <v>20</v>
      </c>
      <c r="E58" s="87">
        <v>115</v>
      </c>
      <c r="F58" s="87">
        <v>115</v>
      </c>
      <c r="G58" s="87">
        <f t="shared" si="50"/>
        <v>115</v>
      </c>
      <c r="H58" s="87">
        <v>115</v>
      </c>
      <c r="I58" s="87">
        <v>115</v>
      </c>
      <c r="J58" s="75" t="s">
        <v>23</v>
      </c>
      <c r="K58" s="75"/>
      <c r="L58" s="75">
        <v>26048.26</v>
      </c>
      <c r="M58" s="75">
        <f t="shared" si="2"/>
        <v>26048.26</v>
      </c>
      <c r="N58" s="75">
        <f t="shared" si="53"/>
        <v>0</v>
      </c>
      <c r="O58" s="75">
        <f t="shared" si="51"/>
        <v>0</v>
      </c>
      <c r="P58" s="75">
        <f>G58*L58</f>
        <v>2995549.9</v>
      </c>
      <c r="Q58" s="75">
        <f t="shared" si="4"/>
        <v>2995549.9</v>
      </c>
      <c r="R58" s="75">
        <f t="shared" si="5"/>
        <v>2995549.9</v>
      </c>
      <c r="S58" s="75">
        <f t="shared" si="6"/>
        <v>2995549.9</v>
      </c>
    </row>
    <row r="59" spans="1:19">
      <c r="A59" s="116" t="s">
        <v>61</v>
      </c>
      <c r="B59" s="94"/>
      <c r="C59" s="94"/>
      <c r="D59" s="94"/>
      <c r="E59" s="92"/>
      <c r="F59" s="92"/>
      <c r="G59" s="92"/>
      <c r="H59" s="92"/>
      <c r="I59" s="92"/>
      <c r="J59" s="78"/>
      <c r="K59" s="78"/>
      <c r="L59" s="78"/>
      <c r="M59" s="78">
        <f t="shared" si="2"/>
        <v>0</v>
      </c>
      <c r="N59" s="78">
        <f>N60+N65</f>
        <v>9809330.2800000012</v>
      </c>
      <c r="O59" s="78">
        <f t="shared" ref="O59:S59" si="57">O60+O65</f>
        <v>2728788.64</v>
      </c>
      <c r="P59" s="78">
        <f t="shared" si="57"/>
        <v>12333574.719999999</v>
      </c>
      <c r="Q59" s="78">
        <f t="shared" si="57"/>
        <v>24871693.640000001</v>
      </c>
      <c r="R59" s="78">
        <f t="shared" si="57"/>
        <v>24873188.600000001</v>
      </c>
      <c r="S59" s="78">
        <f t="shared" si="57"/>
        <v>24873188.600000001</v>
      </c>
    </row>
    <row r="60" spans="1:19" ht="85.5">
      <c r="A60" s="83"/>
      <c r="B60" s="84" t="s">
        <v>76</v>
      </c>
      <c r="C60" s="84"/>
      <c r="D60" s="95"/>
      <c r="E60" s="68"/>
      <c r="F60" s="68"/>
      <c r="G60" s="68"/>
      <c r="H60" s="68"/>
      <c r="I60" s="68"/>
      <c r="J60" s="75"/>
      <c r="K60" s="75"/>
      <c r="L60" s="75"/>
      <c r="M60" s="75">
        <f t="shared" si="2"/>
        <v>0</v>
      </c>
      <c r="N60" s="75">
        <f>SUM(N61:N64)</f>
        <v>9809330.2800000012</v>
      </c>
      <c r="O60" s="75">
        <f t="shared" ref="O60:S60" si="58">SUM(O61:O64)</f>
        <v>2728788.64</v>
      </c>
      <c r="P60" s="75">
        <f t="shared" si="58"/>
        <v>6290378.4000000004</v>
      </c>
      <c r="Q60" s="75">
        <f t="shared" si="58"/>
        <v>18828497.32</v>
      </c>
      <c r="R60" s="75">
        <f t="shared" si="58"/>
        <v>18829992.280000001</v>
      </c>
      <c r="S60" s="75">
        <f t="shared" si="58"/>
        <v>18829992.280000001</v>
      </c>
    </row>
    <row r="61" spans="1:19" ht="105">
      <c r="A61" s="83"/>
      <c r="B61" s="86" t="s">
        <v>19</v>
      </c>
      <c r="C61" s="83" t="s">
        <v>0</v>
      </c>
      <c r="D61" s="115" t="s">
        <v>20</v>
      </c>
      <c r="E61" s="87">
        <v>40</v>
      </c>
      <c r="F61" s="87">
        <v>40</v>
      </c>
      <c r="G61" s="87">
        <f t="shared" ref="G61:G64" si="59">(E61*8+F61*4)/12</f>
        <v>40</v>
      </c>
      <c r="H61" s="87">
        <v>40</v>
      </c>
      <c r="I61" s="87">
        <v>40</v>
      </c>
      <c r="J61" s="75">
        <v>41608.51</v>
      </c>
      <c r="K61" s="75">
        <v>11762.02</v>
      </c>
      <c r="L61" s="75">
        <v>27113.7</v>
      </c>
      <c r="M61" s="75">
        <f t="shared" si="2"/>
        <v>80484.23</v>
      </c>
      <c r="N61" s="75">
        <f>G61*J61</f>
        <v>1664340.4000000001</v>
      </c>
      <c r="O61" s="75">
        <f>G61*K61</f>
        <v>470480.80000000005</v>
      </c>
      <c r="P61" s="75">
        <f>G61*L61</f>
        <v>1084548</v>
      </c>
      <c r="Q61" s="75">
        <f t="shared" si="4"/>
        <v>3219369.2</v>
      </c>
      <c r="R61" s="75">
        <f t="shared" si="5"/>
        <v>3219369.1999999997</v>
      </c>
      <c r="S61" s="75">
        <f t="shared" si="6"/>
        <v>3219369.1999999997</v>
      </c>
    </row>
    <row r="62" spans="1:19">
      <c r="A62" s="88"/>
      <c r="B62" s="86" t="s">
        <v>24</v>
      </c>
      <c r="C62" s="86"/>
      <c r="D62" s="86" t="s">
        <v>20</v>
      </c>
      <c r="E62" s="87">
        <v>92</v>
      </c>
      <c r="F62" s="87">
        <v>92</v>
      </c>
      <c r="G62" s="87">
        <f t="shared" si="59"/>
        <v>92</v>
      </c>
      <c r="H62" s="87">
        <v>92</v>
      </c>
      <c r="I62" s="87">
        <v>92</v>
      </c>
      <c r="J62" s="75">
        <v>32991.18</v>
      </c>
      <c r="K62" s="75">
        <v>11762.02</v>
      </c>
      <c r="L62" s="75">
        <v>27113.7</v>
      </c>
      <c r="M62" s="75">
        <f t="shared" si="2"/>
        <v>71866.899999999994</v>
      </c>
      <c r="N62" s="75">
        <f t="shared" ref="N62:N65" si="60">G62*J62</f>
        <v>3035188.56</v>
      </c>
      <c r="O62" s="75">
        <f t="shared" ref="O62:O65" si="61">G62*K62</f>
        <v>1082105.8400000001</v>
      </c>
      <c r="P62" s="75">
        <f t="shared" ref="P62:P64" si="62">G62*L62</f>
        <v>2494460.4</v>
      </c>
      <c r="Q62" s="75">
        <f t="shared" si="4"/>
        <v>6611754.8000000007</v>
      </c>
      <c r="R62" s="75">
        <f t="shared" si="5"/>
        <v>6611754.7999999998</v>
      </c>
      <c r="S62" s="75">
        <f t="shared" si="6"/>
        <v>6611754.7999999998</v>
      </c>
    </row>
    <row r="63" spans="1:19" ht="120">
      <c r="A63" s="88"/>
      <c r="B63" s="86" t="s">
        <v>24</v>
      </c>
      <c r="C63" s="112" t="s">
        <v>162</v>
      </c>
      <c r="D63" s="115" t="s">
        <v>20</v>
      </c>
      <c r="E63" s="87">
        <v>100</v>
      </c>
      <c r="F63" s="87">
        <v>100</v>
      </c>
      <c r="G63" s="87">
        <f t="shared" si="59"/>
        <v>100</v>
      </c>
      <c r="H63" s="87">
        <v>100</v>
      </c>
      <c r="I63" s="87">
        <v>100</v>
      </c>
      <c r="J63" s="75">
        <v>48227.69</v>
      </c>
      <c r="K63" s="75" t="s">
        <v>163</v>
      </c>
      <c r="L63" s="75">
        <v>27113.7</v>
      </c>
      <c r="M63" s="75">
        <f t="shared" si="2"/>
        <v>87103.41</v>
      </c>
      <c r="N63" s="75">
        <f t="shared" si="60"/>
        <v>4822769</v>
      </c>
      <c r="O63" s="75">
        <f t="shared" si="61"/>
        <v>1176202</v>
      </c>
      <c r="P63" s="75">
        <f t="shared" si="62"/>
        <v>2711370</v>
      </c>
      <c r="Q63" s="75">
        <f t="shared" si="4"/>
        <v>8710341</v>
      </c>
      <c r="R63" s="75">
        <f t="shared" si="5"/>
        <v>8710341</v>
      </c>
      <c r="S63" s="75">
        <f t="shared" si="6"/>
        <v>8710341</v>
      </c>
    </row>
    <row r="64" spans="1:19" ht="75">
      <c r="A64" s="83"/>
      <c r="B64" s="95"/>
      <c r="C64" s="83" t="s">
        <v>78</v>
      </c>
      <c r="D64" s="115" t="s">
        <v>20</v>
      </c>
      <c r="E64" s="87">
        <v>192</v>
      </c>
      <c r="F64" s="87">
        <v>192</v>
      </c>
      <c r="G64" s="87">
        <f t="shared" si="59"/>
        <v>192</v>
      </c>
      <c r="H64" s="87">
        <v>193</v>
      </c>
      <c r="I64" s="87">
        <v>193</v>
      </c>
      <c r="J64" s="75">
        <v>1494.96</v>
      </c>
      <c r="K64" s="75"/>
      <c r="L64" s="75"/>
      <c r="M64" s="75">
        <f t="shared" si="2"/>
        <v>1494.96</v>
      </c>
      <c r="N64" s="75">
        <f t="shared" si="60"/>
        <v>287032.32000000001</v>
      </c>
      <c r="O64" s="75">
        <f t="shared" si="61"/>
        <v>0</v>
      </c>
      <c r="P64" s="75">
        <f t="shared" si="62"/>
        <v>0</v>
      </c>
      <c r="Q64" s="75">
        <f t="shared" si="4"/>
        <v>287032.32000000001</v>
      </c>
      <c r="R64" s="75">
        <f t="shared" si="5"/>
        <v>288527.28000000003</v>
      </c>
      <c r="S64" s="75">
        <f t="shared" si="6"/>
        <v>288527.28000000003</v>
      </c>
    </row>
    <row r="65" spans="1:19">
      <c r="A65" s="86"/>
      <c r="B65" s="86" t="s">
        <v>28</v>
      </c>
      <c r="C65" s="86"/>
      <c r="D65" s="86" t="s">
        <v>20</v>
      </c>
      <c r="E65" s="87">
        <v>232</v>
      </c>
      <c r="F65" s="87">
        <v>232</v>
      </c>
      <c r="G65" s="87">
        <f t="shared" ref="G65" si="63">(E65*8+F65*4)/12</f>
        <v>232</v>
      </c>
      <c r="H65" s="87">
        <v>232</v>
      </c>
      <c r="I65" s="87">
        <v>232</v>
      </c>
      <c r="J65" s="75" t="s">
        <v>23</v>
      </c>
      <c r="K65" s="75"/>
      <c r="L65" s="75">
        <v>26048.26</v>
      </c>
      <c r="M65" s="75">
        <f t="shared" si="2"/>
        <v>26048.26</v>
      </c>
      <c r="N65" s="75">
        <f t="shared" si="60"/>
        <v>0</v>
      </c>
      <c r="O65" s="75">
        <f t="shared" si="61"/>
        <v>0</v>
      </c>
      <c r="P65" s="75">
        <f>G65*L65</f>
        <v>6043196.3199999994</v>
      </c>
      <c r="Q65" s="75">
        <f t="shared" si="4"/>
        <v>6043196.3199999994</v>
      </c>
      <c r="R65" s="75">
        <f t="shared" si="5"/>
        <v>6043196.3199999994</v>
      </c>
      <c r="S65" s="75">
        <f t="shared" si="6"/>
        <v>6043196.3199999994</v>
      </c>
    </row>
    <row r="66" spans="1:19">
      <c r="A66" s="116" t="s">
        <v>65</v>
      </c>
      <c r="B66" s="94"/>
      <c r="C66" s="94"/>
      <c r="D66" s="94"/>
      <c r="E66" s="92"/>
      <c r="F66" s="92"/>
      <c r="G66" s="92"/>
      <c r="H66" s="92"/>
      <c r="I66" s="92"/>
      <c r="J66" s="78"/>
      <c r="K66" s="78"/>
      <c r="L66" s="78"/>
      <c r="M66" s="78">
        <f t="shared" si="2"/>
        <v>0</v>
      </c>
      <c r="N66" s="78">
        <f>N67+N71</f>
        <v>5172024.5500000007</v>
      </c>
      <c r="O66" s="78">
        <f t="shared" ref="O66:S66" si="64">O67+O71</f>
        <v>1646682.8000000003</v>
      </c>
      <c r="P66" s="78">
        <f t="shared" si="64"/>
        <v>7442674.4000000004</v>
      </c>
      <c r="Q66" s="78">
        <f t="shared" si="64"/>
        <v>14261381.75</v>
      </c>
      <c r="R66" s="78">
        <f t="shared" si="64"/>
        <v>14261381.75</v>
      </c>
      <c r="S66" s="78">
        <f t="shared" si="64"/>
        <v>14261381.75</v>
      </c>
    </row>
    <row r="67" spans="1:19" ht="85.5">
      <c r="A67" s="83"/>
      <c r="B67" s="84" t="s">
        <v>76</v>
      </c>
      <c r="C67" s="84"/>
      <c r="D67" s="95"/>
      <c r="E67" s="68"/>
      <c r="F67" s="68"/>
      <c r="G67" s="68"/>
      <c r="H67" s="68"/>
      <c r="I67" s="68"/>
      <c r="J67" s="75"/>
      <c r="K67" s="75"/>
      <c r="L67" s="75"/>
      <c r="M67" s="75">
        <f t="shared" si="2"/>
        <v>0</v>
      </c>
      <c r="N67" s="75">
        <f>SUM(N68:N70)</f>
        <v>5172024.5500000007</v>
      </c>
      <c r="O67" s="75">
        <f t="shared" ref="O67:S67" si="65">SUM(O68:O70)</f>
        <v>1646682.8000000003</v>
      </c>
      <c r="P67" s="75">
        <f t="shared" si="65"/>
        <v>3795918</v>
      </c>
      <c r="Q67" s="75">
        <f t="shared" si="65"/>
        <v>10614625.35</v>
      </c>
      <c r="R67" s="75">
        <f t="shared" si="65"/>
        <v>10614625.35</v>
      </c>
      <c r="S67" s="75">
        <f t="shared" si="65"/>
        <v>10614625.35</v>
      </c>
    </row>
    <row r="68" spans="1:19" ht="105">
      <c r="A68" s="83"/>
      <c r="B68" s="86" t="s">
        <v>19</v>
      </c>
      <c r="C68" s="83" t="s">
        <v>0</v>
      </c>
      <c r="D68" s="86" t="s">
        <v>20</v>
      </c>
      <c r="E68" s="87">
        <v>20</v>
      </c>
      <c r="F68" s="87">
        <v>20</v>
      </c>
      <c r="G68" s="87">
        <f t="shared" ref="G68:G71" si="66">(E68*8+F68*4)/12</f>
        <v>20</v>
      </c>
      <c r="H68" s="87">
        <v>20</v>
      </c>
      <c r="I68" s="87">
        <v>20</v>
      </c>
      <c r="J68" s="75">
        <v>41608.51</v>
      </c>
      <c r="K68" s="75">
        <v>11762.02</v>
      </c>
      <c r="L68" s="75">
        <v>27113.7</v>
      </c>
      <c r="M68" s="75">
        <f t="shared" si="2"/>
        <v>80484.23</v>
      </c>
      <c r="N68" s="75">
        <f>G68*J68</f>
        <v>832170.20000000007</v>
      </c>
      <c r="O68" s="75">
        <f>G68*K68</f>
        <v>235240.40000000002</v>
      </c>
      <c r="P68" s="75">
        <f>G68*L68</f>
        <v>542274</v>
      </c>
      <c r="Q68" s="75">
        <f t="shared" si="4"/>
        <v>1609684.6</v>
      </c>
      <c r="R68" s="75">
        <f t="shared" si="5"/>
        <v>1609684.5999999999</v>
      </c>
      <c r="S68" s="75">
        <f t="shared" si="6"/>
        <v>1609684.5999999999</v>
      </c>
    </row>
    <row r="69" spans="1:19">
      <c r="A69" s="88"/>
      <c r="B69" s="86" t="s">
        <v>24</v>
      </c>
      <c r="C69" s="86"/>
      <c r="D69" s="86" t="s">
        <v>20</v>
      </c>
      <c r="E69" s="87">
        <v>95</v>
      </c>
      <c r="F69" s="87">
        <v>95</v>
      </c>
      <c r="G69" s="87">
        <f t="shared" si="66"/>
        <v>95</v>
      </c>
      <c r="H69" s="87">
        <v>95</v>
      </c>
      <c r="I69" s="87">
        <v>95</v>
      </c>
      <c r="J69" s="75">
        <v>32991.18</v>
      </c>
      <c r="K69" s="75">
        <v>11762.02</v>
      </c>
      <c r="L69" s="75">
        <v>27113.7</v>
      </c>
      <c r="M69" s="75">
        <f t="shared" si="2"/>
        <v>71866.899999999994</v>
      </c>
      <c r="N69" s="75">
        <f t="shared" ref="N69:N71" si="67">G69*J69</f>
        <v>3134162.1</v>
      </c>
      <c r="O69" s="75">
        <f t="shared" ref="O69:O71" si="68">G69*K69</f>
        <v>1117391.9000000001</v>
      </c>
      <c r="P69" s="75">
        <f t="shared" ref="P69:P70" si="69">G69*L69</f>
        <v>2575801.5</v>
      </c>
      <c r="Q69" s="75">
        <f t="shared" si="4"/>
        <v>6827355.5</v>
      </c>
      <c r="R69" s="75">
        <f t="shared" si="5"/>
        <v>6827355.4999999991</v>
      </c>
      <c r="S69" s="75">
        <f t="shared" si="6"/>
        <v>6827355.4999999991</v>
      </c>
    </row>
    <row r="70" spans="1:19" ht="120">
      <c r="A70" s="88"/>
      <c r="B70" s="86" t="s">
        <v>24</v>
      </c>
      <c r="C70" s="112" t="s">
        <v>162</v>
      </c>
      <c r="D70" s="115" t="s">
        <v>20</v>
      </c>
      <c r="E70" s="87">
        <v>25</v>
      </c>
      <c r="F70" s="87">
        <v>25</v>
      </c>
      <c r="G70" s="87">
        <f t="shared" si="66"/>
        <v>25</v>
      </c>
      <c r="H70" s="87">
        <v>25</v>
      </c>
      <c r="I70" s="87">
        <v>25</v>
      </c>
      <c r="J70" s="75">
        <v>48227.69</v>
      </c>
      <c r="K70" s="75" t="s">
        <v>163</v>
      </c>
      <c r="L70" s="75">
        <v>27113.7</v>
      </c>
      <c r="M70" s="75">
        <f t="shared" ref="M70" si="70">J70+K70+L70</f>
        <v>87103.41</v>
      </c>
      <c r="N70" s="75">
        <f t="shared" si="67"/>
        <v>1205692.25</v>
      </c>
      <c r="O70" s="75">
        <f t="shared" si="68"/>
        <v>294050.5</v>
      </c>
      <c r="P70" s="75">
        <f t="shared" si="69"/>
        <v>677842.5</v>
      </c>
      <c r="Q70" s="75">
        <f t="shared" ref="Q70" si="71">SUM(N70:P70)</f>
        <v>2177585.25</v>
      </c>
      <c r="R70" s="75">
        <f t="shared" ref="R70" si="72">H70*M70</f>
        <v>2177585.25</v>
      </c>
      <c r="S70" s="75">
        <f t="shared" ref="S70" si="73">I70*M70</f>
        <v>2177585.25</v>
      </c>
    </row>
    <row r="71" spans="1:19">
      <c r="A71" s="86"/>
      <c r="B71" s="86" t="s">
        <v>28</v>
      </c>
      <c r="C71" s="86"/>
      <c r="D71" s="86" t="s">
        <v>20</v>
      </c>
      <c r="E71" s="87">
        <v>140</v>
      </c>
      <c r="F71" s="87">
        <v>140</v>
      </c>
      <c r="G71" s="87">
        <f t="shared" si="66"/>
        <v>140</v>
      </c>
      <c r="H71" s="87" t="s">
        <v>67</v>
      </c>
      <c r="I71" s="87" t="s">
        <v>67</v>
      </c>
      <c r="J71" s="75" t="s">
        <v>23</v>
      </c>
      <c r="K71" s="75"/>
      <c r="L71" s="75">
        <v>26048.26</v>
      </c>
      <c r="M71" s="75">
        <f t="shared" si="2"/>
        <v>26048.26</v>
      </c>
      <c r="N71" s="75">
        <f t="shared" si="67"/>
        <v>0</v>
      </c>
      <c r="O71" s="75">
        <f t="shared" si="68"/>
        <v>0</v>
      </c>
      <c r="P71" s="75">
        <f>G71*L71</f>
        <v>3646756.4</v>
      </c>
      <c r="Q71" s="75">
        <f t="shared" si="4"/>
        <v>3646756.4</v>
      </c>
      <c r="R71" s="75">
        <f t="shared" si="5"/>
        <v>3646756.4</v>
      </c>
      <c r="S71" s="75">
        <f t="shared" si="6"/>
        <v>3646756.4</v>
      </c>
    </row>
    <row r="72" spans="1:19">
      <c r="A72" s="116" t="s">
        <v>68</v>
      </c>
      <c r="B72" s="94"/>
      <c r="C72" s="94"/>
      <c r="D72" s="94"/>
      <c r="E72" s="92"/>
      <c r="F72" s="92"/>
      <c r="G72" s="92"/>
      <c r="H72" s="92"/>
      <c r="I72" s="92"/>
      <c r="J72" s="78"/>
      <c r="K72" s="78"/>
      <c r="L72" s="78"/>
      <c r="M72" s="78">
        <f t="shared" si="2"/>
        <v>0</v>
      </c>
      <c r="N72" s="78">
        <f>N73+N77</f>
        <v>5172024.5500000007</v>
      </c>
      <c r="O72" s="78">
        <f t="shared" ref="O72:S72" si="74">O73+O77</f>
        <v>1646682.8000000003</v>
      </c>
      <c r="P72" s="78">
        <f t="shared" si="74"/>
        <v>7442674.4000000004</v>
      </c>
      <c r="Q72" s="78">
        <f t="shared" si="74"/>
        <v>14261381.75</v>
      </c>
      <c r="R72" s="78">
        <f t="shared" si="74"/>
        <v>14261381.75</v>
      </c>
      <c r="S72" s="78">
        <f t="shared" si="74"/>
        <v>14261381.75</v>
      </c>
    </row>
    <row r="73" spans="1:19" ht="85.5">
      <c r="A73" s="83"/>
      <c r="B73" s="84" t="s">
        <v>76</v>
      </c>
      <c r="C73" s="84"/>
      <c r="D73" s="95"/>
      <c r="E73" s="68"/>
      <c r="F73" s="68"/>
      <c r="G73" s="68"/>
      <c r="H73" s="68"/>
      <c r="I73" s="68"/>
      <c r="J73" s="75"/>
      <c r="K73" s="75"/>
      <c r="L73" s="75"/>
      <c r="M73" s="75">
        <f t="shared" si="2"/>
        <v>0</v>
      </c>
      <c r="N73" s="75">
        <f>SUM(N74:N76)</f>
        <v>5172024.5500000007</v>
      </c>
      <c r="O73" s="75">
        <f t="shared" ref="O73:S73" si="75">SUM(O74:O76)</f>
        <v>1646682.8000000003</v>
      </c>
      <c r="P73" s="75">
        <f t="shared" si="75"/>
        <v>3795918</v>
      </c>
      <c r="Q73" s="75">
        <f t="shared" si="75"/>
        <v>10614625.35</v>
      </c>
      <c r="R73" s="75">
        <f t="shared" si="75"/>
        <v>10614625.35</v>
      </c>
      <c r="S73" s="75">
        <f t="shared" si="75"/>
        <v>10614625.35</v>
      </c>
    </row>
    <row r="74" spans="1:19" ht="105">
      <c r="A74" s="83"/>
      <c r="B74" s="86" t="s">
        <v>19</v>
      </c>
      <c r="C74" s="83" t="s">
        <v>0</v>
      </c>
      <c r="D74" s="115" t="s">
        <v>20</v>
      </c>
      <c r="E74" s="87">
        <v>20</v>
      </c>
      <c r="F74" s="87">
        <v>20</v>
      </c>
      <c r="G74" s="87">
        <f t="shared" ref="G74:G77" si="76">(E74*8+F74*4)/12</f>
        <v>20</v>
      </c>
      <c r="H74" s="87">
        <v>20</v>
      </c>
      <c r="I74" s="87">
        <v>20</v>
      </c>
      <c r="J74" s="75">
        <v>41608.51</v>
      </c>
      <c r="K74" s="75">
        <v>11762.02</v>
      </c>
      <c r="L74" s="75">
        <v>27113.7</v>
      </c>
      <c r="M74" s="75">
        <f t="shared" si="2"/>
        <v>80484.23</v>
      </c>
      <c r="N74" s="75">
        <f>G74*J74</f>
        <v>832170.20000000007</v>
      </c>
      <c r="O74" s="75">
        <f>G74*K74</f>
        <v>235240.40000000002</v>
      </c>
      <c r="P74" s="75">
        <f>G74*L74</f>
        <v>542274</v>
      </c>
      <c r="Q74" s="75">
        <f t="shared" si="4"/>
        <v>1609684.6</v>
      </c>
      <c r="R74" s="75">
        <f t="shared" si="5"/>
        <v>1609684.5999999999</v>
      </c>
      <c r="S74" s="75">
        <f t="shared" si="6"/>
        <v>1609684.5999999999</v>
      </c>
    </row>
    <row r="75" spans="1:19">
      <c r="A75" s="88"/>
      <c r="B75" s="86" t="s">
        <v>24</v>
      </c>
      <c r="C75" s="86"/>
      <c r="D75" s="86" t="s">
        <v>20</v>
      </c>
      <c r="E75" s="87">
        <v>95</v>
      </c>
      <c r="F75" s="87">
        <v>95</v>
      </c>
      <c r="G75" s="87">
        <f t="shared" si="76"/>
        <v>95</v>
      </c>
      <c r="H75" s="87">
        <v>95</v>
      </c>
      <c r="I75" s="87">
        <v>95</v>
      </c>
      <c r="J75" s="75">
        <v>32991.18</v>
      </c>
      <c r="K75" s="75">
        <v>11762.02</v>
      </c>
      <c r="L75" s="75">
        <v>27113.7</v>
      </c>
      <c r="M75" s="75">
        <f t="shared" si="2"/>
        <v>71866.899999999994</v>
      </c>
      <c r="N75" s="75">
        <f t="shared" ref="N75:N77" si="77">G75*J75</f>
        <v>3134162.1</v>
      </c>
      <c r="O75" s="75">
        <f t="shared" ref="O75:O77" si="78">G75*K75</f>
        <v>1117391.9000000001</v>
      </c>
      <c r="P75" s="75">
        <f t="shared" ref="P75:P76" si="79">G75*L75</f>
        <v>2575801.5</v>
      </c>
      <c r="Q75" s="75">
        <f t="shared" si="4"/>
        <v>6827355.5</v>
      </c>
      <c r="R75" s="75">
        <f t="shared" si="5"/>
        <v>6827355.4999999991</v>
      </c>
      <c r="S75" s="75">
        <f t="shared" si="6"/>
        <v>6827355.4999999991</v>
      </c>
    </row>
    <row r="76" spans="1:19" ht="120">
      <c r="A76" s="88"/>
      <c r="B76" s="86" t="s">
        <v>24</v>
      </c>
      <c r="C76" s="93" t="s">
        <v>162</v>
      </c>
      <c r="D76" s="115" t="s">
        <v>20</v>
      </c>
      <c r="E76" s="87">
        <v>25</v>
      </c>
      <c r="F76" s="87">
        <v>25</v>
      </c>
      <c r="G76" s="87">
        <f t="shared" si="76"/>
        <v>25</v>
      </c>
      <c r="H76" s="87">
        <v>25</v>
      </c>
      <c r="I76" s="87">
        <v>25</v>
      </c>
      <c r="J76" s="75">
        <v>48227.69</v>
      </c>
      <c r="K76" s="75" t="s">
        <v>163</v>
      </c>
      <c r="L76" s="75">
        <v>27113.7</v>
      </c>
      <c r="M76" s="75">
        <f t="shared" si="2"/>
        <v>87103.41</v>
      </c>
      <c r="N76" s="75">
        <f t="shared" si="77"/>
        <v>1205692.25</v>
      </c>
      <c r="O76" s="75">
        <f t="shared" si="78"/>
        <v>294050.5</v>
      </c>
      <c r="P76" s="75">
        <f t="shared" si="79"/>
        <v>677842.5</v>
      </c>
      <c r="Q76" s="75">
        <f t="shared" si="4"/>
        <v>2177585.25</v>
      </c>
      <c r="R76" s="75">
        <f t="shared" si="5"/>
        <v>2177585.25</v>
      </c>
      <c r="S76" s="75">
        <f t="shared" si="6"/>
        <v>2177585.25</v>
      </c>
    </row>
    <row r="77" spans="1:19">
      <c r="A77" s="86"/>
      <c r="B77" s="86" t="s">
        <v>28</v>
      </c>
      <c r="C77" s="86"/>
      <c r="D77" s="86" t="s">
        <v>20</v>
      </c>
      <c r="E77" s="87">
        <v>140</v>
      </c>
      <c r="F77" s="87">
        <v>140</v>
      </c>
      <c r="G77" s="87">
        <f t="shared" si="76"/>
        <v>140</v>
      </c>
      <c r="H77" s="87" t="s">
        <v>67</v>
      </c>
      <c r="I77" s="87" t="s">
        <v>67</v>
      </c>
      <c r="J77" s="75" t="s">
        <v>23</v>
      </c>
      <c r="K77" s="75"/>
      <c r="L77" s="75">
        <v>26048.26</v>
      </c>
      <c r="M77" s="75">
        <f t="shared" si="2"/>
        <v>26048.26</v>
      </c>
      <c r="N77" s="75">
        <f t="shared" si="77"/>
        <v>0</v>
      </c>
      <c r="O77" s="75">
        <f t="shared" si="78"/>
        <v>0</v>
      </c>
      <c r="P77" s="75">
        <f>G77*L77</f>
        <v>3646756.4</v>
      </c>
      <c r="Q77" s="75">
        <f t="shared" si="4"/>
        <v>3646756.4</v>
      </c>
      <c r="R77" s="75">
        <f t="shared" si="5"/>
        <v>3646756.4</v>
      </c>
      <c r="S77" s="75">
        <f t="shared" si="6"/>
        <v>3646756.4</v>
      </c>
    </row>
    <row r="78" spans="1:19" s="96" customFormat="1" ht="14.25">
      <c r="A78" s="116" t="s">
        <v>71</v>
      </c>
      <c r="B78" s="94"/>
      <c r="C78" s="94"/>
      <c r="D78" s="94"/>
      <c r="E78" s="92"/>
      <c r="F78" s="92"/>
      <c r="G78" s="92"/>
      <c r="H78" s="92"/>
      <c r="I78" s="92"/>
      <c r="J78" s="78"/>
      <c r="K78" s="78"/>
      <c r="L78" s="78"/>
      <c r="M78" s="78">
        <f t="shared" si="2"/>
        <v>0</v>
      </c>
      <c r="N78" s="78">
        <f>N79+N83</f>
        <v>9347178.1000000015</v>
      </c>
      <c r="O78" s="78">
        <f t="shared" ref="O78:S78" si="80">O79+O83</f>
        <v>2858170.8600000003</v>
      </c>
      <c r="P78" s="78">
        <f t="shared" si="80"/>
        <v>12918356.280000001</v>
      </c>
      <c r="Q78" s="78">
        <f t="shared" si="80"/>
        <v>25123705.240000002</v>
      </c>
      <c r="R78" s="78">
        <f t="shared" si="80"/>
        <v>25123705.239999998</v>
      </c>
      <c r="S78" s="78">
        <f t="shared" si="80"/>
        <v>25123705.239999998</v>
      </c>
    </row>
    <row r="79" spans="1:19" ht="85.5">
      <c r="A79" s="83"/>
      <c r="B79" s="84" t="s">
        <v>76</v>
      </c>
      <c r="C79" s="84"/>
      <c r="D79" s="95"/>
      <c r="E79" s="68"/>
      <c r="F79" s="68"/>
      <c r="G79" s="68"/>
      <c r="H79" s="68"/>
      <c r="I79" s="68"/>
      <c r="J79" s="75"/>
      <c r="K79" s="75"/>
      <c r="L79" s="75"/>
      <c r="M79" s="75">
        <f t="shared" ref="M79:M83" si="81">J79+K79+L79</f>
        <v>0</v>
      </c>
      <c r="N79" s="75">
        <f>SUM(N80:N82)</f>
        <v>9347178.1000000015</v>
      </c>
      <c r="O79" s="75">
        <f t="shared" ref="O79:S79" si="82">SUM(O80:O82)</f>
        <v>2858170.8600000003</v>
      </c>
      <c r="P79" s="75">
        <f t="shared" si="82"/>
        <v>6588629.1000000006</v>
      </c>
      <c r="Q79" s="75">
        <f t="shared" si="82"/>
        <v>18793978.060000002</v>
      </c>
      <c r="R79" s="75">
        <f t="shared" si="82"/>
        <v>18793978.059999999</v>
      </c>
      <c r="S79" s="75">
        <f t="shared" si="82"/>
        <v>18793978.059999999</v>
      </c>
    </row>
    <row r="80" spans="1:19" ht="105">
      <c r="A80" s="83"/>
      <c r="B80" s="86" t="s">
        <v>19</v>
      </c>
      <c r="C80" s="83" t="s">
        <v>0</v>
      </c>
      <c r="D80" s="115" t="s">
        <v>20</v>
      </c>
      <c r="E80" s="87">
        <v>20</v>
      </c>
      <c r="F80" s="87">
        <v>20</v>
      </c>
      <c r="G80" s="87">
        <f t="shared" ref="G80:G83" si="83">(E80*8+F80*4)/12</f>
        <v>20</v>
      </c>
      <c r="H80" s="87">
        <v>20</v>
      </c>
      <c r="I80" s="87">
        <v>20</v>
      </c>
      <c r="J80" s="75">
        <v>41608.51</v>
      </c>
      <c r="K80" s="75">
        <v>11762.02</v>
      </c>
      <c r="L80" s="75">
        <v>27113.7</v>
      </c>
      <c r="M80" s="75">
        <f t="shared" si="81"/>
        <v>80484.23</v>
      </c>
      <c r="N80" s="75">
        <f>G80*J80</f>
        <v>832170.20000000007</v>
      </c>
      <c r="O80" s="75">
        <f>G80*K80</f>
        <v>235240.40000000002</v>
      </c>
      <c r="P80" s="75">
        <f>G80*L80</f>
        <v>542274</v>
      </c>
      <c r="Q80" s="75">
        <f t="shared" ref="Q80:Q83" si="84">SUM(N80:P80)</f>
        <v>1609684.6</v>
      </c>
      <c r="R80" s="75">
        <f t="shared" ref="R80:R83" si="85">H80*M80</f>
        <v>1609684.5999999999</v>
      </c>
      <c r="S80" s="75">
        <f t="shared" ref="S80:S83" si="86">I80*M80</f>
        <v>1609684.5999999999</v>
      </c>
    </row>
    <row r="81" spans="1:19">
      <c r="A81" s="88"/>
      <c r="B81" s="86" t="s">
        <v>24</v>
      </c>
      <c r="C81" s="86"/>
      <c r="D81" s="86" t="s">
        <v>20</v>
      </c>
      <c r="E81" s="87">
        <v>147</v>
      </c>
      <c r="F81" s="87">
        <v>147</v>
      </c>
      <c r="G81" s="87">
        <f t="shared" si="83"/>
        <v>147</v>
      </c>
      <c r="H81" s="87">
        <v>147</v>
      </c>
      <c r="I81" s="87">
        <v>147</v>
      </c>
      <c r="J81" s="75">
        <v>32991.18</v>
      </c>
      <c r="K81" s="75">
        <v>11762.02</v>
      </c>
      <c r="L81" s="75">
        <v>27113.7</v>
      </c>
      <c r="M81" s="75">
        <f t="shared" si="81"/>
        <v>71866.899999999994</v>
      </c>
      <c r="N81" s="75">
        <f t="shared" ref="N81:N83" si="87">G81*J81</f>
        <v>4849703.46</v>
      </c>
      <c r="O81" s="75">
        <f t="shared" ref="O81:O83" si="88">G81*K81</f>
        <v>1729016.9400000002</v>
      </c>
      <c r="P81" s="75">
        <f t="shared" ref="P81:P82" si="89">G81*L81</f>
        <v>3985713.9</v>
      </c>
      <c r="Q81" s="75">
        <f t="shared" si="84"/>
        <v>10564434.300000001</v>
      </c>
      <c r="R81" s="75">
        <f t="shared" si="85"/>
        <v>10564434.299999999</v>
      </c>
      <c r="S81" s="75">
        <f t="shared" si="86"/>
        <v>10564434.299999999</v>
      </c>
    </row>
    <row r="82" spans="1:19" ht="120">
      <c r="A82" s="88"/>
      <c r="B82" s="86" t="s">
        <v>24</v>
      </c>
      <c r="C82" s="83" t="s">
        <v>162</v>
      </c>
      <c r="D82" s="115" t="s">
        <v>20</v>
      </c>
      <c r="E82" s="87">
        <v>76</v>
      </c>
      <c r="F82" s="87">
        <v>76</v>
      </c>
      <c r="G82" s="87">
        <f t="shared" si="83"/>
        <v>76</v>
      </c>
      <c r="H82" s="87">
        <v>76</v>
      </c>
      <c r="I82" s="87">
        <v>76</v>
      </c>
      <c r="J82" s="75">
        <v>48227.69</v>
      </c>
      <c r="K82" s="75" t="s">
        <v>163</v>
      </c>
      <c r="L82" s="75">
        <v>27113.7</v>
      </c>
      <c r="M82" s="75">
        <f t="shared" si="81"/>
        <v>87103.41</v>
      </c>
      <c r="N82" s="75">
        <f t="shared" si="87"/>
        <v>3665304.4400000004</v>
      </c>
      <c r="O82" s="75">
        <f t="shared" si="88"/>
        <v>893913.52</v>
      </c>
      <c r="P82" s="75">
        <f t="shared" si="89"/>
        <v>2060641.2</v>
      </c>
      <c r="Q82" s="75">
        <f t="shared" si="84"/>
        <v>6619859.1600000011</v>
      </c>
      <c r="R82" s="75">
        <f t="shared" si="85"/>
        <v>6619859.1600000001</v>
      </c>
      <c r="S82" s="75">
        <f t="shared" si="86"/>
        <v>6619859.1600000001</v>
      </c>
    </row>
    <row r="83" spans="1:19">
      <c r="A83" s="86"/>
      <c r="B83" s="97" t="s">
        <v>75</v>
      </c>
      <c r="C83" s="97"/>
      <c r="D83" s="86" t="s">
        <v>20</v>
      </c>
      <c r="E83" s="87">
        <v>243</v>
      </c>
      <c r="F83" s="87">
        <v>243</v>
      </c>
      <c r="G83" s="87">
        <f t="shared" si="83"/>
        <v>243</v>
      </c>
      <c r="H83" s="87">
        <v>243</v>
      </c>
      <c r="I83" s="87">
        <v>243</v>
      </c>
      <c r="J83" s="75" t="s">
        <v>23</v>
      </c>
      <c r="K83" s="75"/>
      <c r="L83" s="75">
        <v>26048.26</v>
      </c>
      <c r="M83" s="75">
        <f t="shared" si="81"/>
        <v>26048.26</v>
      </c>
      <c r="N83" s="75">
        <f t="shared" si="87"/>
        <v>0</v>
      </c>
      <c r="O83" s="75">
        <f t="shared" si="88"/>
        <v>0</v>
      </c>
      <c r="P83" s="75">
        <f>G83*L83</f>
        <v>6329727.1799999997</v>
      </c>
      <c r="Q83" s="75">
        <f t="shared" si="84"/>
        <v>6329727.1799999997</v>
      </c>
      <c r="R83" s="75">
        <f t="shared" si="85"/>
        <v>6329727.1799999997</v>
      </c>
      <c r="S83" s="75">
        <f t="shared" si="86"/>
        <v>6329727.1799999997</v>
      </c>
    </row>
    <row r="84" spans="1:19">
      <c r="A84" s="152" t="s">
        <v>154</v>
      </c>
      <c r="B84" s="152"/>
      <c r="C84" s="152"/>
      <c r="D84" s="86"/>
      <c r="E84" s="87"/>
      <c r="F84" s="87"/>
      <c r="G84" s="87"/>
      <c r="H84" s="87"/>
      <c r="I84" s="87"/>
      <c r="J84" s="75"/>
      <c r="K84" s="75"/>
      <c r="L84" s="75"/>
      <c r="M84" s="75"/>
      <c r="N84" s="75"/>
      <c r="O84" s="75"/>
      <c r="P84" s="75"/>
      <c r="Q84" s="75"/>
      <c r="R84" s="75"/>
      <c r="S84" s="75"/>
    </row>
    <row r="85" spans="1:19" ht="30">
      <c r="A85" s="156" t="s">
        <v>3</v>
      </c>
      <c r="B85" s="156" t="s">
        <v>86</v>
      </c>
      <c r="C85" s="117" t="s">
        <v>87</v>
      </c>
      <c r="D85" s="156" t="s">
        <v>4</v>
      </c>
      <c r="E85" s="157" t="s">
        <v>5</v>
      </c>
      <c r="F85" s="157"/>
      <c r="G85" s="157"/>
      <c r="H85" s="157"/>
      <c r="I85" s="157"/>
      <c r="J85" s="144" t="s">
        <v>6</v>
      </c>
      <c r="K85" s="144"/>
      <c r="L85" s="144"/>
      <c r="M85" s="144"/>
      <c r="N85" s="144" t="s">
        <v>7</v>
      </c>
      <c r="O85" s="144"/>
      <c r="P85" s="144"/>
      <c r="Q85" s="144"/>
      <c r="R85" s="144"/>
      <c r="S85" s="144"/>
    </row>
    <row r="86" spans="1:19" ht="120">
      <c r="A86" s="156"/>
      <c r="B86" s="156"/>
      <c r="C86" s="117"/>
      <c r="D86" s="156"/>
      <c r="E86" s="128" t="s">
        <v>9</v>
      </c>
      <c r="F86" s="128" t="s">
        <v>197</v>
      </c>
      <c r="G86" s="128" t="s">
        <v>196</v>
      </c>
      <c r="H86" s="128" t="s">
        <v>10</v>
      </c>
      <c r="I86" s="128" t="s">
        <v>193</v>
      </c>
      <c r="J86" s="114" t="s">
        <v>88</v>
      </c>
      <c r="K86" s="114" t="s">
        <v>89</v>
      </c>
      <c r="L86" s="114" t="s">
        <v>90</v>
      </c>
      <c r="M86" s="114" t="s">
        <v>91</v>
      </c>
      <c r="N86" s="114" t="s">
        <v>92</v>
      </c>
      <c r="O86" s="123" t="s">
        <v>93</v>
      </c>
      <c r="P86" s="123" t="s">
        <v>94</v>
      </c>
      <c r="Q86" s="118" t="s">
        <v>95</v>
      </c>
      <c r="R86" s="114" t="s">
        <v>96</v>
      </c>
      <c r="S86" s="114" t="s">
        <v>97</v>
      </c>
    </row>
    <row r="87" spans="1:19" ht="45">
      <c r="A87" s="98" t="s">
        <v>13</v>
      </c>
      <c r="B87" s="98" t="s">
        <v>13</v>
      </c>
      <c r="C87" s="98"/>
      <c r="D87" s="98" t="s">
        <v>15</v>
      </c>
      <c r="E87" s="99" t="s">
        <v>16</v>
      </c>
      <c r="F87" s="99" t="s">
        <v>16</v>
      </c>
      <c r="G87" s="99"/>
      <c r="H87" s="99" t="s">
        <v>16</v>
      </c>
      <c r="I87" s="99" t="s">
        <v>16</v>
      </c>
      <c r="J87" s="114" t="s">
        <v>17</v>
      </c>
      <c r="K87" s="114" t="s">
        <v>17</v>
      </c>
      <c r="L87" s="114" t="s">
        <v>17</v>
      </c>
      <c r="M87" s="114" t="s">
        <v>17</v>
      </c>
      <c r="N87" s="114" t="s">
        <v>17</v>
      </c>
      <c r="O87" s="123" t="s">
        <v>17</v>
      </c>
      <c r="P87" s="123" t="s">
        <v>17</v>
      </c>
      <c r="Q87" s="118" t="s">
        <v>17</v>
      </c>
      <c r="R87" s="114" t="s">
        <v>17</v>
      </c>
      <c r="S87" s="114" t="s">
        <v>17</v>
      </c>
    </row>
    <row r="88" spans="1:19" ht="90">
      <c r="A88" s="158" t="s">
        <v>98</v>
      </c>
      <c r="B88" s="161" t="s">
        <v>99</v>
      </c>
      <c r="C88" s="61" t="s">
        <v>100</v>
      </c>
      <c r="D88" s="62" t="s">
        <v>101</v>
      </c>
      <c r="E88" s="59">
        <v>250</v>
      </c>
      <c r="F88" s="59">
        <v>250</v>
      </c>
      <c r="G88" s="59">
        <f>((E88*8)+(F88*4))/12</f>
        <v>250</v>
      </c>
      <c r="H88" s="59">
        <v>250</v>
      </c>
      <c r="I88" s="59">
        <v>250</v>
      </c>
      <c r="J88" s="110">
        <f>SUM(K88:M88)</f>
        <v>37984.240000000005</v>
      </c>
      <c r="K88" s="110">
        <f>22328.93+952.08</f>
        <v>23281.010000000002</v>
      </c>
      <c r="L88" s="70">
        <v>3857.41</v>
      </c>
      <c r="M88" s="70">
        <v>10845.82</v>
      </c>
      <c r="N88" s="71">
        <f>SUM(O88:Q88)</f>
        <v>9496060</v>
      </c>
      <c r="O88" s="71">
        <f>G88*K88</f>
        <v>5820252.5000000009</v>
      </c>
      <c r="P88" s="71">
        <f>G88*L88</f>
        <v>964352.5</v>
      </c>
      <c r="Q88" s="75">
        <f>G88*M88</f>
        <v>2711455</v>
      </c>
      <c r="R88" s="75">
        <f>H88*J88</f>
        <v>9496060.0000000019</v>
      </c>
      <c r="S88" s="75">
        <f>I88*J88</f>
        <v>9496060.0000000019</v>
      </c>
    </row>
    <row r="89" spans="1:19" ht="120.75" customHeight="1">
      <c r="A89" s="158"/>
      <c r="B89" s="162"/>
      <c r="C89" s="63" t="s">
        <v>167</v>
      </c>
      <c r="D89" s="64" t="s">
        <v>101</v>
      </c>
      <c r="E89" s="59" t="s">
        <v>104</v>
      </c>
      <c r="F89" s="59" t="s">
        <v>104</v>
      </c>
      <c r="G89" s="59"/>
      <c r="H89" s="59" t="s">
        <v>104</v>
      </c>
      <c r="I89" s="59" t="s">
        <v>104</v>
      </c>
      <c r="J89" s="59" t="s">
        <v>104</v>
      </c>
      <c r="K89" s="59" t="s">
        <v>104</v>
      </c>
      <c r="L89" s="72" t="s">
        <v>104</v>
      </c>
      <c r="M89" s="72" t="s">
        <v>104</v>
      </c>
      <c r="N89" s="114"/>
      <c r="O89" s="71"/>
      <c r="P89" s="72" t="s">
        <v>104</v>
      </c>
      <c r="Q89" s="72" t="s">
        <v>104</v>
      </c>
      <c r="R89" s="100"/>
      <c r="S89" s="100"/>
    </row>
    <row r="90" spans="1:19">
      <c r="A90" s="158"/>
      <c r="B90" s="162"/>
      <c r="C90" s="63" t="s">
        <v>168</v>
      </c>
      <c r="D90" s="64"/>
      <c r="E90" s="59">
        <v>1</v>
      </c>
      <c r="F90" s="59">
        <v>1</v>
      </c>
      <c r="G90" s="101">
        <f>((E90*8)+(F90*4))/12</f>
        <v>1</v>
      </c>
      <c r="H90" s="59">
        <v>1</v>
      </c>
      <c r="I90" s="59">
        <v>1</v>
      </c>
      <c r="J90" s="71">
        <f>K90</f>
        <v>24684.9</v>
      </c>
      <c r="K90" s="75">
        <v>24684.9</v>
      </c>
      <c r="L90" s="72" t="s">
        <v>104</v>
      </c>
      <c r="M90" s="72" t="s">
        <v>104</v>
      </c>
      <c r="N90" s="114">
        <f>O90</f>
        <v>24684.9</v>
      </c>
      <c r="O90" s="71">
        <f t="shared" ref="O90:O94" si="90">G90*K90</f>
        <v>24684.9</v>
      </c>
      <c r="P90" s="72" t="s">
        <v>104</v>
      </c>
      <c r="Q90" s="72" t="s">
        <v>104</v>
      </c>
      <c r="R90" s="100">
        <f>H90*K90</f>
        <v>24684.9</v>
      </c>
      <c r="S90" s="100">
        <f>I90*K90</f>
        <v>24684.9</v>
      </c>
    </row>
    <row r="91" spans="1:19">
      <c r="A91" s="158"/>
      <c r="B91" s="162"/>
      <c r="C91" s="63" t="s">
        <v>169</v>
      </c>
      <c r="D91" s="64"/>
      <c r="E91" s="59">
        <v>1</v>
      </c>
      <c r="F91" s="59">
        <v>1</v>
      </c>
      <c r="G91" s="101">
        <f t="shared" ref="G91:G94" si="91">((E91*8)+(F91*4))/12</f>
        <v>1</v>
      </c>
      <c r="H91" s="59">
        <v>1</v>
      </c>
      <c r="I91" s="59">
        <v>1</v>
      </c>
      <c r="J91" s="71">
        <f t="shared" ref="J91:J94" si="92">K91</f>
        <v>89075.19</v>
      </c>
      <c r="K91" s="75">
        <v>89075.19</v>
      </c>
      <c r="L91" s="72" t="s">
        <v>104</v>
      </c>
      <c r="M91" s="72" t="s">
        <v>104</v>
      </c>
      <c r="N91" s="114">
        <f t="shared" ref="N91:N94" si="93">O91</f>
        <v>89075.19</v>
      </c>
      <c r="O91" s="71">
        <f t="shared" si="90"/>
        <v>89075.19</v>
      </c>
      <c r="P91" s="72" t="s">
        <v>104</v>
      </c>
      <c r="Q91" s="72" t="s">
        <v>104</v>
      </c>
      <c r="R91" s="100">
        <f t="shared" ref="R91:R94" si="94">H91*K91</f>
        <v>89075.19</v>
      </c>
      <c r="S91" s="100">
        <f t="shared" ref="S91:S94" si="95">I91*K91</f>
        <v>89075.19</v>
      </c>
    </row>
    <row r="92" spans="1:19">
      <c r="A92" s="158"/>
      <c r="B92" s="162"/>
      <c r="C92" s="63" t="s">
        <v>170</v>
      </c>
      <c r="D92" s="64"/>
      <c r="E92" s="59">
        <v>8</v>
      </c>
      <c r="F92" s="59">
        <v>8</v>
      </c>
      <c r="G92" s="101">
        <f t="shared" si="91"/>
        <v>8</v>
      </c>
      <c r="H92" s="59">
        <v>8</v>
      </c>
      <c r="I92" s="59">
        <v>8</v>
      </c>
      <c r="J92" s="71">
        <f t="shared" si="92"/>
        <v>63972.15</v>
      </c>
      <c r="K92" s="75">
        <v>63972.15</v>
      </c>
      <c r="L92" s="72" t="s">
        <v>104</v>
      </c>
      <c r="M92" s="72" t="s">
        <v>104</v>
      </c>
      <c r="N92" s="114">
        <f t="shared" si="93"/>
        <v>511777.2</v>
      </c>
      <c r="O92" s="71">
        <f t="shared" si="90"/>
        <v>511777.2</v>
      </c>
      <c r="P92" s="72" t="s">
        <v>104</v>
      </c>
      <c r="Q92" s="72" t="s">
        <v>104</v>
      </c>
      <c r="R92" s="100">
        <f t="shared" si="94"/>
        <v>511777.2</v>
      </c>
      <c r="S92" s="100">
        <f t="shared" si="95"/>
        <v>511777.2</v>
      </c>
    </row>
    <row r="93" spans="1:19">
      <c r="A93" s="158"/>
      <c r="B93" s="162"/>
      <c r="C93" s="63" t="s">
        <v>172</v>
      </c>
      <c r="D93" s="64"/>
      <c r="E93" s="59">
        <v>1</v>
      </c>
      <c r="F93" s="59">
        <v>1</v>
      </c>
      <c r="G93" s="101">
        <f t="shared" si="91"/>
        <v>1</v>
      </c>
      <c r="H93" s="59">
        <v>1</v>
      </c>
      <c r="I93" s="59">
        <v>1</v>
      </c>
      <c r="J93" s="71">
        <f t="shared" si="92"/>
        <v>172299.06</v>
      </c>
      <c r="K93" s="75">
        <v>172299.06</v>
      </c>
      <c r="L93" s="72" t="s">
        <v>104</v>
      </c>
      <c r="M93" s="72" t="s">
        <v>104</v>
      </c>
      <c r="N93" s="114">
        <f t="shared" si="93"/>
        <v>172299.06</v>
      </c>
      <c r="O93" s="71">
        <f t="shared" si="90"/>
        <v>172299.06</v>
      </c>
      <c r="P93" s="72" t="s">
        <v>104</v>
      </c>
      <c r="Q93" s="72" t="s">
        <v>104</v>
      </c>
      <c r="R93" s="100">
        <f t="shared" si="94"/>
        <v>172299.06</v>
      </c>
      <c r="S93" s="100">
        <f t="shared" si="95"/>
        <v>172299.06</v>
      </c>
    </row>
    <row r="94" spans="1:19">
      <c r="A94" s="158"/>
      <c r="B94" s="162"/>
      <c r="C94" s="63" t="s">
        <v>173</v>
      </c>
      <c r="D94" s="64"/>
      <c r="E94" s="59">
        <v>2</v>
      </c>
      <c r="F94" s="59">
        <v>2</v>
      </c>
      <c r="G94" s="101">
        <f t="shared" si="91"/>
        <v>2</v>
      </c>
      <c r="H94" s="59">
        <v>2</v>
      </c>
      <c r="I94" s="59">
        <v>2</v>
      </c>
      <c r="J94" s="71">
        <f t="shared" si="92"/>
        <v>22724.03</v>
      </c>
      <c r="K94" s="75">
        <v>22724.03</v>
      </c>
      <c r="L94" s="72" t="s">
        <v>104</v>
      </c>
      <c r="M94" s="72" t="s">
        <v>104</v>
      </c>
      <c r="N94" s="114">
        <f t="shared" si="93"/>
        <v>45448.06</v>
      </c>
      <c r="O94" s="71">
        <f t="shared" si="90"/>
        <v>45448.06</v>
      </c>
      <c r="P94" s="72" t="s">
        <v>104</v>
      </c>
      <c r="Q94" s="72" t="s">
        <v>104</v>
      </c>
      <c r="R94" s="100">
        <f t="shared" si="94"/>
        <v>45448.06</v>
      </c>
      <c r="S94" s="100">
        <f t="shared" si="95"/>
        <v>45448.06</v>
      </c>
    </row>
    <row r="95" spans="1:19" ht="120">
      <c r="A95" s="158"/>
      <c r="B95" s="162"/>
      <c r="C95" s="61" t="s">
        <v>105</v>
      </c>
      <c r="D95" s="64" t="s">
        <v>101</v>
      </c>
      <c r="E95" s="59">
        <v>3</v>
      </c>
      <c r="F95" s="59">
        <v>3</v>
      </c>
      <c r="G95" s="59">
        <f t="shared" ref="G95:G96" si="96">((E95*8)+(F95*4))/12</f>
        <v>3</v>
      </c>
      <c r="H95" s="59">
        <v>3</v>
      </c>
      <c r="I95" s="59">
        <v>3</v>
      </c>
      <c r="J95" s="75">
        <f>SUM(K95:M95)</f>
        <v>132083.69</v>
      </c>
      <c r="K95" s="75">
        <f>116428.38+952.08</f>
        <v>117380.46</v>
      </c>
      <c r="L95" s="72">
        <v>3857.41</v>
      </c>
      <c r="M95" s="70">
        <v>10845.82</v>
      </c>
      <c r="N95" s="71">
        <f>SUM(O95:Q95)</f>
        <v>396251.07</v>
      </c>
      <c r="O95" s="71">
        <f>G95*K95</f>
        <v>352141.38</v>
      </c>
      <c r="P95" s="71">
        <f>G95*L95</f>
        <v>11572.23</v>
      </c>
      <c r="Q95" s="75">
        <f>G95*M95</f>
        <v>32537.46</v>
      </c>
      <c r="R95" s="100">
        <f t="shared" ref="R95:R189" si="97">H95*J95</f>
        <v>396251.07</v>
      </c>
      <c r="S95" s="100">
        <f t="shared" ref="S95:S189" si="98">I95*J95</f>
        <v>396251.07</v>
      </c>
    </row>
    <row r="96" spans="1:19">
      <c r="A96" s="158"/>
      <c r="B96" s="163"/>
      <c r="C96" s="66" t="s">
        <v>106</v>
      </c>
      <c r="D96" s="67"/>
      <c r="E96" s="59">
        <f>E88+E95</f>
        <v>253</v>
      </c>
      <c r="F96" s="59">
        <f>F88+F95</f>
        <v>253</v>
      </c>
      <c r="G96" s="59">
        <f t="shared" si="96"/>
        <v>253</v>
      </c>
      <c r="H96" s="59">
        <f t="shared" ref="H96:I96" si="99">H88+H95</f>
        <v>253</v>
      </c>
      <c r="I96" s="59">
        <f t="shared" si="99"/>
        <v>253</v>
      </c>
      <c r="J96" s="71" t="s">
        <v>104</v>
      </c>
      <c r="K96" s="71" t="s">
        <v>104</v>
      </c>
      <c r="L96" s="71" t="s">
        <v>104</v>
      </c>
      <c r="M96" s="71" t="s">
        <v>104</v>
      </c>
      <c r="N96" s="71">
        <f>SUM(N88:N95)</f>
        <v>10735595.48</v>
      </c>
      <c r="O96" s="71">
        <f t="shared" ref="O96:Q96" si="100">SUM(O88:O95)</f>
        <v>7015678.290000001</v>
      </c>
      <c r="P96" s="71">
        <f t="shared" si="100"/>
        <v>975924.73</v>
      </c>
      <c r="Q96" s="71">
        <f t="shared" si="100"/>
        <v>2743992.46</v>
      </c>
      <c r="R96" s="75">
        <f>SUM(R88:R95)</f>
        <v>10735595.480000002</v>
      </c>
      <c r="S96" s="75">
        <f>SUM(S88:S95)</f>
        <v>10735595.480000002</v>
      </c>
    </row>
    <row r="97" spans="1:22" ht="90">
      <c r="A97" s="158"/>
      <c r="B97" s="159" t="s">
        <v>107</v>
      </c>
      <c r="C97" s="61" t="s">
        <v>100</v>
      </c>
      <c r="D97" s="62" t="s">
        <v>101</v>
      </c>
      <c r="E97" s="59">
        <v>217</v>
      </c>
      <c r="F97" s="59">
        <v>217</v>
      </c>
      <c r="G97" s="59">
        <f>(E97*8+F97*4)/12</f>
        <v>217</v>
      </c>
      <c r="H97" s="59">
        <v>217</v>
      </c>
      <c r="I97" s="59">
        <v>217</v>
      </c>
      <c r="J97" s="110">
        <f>SUM(K97:M97)</f>
        <v>49020.01</v>
      </c>
      <c r="K97" s="110">
        <f>33147.58+1169.2</f>
        <v>34316.78</v>
      </c>
      <c r="L97" s="70">
        <v>3857.41</v>
      </c>
      <c r="M97" s="70">
        <v>10845.82</v>
      </c>
      <c r="N97" s="71">
        <f>SUM(O97:Q97)</f>
        <v>10637342.17</v>
      </c>
      <c r="O97" s="71">
        <f>G97*K97</f>
        <v>7446741.2599999998</v>
      </c>
      <c r="P97" s="73">
        <f>G97*L97</f>
        <v>837057.97</v>
      </c>
      <c r="Q97" s="71">
        <f>G97*M97</f>
        <v>2353542.94</v>
      </c>
      <c r="R97" s="75">
        <f t="shared" si="97"/>
        <v>10637342.17</v>
      </c>
      <c r="S97" s="75">
        <f t="shared" si="98"/>
        <v>10637342.17</v>
      </c>
      <c r="V97" s="85"/>
    </row>
    <row r="98" spans="1:22" ht="111.75" customHeight="1">
      <c r="A98" s="158"/>
      <c r="B98" s="159"/>
      <c r="C98" s="63" t="s">
        <v>102</v>
      </c>
      <c r="D98" s="64" t="s">
        <v>101</v>
      </c>
      <c r="E98" s="59" t="s">
        <v>104</v>
      </c>
      <c r="F98" s="59" t="s">
        <v>104</v>
      </c>
      <c r="G98" s="59" t="s">
        <v>104</v>
      </c>
      <c r="H98" s="59" t="s">
        <v>104</v>
      </c>
      <c r="I98" s="59" t="s">
        <v>104</v>
      </c>
      <c r="J98" s="59" t="s">
        <v>104</v>
      </c>
      <c r="K98" s="59" t="s">
        <v>104</v>
      </c>
      <c r="L98" s="59" t="s">
        <v>104</v>
      </c>
      <c r="M98" s="59" t="s">
        <v>104</v>
      </c>
      <c r="N98" s="71"/>
      <c r="O98" s="71"/>
      <c r="P98" s="59" t="s">
        <v>104</v>
      </c>
      <c r="Q98" s="59" t="s">
        <v>104</v>
      </c>
      <c r="R98" s="75"/>
      <c r="S98" s="75"/>
    </row>
    <row r="99" spans="1:22" ht="20.25" customHeight="1">
      <c r="A99" s="158"/>
      <c r="B99" s="159"/>
      <c r="C99" s="63" t="s">
        <v>169</v>
      </c>
      <c r="D99" s="64" t="s">
        <v>101</v>
      </c>
      <c r="E99" s="59">
        <v>2</v>
      </c>
      <c r="F99" s="60">
        <v>2</v>
      </c>
      <c r="G99" s="101">
        <f t="shared" ref="G99:G102" si="101">((E99*8)+(F99*4))/12</f>
        <v>2</v>
      </c>
      <c r="H99" s="59">
        <v>2</v>
      </c>
      <c r="I99" s="59">
        <v>2</v>
      </c>
      <c r="J99" s="71">
        <f>K99</f>
        <v>89075.19</v>
      </c>
      <c r="K99" s="75">
        <v>89075.19</v>
      </c>
      <c r="L99" s="59" t="s">
        <v>104</v>
      </c>
      <c r="M99" s="59" t="s">
        <v>104</v>
      </c>
      <c r="N99" s="71">
        <f>O99</f>
        <v>178150.38</v>
      </c>
      <c r="O99" s="71">
        <f>G99*K99</f>
        <v>178150.38</v>
      </c>
      <c r="P99" s="59" t="s">
        <v>104</v>
      </c>
      <c r="Q99" s="59" t="s">
        <v>104</v>
      </c>
      <c r="R99" s="75">
        <f>H99*K99</f>
        <v>178150.38</v>
      </c>
      <c r="S99" s="75">
        <f>I99*K99</f>
        <v>178150.38</v>
      </c>
    </row>
    <row r="100" spans="1:22" ht="21" customHeight="1">
      <c r="A100" s="158"/>
      <c r="B100" s="159"/>
      <c r="C100" s="63" t="s">
        <v>171</v>
      </c>
      <c r="D100" s="64" t="s">
        <v>101</v>
      </c>
      <c r="E100" s="59">
        <v>1</v>
      </c>
      <c r="F100" s="60">
        <v>1</v>
      </c>
      <c r="G100" s="101">
        <f t="shared" si="101"/>
        <v>1</v>
      </c>
      <c r="H100" s="59">
        <v>1</v>
      </c>
      <c r="I100" s="59">
        <v>1</v>
      </c>
      <c r="J100" s="71">
        <f t="shared" ref="J100:J101" si="102">K100</f>
        <v>256522.21</v>
      </c>
      <c r="K100" s="75">
        <v>256522.21</v>
      </c>
      <c r="L100" s="59" t="s">
        <v>104</v>
      </c>
      <c r="M100" s="59" t="s">
        <v>104</v>
      </c>
      <c r="N100" s="71">
        <f t="shared" ref="N100:N101" si="103">O100</f>
        <v>256522.21</v>
      </c>
      <c r="O100" s="71">
        <f>G100*K100</f>
        <v>256522.21</v>
      </c>
      <c r="P100" s="59" t="s">
        <v>104</v>
      </c>
      <c r="Q100" s="59" t="s">
        <v>104</v>
      </c>
      <c r="R100" s="75">
        <f t="shared" ref="R100:R101" si="104">H100*K100</f>
        <v>256522.21</v>
      </c>
      <c r="S100" s="75">
        <f t="shared" ref="S100:S101" si="105">I100*K100</f>
        <v>256522.21</v>
      </c>
    </row>
    <row r="101" spans="1:22" ht="21" customHeight="1">
      <c r="A101" s="158"/>
      <c r="B101" s="159"/>
      <c r="C101" s="63" t="s">
        <v>173</v>
      </c>
      <c r="D101" s="64" t="s">
        <v>101</v>
      </c>
      <c r="E101" s="60">
        <v>3</v>
      </c>
      <c r="F101" s="60">
        <v>3</v>
      </c>
      <c r="G101" s="101">
        <f t="shared" si="101"/>
        <v>3</v>
      </c>
      <c r="H101" s="60">
        <v>3</v>
      </c>
      <c r="I101" s="60">
        <v>3</v>
      </c>
      <c r="J101" s="71">
        <f t="shared" si="102"/>
        <v>22724.03</v>
      </c>
      <c r="K101" s="75">
        <v>22724.03</v>
      </c>
      <c r="L101" s="59" t="s">
        <v>104</v>
      </c>
      <c r="M101" s="59" t="s">
        <v>104</v>
      </c>
      <c r="N101" s="71">
        <f t="shared" si="103"/>
        <v>68172.09</v>
      </c>
      <c r="O101" s="71">
        <f>G101*K101</f>
        <v>68172.09</v>
      </c>
      <c r="P101" s="59" t="s">
        <v>104</v>
      </c>
      <c r="Q101" s="59" t="s">
        <v>104</v>
      </c>
      <c r="R101" s="75">
        <f t="shared" si="104"/>
        <v>68172.09</v>
      </c>
      <c r="S101" s="75">
        <f t="shared" si="105"/>
        <v>68172.09</v>
      </c>
    </row>
    <row r="102" spans="1:22" ht="120">
      <c r="A102" s="158"/>
      <c r="B102" s="159"/>
      <c r="C102" s="61" t="s">
        <v>105</v>
      </c>
      <c r="D102" s="64" t="s">
        <v>101</v>
      </c>
      <c r="E102" s="60">
        <v>2</v>
      </c>
      <c r="F102" s="60">
        <v>2</v>
      </c>
      <c r="G102" s="101">
        <f t="shared" si="101"/>
        <v>2</v>
      </c>
      <c r="H102" s="60">
        <v>2</v>
      </c>
      <c r="I102" s="60">
        <v>2</v>
      </c>
      <c r="J102" s="71">
        <f>K102</f>
        <v>146346.16</v>
      </c>
      <c r="K102" s="73">
        <f>145176.96+1169.2</f>
        <v>146346.16</v>
      </c>
      <c r="L102" s="70">
        <v>3857.41</v>
      </c>
      <c r="M102" s="70">
        <v>10845.82</v>
      </c>
      <c r="N102" s="71">
        <f>SUM(O102:Q102)</f>
        <v>322098.78000000003</v>
      </c>
      <c r="O102" s="71">
        <f>G102*K102</f>
        <v>292692.32</v>
      </c>
      <c r="P102" s="73">
        <f>G102*L102</f>
        <v>7714.82</v>
      </c>
      <c r="Q102" s="71">
        <f>G102*M102</f>
        <v>21691.64</v>
      </c>
      <c r="R102" s="75">
        <f>H102*K102</f>
        <v>292692.32</v>
      </c>
      <c r="S102" s="75">
        <f>I102*K102</f>
        <v>292692.32</v>
      </c>
    </row>
    <row r="103" spans="1:22">
      <c r="A103" s="158"/>
      <c r="B103" s="113"/>
      <c r="C103" s="66" t="s">
        <v>106</v>
      </c>
      <c r="D103" s="64"/>
      <c r="E103" s="60">
        <f>E97+E102</f>
        <v>219</v>
      </c>
      <c r="F103" s="60">
        <f>F97+F102</f>
        <v>219</v>
      </c>
      <c r="G103" s="59">
        <f t="shared" ref="G103:G104" si="106">((E103*8)+(F103*4))/12</f>
        <v>219</v>
      </c>
      <c r="H103" s="60">
        <f t="shared" ref="H103:I103" si="107">H97+H102</f>
        <v>219</v>
      </c>
      <c r="I103" s="60">
        <f t="shared" si="107"/>
        <v>219</v>
      </c>
      <c r="J103" s="59" t="s">
        <v>104</v>
      </c>
      <c r="K103" s="59" t="s">
        <v>104</v>
      </c>
      <c r="L103" s="59" t="s">
        <v>104</v>
      </c>
      <c r="M103" s="59" t="s">
        <v>104</v>
      </c>
      <c r="N103" s="74">
        <f>SUM(N97:N102)</f>
        <v>11462285.630000001</v>
      </c>
      <c r="O103" s="74">
        <f t="shared" ref="O103:S103" si="108">SUM(O97:O102)</f>
        <v>8242278.2599999998</v>
      </c>
      <c r="P103" s="74">
        <f t="shared" si="108"/>
        <v>844772.78999999992</v>
      </c>
      <c r="Q103" s="74">
        <f t="shared" si="108"/>
        <v>2375234.58</v>
      </c>
      <c r="R103" s="74">
        <f t="shared" si="108"/>
        <v>11432879.170000002</v>
      </c>
      <c r="S103" s="74">
        <f t="shared" si="108"/>
        <v>11432879.170000002</v>
      </c>
    </row>
    <row r="104" spans="1:22" ht="90">
      <c r="A104" s="158"/>
      <c r="B104" s="159" t="s">
        <v>108</v>
      </c>
      <c r="C104" s="61" t="s">
        <v>100</v>
      </c>
      <c r="D104" s="62" t="s">
        <v>101</v>
      </c>
      <c r="E104" s="60">
        <v>48</v>
      </c>
      <c r="F104" s="60">
        <v>48</v>
      </c>
      <c r="G104" s="59">
        <f t="shared" si="106"/>
        <v>48</v>
      </c>
      <c r="H104" s="60">
        <v>48</v>
      </c>
      <c r="I104" s="60">
        <v>48</v>
      </c>
      <c r="J104" s="110">
        <f>SUM(K104:M104)</f>
        <v>55731.77</v>
      </c>
      <c r="K104" s="110">
        <f>39660.87+1367.67</f>
        <v>41028.54</v>
      </c>
      <c r="L104" s="70">
        <v>3857.41</v>
      </c>
      <c r="M104" s="70">
        <v>10845.82</v>
      </c>
      <c r="N104" s="73">
        <f>SUM(O104:Q104)</f>
        <v>2675124.96</v>
      </c>
      <c r="O104" s="73">
        <f>G104*K104</f>
        <v>1969369.92</v>
      </c>
      <c r="P104" s="73">
        <f>G104*L104</f>
        <v>185155.68</v>
      </c>
      <c r="Q104" s="73">
        <f>G104*M104</f>
        <v>520599.36</v>
      </c>
      <c r="R104" s="75">
        <f t="shared" si="97"/>
        <v>2675124.96</v>
      </c>
      <c r="S104" s="75">
        <f t="shared" si="98"/>
        <v>2675124.96</v>
      </c>
    </row>
    <row r="105" spans="1:22" ht="120">
      <c r="A105" s="158"/>
      <c r="B105" s="159"/>
      <c r="C105" s="63" t="s">
        <v>102</v>
      </c>
      <c r="D105" s="64" t="s">
        <v>101</v>
      </c>
      <c r="E105" s="59" t="s">
        <v>104</v>
      </c>
      <c r="F105" s="59" t="s">
        <v>104</v>
      </c>
      <c r="G105" s="59" t="s">
        <v>104</v>
      </c>
      <c r="H105" s="59" t="s">
        <v>104</v>
      </c>
      <c r="I105" s="59" t="s">
        <v>104</v>
      </c>
      <c r="J105" s="59" t="s">
        <v>104</v>
      </c>
      <c r="K105" s="59" t="s">
        <v>104</v>
      </c>
      <c r="L105" s="59" t="s">
        <v>104</v>
      </c>
      <c r="M105" s="59" t="s">
        <v>104</v>
      </c>
      <c r="N105" s="71"/>
      <c r="O105" s="71"/>
      <c r="P105" s="59" t="s">
        <v>104</v>
      </c>
      <c r="Q105" s="59" t="s">
        <v>104</v>
      </c>
      <c r="R105" s="75"/>
      <c r="S105" s="75"/>
    </row>
    <row r="106" spans="1:22" ht="120">
      <c r="A106" s="158"/>
      <c r="B106" s="159"/>
      <c r="C106" s="61" t="s">
        <v>105</v>
      </c>
      <c r="D106" s="64" t="s">
        <v>101</v>
      </c>
      <c r="E106" s="60"/>
      <c r="F106" s="60"/>
      <c r="G106" s="60"/>
      <c r="H106" s="60"/>
      <c r="I106" s="60"/>
      <c r="J106" s="73"/>
      <c r="K106" s="73"/>
      <c r="L106" s="74"/>
      <c r="M106" s="73"/>
      <c r="N106" s="73"/>
      <c r="O106" s="73"/>
      <c r="P106" s="73"/>
      <c r="Q106" s="73"/>
      <c r="R106" s="75">
        <f t="shared" si="97"/>
        <v>0</v>
      </c>
      <c r="S106" s="75">
        <f t="shared" si="98"/>
        <v>0</v>
      </c>
    </row>
    <row r="107" spans="1:22">
      <c r="A107" s="158"/>
      <c r="B107" s="113"/>
      <c r="C107" s="66" t="s">
        <v>106</v>
      </c>
      <c r="D107" s="64"/>
      <c r="E107" s="60">
        <f>SUM(E104:E106)</f>
        <v>48</v>
      </c>
      <c r="F107" s="60">
        <f>SUM(F104:F106)</f>
        <v>48</v>
      </c>
      <c r="G107" s="59">
        <f t="shared" ref="G107:G138" si="109">((E107*8)+(F107*4))/12</f>
        <v>48</v>
      </c>
      <c r="H107" s="60">
        <f t="shared" ref="H107:S107" si="110">SUM(H104:H106)</f>
        <v>48</v>
      </c>
      <c r="I107" s="60">
        <f t="shared" si="110"/>
        <v>48</v>
      </c>
      <c r="J107" s="73" t="s">
        <v>104</v>
      </c>
      <c r="K107" s="73" t="s">
        <v>104</v>
      </c>
      <c r="L107" s="73" t="s">
        <v>104</v>
      </c>
      <c r="M107" s="73" t="s">
        <v>104</v>
      </c>
      <c r="N107" s="74">
        <f t="shared" si="110"/>
        <v>2675124.96</v>
      </c>
      <c r="O107" s="74">
        <f t="shared" si="110"/>
        <v>1969369.92</v>
      </c>
      <c r="P107" s="74">
        <f t="shared" si="110"/>
        <v>185155.68</v>
      </c>
      <c r="Q107" s="74">
        <f t="shared" si="110"/>
        <v>520599.36</v>
      </c>
      <c r="R107" s="74">
        <f t="shared" si="110"/>
        <v>2675124.96</v>
      </c>
      <c r="S107" s="74">
        <f t="shared" si="110"/>
        <v>2675124.96</v>
      </c>
    </row>
    <row r="108" spans="1:22" ht="165">
      <c r="A108" s="158"/>
      <c r="B108" s="160" t="s">
        <v>109</v>
      </c>
      <c r="C108" s="61" t="s">
        <v>110</v>
      </c>
      <c r="D108" s="64" t="s">
        <v>101</v>
      </c>
      <c r="E108" s="60">
        <v>279</v>
      </c>
      <c r="F108" s="60">
        <v>279</v>
      </c>
      <c r="G108" s="59">
        <f t="shared" si="109"/>
        <v>279</v>
      </c>
      <c r="H108" s="60">
        <v>279</v>
      </c>
      <c r="I108" s="60">
        <v>279</v>
      </c>
      <c r="J108" s="75">
        <f>K108</f>
        <v>2770.76</v>
      </c>
      <c r="K108" s="75">
        <v>2770.76</v>
      </c>
      <c r="L108" s="73" t="s">
        <v>104</v>
      </c>
      <c r="M108" s="73" t="s">
        <v>104</v>
      </c>
      <c r="N108" s="73">
        <f>SUM(O108:Q108)</f>
        <v>773042.04</v>
      </c>
      <c r="O108" s="73">
        <f>K108*E108</f>
        <v>773042.04</v>
      </c>
      <c r="P108" s="73" t="s">
        <v>104</v>
      </c>
      <c r="Q108" s="73" t="s">
        <v>104</v>
      </c>
      <c r="R108" s="75">
        <f t="shared" si="97"/>
        <v>773042.04</v>
      </c>
      <c r="S108" s="75">
        <f t="shared" si="98"/>
        <v>773042.04</v>
      </c>
    </row>
    <row r="109" spans="1:22" ht="180">
      <c r="A109" s="158"/>
      <c r="B109" s="160"/>
      <c r="C109" s="61" t="s">
        <v>174</v>
      </c>
      <c r="D109" s="64" t="s">
        <v>101</v>
      </c>
      <c r="E109" s="60">
        <v>344</v>
      </c>
      <c r="F109" s="60">
        <v>344</v>
      </c>
      <c r="G109" s="59">
        <f t="shared" si="109"/>
        <v>344</v>
      </c>
      <c r="H109" s="60">
        <v>344</v>
      </c>
      <c r="I109" s="60">
        <v>344</v>
      </c>
      <c r="J109" s="75">
        <f>K109</f>
        <v>3829.24</v>
      </c>
      <c r="K109" s="75">
        <v>3829.24</v>
      </c>
      <c r="L109" s="73" t="s">
        <v>104</v>
      </c>
      <c r="M109" s="73" t="s">
        <v>104</v>
      </c>
      <c r="N109" s="73">
        <f>SUM(O109:Q109)</f>
        <v>1317258.5599999998</v>
      </c>
      <c r="O109" s="73">
        <f>G109*J109</f>
        <v>1317258.5599999998</v>
      </c>
      <c r="P109" s="73" t="s">
        <v>104</v>
      </c>
      <c r="Q109" s="73" t="s">
        <v>104</v>
      </c>
      <c r="R109" s="75">
        <f t="shared" si="97"/>
        <v>1317258.5599999998</v>
      </c>
      <c r="S109" s="75">
        <f t="shared" si="98"/>
        <v>1317258.5599999998</v>
      </c>
    </row>
    <row r="110" spans="1:22">
      <c r="A110" s="158"/>
      <c r="B110" s="69"/>
      <c r="C110" s="66" t="s">
        <v>106</v>
      </c>
      <c r="D110" s="69"/>
      <c r="E110" s="60">
        <f>SUM(E108:E109)</f>
        <v>623</v>
      </c>
      <c r="F110" s="60">
        <f>SUM(F108:F109)</f>
        <v>623</v>
      </c>
      <c r="G110" s="59">
        <f t="shared" si="109"/>
        <v>623</v>
      </c>
      <c r="H110" s="60">
        <f t="shared" ref="H110:S110" si="111">SUM(H108:H109)</f>
        <v>623</v>
      </c>
      <c r="I110" s="60">
        <f t="shared" si="111"/>
        <v>623</v>
      </c>
      <c r="J110" s="73" t="s">
        <v>104</v>
      </c>
      <c r="K110" s="73" t="s">
        <v>104</v>
      </c>
      <c r="L110" s="73" t="s">
        <v>104</v>
      </c>
      <c r="M110" s="74">
        <f t="shared" si="111"/>
        <v>0</v>
      </c>
      <c r="N110" s="74">
        <f t="shared" si="111"/>
        <v>2090300.5999999999</v>
      </c>
      <c r="O110" s="74">
        <f t="shared" si="111"/>
        <v>2090300.5999999999</v>
      </c>
      <c r="P110" s="74">
        <f t="shared" si="111"/>
        <v>0</v>
      </c>
      <c r="Q110" s="74">
        <f t="shared" si="111"/>
        <v>0</v>
      </c>
      <c r="R110" s="74">
        <f t="shared" si="111"/>
        <v>2090300.5999999999</v>
      </c>
      <c r="S110" s="74">
        <f t="shared" si="111"/>
        <v>2090300.5999999999</v>
      </c>
    </row>
    <row r="111" spans="1:22">
      <c r="A111" s="158"/>
      <c r="B111" s="102" t="s">
        <v>112</v>
      </c>
      <c r="C111" s="102"/>
      <c r="D111" s="69"/>
      <c r="E111" s="103"/>
      <c r="F111" s="103"/>
      <c r="G111" s="103"/>
      <c r="H111" s="103"/>
      <c r="I111" s="103"/>
      <c r="J111" s="106"/>
      <c r="K111" s="106"/>
      <c r="L111" s="104"/>
      <c r="M111" s="104"/>
      <c r="N111" s="104">
        <f>SUM(O111:Q111)</f>
        <v>26963306.670000002</v>
      </c>
      <c r="O111" s="104">
        <f>O96+O103+O107+O110</f>
        <v>19317627.07</v>
      </c>
      <c r="P111" s="104">
        <f t="shared" ref="P111:S111" si="112">P96+P103+P107+P110</f>
        <v>2005853.2</v>
      </c>
      <c r="Q111" s="104">
        <f t="shared" si="112"/>
        <v>5639826.4000000004</v>
      </c>
      <c r="R111" s="104">
        <f t="shared" si="112"/>
        <v>26933900.210000008</v>
      </c>
      <c r="S111" s="104">
        <f t="shared" si="112"/>
        <v>26933900.210000008</v>
      </c>
    </row>
    <row r="112" spans="1:22" ht="90">
      <c r="A112" s="158" t="s">
        <v>113</v>
      </c>
      <c r="B112" s="159" t="s">
        <v>99</v>
      </c>
      <c r="C112" s="61" t="s">
        <v>100</v>
      </c>
      <c r="D112" s="62" t="s">
        <v>101</v>
      </c>
      <c r="E112" s="59">
        <v>190</v>
      </c>
      <c r="F112" s="59">
        <v>190</v>
      </c>
      <c r="G112" s="59">
        <f t="shared" si="109"/>
        <v>190</v>
      </c>
      <c r="H112" s="59">
        <v>190</v>
      </c>
      <c r="I112" s="59">
        <v>190</v>
      </c>
      <c r="J112" s="110">
        <f>SUM(K112:M112)</f>
        <v>37984.240000000005</v>
      </c>
      <c r="K112" s="110">
        <f>22328.93+952.08</f>
        <v>23281.010000000002</v>
      </c>
      <c r="L112" s="70">
        <v>3857.41</v>
      </c>
      <c r="M112" s="70">
        <v>10845.82</v>
      </c>
      <c r="N112" s="71">
        <f>SUM(O112:Q112)</f>
        <v>7217005.6000000006</v>
      </c>
      <c r="O112" s="71">
        <f>G112*K112</f>
        <v>4423391.9000000004</v>
      </c>
      <c r="P112" s="71">
        <f>G112*L112</f>
        <v>732907.9</v>
      </c>
      <c r="Q112" s="75">
        <f>G112*M112</f>
        <v>2060705.8</v>
      </c>
      <c r="R112" s="75">
        <f t="shared" si="97"/>
        <v>7217005.6000000006</v>
      </c>
      <c r="S112" s="75">
        <f t="shared" si="98"/>
        <v>7217005.6000000006</v>
      </c>
    </row>
    <row r="113" spans="1:19" ht="135">
      <c r="A113" s="158"/>
      <c r="B113" s="159"/>
      <c r="C113" s="63" t="s">
        <v>167</v>
      </c>
      <c r="D113" s="64" t="s">
        <v>101</v>
      </c>
      <c r="E113" s="59" t="s">
        <v>104</v>
      </c>
      <c r="F113" s="59" t="s">
        <v>104</v>
      </c>
      <c r="G113" s="59" t="s">
        <v>104</v>
      </c>
      <c r="H113" s="59" t="s">
        <v>104</v>
      </c>
      <c r="I113" s="59" t="s">
        <v>104</v>
      </c>
      <c r="J113" s="59" t="s">
        <v>104</v>
      </c>
      <c r="K113" s="59" t="s">
        <v>104</v>
      </c>
      <c r="L113" s="59" t="s">
        <v>104</v>
      </c>
      <c r="M113" s="59" t="s">
        <v>104</v>
      </c>
      <c r="N113" s="71"/>
      <c r="O113" s="71"/>
      <c r="P113" s="59" t="s">
        <v>104</v>
      </c>
      <c r="Q113" s="59" t="s">
        <v>104</v>
      </c>
      <c r="R113" s="75"/>
      <c r="S113" s="75"/>
    </row>
    <row r="114" spans="1:19">
      <c r="A114" s="158"/>
      <c r="B114" s="159"/>
      <c r="C114" s="63" t="s">
        <v>175</v>
      </c>
      <c r="D114" s="64" t="s">
        <v>101</v>
      </c>
      <c r="E114" s="59">
        <v>5</v>
      </c>
      <c r="F114" s="59">
        <v>5</v>
      </c>
      <c r="G114" s="101">
        <f t="shared" si="109"/>
        <v>5</v>
      </c>
      <c r="H114" s="59">
        <v>5</v>
      </c>
      <c r="I114" s="59">
        <v>5</v>
      </c>
      <c r="J114" s="75">
        <f>K114</f>
        <v>24684.9</v>
      </c>
      <c r="K114" s="75">
        <v>24684.9</v>
      </c>
      <c r="L114" s="59" t="s">
        <v>104</v>
      </c>
      <c r="M114" s="59" t="s">
        <v>104</v>
      </c>
      <c r="N114" s="71">
        <f>O114</f>
        <v>123424.5</v>
      </c>
      <c r="O114" s="71">
        <f>G114*K114</f>
        <v>123424.5</v>
      </c>
      <c r="P114" s="59" t="s">
        <v>104</v>
      </c>
      <c r="Q114" s="59" t="s">
        <v>104</v>
      </c>
      <c r="R114" s="75">
        <f>H114*K114</f>
        <v>123424.5</v>
      </c>
      <c r="S114" s="75">
        <f>I114*K114</f>
        <v>123424.5</v>
      </c>
    </row>
    <row r="115" spans="1:19">
      <c r="A115" s="158"/>
      <c r="B115" s="159"/>
      <c r="C115" s="63" t="s">
        <v>170</v>
      </c>
      <c r="D115" s="64" t="s">
        <v>101</v>
      </c>
      <c r="E115" s="59">
        <v>1</v>
      </c>
      <c r="F115" s="59">
        <v>1</v>
      </c>
      <c r="G115" s="101">
        <f t="shared" si="109"/>
        <v>1</v>
      </c>
      <c r="H115" s="59">
        <v>1</v>
      </c>
      <c r="I115" s="59">
        <v>1</v>
      </c>
      <c r="J115" s="75">
        <f t="shared" ref="J115:J119" si="113">K115</f>
        <v>63972.15</v>
      </c>
      <c r="K115" s="75">
        <v>63972.15</v>
      </c>
      <c r="L115" s="59" t="s">
        <v>104</v>
      </c>
      <c r="M115" s="59" t="s">
        <v>104</v>
      </c>
      <c r="N115" s="71">
        <f t="shared" ref="N115:N119" si="114">O115</f>
        <v>63972.15</v>
      </c>
      <c r="O115" s="71">
        <f t="shared" ref="O115:O119" si="115">G115*K115</f>
        <v>63972.15</v>
      </c>
      <c r="P115" s="59" t="s">
        <v>104</v>
      </c>
      <c r="Q115" s="59" t="s">
        <v>104</v>
      </c>
      <c r="R115" s="75">
        <f t="shared" ref="R115:R119" si="116">H115*K115</f>
        <v>63972.15</v>
      </c>
      <c r="S115" s="75">
        <f t="shared" ref="S115:S119" si="117">I115*K115</f>
        <v>63972.15</v>
      </c>
    </row>
    <row r="116" spans="1:19">
      <c r="A116" s="158"/>
      <c r="B116" s="159"/>
      <c r="C116" s="63" t="s">
        <v>171</v>
      </c>
      <c r="D116" s="64" t="s">
        <v>101</v>
      </c>
      <c r="E116" s="59">
        <v>2</v>
      </c>
      <c r="F116" s="59">
        <v>2</v>
      </c>
      <c r="G116" s="101">
        <f t="shared" si="109"/>
        <v>2</v>
      </c>
      <c r="H116" s="59">
        <v>2</v>
      </c>
      <c r="I116" s="59">
        <v>2</v>
      </c>
      <c r="J116" s="75">
        <f t="shared" si="113"/>
        <v>168582.97</v>
      </c>
      <c r="K116" s="75">
        <v>168582.97</v>
      </c>
      <c r="L116" s="59" t="s">
        <v>104</v>
      </c>
      <c r="M116" s="59" t="s">
        <v>104</v>
      </c>
      <c r="N116" s="71">
        <f t="shared" si="114"/>
        <v>337165.94</v>
      </c>
      <c r="O116" s="71">
        <f t="shared" si="115"/>
        <v>337165.94</v>
      </c>
      <c r="P116" s="59" t="s">
        <v>104</v>
      </c>
      <c r="Q116" s="59" t="s">
        <v>104</v>
      </c>
      <c r="R116" s="75">
        <f t="shared" si="116"/>
        <v>337165.94</v>
      </c>
      <c r="S116" s="75">
        <f t="shared" si="117"/>
        <v>337165.94</v>
      </c>
    </row>
    <row r="117" spans="1:19">
      <c r="A117" s="158"/>
      <c r="B117" s="159"/>
      <c r="C117" s="63" t="s">
        <v>172</v>
      </c>
      <c r="D117" s="64" t="s">
        <v>101</v>
      </c>
      <c r="E117" s="59">
        <v>0</v>
      </c>
      <c r="F117" s="129">
        <v>0</v>
      </c>
      <c r="G117" s="101">
        <f t="shared" si="109"/>
        <v>0</v>
      </c>
      <c r="H117" s="59">
        <v>1</v>
      </c>
      <c r="I117" s="59">
        <v>1</v>
      </c>
      <c r="J117" s="75">
        <f t="shared" si="113"/>
        <v>172299.06</v>
      </c>
      <c r="K117" s="75">
        <v>172299.06</v>
      </c>
      <c r="L117" s="59" t="s">
        <v>104</v>
      </c>
      <c r="M117" s="59" t="s">
        <v>104</v>
      </c>
      <c r="N117" s="71">
        <f t="shared" si="114"/>
        <v>0</v>
      </c>
      <c r="O117" s="71">
        <f t="shared" si="115"/>
        <v>0</v>
      </c>
      <c r="P117" s="59" t="s">
        <v>104</v>
      </c>
      <c r="Q117" s="59" t="s">
        <v>104</v>
      </c>
      <c r="R117" s="75">
        <f t="shared" si="116"/>
        <v>172299.06</v>
      </c>
      <c r="S117" s="75">
        <f t="shared" si="117"/>
        <v>172299.06</v>
      </c>
    </row>
    <row r="118" spans="1:19">
      <c r="A118" s="158"/>
      <c r="B118" s="159"/>
      <c r="C118" s="63" t="s">
        <v>177</v>
      </c>
      <c r="D118" s="64" t="s">
        <v>101</v>
      </c>
      <c r="E118" s="59">
        <v>1</v>
      </c>
      <c r="F118" s="59">
        <v>1</v>
      </c>
      <c r="G118" s="101">
        <f t="shared" si="109"/>
        <v>1</v>
      </c>
      <c r="H118" s="59">
        <v>1</v>
      </c>
      <c r="I118" s="59">
        <v>1</v>
      </c>
      <c r="J118" s="75">
        <f t="shared" si="113"/>
        <v>95991.28</v>
      </c>
      <c r="K118" s="75">
        <v>95991.28</v>
      </c>
      <c r="L118" s="59" t="s">
        <v>104</v>
      </c>
      <c r="M118" s="59" t="s">
        <v>104</v>
      </c>
      <c r="N118" s="71">
        <f t="shared" si="114"/>
        <v>95991.28</v>
      </c>
      <c r="O118" s="71">
        <f t="shared" si="115"/>
        <v>95991.28</v>
      </c>
      <c r="P118" s="59" t="s">
        <v>104</v>
      </c>
      <c r="Q118" s="59" t="s">
        <v>104</v>
      </c>
      <c r="R118" s="75">
        <f t="shared" si="116"/>
        <v>95991.28</v>
      </c>
      <c r="S118" s="75">
        <f t="shared" si="117"/>
        <v>95991.28</v>
      </c>
    </row>
    <row r="119" spans="1:19">
      <c r="A119" s="158"/>
      <c r="B119" s="159"/>
      <c r="C119" s="63" t="s">
        <v>173</v>
      </c>
      <c r="D119" s="64" t="s">
        <v>101</v>
      </c>
      <c r="E119" s="59">
        <v>2</v>
      </c>
      <c r="F119" s="59">
        <v>2</v>
      </c>
      <c r="G119" s="101">
        <f t="shared" si="109"/>
        <v>2</v>
      </c>
      <c r="H119" s="59">
        <v>2</v>
      </c>
      <c r="I119" s="59">
        <v>2</v>
      </c>
      <c r="J119" s="75">
        <f t="shared" si="113"/>
        <v>22724.03</v>
      </c>
      <c r="K119" s="75">
        <v>22724.03</v>
      </c>
      <c r="L119" s="59" t="s">
        <v>104</v>
      </c>
      <c r="M119" s="59" t="s">
        <v>104</v>
      </c>
      <c r="N119" s="71">
        <f t="shared" si="114"/>
        <v>45448.06</v>
      </c>
      <c r="O119" s="71">
        <f t="shared" si="115"/>
        <v>45448.06</v>
      </c>
      <c r="P119" s="59" t="s">
        <v>104</v>
      </c>
      <c r="Q119" s="59" t="s">
        <v>104</v>
      </c>
      <c r="R119" s="75">
        <f t="shared" si="116"/>
        <v>45448.06</v>
      </c>
      <c r="S119" s="75">
        <f t="shared" si="117"/>
        <v>45448.06</v>
      </c>
    </row>
    <row r="120" spans="1:19" ht="120">
      <c r="A120" s="158"/>
      <c r="B120" s="159"/>
      <c r="C120" s="61" t="s">
        <v>105</v>
      </c>
      <c r="D120" s="64" t="s">
        <v>101</v>
      </c>
      <c r="E120" s="59">
        <v>2</v>
      </c>
      <c r="F120" s="59">
        <v>2</v>
      </c>
      <c r="G120" s="101">
        <f t="shared" si="109"/>
        <v>2</v>
      </c>
      <c r="H120" s="59">
        <v>2</v>
      </c>
      <c r="I120" s="59">
        <v>2</v>
      </c>
      <c r="J120" s="75">
        <f>SUM(K120:M120)</f>
        <v>137159.02000000002</v>
      </c>
      <c r="K120" s="75">
        <f>116428.38+952.08</f>
        <v>117380.46</v>
      </c>
      <c r="L120" s="72">
        <v>3857.41</v>
      </c>
      <c r="M120" s="72">
        <v>15921.15</v>
      </c>
      <c r="N120" s="71">
        <f>SUM(O120:Q120)</f>
        <v>274318.04000000004</v>
      </c>
      <c r="O120" s="71">
        <f>G120*K120</f>
        <v>234760.92</v>
      </c>
      <c r="P120" s="71">
        <f>G120*L120</f>
        <v>7714.82</v>
      </c>
      <c r="Q120" s="75">
        <f>G120*M120</f>
        <v>31842.3</v>
      </c>
      <c r="R120" s="75">
        <f t="shared" si="97"/>
        <v>274318.04000000004</v>
      </c>
      <c r="S120" s="75">
        <f t="shared" si="98"/>
        <v>274318.04000000004</v>
      </c>
    </row>
    <row r="121" spans="1:19">
      <c r="A121" s="158"/>
      <c r="B121" s="159"/>
      <c r="C121" s="66" t="s">
        <v>106</v>
      </c>
      <c r="D121" s="67"/>
      <c r="E121" s="59">
        <f>E112+E120</f>
        <v>192</v>
      </c>
      <c r="F121" s="59">
        <f t="shared" ref="F121:G121" si="118">F112+F120</f>
        <v>192</v>
      </c>
      <c r="G121" s="59">
        <f t="shared" si="118"/>
        <v>192</v>
      </c>
      <c r="H121" s="59">
        <f t="shared" ref="H121" si="119">H112+H120</f>
        <v>192</v>
      </c>
      <c r="I121" s="59">
        <f t="shared" ref="I121" si="120">I112+I120</f>
        <v>192</v>
      </c>
      <c r="J121" s="71" t="s">
        <v>104</v>
      </c>
      <c r="K121" s="71" t="s">
        <v>104</v>
      </c>
      <c r="L121" s="71" t="s">
        <v>104</v>
      </c>
      <c r="M121" s="71" t="s">
        <v>104</v>
      </c>
      <c r="N121" s="71">
        <f t="shared" ref="N121:Q121" si="121">SUM(N112:N120)</f>
        <v>8157325.5700000012</v>
      </c>
      <c r="O121" s="71">
        <f t="shared" si="121"/>
        <v>5324154.7500000009</v>
      </c>
      <c r="P121" s="71">
        <f>SUM(P112:P120)</f>
        <v>740622.72</v>
      </c>
      <c r="Q121" s="71">
        <f t="shared" si="121"/>
        <v>2092548.1</v>
      </c>
      <c r="R121" s="75">
        <f>SUM(R112:R120)</f>
        <v>8329624.6300000008</v>
      </c>
      <c r="S121" s="75">
        <f>SUM(S112:S120)</f>
        <v>8329624.6300000008</v>
      </c>
    </row>
    <row r="122" spans="1:19" ht="90">
      <c r="A122" s="158"/>
      <c r="B122" s="159" t="s">
        <v>107</v>
      </c>
      <c r="C122" s="61" t="s">
        <v>100</v>
      </c>
      <c r="D122" s="62" t="s">
        <v>101</v>
      </c>
      <c r="E122" s="59">
        <v>235</v>
      </c>
      <c r="F122" s="59">
        <v>235</v>
      </c>
      <c r="G122" s="101">
        <f t="shared" si="109"/>
        <v>235</v>
      </c>
      <c r="H122" s="59">
        <v>235</v>
      </c>
      <c r="I122" s="59">
        <v>235</v>
      </c>
      <c r="J122" s="110">
        <f>SUM(K122:M122)</f>
        <v>54095.340000000004</v>
      </c>
      <c r="K122" s="110">
        <f>33147.58+1169.2</f>
        <v>34316.78</v>
      </c>
      <c r="L122" s="70">
        <v>3857.41</v>
      </c>
      <c r="M122" s="72">
        <v>15921.15</v>
      </c>
      <c r="N122" s="71">
        <f>SUM(O122:Q122)</f>
        <v>12712404.9</v>
      </c>
      <c r="O122" s="71">
        <f>G122*K122</f>
        <v>8064443.2999999998</v>
      </c>
      <c r="P122" s="71">
        <f>G122*L122</f>
        <v>906491.35</v>
      </c>
      <c r="Q122" s="71">
        <f>G122*M122</f>
        <v>3741470.25</v>
      </c>
      <c r="R122" s="75">
        <f t="shared" si="97"/>
        <v>12712404.9</v>
      </c>
      <c r="S122" s="75">
        <f t="shared" si="98"/>
        <v>12712404.9</v>
      </c>
    </row>
    <row r="123" spans="1:19" ht="120">
      <c r="A123" s="158"/>
      <c r="B123" s="159"/>
      <c r="C123" s="63" t="s">
        <v>102</v>
      </c>
      <c r="D123" s="64" t="s">
        <v>101</v>
      </c>
      <c r="E123" s="59" t="s">
        <v>104</v>
      </c>
      <c r="F123" s="59" t="s">
        <v>104</v>
      </c>
      <c r="G123" s="59" t="s">
        <v>104</v>
      </c>
      <c r="H123" s="59" t="s">
        <v>104</v>
      </c>
      <c r="I123" s="59" t="s">
        <v>104</v>
      </c>
      <c r="J123" s="59" t="s">
        <v>104</v>
      </c>
      <c r="K123" s="59" t="s">
        <v>104</v>
      </c>
      <c r="L123" s="59" t="s">
        <v>104</v>
      </c>
      <c r="M123" s="59" t="s">
        <v>104</v>
      </c>
      <c r="N123" s="71"/>
      <c r="O123" s="71"/>
      <c r="P123" s="59" t="s">
        <v>104</v>
      </c>
      <c r="Q123" s="59" t="s">
        <v>104</v>
      </c>
      <c r="R123" s="75"/>
      <c r="S123" s="75"/>
    </row>
    <row r="124" spans="1:19">
      <c r="A124" s="158"/>
      <c r="B124" s="159"/>
      <c r="C124" s="63" t="s">
        <v>175</v>
      </c>
      <c r="D124" s="64" t="s">
        <v>101</v>
      </c>
      <c r="E124" s="60">
        <v>1</v>
      </c>
      <c r="F124" s="60">
        <v>1</v>
      </c>
      <c r="G124" s="101">
        <f t="shared" si="109"/>
        <v>1</v>
      </c>
      <c r="H124" s="60">
        <v>1</v>
      </c>
      <c r="I124" s="60">
        <v>1</v>
      </c>
      <c r="J124" s="75">
        <f>K124</f>
        <v>24684.9</v>
      </c>
      <c r="K124" s="75">
        <v>24684.9</v>
      </c>
      <c r="L124" s="59" t="s">
        <v>104</v>
      </c>
      <c r="M124" s="59" t="s">
        <v>104</v>
      </c>
      <c r="N124" s="71">
        <f>O124</f>
        <v>24684.9</v>
      </c>
      <c r="O124" s="71">
        <f>G124*K124</f>
        <v>24684.9</v>
      </c>
      <c r="P124" s="59" t="s">
        <v>104</v>
      </c>
      <c r="Q124" s="59" t="s">
        <v>104</v>
      </c>
      <c r="R124" s="75">
        <f>H124*K124</f>
        <v>24684.9</v>
      </c>
      <c r="S124" s="75">
        <f>I124*K124</f>
        <v>24684.9</v>
      </c>
    </row>
    <row r="125" spans="1:19">
      <c r="A125" s="158"/>
      <c r="B125" s="159"/>
      <c r="C125" s="63" t="s">
        <v>169</v>
      </c>
      <c r="D125" s="64" t="s">
        <v>101</v>
      </c>
      <c r="E125" s="60">
        <v>1</v>
      </c>
      <c r="F125" s="60">
        <v>1</v>
      </c>
      <c r="G125" s="101">
        <f t="shared" si="109"/>
        <v>1</v>
      </c>
      <c r="H125" s="60">
        <v>1</v>
      </c>
      <c r="I125" s="60">
        <v>1</v>
      </c>
      <c r="J125" s="75">
        <f t="shared" ref="J125:J128" si="122">K125</f>
        <v>89075.19</v>
      </c>
      <c r="K125" s="75">
        <v>89075.19</v>
      </c>
      <c r="L125" s="59" t="s">
        <v>104</v>
      </c>
      <c r="M125" s="59" t="s">
        <v>104</v>
      </c>
      <c r="N125" s="71">
        <f t="shared" ref="N125:N128" si="123">O125</f>
        <v>89075.19</v>
      </c>
      <c r="O125" s="71">
        <f t="shared" ref="O125:O128" si="124">G125*K125</f>
        <v>89075.19</v>
      </c>
      <c r="P125" s="59" t="s">
        <v>104</v>
      </c>
      <c r="Q125" s="59" t="s">
        <v>104</v>
      </c>
      <c r="R125" s="75">
        <f t="shared" ref="R125:R128" si="125">H125*K125</f>
        <v>89075.19</v>
      </c>
      <c r="S125" s="75">
        <f t="shared" ref="S125:S128" si="126">I125*K125</f>
        <v>89075.19</v>
      </c>
    </row>
    <row r="126" spans="1:19">
      <c r="A126" s="158"/>
      <c r="B126" s="159"/>
      <c r="C126" s="63" t="s">
        <v>171</v>
      </c>
      <c r="D126" s="64" t="s">
        <v>101</v>
      </c>
      <c r="E126" s="60">
        <v>1</v>
      </c>
      <c r="F126" s="60">
        <v>1</v>
      </c>
      <c r="G126" s="101">
        <f t="shared" si="109"/>
        <v>1</v>
      </c>
      <c r="H126" s="60">
        <v>1</v>
      </c>
      <c r="I126" s="60">
        <v>1</v>
      </c>
      <c r="J126" s="75">
        <f t="shared" si="122"/>
        <v>256522.21</v>
      </c>
      <c r="K126" s="75">
        <v>256522.21</v>
      </c>
      <c r="L126" s="59" t="s">
        <v>104</v>
      </c>
      <c r="M126" s="59" t="s">
        <v>104</v>
      </c>
      <c r="N126" s="71">
        <f t="shared" si="123"/>
        <v>256522.21</v>
      </c>
      <c r="O126" s="71">
        <f t="shared" si="124"/>
        <v>256522.21</v>
      </c>
      <c r="P126" s="59" t="s">
        <v>104</v>
      </c>
      <c r="Q126" s="59" t="s">
        <v>104</v>
      </c>
      <c r="R126" s="75">
        <f t="shared" si="125"/>
        <v>256522.21</v>
      </c>
      <c r="S126" s="75">
        <f t="shared" si="126"/>
        <v>256522.21</v>
      </c>
    </row>
    <row r="127" spans="1:19">
      <c r="A127" s="158"/>
      <c r="B127" s="159"/>
      <c r="C127" s="63" t="s">
        <v>177</v>
      </c>
      <c r="D127" s="64" t="s">
        <v>101</v>
      </c>
      <c r="E127" s="60">
        <v>1</v>
      </c>
      <c r="F127" s="60">
        <v>1</v>
      </c>
      <c r="G127" s="101">
        <f t="shared" si="109"/>
        <v>1</v>
      </c>
      <c r="H127" s="60">
        <v>1</v>
      </c>
      <c r="I127" s="60">
        <v>1</v>
      </c>
      <c r="J127" s="75">
        <f t="shared" si="122"/>
        <v>31601.01</v>
      </c>
      <c r="K127" s="75">
        <v>31601.01</v>
      </c>
      <c r="L127" s="59" t="s">
        <v>104</v>
      </c>
      <c r="M127" s="59" t="s">
        <v>104</v>
      </c>
      <c r="N127" s="71">
        <f t="shared" si="123"/>
        <v>31601.01</v>
      </c>
      <c r="O127" s="71">
        <f t="shared" si="124"/>
        <v>31601.01</v>
      </c>
      <c r="P127" s="59" t="s">
        <v>104</v>
      </c>
      <c r="Q127" s="59" t="s">
        <v>104</v>
      </c>
      <c r="R127" s="75">
        <f t="shared" si="125"/>
        <v>31601.01</v>
      </c>
      <c r="S127" s="75">
        <f t="shared" si="126"/>
        <v>31601.01</v>
      </c>
    </row>
    <row r="128" spans="1:19">
      <c r="A128" s="158"/>
      <c r="B128" s="159"/>
      <c r="C128" s="63" t="s">
        <v>173</v>
      </c>
      <c r="D128" s="64" t="s">
        <v>101</v>
      </c>
      <c r="E128" s="60">
        <v>7</v>
      </c>
      <c r="F128" s="60">
        <v>7</v>
      </c>
      <c r="G128" s="101">
        <f t="shared" si="109"/>
        <v>7</v>
      </c>
      <c r="H128" s="60">
        <v>7</v>
      </c>
      <c r="I128" s="60">
        <v>7</v>
      </c>
      <c r="J128" s="75">
        <f t="shared" si="122"/>
        <v>22724.03</v>
      </c>
      <c r="K128" s="75">
        <v>22724.03</v>
      </c>
      <c r="L128" s="59" t="s">
        <v>104</v>
      </c>
      <c r="M128" s="59" t="s">
        <v>104</v>
      </c>
      <c r="N128" s="71">
        <f t="shared" si="123"/>
        <v>159068.21</v>
      </c>
      <c r="O128" s="71">
        <f t="shared" si="124"/>
        <v>159068.21</v>
      </c>
      <c r="P128" s="59" t="s">
        <v>104</v>
      </c>
      <c r="Q128" s="59" t="s">
        <v>104</v>
      </c>
      <c r="R128" s="75">
        <f t="shared" si="125"/>
        <v>159068.21</v>
      </c>
      <c r="S128" s="75">
        <f t="shared" si="126"/>
        <v>159068.21</v>
      </c>
    </row>
    <row r="129" spans="1:19" ht="120">
      <c r="A129" s="158"/>
      <c r="B129" s="159"/>
      <c r="C129" s="61" t="s">
        <v>105</v>
      </c>
      <c r="D129" s="64" t="s">
        <v>101</v>
      </c>
      <c r="E129" s="60">
        <v>3</v>
      </c>
      <c r="F129" s="60">
        <v>3</v>
      </c>
      <c r="G129" s="60">
        <f t="shared" si="109"/>
        <v>3</v>
      </c>
      <c r="H129" s="60">
        <v>3</v>
      </c>
      <c r="I129" s="60">
        <v>3</v>
      </c>
      <c r="J129" s="75">
        <f>SUM(K129:M129)</f>
        <v>161049.39000000001</v>
      </c>
      <c r="K129" s="75">
        <f>145176.96+1169.2</f>
        <v>146346.16</v>
      </c>
      <c r="L129" s="72">
        <v>3857.41</v>
      </c>
      <c r="M129" s="70">
        <v>10845.82</v>
      </c>
      <c r="N129" s="71">
        <f>SUM(O129:Q129)</f>
        <v>483148.17</v>
      </c>
      <c r="O129" s="71">
        <f>G129*K129</f>
        <v>439038.48</v>
      </c>
      <c r="P129" s="73">
        <f>G129*L129</f>
        <v>11572.23</v>
      </c>
      <c r="Q129" s="73">
        <f>G129*M129</f>
        <v>32537.46</v>
      </c>
      <c r="R129" s="75">
        <f t="shared" si="97"/>
        <v>483148.17000000004</v>
      </c>
      <c r="S129" s="75">
        <f t="shared" si="98"/>
        <v>483148.17000000004</v>
      </c>
    </row>
    <row r="130" spans="1:19">
      <c r="A130" s="158"/>
      <c r="B130" s="113"/>
      <c r="C130" s="66" t="s">
        <v>106</v>
      </c>
      <c r="D130" s="64"/>
      <c r="E130" s="60">
        <f>E122+E129</f>
        <v>238</v>
      </c>
      <c r="F130" s="60">
        <f t="shared" ref="F130:I130" si="127">F122+F129</f>
        <v>238</v>
      </c>
      <c r="G130" s="60">
        <f t="shared" si="127"/>
        <v>238</v>
      </c>
      <c r="H130" s="60">
        <f t="shared" si="127"/>
        <v>238</v>
      </c>
      <c r="I130" s="60">
        <f t="shared" si="127"/>
        <v>238</v>
      </c>
      <c r="J130" s="73" t="s">
        <v>104</v>
      </c>
      <c r="K130" s="73" t="s">
        <v>104</v>
      </c>
      <c r="L130" s="74" t="s">
        <v>104</v>
      </c>
      <c r="M130" s="74" t="s">
        <v>104</v>
      </c>
      <c r="N130" s="74">
        <f t="shared" ref="N130:S130" si="128">SUM(N122:N129)</f>
        <v>13756504.590000002</v>
      </c>
      <c r="O130" s="74">
        <f t="shared" si="128"/>
        <v>9064433.3000000026</v>
      </c>
      <c r="P130" s="74">
        <f t="shared" si="128"/>
        <v>918063.58</v>
      </c>
      <c r="Q130" s="74">
        <f t="shared" si="128"/>
        <v>3774007.71</v>
      </c>
      <c r="R130" s="75">
        <f t="shared" si="128"/>
        <v>13756504.590000002</v>
      </c>
      <c r="S130" s="75">
        <f t="shared" si="128"/>
        <v>13756504.590000002</v>
      </c>
    </row>
    <row r="131" spans="1:19" ht="90">
      <c r="A131" s="158"/>
      <c r="B131" s="159" t="s">
        <v>108</v>
      </c>
      <c r="C131" s="61" t="s">
        <v>100</v>
      </c>
      <c r="D131" s="62" t="s">
        <v>101</v>
      </c>
      <c r="E131" s="60">
        <v>43</v>
      </c>
      <c r="F131" s="60">
        <v>43</v>
      </c>
      <c r="G131" s="60">
        <f t="shared" si="109"/>
        <v>43</v>
      </c>
      <c r="H131" s="60">
        <v>43</v>
      </c>
      <c r="I131" s="60">
        <v>43</v>
      </c>
      <c r="J131" s="110">
        <f>SUM(K131:M131)</f>
        <v>55731.77</v>
      </c>
      <c r="K131" s="110">
        <f>39660.87+1367.67</f>
        <v>41028.54</v>
      </c>
      <c r="L131" s="70">
        <v>3857.41</v>
      </c>
      <c r="M131" s="70">
        <v>10845.82</v>
      </c>
      <c r="N131" s="73">
        <f>SUM(O131:Q131)</f>
        <v>2396466.1100000003</v>
      </c>
      <c r="O131" s="73">
        <f>G131*K131</f>
        <v>1764227.22</v>
      </c>
      <c r="P131" s="73">
        <f>G131*L131</f>
        <v>165868.63</v>
      </c>
      <c r="Q131" s="73">
        <f>G131*M131</f>
        <v>466370.26</v>
      </c>
      <c r="R131" s="75">
        <f t="shared" si="97"/>
        <v>2396466.11</v>
      </c>
      <c r="S131" s="75">
        <f t="shared" si="98"/>
        <v>2396466.11</v>
      </c>
    </row>
    <row r="132" spans="1:19" ht="120">
      <c r="A132" s="158"/>
      <c r="B132" s="159"/>
      <c r="C132" s="63" t="s">
        <v>102</v>
      </c>
      <c r="D132" s="64" t="s">
        <v>101</v>
      </c>
      <c r="E132" s="59" t="s">
        <v>104</v>
      </c>
      <c r="F132" s="59" t="s">
        <v>104</v>
      </c>
      <c r="G132" s="59" t="s">
        <v>104</v>
      </c>
      <c r="H132" s="59" t="s">
        <v>104</v>
      </c>
      <c r="I132" s="59" t="s">
        <v>104</v>
      </c>
      <c r="J132" s="59" t="s">
        <v>104</v>
      </c>
      <c r="K132" s="59" t="s">
        <v>104</v>
      </c>
      <c r="L132" s="59" t="s">
        <v>104</v>
      </c>
      <c r="M132" s="59" t="s">
        <v>104</v>
      </c>
      <c r="N132" s="71"/>
      <c r="O132" s="71"/>
      <c r="P132" s="59" t="s">
        <v>104</v>
      </c>
      <c r="Q132" s="59" t="s">
        <v>104</v>
      </c>
      <c r="R132" s="75"/>
      <c r="S132" s="75"/>
    </row>
    <row r="133" spans="1:19">
      <c r="A133" s="158"/>
      <c r="B133" s="159"/>
      <c r="C133" s="63" t="s">
        <v>169</v>
      </c>
      <c r="D133" s="64" t="s">
        <v>101</v>
      </c>
      <c r="E133" s="60">
        <v>1</v>
      </c>
      <c r="F133" s="60">
        <v>1</v>
      </c>
      <c r="G133" s="120">
        <f t="shared" si="109"/>
        <v>1</v>
      </c>
      <c r="H133" s="60">
        <v>1</v>
      </c>
      <c r="I133" s="60">
        <v>1</v>
      </c>
      <c r="J133" s="75">
        <f>K133</f>
        <v>89075.19</v>
      </c>
      <c r="K133" s="75">
        <v>89075.19</v>
      </c>
      <c r="L133" s="59" t="s">
        <v>104</v>
      </c>
      <c r="M133" s="59" t="s">
        <v>104</v>
      </c>
      <c r="N133" s="71">
        <f>O133</f>
        <v>89075.19</v>
      </c>
      <c r="O133" s="71">
        <f>G133*K133</f>
        <v>89075.19</v>
      </c>
      <c r="P133" s="59" t="s">
        <v>104</v>
      </c>
      <c r="Q133" s="59" t="s">
        <v>104</v>
      </c>
      <c r="R133" s="75">
        <f>H133*K133</f>
        <v>89075.19</v>
      </c>
      <c r="S133" s="75">
        <f>I133*K133</f>
        <v>89075.19</v>
      </c>
    </row>
    <row r="134" spans="1:19">
      <c r="A134" s="158"/>
      <c r="B134" s="159"/>
      <c r="C134" s="63" t="s">
        <v>173</v>
      </c>
      <c r="D134" s="64" t="s">
        <v>101</v>
      </c>
      <c r="E134" s="60">
        <v>1</v>
      </c>
      <c r="F134" s="60">
        <v>1</v>
      </c>
      <c r="G134" s="120">
        <f t="shared" si="109"/>
        <v>1</v>
      </c>
      <c r="H134" s="60">
        <v>1</v>
      </c>
      <c r="I134" s="60">
        <v>1</v>
      </c>
      <c r="J134" s="75">
        <f>K134</f>
        <v>22724.03</v>
      </c>
      <c r="K134" s="75">
        <v>22724.03</v>
      </c>
      <c r="L134" s="59" t="s">
        <v>104</v>
      </c>
      <c r="M134" s="59" t="s">
        <v>104</v>
      </c>
      <c r="N134" s="71">
        <f>O134</f>
        <v>22724.03</v>
      </c>
      <c r="O134" s="71">
        <f>G134*K134</f>
        <v>22724.03</v>
      </c>
      <c r="P134" s="59" t="s">
        <v>104</v>
      </c>
      <c r="Q134" s="59" t="s">
        <v>104</v>
      </c>
      <c r="R134" s="75">
        <f>H134*K134</f>
        <v>22724.03</v>
      </c>
      <c r="S134" s="75">
        <f>I134*K134</f>
        <v>22724.03</v>
      </c>
    </row>
    <row r="135" spans="1:19" ht="120">
      <c r="A135" s="158"/>
      <c r="B135" s="159"/>
      <c r="C135" s="61" t="s">
        <v>105</v>
      </c>
      <c r="D135" s="64" t="s">
        <v>101</v>
      </c>
      <c r="E135" s="60">
        <v>1</v>
      </c>
      <c r="F135" s="60">
        <v>1</v>
      </c>
      <c r="G135" s="120">
        <f t="shared" si="109"/>
        <v>1</v>
      </c>
      <c r="H135" s="60">
        <v>1</v>
      </c>
      <c r="I135" s="60">
        <v>1</v>
      </c>
      <c r="J135" s="73">
        <f>K135</f>
        <v>175293.2</v>
      </c>
      <c r="K135" s="73">
        <f>173925.53+1367.67</f>
        <v>175293.2</v>
      </c>
      <c r="L135" s="70">
        <v>3857.41</v>
      </c>
      <c r="M135" s="70">
        <v>10845.82</v>
      </c>
      <c r="N135" s="71">
        <f>SUM(O135:Q135)</f>
        <v>189996.43000000002</v>
      </c>
      <c r="O135" s="73">
        <f>G135*K135</f>
        <v>175293.2</v>
      </c>
      <c r="P135" s="73">
        <f>G135*L135</f>
        <v>3857.41</v>
      </c>
      <c r="Q135" s="73">
        <f>G135*M135</f>
        <v>10845.82</v>
      </c>
      <c r="R135" s="75">
        <f>H135*K135</f>
        <v>175293.2</v>
      </c>
      <c r="S135" s="75">
        <f>I135*K135</f>
        <v>175293.2</v>
      </c>
    </row>
    <row r="136" spans="1:19">
      <c r="A136" s="158"/>
      <c r="B136" s="113"/>
      <c r="C136" s="66" t="s">
        <v>106</v>
      </c>
      <c r="D136" s="64"/>
      <c r="E136" s="60">
        <f>E131+E135</f>
        <v>44</v>
      </c>
      <c r="F136" s="60">
        <f t="shared" ref="F136:I136" si="129">F131+F135</f>
        <v>44</v>
      </c>
      <c r="G136" s="60">
        <f t="shared" si="129"/>
        <v>44</v>
      </c>
      <c r="H136" s="60">
        <f t="shared" si="129"/>
        <v>44</v>
      </c>
      <c r="I136" s="60">
        <f t="shared" si="129"/>
        <v>44</v>
      </c>
      <c r="J136" s="73" t="s">
        <v>104</v>
      </c>
      <c r="K136" s="73" t="s">
        <v>104</v>
      </c>
      <c r="L136" s="74" t="s">
        <v>104</v>
      </c>
      <c r="M136" s="74" t="s">
        <v>104</v>
      </c>
      <c r="N136" s="74">
        <f t="shared" ref="N136:Q136" si="130">SUM(N131:N135)</f>
        <v>2698261.7600000002</v>
      </c>
      <c r="O136" s="74">
        <f t="shared" si="130"/>
        <v>2051319.64</v>
      </c>
      <c r="P136" s="74">
        <f t="shared" si="130"/>
        <v>169726.04</v>
      </c>
      <c r="Q136" s="74">
        <f t="shared" si="130"/>
        <v>477216.08</v>
      </c>
      <c r="R136" s="75">
        <f>SUM(R131:R135)</f>
        <v>2683558.5299999998</v>
      </c>
      <c r="S136" s="75">
        <f>SUM(S131:S135)</f>
        <v>2683558.5299999998</v>
      </c>
    </row>
    <row r="137" spans="1:19" ht="165">
      <c r="A137" s="158"/>
      <c r="B137" s="160" t="s">
        <v>109</v>
      </c>
      <c r="C137" s="61" t="s">
        <v>110</v>
      </c>
      <c r="D137" s="64" t="s">
        <v>101</v>
      </c>
      <c r="E137" s="60">
        <v>218</v>
      </c>
      <c r="F137" s="60">
        <v>218</v>
      </c>
      <c r="G137" s="120">
        <f t="shared" si="109"/>
        <v>218</v>
      </c>
      <c r="H137" s="60">
        <v>218</v>
      </c>
      <c r="I137" s="60">
        <v>218</v>
      </c>
      <c r="J137" s="75">
        <f>K137</f>
        <v>2770.76</v>
      </c>
      <c r="K137" s="75">
        <v>2770.76</v>
      </c>
      <c r="L137" s="72" t="s">
        <v>104</v>
      </c>
      <c r="M137" s="72" t="s">
        <v>104</v>
      </c>
      <c r="N137" s="73">
        <f>SUM(O137:Q137)</f>
        <v>604025.68000000005</v>
      </c>
      <c r="O137" s="73">
        <f>K137*E137</f>
        <v>604025.68000000005</v>
      </c>
      <c r="P137" s="73" t="s">
        <v>104</v>
      </c>
      <c r="Q137" s="73" t="s">
        <v>104</v>
      </c>
      <c r="R137" s="75">
        <f t="shared" si="97"/>
        <v>604025.68000000005</v>
      </c>
      <c r="S137" s="75">
        <f t="shared" si="98"/>
        <v>604025.68000000005</v>
      </c>
    </row>
    <row r="138" spans="1:19" ht="180">
      <c r="A138" s="158"/>
      <c r="B138" s="160"/>
      <c r="C138" s="61" t="s">
        <v>178</v>
      </c>
      <c r="D138" s="64" t="s">
        <v>101</v>
      </c>
      <c r="E138" s="60">
        <v>343</v>
      </c>
      <c r="F138" s="60">
        <v>343</v>
      </c>
      <c r="G138" s="120">
        <f t="shared" si="109"/>
        <v>343</v>
      </c>
      <c r="H138" s="60">
        <v>343</v>
      </c>
      <c r="I138" s="60">
        <v>343</v>
      </c>
      <c r="J138" s="75">
        <v>3829.24</v>
      </c>
      <c r="K138" s="75">
        <f>J138</f>
        <v>3829.24</v>
      </c>
      <c r="L138" s="72" t="s">
        <v>104</v>
      </c>
      <c r="M138" s="72" t="s">
        <v>104</v>
      </c>
      <c r="N138" s="73">
        <f>SUM(O138:Q138)</f>
        <v>1313429.3199999998</v>
      </c>
      <c r="O138" s="73">
        <f>K138*E138</f>
        <v>1313429.3199999998</v>
      </c>
      <c r="P138" s="73" t="s">
        <v>104</v>
      </c>
      <c r="Q138" s="73" t="s">
        <v>104</v>
      </c>
      <c r="R138" s="75">
        <f t="shared" si="97"/>
        <v>1313429.3199999998</v>
      </c>
      <c r="S138" s="75">
        <f t="shared" si="98"/>
        <v>1313429.3199999998</v>
      </c>
    </row>
    <row r="139" spans="1:19">
      <c r="A139" s="158"/>
      <c r="B139" s="69"/>
      <c r="C139" s="66" t="s">
        <v>106</v>
      </c>
      <c r="D139" s="69"/>
      <c r="E139" s="60">
        <f>SUM(E137:E138)</f>
        <v>561</v>
      </c>
      <c r="F139" s="60">
        <f>SUM(F137:F138)</f>
        <v>561</v>
      </c>
      <c r="G139" s="60">
        <f t="shared" ref="G139:I139" si="131">SUM(G137:G138)</f>
        <v>561</v>
      </c>
      <c r="H139" s="60">
        <f t="shared" si="131"/>
        <v>561</v>
      </c>
      <c r="I139" s="60">
        <f t="shared" si="131"/>
        <v>561</v>
      </c>
      <c r="J139" s="73" t="s">
        <v>104</v>
      </c>
      <c r="K139" s="73" t="s">
        <v>104</v>
      </c>
      <c r="L139" s="74" t="s">
        <v>104</v>
      </c>
      <c r="M139" s="74">
        <f t="shared" ref="M139:Q139" si="132">SUM(M137:M138)</f>
        <v>0</v>
      </c>
      <c r="N139" s="74">
        <f t="shared" si="132"/>
        <v>1917455</v>
      </c>
      <c r="O139" s="74">
        <f t="shared" si="132"/>
        <v>1917455</v>
      </c>
      <c r="P139" s="74">
        <f t="shared" si="132"/>
        <v>0</v>
      </c>
      <c r="Q139" s="74">
        <f t="shared" si="132"/>
        <v>0</v>
      </c>
      <c r="R139" s="75">
        <f>SUM(R137:R138)</f>
        <v>1917455</v>
      </c>
      <c r="S139" s="75">
        <f>SUM(S137:S138)</f>
        <v>1917455</v>
      </c>
    </row>
    <row r="140" spans="1:19">
      <c r="A140" s="158"/>
      <c r="B140" s="102" t="s">
        <v>112</v>
      </c>
      <c r="C140" s="102"/>
      <c r="D140" s="69"/>
      <c r="E140" s="103"/>
      <c r="F140" s="103"/>
      <c r="G140" s="103"/>
      <c r="H140" s="103"/>
      <c r="I140" s="103"/>
      <c r="J140" s="106"/>
      <c r="K140" s="106"/>
      <c r="L140" s="104"/>
      <c r="M140" s="104"/>
      <c r="N140" s="104">
        <f>SUM(O140:Q140)</f>
        <v>26529546.920000006</v>
      </c>
      <c r="O140" s="104">
        <f>O121+O130+O136+O139</f>
        <v>18357362.690000005</v>
      </c>
      <c r="P140" s="104">
        <f>P121+P130+P136+P139</f>
        <v>1828412.3399999999</v>
      </c>
      <c r="Q140" s="104">
        <f>Q121+Q130+Q136+Q139</f>
        <v>6343771.8900000006</v>
      </c>
      <c r="R140" s="104">
        <f>R121+R130+R136+R139</f>
        <v>26687142.750000004</v>
      </c>
      <c r="S140" s="104">
        <f>S121+S130+S136+S139</f>
        <v>26687142.750000004</v>
      </c>
    </row>
    <row r="141" spans="1:19" ht="90">
      <c r="A141" s="158" t="s">
        <v>114</v>
      </c>
      <c r="B141" s="159" t="s">
        <v>99</v>
      </c>
      <c r="C141" s="61" t="s">
        <v>100</v>
      </c>
      <c r="D141" s="62" t="s">
        <v>101</v>
      </c>
      <c r="E141" s="59">
        <v>185</v>
      </c>
      <c r="F141" s="59">
        <v>185</v>
      </c>
      <c r="G141" s="120">
        <f t="shared" ref="G141:G146" si="133">((E141*8)+(F141*4))/12</f>
        <v>185</v>
      </c>
      <c r="H141" s="59">
        <v>185</v>
      </c>
      <c r="I141" s="59">
        <v>185</v>
      </c>
      <c r="J141" s="110">
        <f>SUM(K141:M141)</f>
        <v>37984.240000000005</v>
      </c>
      <c r="K141" s="110">
        <f>22328.93+952.08</f>
        <v>23281.010000000002</v>
      </c>
      <c r="L141" s="70">
        <v>3857.41</v>
      </c>
      <c r="M141" s="70">
        <v>10845.82</v>
      </c>
      <c r="N141" s="71">
        <f>SUM(O141:Q141)</f>
        <v>7027084.4000000004</v>
      </c>
      <c r="O141" s="71">
        <f>G141*K141</f>
        <v>4306986.8500000006</v>
      </c>
      <c r="P141" s="71">
        <f>G141*L141</f>
        <v>713620.85</v>
      </c>
      <c r="Q141" s="75">
        <f>G141*M141</f>
        <v>2006476.7</v>
      </c>
      <c r="R141" s="75">
        <f t="shared" si="97"/>
        <v>7027084.4000000013</v>
      </c>
      <c r="S141" s="75">
        <f t="shared" si="98"/>
        <v>7027084.4000000013</v>
      </c>
    </row>
    <row r="142" spans="1:19" ht="135">
      <c r="A142" s="158"/>
      <c r="B142" s="159"/>
      <c r="C142" s="63" t="s">
        <v>167</v>
      </c>
      <c r="D142" s="64" t="s">
        <v>101</v>
      </c>
      <c r="E142" s="59" t="s">
        <v>104</v>
      </c>
      <c r="F142" s="59" t="s">
        <v>104</v>
      </c>
      <c r="G142" s="59" t="s">
        <v>104</v>
      </c>
      <c r="H142" s="59" t="s">
        <v>104</v>
      </c>
      <c r="I142" s="59" t="s">
        <v>104</v>
      </c>
      <c r="J142" s="59" t="s">
        <v>104</v>
      </c>
      <c r="K142" s="59" t="s">
        <v>104</v>
      </c>
      <c r="L142" s="59" t="s">
        <v>104</v>
      </c>
      <c r="M142" s="59" t="s">
        <v>104</v>
      </c>
      <c r="N142" s="71"/>
      <c r="O142" s="71"/>
      <c r="P142" s="59" t="s">
        <v>104</v>
      </c>
      <c r="Q142" s="59" t="s">
        <v>104</v>
      </c>
      <c r="R142" s="75"/>
      <c r="S142" s="75"/>
    </row>
    <row r="143" spans="1:19">
      <c r="A143" s="158"/>
      <c r="B143" s="159"/>
      <c r="C143" s="63" t="s">
        <v>179</v>
      </c>
      <c r="D143" s="64" t="s">
        <v>101</v>
      </c>
      <c r="E143" s="59">
        <v>1</v>
      </c>
      <c r="F143" s="59">
        <v>1</v>
      </c>
      <c r="G143" s="120">
        <f t="shared" si="133"/>
        <v>1</v>
      </c>
      <c r="H143" s="59">
        <v>1</v>
      </c>
      <c r="I143" s="59">
        <v>1</v>
      </c>
      <c r="J143" s="75">
        <f t="shared" ref="J143:J146" si="134">K143</f>
        <v>66860.39</v>
      </c>
      <c r="K143" s="75">
        <v>66860.39</v>
      </c>
      <c r="L143" s="59" t="s">
        <v>104</v>
      </c>
      <c r="M143" s="59" t="s">
        <v>104</v>
      </c>
      <c r="N143" s="71">
        <f>O143</f>
        <v>66860.39</v>
      </c>
      <c r="O143" s="71">
        <f>G143*K143</f>
        <v>66860.39</v>
      </c>
      <c r="P143" s="59" t="s">
        <v>104</v>
      </c>
      <c r="Q143" s="59" t="s">
        <v>104</v>
      </c>
      <c r="R143" s="75">
        <f>H143*K143</f>
        <v>66860.39</v>
      </c>
      <c r="S143" s="75">
        <f>I143*K143</f>
        <v>66860.39</v>
      </c>
    </row>
    <row r="144" spans="1:19">
      <c r="A144" s="158"/>
      <c r="B144" s="159"/>
      <c r="C144" s="63" t="s">
        <v>176</v>
      </c>
      <c r="D144" s="64" t="s">
        <v>101</v>
      </c>
      <c r="E144" s="59">
        <v>2</v>
      </c>
      <c r="F144" s="59">
        <v>2</v>
      </c>
      <c r="G144" s="120">
        <f t="shared" si="133"/>
        <v>2</v>
      </c>
      <c r="H144" s="59">
        <v>2</v>
      </c>
      <c r="I144" s="59">
        <v>2</v>
      </c>
      <c r="J144" s="75">
        <f t="shared" si="134"/>
        <v>66860.39</v>
      </c>
      <c r="K144" s="75">
        <v>66860.39</v>
      </c>
      <c r="L144" s="59" t="s">
        <v>104</v>
      </c>
      <c r="M144" s="59" t="s">
        <v>104</v>
      </c>
      <c r="N144" s="71">
        <f t="shared" ref="N144:N146" si="135">O144</f>
        <v>133720.78</v>
      </c>
      <c r="O144" s="71">
        <f t="shared" ref="O144:O145" si="136">G144*K144</f>
        <v>133720.78</v>
      </c>
      <c r="P144" s="59" t="s">
        <v>104</v>
      </c>
      <c r="Q144" s="59" t="s">
        <v>104</v>
      </c>
      <c r="R144" s="75">
        <f t="shared" ref="R144:R146" si="137">H144*K144</f>
        <v>133720.78</v>
      </c>
      <c r="S144" s="75">
        <f t="shared" ref="S144:S146" si="138">I144*K144</f>
        <v>133720.78</v>
      </c>
    </row>
    <row r="145" spans="1:19">
      <c r="A145" s="158"/>
      <c r="B145" s="159"/>
      <c r="C145" s="63" t="s">
        <v>170</v>
      </c>
      <c r="D145" s="64" t="s">
        <v>101</v>
      </c>
      <c r="E145" s="59">
        <v>2</v>
      </c>
      <c r="F145" s="59">
        <v>2</v>
      </c>
      <c r="G145" s="120">
        <f t="shared" si="133"/>
        <v>2</v>
      </c>
      <c r="H145" s="59">
        <v>2</v>
      </c>
      <c r="I145" s="59">
        <v>2</v>
      </c>
      <c r="J145" s="75">
        <f t="shared" si="134"/>
        <v>63972.15</v>
      </c>
      <c r="K145" s="75">
        <v>63972.15</v>
      </c>
      <c r="L145" s="59" t="s">
        <v>104</v>
      </c>
      <c r="M145" s="59" t="s">
        <v>104</v>
      </c>
      <c r="N145" s="71">
        <f t="shared" si="135"/>
        <v>127944.3</v>
      </c>
      <c r="O145" s="71">
        <f t="shared" si="136"/>
        <v>127944.3</v>
      </c>
      <c r="P145" s="59" t="s">
        <v>104</v>
      </c>
      <c r="Q145" s="59" t="s">
        <v>104</v>
      </c>
      <c r="R145" s="75">
        <f t="shared" si="137"/>
        <v>127944.3</v>
      </c>
      <c r="S145" s="75">
        <f t="shared" si="138"/>
        <v>127944.3</v>
      </c>
    </row>
    <row r="146" spans="1:19">
      <c r="A146" s="158"/>
      <c r="B146" s="159"/>
      <c r="C146" s="63" t="s">
        <v>173</v>
      </c>
      <c r="D146" s="64" t="s">
        <v>101</v>
      </c>
      <c r="E146" s="59">
        <v>1</v>
      </c>
      <c r="F146" s="59">
        <v>1</v>
      </c>
      <c r="G146" s="120">
        <f t="shared" si="133"/>
        <v>1</v>
      </c>
      <c r="H146" s="59">
        <v>1</v>
      </c>
      <c r="I146" s="59">
        <v>1</v>
      </c>
      <c r="J146" s="75">
        <f t="shared" si="134"/>
        <v>22724.03</v>
      </c>
      <c r="K146" s="75">
        <v>22724.03</v>
      </c>
      <c r="L146" s="59" t="s">
        <v>104</v>
      </c>
      <c r="M146" s="59" t="s">
        <v>104</v>
      </c>
      <c r="N146" s="71">
        <f t="shared" si="135"/>
        <v>22724.03</v>
      </c>
      <c r="O146" s="71">
        <f t="shared" ref="O146" si="139">G146*K146</f>
        <v>22724.03</v>
      </c>
      <c r="P146" s="59" t="s">
        <v>104</v>
      </c>
      <c r="Q146" s="59" t="s">
        <v>104</v>
      </c>
      <c r="R146" s="75">
        <f t="shared" si="137"/>
        <v>22724.03</v>
      </c>
      <c r="S146" s="75">
        <f t="shared" si="138"/>
        <v>22724.03</v>
      </c>
    </row>
    <row r="147" spans="1:19" ht="120">
      <c r="A147" s="158"/>
      <c r="B147" s="159"/>
      <c r="C147" s="61" t="s">
        <v>105</v>
      </c>
      <c r="D147" s="64" t="s">
        <v>101</v>
      </c>
      <c r="E147" s="59"/>
      <c r="F147" s="59"/>
      <c r="G147" s="59"/>
      <c r="H147" s="59"/>
      <c r="I147" s="59"/>
      <c r="J147" s="75">
        <f>SUM(K147:M147)</f>
        <v>132083.69</v>
      </c>
      <c r="K147" s="75">
        <f>116428.38+952.08</f>
        <v>117380.46</v>
      </c>
      <c r="L147" s="72">
        <v>3857.41</v>
      </c>
      <c r="M147" s="70">
        <v>10845.82</v>
      </c>
      <c r="N147" s="71">
        <f>SUM(O147:Q147)</f>
        <v>0</v>
      </c>
      <c r="O147" s="71">
        <f>E147*K147</f>
        <v>0</v>
      </c>
      <c r="P147" s="71">
        <f>E147*L147</f>
        <v>0</v>
      </c>
      <c r="Q147" s="75">
        <f>E147*M147</f>
        <v>0</v>
      </c>
      <c r="R147" s="75">
        <f t="shared" si="97"/>
        <v>0</v>
      </c>
      <c r="S147" s="75">
        <f t="shared" si="98"/>
        <v>0</v>
      </c>
    </row>
    <row r="148" spans="1:19">
      <c r="A148" s="158"/>
      <c r="B148" s="159"/>
      <c r="C148" s="66" t="s">
        <v>106</v>
      </c>
      <c r="D148" s="67"/>
      <c r="E148" s="59">
        <f>E141+E147</f>
        <v>185</v>
      </c>
      <c r="F148" s="59">
        <f t="shared" ref="F148:I148" si="140">F141+F147</f>
        <v>185</v>
      </c>
      <c r="G148" s="59">
        <f t="shared" si="140"/>
        <v>185</v>
      </c>
      <c r="H148" s="59">
        <f t="shared" si="140"/>
        <v>185</v>
      </c>
      <c r="I148" s="59">
        <f t="shared" si="140"/>
        <v>185</v>
      </c>
      <c r="J148" s="71" t="s">
        <v>104</v>
      </c>
      <c r="K148" s="71" t="s">
        <v>104</v>
      </c>
      <c r="L148" s="71" t="s">
        <v>104</v>
      </c>
      <c r="M148" s="71" t="s">
        <v>104</v>
      </c>
      <c r="N148" s="71">
        <f t="shared" ref="N148:S148" si="141">SUM(N141:N147)</f>
        <v>7378333.9000000004</v>
      </c>
      <c r="O148" s="71">
        <f t="shared" si="141"/>
        <v>4658236.3500000006</v>
      </c>
      <c r="P148" s="71">
        <f t="shared" si="141"/>
        <v>713620.85</v>
      </c>
      <c r="Q148" s="71">
        <f t="shared" si="141"/>
        <v>2006476.7</v>
      </c>
      <c r="R148" s="71">
        <f t="shared" si="141"/>
        <v>7378333.9000000013</v>
      </c>
      <c r="S148" s="71">
        <f t="shared" si="141"/>
        <v>7378333.9000000013</v>
      </c>
    </row>
    <row r="149" spans="1:19" ht="90">
      <c r="A149" s="158"/>
      <c r="B149" s="159" t="s">
        <v>107</v>
      </c>
      <c r="C149" s="61" t="s">
        <v>100</v>
      </c>
      <c r="D149" s="62" t="s">
        <v>101</v>
      </c>
      <c r="E149" s="59">
        <v>269</v>
      </c>
      <c r="F149" s="59">
        <v>269</v>
      </c>
      <c r="G149" s="120">
        <f t="shared" ref="G149:G152" si="142">((E149*8)+(F149*4))/12</f>
        <v>269</v>
      </c>
      <c r="H149" s="59">
        <v>269</v>
      </c>
      <c r="I149" s="59">
        <v>269</v>
      </c>
      <c r="J149" s="110">
        <f>SUM(K149:M149)</f>
        <v>49020.01</v>
      </c>
      <c r="K149" s="110">
        <f>33147.58+1169.2</f>
        <v>34316.78</v>
      </c>
      <c r="L149" s="70">
        <v>3857.41</v>
      </c>
      <c r="M149" s="70">
        <v>10845.82</v>
      </c>
      <c r="N149" s="71">
        <f>SUM(O149:Q149)</f>
        <v>13186382.689999999</v>
      </c>
      <c r="O149" s="71">
        <f>G149*K149</f>
        <v>9231213.8200000003</v>
      </c>
      <c r="P149" s="71">
        <f>G149*L149</f>
        <v>1037643.2899999999</v>
      </c>
      <c r="Q149" s="71">
        <f>G149*M149</f>
        <v>2917525.58</v>
      </c>
      <c r="R149" s="75">
        <f t="shared" si="97"/>
        <v>13186382.690000001</v>
      </c>
      <c r="S149" s="75">
        <f t="shared" si="98"/>
        <v>13186382.690000001</v>
      </c>
    </row>
    <row r="150" spans="1:19" ht="135">
      <c r="A150" s="158"/>
      <c r="B150" s="159"/>
      <c r="C150" s="63" t="s">
        <v>167</v>
      </c>
      <c r="D150" s="64" t="s">
        <v>101</v>
      </c>
      <c r="E150" s="59" t="s">
        <v>104</v>
      </c>
      <c r="F150" s="59" t="s">
        <v>104</v>
      </c>
      <c r="G150" s="59" t="s">
        <v>104</v>
      </c>
      <c r="H150" s="59" t="s">
        <v>104</v>
      </c>
      <c r="I150" s="59" t="s">
        <v>104</v>
      </c>
      <c r="J150" s="59" t="s">
        <v>104</v>
      </c>
      <c r="K150" s="59" t="s">
        <v>104</v>
      </c>
      <c r="L150" s="59" t="s">
        <v>104</v>
      </c>
      <c r="M150" s="59" t="s">
        <v>104</v>
      </c>
      <c r="N150" s="71"/>
      <c r="O150" s="71"/>
      <c r="P150" s="59" t="s">
        <v>104</v>
      </c>
      <c r="Q150" s="59" t="s">
        <v>104</v>
      </c>
      <c r="R150" s="75"/>
      <c r="S150" s="75"/>
    </row>
    <row r="151" spans="1:19">
      <c r="A151" s="158"/>
      <c r="B151" s="159"/>
      <c r="C151" s="63" t="s">
        <v>179</v>
      </c>
      <c r="D151" s="64" t="s">
        <v>101</v>
      </c>
      <c r="E151" s="60">
        <v>1</v>
      </c>
      <c r="F151" s="60">
        <v>1</v>
      </c>
      <c r="G151" s="120">
        <f t="shared" si="142"/>
        <v>1</v>
      </c>
      <c r="H151" s="60">
        <v>1</v>
      </c>
      <c r="I151" s="60">
        <v>1</v>
      </c>
      <c r="J151" s="75">
        <f t="shared" ref="J151:J152" si="143">K151</f>
        <v>66860.39</v>
      </c>
      <c r="K151" s="75">
        <v>66860.39</v>
      </c>
      <c r="L151" s="59" t="s">
        <v>104</v>
      </c>
      <c r="M151" s="59" t="s">
        <v>104</v>
      </c>
      <c r="N151" s="71">
        <f t="shared" ref="N151:N152" si="144">O151</f>
        <v>66860.39</v>
      </c>
      <c r="O151" s="71">
        <f t="shared" ref="O151:O152" si="145">G151*K151</f>
        <v>66860.39</v>
      </c>
      <c r="P151" s="59" t="s">
        <v>104</v>
      </c>
      <c r="Q151" s="59" t="s">
        <v>104</v>
      </c>
      <c r="R151" s="75">
        <f>H151*K151</f>
        <v>66860.39</v>
      </c>
      <c r="S151" s="75">
        <f>I151*K151</f>
        <v>66860.39</v>
      </c>
    </row>
    <row r="152" spans="1:19">
      <c r="A152" s="158"/>
      <c r="B152" s="159"/>
      <c r="C152" s="63" t="s">
        <v>169</v>
      </c>
      <c r="D152" s="64" t="s">
        <v>101</v>
      </c>
      <c r="E152" s="60">
        <v>1</v>
      </c>
      <c r="F152" s="60">
        <v>1</v>
      </c>
      <c r="G152" s="120">
        <f t="shared" si="142"/>
        <v>1</v>
      </c>
      <c r="H152" s="60">
        <v>1</v>
      </c>
      <c r="I152" s="60">
        <v>1</v>
      </c>
      <c r="J152" s="75">
        <f t="shared" si="143"/>
        <v>89075.19</v>
      </c>
      <c r="K152" s="75">
        <v>89075.19</v>
      </c>
      <c r="L152" s="59" t="s">
        <v>104</v>
      </c>
      <c r="M152" s="59" t="s">
        <v>104</v>
      </c>
      <c r="N152" s="71">
        <f t="shared" si="144"/>
        <v>89075.19</v>
      </c>
      <c r="O152" s="71">
        <f t="shared" si="145"/>
        <v>89075.19</v>
      </c>
      <c r="P152" s="59" t="s">
        <v>104</v>
      </c>
      <c r="Q152" s="59" t="s">
        <v>104</v>
      </c>
      <c r="R152" s="75">
        <f t="shared" ref="R152:R153" si="146">H152*K152</f>
        <v>89075.19</v>
      </c>
      <c r="S152" s="75">
        <f t="shared" ref="S152:S153" si="147">I152*K152</f>
        <v>89075.19</v>
      </c>
    </row>
    <row r="153" spans="1:19">
      <c r="A153" s="158"/>
      <c r="B153" s="159"/>
      <c r="C153" s="63" t="s">
        <v>173</v>
      </c>
      <c r="D153" s="64" t="s">
        <v>101</v>
      </c>
      <c r="E153" s="60">
        <v>4</v>
      </c>
      <c r="F153" s="60">
        <v>4</v>
      </c>
      <c r="G153" s="120">
        <f t="shared" ref="G153:G159" si="148">((E153*8)+(F153*4))/12</f>
        <v>4</v>
      </c>
      <c r="H153" s="60">
        <v>4</v>
      </c>
      <c r="I153" s="60">
        <v>4</v>
      </c>
      <c r="J153" s="75">
        <f>K153</f>
        <v>22724.03</v>
      </c>
      <c r="K153" s="75">
        <v>22724.03</v>
      </c>
      <c r="L153" s="59" t="s">
        <v>104</v>
      </c>
      <c r="M153" s="59" t="s">
        <v>104</v>
      </c>
      <c r="N153" s="71">
        <f>O153</f>
        <v>90896.12</v>
      </c>
      <c r="O153" s="71">
        <f>G153*K153</f>
        <v>90896.12</v>
      </c>
      <c r="P153" s="59" t="s">
        <v>104</v>
      </c>
      <c r="Q153" s="59" t="s">
        <v>104</v>
      </c>
      <c r="R153" s="75">
        <f t="shared" si="146"/>
        <v>90896.12</v>
      </c>
      <c r="S153" s="75">
        <f t="shared" si="147"/>
        <v>90896.12</v>
      </c>
    </row>
    <row r="154" spans="1:19" ht="120">
      <c r="A154" s="158"/>
      <c r="B154" s="159"/>
      <c r="C154" s="61" t="s">
        <v>105</v>
      </c>
      <c r="D154" s="64" t="s">
        <v>101</v>
      </c>
      <c r="E154" s="60">
        <v>5</v>
      </c>
      <c r="F154" s="60">
        <v>5</v>
      </c>
      <c r="G154" s="60">
        <f t="shared" si="148"/>
        <v>5</v>
      </c>
      <c r="H154" s="60">
        <v>5</v>
      </c>
      <c r="I154" s="60">
        <v>5</v>
      </c>
      <c r="J154" s="75">
        <f>SUM(K154:M154)</f>
        <v>161049.39000000001</v>
      </c>
      <c r="K154" s="75">
        <f>145176.96+1169.2</f>
        <v>146346.16</v>
      </c>
      <c r="L154" s="72">
        <v>3857.41</v>
      </c>
      <c r="M154" s="70">
        <v>10845.82</v>
      </c>
      <c r="N154" s="73">
        <f>SUM(O154:Q154)</f>
        <v>805246.95000000007</v>
      </c>
      <c r="O154" s="73">
        <f>G154*K154</f>
        <v>731730.8</v>
      </c>
      <c r="P154" s="73">
        <f>G154*L154</f>
        <v>19287.05</v>
      </c>
      <c r="Q154" s="73">
        <f>G154*M154</f>
        <v>54229.1</v>
      </c>
      <c r="R154" s="75">
        <f t="shared" si="97"/>
        <v>805246.95000000007</v>
      </c>
      <c r="S154" s="75">
        <f t="shared" si="98"/>
        <v>805246.95000000007</v>
      </c>
    </row>
    <row r="155" spans="1:19">
      <c r="A155" s="158"/>
      <c r="B155" s="113"/>
      <c r="C155" s="66" t="s">
        <v>106</v>
      </c>
      <c r="D155" s="64"/>
      <c r="E155" s="60">
        <f>E149+E154</f>
        <v>274</v>
      </c>
      <c r="F155" s="60">
        <f t="shared" ref="F155:I155" si="149">F149+F154</f>
        <v>274</v>
      </c>
      <c r="G155" s="60">
        <f t="shared" si="149"/>
        <v>274</v>
      </c>
      <c r="H155" s="60">
        <f t="shared" si="149"/>
        <v>274</v>
      </c>
      <c r="I155" s="60">
        <f t="shared" si="149"/>
        <v>274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S155" si="150">SUM(N149:N154)</f>
        <v>14238461.339999998</v>
      </c>
      <c r="O155" s="74">
        <f t="shared" si="150"/>
        <v>10209776.32</v>
      </c>
      <c r="P155" s="74">
        <f t="shared" si="150"/>
        <v>1056930.3399999999</v>
      </c>
      <c r="Q155" s="74">
        <f t="shared" si="150"/>
        <v>2971754.68</v>
      </c>
      <c r="R155" s="74">
        <f t="shared" si="150"/>
        <v>14238461.34</v>
      </c>
      <c r="S155" s="74">
        <f t="shared" si="150"/>
        <v>14238461.34</v>
      </c>
    </row>
    <row r="156" spans="1:19" ht="90">
      <c r="A156" s="158"/>
      <c r="B156" s="159" t="s">
        <v>108</v>
      </c>
      <c r="C156" s="61" t="s">
        <v>100</v>
      </c>
      <c r="D156" s="62" t="s">
        <v>101</v>
      </c>
      <c r="E156" s="60">
        <v>56</v>
      </c>
      <c r="F156" s="60">
        <v>56</v>
      </c>
      <c r="G156" s="60">
        <f t="shared" si="148"/>
        <v>56</v>
      </c>
      <c r="H156" s="60">
        <v>56</v>
      </c>
      <c r="I156" s="60">
        <v>56</v>
      </c>
      <c r="J156" s="110">
        <f>SUM(K156:M156)</f>
        <v>55731.77</v>
      </c>
      <c r="K156" s="110">
        <f>39660.87+1367.67</f>
        <v>41028.54</v>
      </c>
      <c r="L156" s="70">
        <v>3857.41</v>
      </c>
      <c r="M156" s="70">
        <v>10845.82</v>
      </c>
      <c r="N156" s="73">
        <f>SUM(O156:Q156)</f>
        <v>3120979.12</v>
      </c>
      <c r="O156" s="73">
        <f>G156*K156</f>
        <v>2297598.2400000002</v>
      </c>
      <c r="P156" s="73">
        <f>G156*L156</f>
        <v>216014.96</v>
      </c>
      <c r="Q156" s="73">
        <f>G156*M156</f>
        <v>607365.91999999993</v>
      </c>
      <c r="R156" s="75">
        <f t="shared" si="97"/>
        <v>3120979.1199999996</v>
      </c>
      <c r="S156" s="75">
        <f t="shared" si="98"/>
        <v>3120979.1199999996</v>
      </c>
    </row>
    <row r="157" spans="1:19" ht="135">
      <c r="A157" s="158"/>
      <c r="B157" s="159"/>
      <c r="C157" s="63" t="s">
        <v>167</v>
      </c>
      <c r="D157" s="64" t="s">
        <v>101</v>
      </c>
      <c r="E157" s="59" t="s">
        <v>104</v>
      </c>
      <c r="F157" s="59" t="s">
        <v>104</v>
      </c>
      <c r="G157" s="59" t="s">
        <v>104</v>
      </c>
      <c r="H157" s="59" t="s">
        <v>104</v>
      </c>
      <c r="I157" s="59" t="s">
        <v>104</v>
      </c>
      <c r="J157" s="59" t="s">
        <v>104</v>
      </c>
      <c r="K157" s="59" t="s">
        <v>104</v>
      </c>
      <c r="L157" s="59" t="s">
        <v>104</v>
      </c>
      <c r="M157" s="59" t="s">
        <v>104</v>
      </c>
      <c r="N157" s="71"/>
      <c r="O157" s="71"/>
      <c r="P157" s="59" t="s">
        <v>104</v>
      </c>
      <c r="Q157" s="59" t="s">
        <v>104</v>
      </c>
      <c r="R157" s="75"/>
      <c r="S157" s="75"/>
    </row>
    <row r="158" spans="1:19">
      <c r="A158" s="158"/>
      <c r="B158" s="159"/>
      <c r="C158" s="63" t="s">
        <v>169</v>
      </c>
      <c r="D158" s="64" t="s">
        <v>101</v>
      </c>
      <c r="E158" s="60">
        <v>1</v>
      </c>
      <c r="F158" s="60">
        <v>1</v>
      </c>
      <c r="G158" s="120">
        <f t="shared" si="148"/>
        <v>1</v>
      </c>
      <c r="H158" s="60">
        <v>1</v>
      </c>
      <c r="I158" s="60">
        <v>1</v>
      </c>
      <c r="J158" s="75">
        <f>K158</f>
        <v>89075.19</v>
      </c>
      <c r="K158" s="75">
        <v>89075.19</v>
      </c>
      <c r="L158" s="59" t="s">
        <v>104</v>
      </c>
      <c r="M158" s="59" t="s">
        <v>104</v>
      </c>
      <c r="N158" s="71">
        <f>O158</f>
        <v>89075.19</v>
      </c>
      <c r="O158" s="71">
        <f>G158*K158</f>
        <v>89075.19</v>
      </c>
      <c r="P158" s="59" t="s">
        <v>104</v>
      </c>
      <c r="Q158" s="59" t="s">
        <v>104</v>
      </c>
      <c r="R158" s="75">
        <f>H158*K158</f>
        <v>89075.19</v>
      </c>
      <c r="S158" s="75">
        <f>I158*K158</f>
        <v>89075.19</v>
      </c>
    </row>
    <row r="159" spans="1:19">
      <c r="A159" s="158"/>
      <c r="B159" s="159"/>
      <c r="C159" s="63" t="s">
        <v>173</v>
      </c>
      <c r="D159" s="64" t="s">
        <v>101</v>
      </c>
      <c r="E159" s="60">
        <v>1</v>
      </c>
      <c r="F159" s="60">
        <v>1</v>
      </c>
      <c r="G159" s="120">
        <f t="shared" si="148"/>
        <v>1</v>
      </c>
      <c r="H159" s="60">
        <v>1</v>
      </c>
      <c r="I159" s="60">
        <v>1</v>
      </c>
      <c r="J159" s="75">
        <f>K159</f>
        <v>22724.03</v>
      </c>
      <c r="K159" s="75">
        <v>22724.03</v>
      </c>
      <c r="L159" s="59" t="s">
        <v>104</v>
      </c>
      <c r="M159" s="59" t="s">
        <v>104</v>
      </c>
      <c r="N159" s="71">
        <f>O159</f>
        <v>22724.03</v>
      </c>
      <c r="O159" s="71">
        <f t="shared" ref="O159:O160" si="151">E159*K159</f>
        <v>22724.03</v>
      </c>
      <c r="P159" s="59" t="s">
        <v>104</v>
      </c>
      <c r="Q159" s="59" t="s">
        <v>104</v>
      </c>
      <c r="R159" s="75">
        <f>H159*K159</f>
        <v>22724.03</v>
      </c>
      <c r="S159" s="75">
        <f>I159*K159</f>
        <v>22724.03</v>
      </c>
    </row>
    <row r="160" spans="1:19" ht="120">
      <c r="A160" s="158"/>
      <c r="B160" s="159"/>
      <c r="C160" s="61" t="s">
        <v>105</v>
      </c>
      <c r="D160" s="64" t="s">
        <v>101</v>
      </c>
      <c r="E160" s="60"/>
      <c r="F160" s="60"/>
      <c r="G160" s="60"/>
      <c r="H160" s="60"/>
      <c r="I160" s="60"/>
      <c r="J160" s="75">
        <f>SUM(K160:M160)</f>
        <v>189996.43000000002</v>
      </c>
      <c r="K160" s="75">
        <f>173925.53+1367.67</f>
        <v>175293.2</v>
      </c>
      <c r="L160" s="72">
        <v>3857.41</v>
      </c>
      <c r="M160" s="70">
        <v>10845.82</v>
      </c>
      <c r="N160" s="73"/>
      <c r="O160" s="71">
        <f t="shared" si="151"/>
        <v>0</v>
      </c>
      <c r="P160" s="73"/>
      <c r="Q160" s="73"/>
      <c r="R160" s="75">
        <f t="shared" si="97"/>
        <v>0</v>
      </c>
      <c r="S160" s="75">
        <f t="shared" si="98"/>
        <v>0</v>
      </c>
    </row>
    <row r="161" spans="1:19">
      <c r="A161" s="158"/>
      <c r="B161" s="113"/>
      <c r="C161" s="66" t="s">
        <v>106</v>
      </c>
      <c r="D161" s="64"/>
      <c r="E161" s="60">
        <f>E156+E160</f>
        <v>56</v>
      </c>
      <c r="F161" s="60">
        <f t="shared" ref="F161:I161" si="152">F156+F160</f>
        <v>56</v>
      </c>
      <c r="G161" s="60">
        <f t="shared" si="152"/>
        <v>56</v>
      </c>
      <c r="H161" s="60">
        <f t="shared" si="152"/>
        <v>56</v>
      </c>
      <c r="I161" s="60">
        <f t="shared" si="152"/>
        <v>56</v>
      </c>
      <c r="J161" s="73" t="s">
        <v>104</v>
      </c>
      <c r="K161" s="73" t="s">
        <v>104</v>
      </c>
      <c r="L161" s="74" t="s">
        <v>104</v>
      </c>
      <c r="M161" s="74" t="s">
        <v>104</v>
      </c>
      <c r="N161" s="74">
        <f t="shared" ref="N161:S161" si="153">SUM(N156:N160)</f>
        <v>3232778.34</v>
      </c>
      <c r="O161" s="74">
        <f t="shared" si="153"/>
        <v>2409397.46</v>
      </c>
      <c r="P161" s="74">
        <f t="shared" si="153"/>
        <v>216014.96</v>
      </c>
      <c r="Q161" s="74">
        <f t="shared" si="153"/>
        <v>607365.91999999993</v>
      </c>
      <c r="R161" s="74">
        <f t="shared" si="153"/>
        <v>3232778.3399999994</v>
      </c>
      <c r="S161" s="74">
        <f t="shared" si="153"/>
        <v>3232778.3399999994</v>
      </c>
    </row>
    <row r="162" spans="1:19" ht="165">
      <c r="A162" s="158"/>
      <c r="B162" s="160" t="s">
        <v>109</v>
      </c>
      <c r="C162" s="61" t="s">
        <v>110</v>
      </c>
      <c r="D162" s="64" t="s">
        <v>101</v>
      </c>
      <c r="E162" s="60">
        <v>377</v>
      </c>
      <c r="F162" s="60">
        <v>377</v>
      </c>
      <c r="G162" s="60">
        <f t="shared" ref="G162:G163" si="154">((E162*8)+(F162*4))/12</f>
        <v>377</v>
      </c>
      <c r="H162" s="60">
        <v>377</v>
      </c>
      <c r="I162" s="60">
        <v>377</v>
      </c>
      <c r="J162" s="75">
        <f>K162</f>
        <v>2770.76</v>
      </c>
      <c r="K162" s="75">
        <v>2770.76</v>
      </c>
      <c r="L162" s="72" t="s">
        <v>104</v>
      </c>
      <c r="M162" s="72" t="s">
        <v>104</v>
      </c>
      <c r="N162" s="73">
        <f>SUM(O162:Q162)</f>
        <v>1044576.5200000001</v>
      </c>
      <c r="O162" s="73">
        <f>K162*E162</f>
        <v>1044576.5200000001</v>
      </c>
      <c r="P162" s="73" t="s">
        <v>104</v>
      </c>
      <c r="Q162" s="73" t="s">
        <v>104</v>
      </c>
      <c r="R162" s="75">
        <f t="shared" si="97"/>
        <v>1044576.5200000001</v>
      </c>
      <c r="S162" s="75">
        <f t="shared" si="98"/>
        <v>1044576.5200000001</v>
      </c>
    </row>
    <row r="163" spans="1:19" ht="180">
      <c r="A163" s="158"/>
      <c r="B163" s="160"/>
      <c r="C163" s="61" t="s">
        <v>174</v>
      </c>
      <c r="D163" s="64" t="s">
        <v>101</v>
      </c>
      <c r="E163" s="60">
        <v>371</v>
      </c>
      <c r="F163" s="60">
        <v>371</v>
      </c>
      <c r="G163" s="60">
        <f t="shared" si="154"/>
        <v>371</v>
      </c>
      <c r="H163" s="60">
        <v>371</v>
      </c>
      <c r="I163" s="60">
        <v>371</v>
      </c>
      <c r="J163" s="75">
        <v>3829.24</v>
      </c>
      <c r="K163" s="75">
        <f>J163</f>
        <v>3829.24</v>
      </c>
      <c r="L163" s="72" t="s">
        <v>104</v>
      </c>
      <c r="M163" s="72" t="s">
        <v>104</v>
      </c>
      <c r="N163" s="73">
        <f>SUM(O163:Q163)</f>
        <v>1420648.0399999998</v>
      </c>
      <c r="O163" s="73">
        <f>K163*E163</f>
        <v>1420648.0399999998</v>
      </c>
      <c r="P163" s="73" t="s">
        <v>104</v>
      </c>
      <c r="Q163" s="73" t="s">
        <v>104</v>
      </c>
      <c r="R163" s="75">
        <f t="shared" si="97"/>
        <v>1420648.0399999998</v>
      </c>
      <c r="S163" s="75">
        <f t="shared" si="98"/>
        <v>1420648.0399999998</v>
      </c>
    </row>
    <row r="164" spans="1:19">
      <c r="A164" s="158"/>
      <c r="B164" s="69"/>
      <c r="C164" s="66" t="s">
        <v>106</v>
      </c>
      <c r="D164" s="69"/>
      <c r="E164" s="60">
        <f>SUM(E162:E163)</f>
        <v>748</v>
      </c>
      <c r="F164" s="60">
        <f t="shared" ref="F164:I164" si="155">SUM(F162:F163)</f>
        <v>748</v>
      </c>
      <c r="G164" s="60">
        <f t="shared" si="155"/>
        <v>748</v>
      </c>
      <c r="H164" s="60">
        <f t="shared" si="155"/>
        <v>748</v>
      </c>
      <c r="I164" s="60">
        <f t="shared" si="155"/>
        <v>748</v>
      </c>
      <c r="J164" s="73" t="s">
        <v>104</v>
      </c>
      <c r="K164" s="73" t="s">
        <v>104</v>
      </c>
      <c r="L164" s="74" t="s">
        <v>104</v>
      </c>
      <c r="M164" s="74">
        <f t="shared" ref="M164:Q164" si="156">SUM(M162:M163)</f>
        <v>0</v>
      </c>
      <c r="N164" s="74">
        <f t="shared" si="156"/>
        <v>2465224.56</v>
      </c>
      <c r="O164" s="74">
        <f t="shared" si="156"/>
        <v>2465224.56</v>
      </c>
      <c r="P164" s="74">
        <f t="shared" si="156"/>
        <v>0</v>
      </c>
      <c r="Q164" s="74">
        <f t="shared" si="156"/>
        <v>0</v>
      </c>
      <c r="R164" s="75">
        <f>SUM(R162:R163)</f>
        <v>2465224.56</v>
      </c>
      <c r="S164" s="75">
        <f>SUM(S162:S163)</f>
        <v>2465224.56</v>
      </c>
    </row>
    <row r="165" spans="1:19">
      <c r="A165" s="158"/>
      <c r="B165" s="102" t="s">
        <v>112</v>
      </c>
      <c r="C165" s="102"/>
      <c r="D165" s="69"/>
      <c r="E165" s="103"/>
      <c r="F165" s="103"/>
      <c r="G165" s="103"/>
      <c r="H165" s="103"/>
      <c r="I165" s="103"/>
      <c r="J165" s="106"/>
      <c r="K165" s="106"/>
      <c r="L165" s="104"/>
      <c r="M165" s="104"/>
      <c r="N165" s="104">
        <f>SUM(O165:Q165)</f>
        <v>27314798.140000001</v>
      </c>
      <c r="O165" s="104">
        <f t="shared" ref="O165:S165" si="157">O148+O155+O161+O164</f>
        <v>19742634.690000001</v>
      </c>
      <c r="P165" s="104">
        <f t="shared" si="157"/>
        <v>1986566.15</v>
      </c>
      <c r="Q165" s="104">
        <f t="shared" si="157"/>
        <v>5585597.2999999998</v>
      </c>
      <c r="R165" s="104">
        <f t="shared" si="157"/>
        <v>27314798.140000001</v>
      </c>
      <c r="S165" s="104">
        <f t="shared" si="157"/>
        <v>27314798.140000001</v>
      </c>
    </row>
    <row r="166" spans="1:19" ht="90">
      <c r="A166" s="158" t="s">
        <v>115</v>
      </c>
      <c r="B166" s="159" t="s">
        <v>99</v>
      </c>
      <c r="C166" s="61" t="s">
        <v>100</v>
      </c>
      <c r="D166" s="62" t="s">
        <v>101</v>
      </c>
      <c r="E166" s="59">
        <v>198</v>
      </c>
      <c r="F166" s="59">
        <v>198</v>
      </c>
      <c r="G166" s="60">
        <f t="shared" ref="G166" si="158">((E166*8)+(F166*4))/12</f>
        <v>198</v>
      </c>
      <c r="H166" s="59">
        <v>198</v>
      </c>
      <c r="I166" s="59">
        <v>198</v>
      </c>
      <c r="J166" s="110">
        <f>SUM(K166:M166)</f>
        <v>37984.240000000005</v>
      </c>
      <c r="K166" s="110">
        <f>22328.93+952.08</f>
        <v>23281.010000000002</v>
      </c>
      <c r="L166" s="70">
        <v>3857.41</v>
      </c>
      <c r="M166" s="70">
        <v>10845.82</v>
      </c>
      <c r="N166" s="71">
        <f>SUM(O166:Q166)</f>
        <v>7520879.5199999996</v>
      </c>
      <c r="O166" s="71">
        <f>G166*K166</f>
        <v>4609639.9800000004</v>
      </c>
      <c r="P166" s="71">
        <f>G166*L166</f>
        <v>763767.17999999993</v>
      </c>
      <c r="Q166" s="75">
        <f>G166*M166</f>
        <v>2147472.36</v>
      </c>
      <c r="R166" s="75">
        <f t="shared" si="97"/>
        <v>7520879.5200000014</v>
      </c>
      <c r="S166" s="75">
        <f t="shared" si="98"/>
        <v>7520879.5200000014</v>
      </c>
    </row>
    <row r="167" spans="1:19" ht="135">
      <c r="A167" s="158"/>
      <c r="B167" s="159"/>
      <c r="C167" s="63" t="s">
        <v>167</v>
      </c>
      <c r="D167" s="64" t="s">
        <v>101</v>
      </c>
      <c r="E167" s="59" t="s">
        <v>104</v>
      </c>
      <c r="F167" s="59" t="s">
        <v>104</v>
      </c>
      <c r="G167" s="59" t="s">
        <v>104</v>
      </c>
      <c r="H167" s="59" t="s">
        <v>104</v>
      </c>
      <c r="I167" s="59" t="s">
        <v>104</v>
      </c>
      <c r="J167" s="59" t="s">
        <v>104</v>
      </c>
      <c r="K167" s="59" t="s">
        <v>104</v>
      </c>
      <c r="L167" s="59" t="s">
        <v>104</v>
      </c>
      <c r="M167" s="59" t="s">
        <v>104</v>
      </c>
      <c r="N167" s="71"/>
      <c r="O167" s="71"/>
      <c r="P167" s="59" t="s">
        <v>104</v>
      </c>
      <c r="Q167" s="59" t="s">
        <v>104</v>
      </c>
      <c r="R167" s="75"/>
      <c r="S167" s="75"/>
    </row>
    <row r="168" spans="1:19">
      <c r="A168" s="158"/>
      <c r="B168" s="159"/>
      <c r="C168" s="63" t="s">
        <v>170</v>
      </c>
      <c r="D168" s="64" t="s">
        <v>101</v>
      </c>
      <c r="E168" s="59">
        <v>20</v>
      </c>
      <c r="F168" s="59">
        <v>20</v>
      </c>
      <c r="G168" s="60">
        <f t="shared" ref="G168:G183" si="159">((E168*8)+(F168*4))/12</f>
        <v>20</v>
      </c>
      <c r="H168" s="59">
        <v>20</v>
      </c>
      <c r="I168" s="59">
        <v>20</v>
      </c>
      <c r="J168" s="75">
        <f>K168</f>
        <v>63972.15</v>
      </c>
      <c r="K168" s="75">
        <v>63972.15</v>
      </c>
      <c r="L168" s="59" t="s">
        <v>104</v>
      </c>
      <c r="M168" s="59" t="s">
        <v>104</v>
      </c>
      <c r="N168" s="71">
        <f>O168</f>
        <v>1279443</v>
      </c>
      <c r="O168" s="71">
        <f>G168*K168</f>
        <v>1279443</v>
      </c>
      <c r="P168" s="59" t="s">
        <v>104</v>
      </c>
      <c r="Q168" s="59" t="s">
        <v>104</v>
      </c>
      <c r="R168" s="75">
        <f>H168*K168</f>
        <v>1279443</v>
      </c>
      <c r="S168" s="75">
        <f>I168*K168</f>
        <v>1279443</v>
      </c>
    </row>
    <row r="169" spans="1:19">
      <c r="A169" s="158"/>
      <c r="B169" s="159"/>
      <c r="C169" s="63" t="s">
        <v>177</v>
      </c>
      <c r="D169" s="64" t="s">
        <v>101</v>
      </c>
      <c r="E169" s="59">
        <v>1</v>
      </c>
      <c r="F169" s="59">
        <v>1</v>
      </c>
      <c r="G169" s="120">
        <f t="shared" si="159"/>
        <v>1</v>
      </c>
      <c r="H169" s="59">
        <v>1</v>
      </c>
      <c r="I169" s="59">
        <v>1</v>
      </c>
      <c r="J169" s="75">
        <f t="shared" ref="J169:J170" si="160">K169</f>
        <v>95991.28</v>
      </c>
      <c r="K169" s="75">
        <v>95991.28</v>
      </c>
      <c r="L169" s="59" t="s">
        <v>104</v>
      </c>
      <c r="M169" s="59" t="s">
        <v>104</v>
      </c>
      <c r="N169" s="71">
        <f t="shared" ref="N169:N170" si="161">O169</f>
        <v>95991.28</v>
      </c>
      <c r="O169" s="71">
        <f t="shared" ref="O169:O170" si="162">G169*K169</f>
        <v>95991.28</v>
      </c>
      <c r="P169" s="59" t="s">
        <v>104</v>
      </c>
      <c r="Q169" s="59" t="s">
        <v>104</v>
      </c>
      <c r="R169" s="75">
        <f t="shared" ref="R169:R170" si="163">H169*K169</f>
        <v>95991.28</v>
      </c>
      <c r="S169" s="75">
        <f t="shared" ref="S169:S170" si="164">I169*K169</f>
        <v>95991.28</v>
      </c>
    </row>
    <row r="170" spans="1:19">
      <c r="A170" s="158"/>
      <c r="B170" s="159"/>
      <c r="C170" s="63" t="s">
        <v>173</v>
      </c>
      <c r="D170" s="64" t="s">
        <v>101</v>
      </c>
      <c r="E170" s="59">
        <v>1</v>
      </c>
      <c r="F170" s="59">
        <v>1</v>
      </c>
      <c r="G170" s="60">
        <f t="shared" si="159"/>
        <v>1</v>
      </c>
      <c r="H170" s="59">
        <v>1</v>
      </c>
      <c r="I170" s="59">
        <v>1</v>
      </c>
      <c r="J170" s="75">
        <f t="shared" si="160"/>
        <v>22724.03</v>
      </c>
      <c r="K170" s="75">
        <v>22724.03</v>
      </c>
      <c r="L170" s="59" t="s">
        <v>104</v>
      </c>
      <c r="M170" s="59" t="s">
        <v>104</v>
      </c>
      <c r="N170" s="71">
        <f t="shared" si="161"/>
        <v>22724.03</v>
      </c>
      <c r="O170" s="71">
        <f t="shared" si="162"/>
        <v>22724.03</v>
      </c>
      <c r="P170" s="59" t="s">
        <v>104</v>
      </c>
      <c r="Q170" s="59" t="s">
        <v>104</v>
      </c>
      <c r="R170" s="75">
        <f t="shared" si="163"/>
        <v>22724.03</v>
      </c>
      <c r="S170" s="75">
        <f t="shared" si="164"/>
        <v>22724.03</v>
      </c>
    </row>
    <row r="171" spans="1:19" ht="120">
      <c r="A171" s="158"/>
      <c r="B171" s="159"/>
      <c r="C171" s="61" t="s">
        <v>105</v>
      </c>
      <c r="D171" s="64" t="s">
        <v>101</v>
      </c>
      <c r="E171" s="59">
        <v>4</v>
      </c>
      <c r="F171" s="59">
        <v>4</v>
      </c>
      <c r="G171" s="59">
        <f t="shared" si="159"/>
        <v>4</v>
      </c>
      <c r="H171" s="59">
        <v>4</v>
      </c>
      <c r="I171" s="59">
        <v>4</v>
      </c>
      <c r="J171" s="75">
        <f>SUM(K171:M171)</f>
        <v>132083.69</v>
      </c>
      <c r="K171" s="75">
        <f>116428.38+952.08</f>
        <v>117380.46</v>
      </c>
      <c r="L171" s="72">
        <v>3857.41</v>
      </c>
      <c r="M171" s="70">
        <v>10845.82</v>
      </c>
      <c r="N171" s="71">
        <f>SUM(O171:Q171)</f>
        <v>528334.76</v>
      </c>
      <c r="O171" s="71">
        <f>G171*K171</f>
        <v>469521.84</v>
      </c>
      <c r="P171" s="71">
        <f>G171*L171</f>
        <v>15429.64</v>
      </c>
      <c r="Q171" s="75">
        <f>G171*M171</f>
        <v>43383.28</v>
      </c>
      <c r="R171" s="75">
        <f t="shared" si="97"/>
        <v>528334.76</v>
      </c>
      <c r="S171" s="75">
        <f t="shared" si="98"/>
        <v>528334.76</v>
      </c>
    </row>
    <row r="172" spans="1:19">
      <c r="A172" s="158"/>
      <c r="B172" s="159"/>
      <c r="C172" s="66" t="s">
        <v>106</v>
      </c>
      <c r="D172" s="67"/>
      <c r="E172" s="59">
        <f>E166+E171</f>
        <v>202</v>
      </c>
      <c r="F172" s="59">
        <f t="shared" ref="F172:I172" si="165">F166+F171</f>
        <v>202</v>
      </c>
      <c r="G172" s="59">
        <f t="shared" si="165"/>
        <v>202</v>
      </c>
      <c r="H172" s="59">
        <f t="shared" si="165"/>
        <v>202</v>
      </c>
      <c r="I172" s="59">
        <f t="shared" si="165"/>
        <v>202</v>
      </c>
      <c r="J172" s="71" t="s">
        <v>104</v>
      </c>
      <c r="K172" s="71" t="s">
        <v>104</v>
      </c>
      <c r="L172" s="71" t="s">
        <v>104</v>
      </c>
      <c r="M172" s="71" t="s">
        <v>104</v>
      </c>
      <c r="N172" s="71">
        <f>SUM(N166:N171)</f>
        <v>9447372.589999998</v>
      </c>
      <c r="O172" s="71">
        <f>SUM(O166:O171)</f>
        <v>6477320.1300000008</v>
      </c>
      <c r="P172" s="71">
        <f>SUM(P166:P171)</f>
        <v>779196.82</v>
      </c>
      <c r="Q172" s="71">
        <f t="shared" ref="Q172:S172" si="166">SUM(Q166:Q171)</f>
        <v>2190855.6399999997</v>
      </c>
      <c r="R172" s="71">
        <f t="shared" si="166"/>
        <v>9447372.5899999999</v>
      </c>
      <c r="S172" s="71">
        <f t="shared" si="166"/>
        <v>9447372.5899999999</v>
      </c>
    </row>
    <row r="173" spans="1:19" ht="90">
      <c r="A173" s="158"/>
      <c r="B173" s="159" t="s">
        <v>107</v>
      </c>
      <c r="C173" s="61" t="s">
        <v>100</v>
      </c>
      <c r="D173" s="62" t="s">
        <v>101</v>
      </c>
      <c r="E173" s="59">
        <v>191</v>
      </c>
      <c r="F173" s="59">
        <v>191</v>
      </c>
      <c r="G173" s="59">
        <f t="shared" si="159"/>
        <v>191</v>
      </c>
      <c r="H173" s="59">
        <v>191</v>
      </c>
      <c r="I173" s="59">
        <v>191</v>
      </c>
      <c r="J173" s="110">
        <f>SUM(K173:M173)</f>
        <v>49020.01</v>
      </c>
      <c r="K173" s="110">
        <f>33147.58+1169.2</f>
        <v>34316.78</v>
      </c>
      <c r="L173" s="70">
        <v>3857.41</v>
      </c>
      <c r="M173" s="70">
        <v>10845.82</v>
      </c>
      <c r="N173" s="71">
        <f>SUM(O173:Q173)</f>
        <v>9362821.9099999983</v>
      </c>
      <c r="O173" s="71">
        <f>G173*K173</f>
        <v>6554504.9799999995</v>
      </c>
      <c r="P173" s="71">
        <f>G173*L173</f>
        <v>736765.30999999994</v>
      </c>
      <c r="Q173" s="71">
        <f>G173*M173</f>
        <v>2071551.6199999999</v>
      </c>
      <c r="R173" s="75">
        <f t="shared" si="97"/>
        <v>9362821.9100000001</v>
      </c>
      <c r="S173" s="75">
        <f t="shared" si="98"/>
        <v>9362821.9100000001</v>
      </c>
    </row>
    <row r="174" spans="1:19" ht="135">
      <c r="A174" s="158"/>
      <c r="B174" s="159"/>
      <c r="C174" s="63" t="s">
        <v>167</v>
      </c>
      <c r="D174" s="64" t="s">
        <v>101</v>
      </c>
      <c r="E174" s="59" t="s">
        <v>104</v>
      </c>
      <c r="F174" s="59" t="s">
        <v>104</v>
      </c>
      <c r="G174" s="59" t="s">
        <v>104</v>
      </c>
      <c r="H174" s="59" t="s">
        <v>104</v>
      </c>
      <c r="I174" s="59" t="s">
        <v>104</v>
      </c>
      <c r="J174" s="59" t="s">
        <v>104</v>
      </c>
      <c r="K174" s="59" t="s">
        <v>104</v>
      </c>
      <c r="L174" s="59" t="s">
        <v>104</v>
      </c>
      <c r="M174" s="59" t="s">
        <v>104</v>
      </c>
      <c r="N174" s="71"/>
      <c r="O174" s="71"/>
      <c r="P174" s="59" t="s">
        <v>104</v>
      </c>
      <c r="Q174" s="59" t="s">
        <v>104</v>
      </c>
      <c r="R174" s="75"/>
      <c r="S174" s="75"/>
    </row>
    <row r="175" spans="1:19">
      <c r="A175" s="158"/>
      <c r="B175" s="159"/>
      <c r="C175" s="63" t="s">
        <v>168</v>
      </c>
      <c r="D175" s="64" t="s">
        <v>101</v>
      </c>
      <c r="E175" s="60">
        <v>1</v>
      </c>
      <c r="F175" s="60">
        <v>1</v>
      </c>
      <c r="G175" s="101">
        <f t="shared" si="159"/>
        <v>1</v>
      </c>
      <c r="H175" s="60">
        <v>1</v>
      </c>
      <c r="I175" s="60">
        <v>1</v>
      </c>
      <c r="J175" s="75">
        <f>K175</f>
        <v>24684.9</v>
      </c>
      <c r="K175" s="75">
        <v>24684.9</v>
      </c>
      <c r="L175" s="59" t="s">
        <v>104</v>
      </c>
      <c r="M175" s="59" t="s">
        <v>104</v>
      </c>
      <c r="N175" s="71">
        <f>O175</f>
        <v>24684.9</v>
      </c>
      <c r="O175" s="71">
        <f t="shared" ref="O175:O177" si="167">G175*K175</f>
        <v>24684.9</v>
      </c>
      <c r="P175" s="59" t="s">
        <v>104</v>
      </c>
      <c r="Q175" s="59" t="s">
        <v>104</v>
      </c>
      <c r="R175" s="75">
        <f>H175*K175</f>
        <v>24684.9</v>
      </c>
      <c r="S175" s="75">
        <f t="shared" ref="S175:S177" si="168">I175*K175</f>
        <v>24684.9</v>
      </c>
    </row>
    <row r="176" spans="1:19">
      <c r="A176" s="158"/>
      <c r="B176" s="159"/>
      <c r="C176" s="63" t="s">
        <v>169</v>
      </c>
      <c r="D176" s="64" t="s">
        <v>101</v>
      </c>
      <c r="E176" s="60">
        <v>1</v>
      </c>
      <c r="F176" s="60">
        <v>1</v>
      </c>
      <c r="G176" s="101">
        <f t="shared" si="159"/>
        <v>1</v>
      </c>
      <c r="H176" s="60">
        <v>1</v>
      </c>
      <c r="I176" s="60">
        <v>1</v>
      </c>
      <c r="J176" s="75">
        <f t="shared" ref="J176:J177" si="169">K176</f>
        <v>89075.19</v>
      </c>
      <c r="K176" s="75">
        <v>89075.19</v>
      </c>
      <c r="L176" s="59" t="s">
        <v>104</v>
      </c>
      <c r="M176" s="59" t="s">
        <v>104</v>
      </c>
      <c r="N176" s="71">
        <f t="shared" ref="N176:N177" si="170">O176</f>
        <v>89075.19</v>
      </c>
      <c r="O176" s="71">
        <f t="shared" si="167"/>
        <v>89075.19</v>
      </c>
      <c r="P176" s="59" t="s">
        <v>104</v>
      </c>
      <c r="Q176" s="59" t="s">
        <v>104</v>
      </c>
      <c r="R176" s="75">
        <f t="shared" ref="R176:R177" si="171">H176*K176</f>
        <v>89075.19</v>
      </c>
      <c r="S176" s="75">
        <f t="shared" si="168"/>
        <v>89075.19</v>
      </c>
    </row>
    <row r="177" spans="1:19">
      <c r="A177" s="158"/>
      <c r="B177" s="159"/>
      <c r="C177" s="63" t="s">
        <v>173</v>
      </c>
      <c r="D177" s="64" t="s">
        <v>101</v>
      </c>
      <c r="E177" s="60">
        <v>4</v>
      </c>
      <c r="F177" s="60">
        <v>4</v>
      </c>
      <c r="G177" s="101">
        <f t="shared" si="159"/>
        <v>4</v>
      </c>
      <c r="H177" s="60">
        <v>4</v>
      </c>
      <c r="I177" s="60">
        <v>4</v>
      </c>
      <c r="J177" s="75">
        <f t="shared" si="169"/>
        <v>22724.03</v>
      </c>
      <c r="K177" s="75">
        <v>22724.03</v>
      </c>
      <c r="L177" s="59" t="s">
        <v>104</v>
      </c>
      <c r="M177" s="59" t="s">
        <v>104</v>
      </c>
      <c r="N177" s="71">
        <f t="shared" si="170"/>
        <v>90896.12</v>
      </c>
      <c r="O177" s="71">
        <f t="shared" si="167"/>
        <v>90896.12</v>
      </c>
      <c r="P177" s="59" t="s">
        <v>104</v>
      </c>
      <c r="Q177" s="59" t="s">
        <v>104</v>
      </c>
      <c r="R177" s="75">
        <f t="shared" si="171"/>
        <v>90896.12</v>
      </c>
      <c r="S177" s="75">
        <f t="shared" si="168"/>
        <v>90896.12</v>
      </c>
    </row>
    <row r="178" spans="1:19" ht="120">
      <c r="A178" s="158"/>
      <c r="B178" s="159"/>
      <c r="C178" s="61" t="s">
        <v>105</v>
      </c>
      <c r="D178" s="64" t="s">
        <v>101</v>
      </c>
      <c r="E178" s="60">
        <v>4</v>
      </c>
      <c r="F178" s="60">
        <v>4</v>
      </c>
      <c r="G178" s="101">
        <f t="shared" si="159"/>
        <v>4</v>
      </c>
      <c r="H178" s="60">
        <v>4</v>
      </c>
      <c r="I178" s="60">
        <v>4</v>
      </c>
      <c r="J178" s="75">
        <f>SUM(K178:M178)</f>
        <v>161049.39000000001</v>
      </c>
      <c r="K178" s="75">
        <f>145176.96+1169.2</f>
        <v>146346.16</v>
      </c>
      <c r="L178" s="72">
        <v>3857.41</v>
      </c>
      <c r="M178" s="70">
        <v>10845.82</v>
      </c>
      <c r="N178" s="73">
        <f>SUM(O178:Q178)</f>
        <v>644197.56000000006</v>
      </c>
      <c r="O178" s="73">
        <f>G178*K178</f>
        <v>585384.64</v>
      </c>
      <c r="P178" s="73">
        <f>G178*L178</f>
        <v>15429.64</v>
      </c>
      <c r="Q178" s="73">
        <f>G178*M178</f>
        <v>43383.28</v>
      </c>
      <c r="R178" s="75">
        <f t="shared" si="97"/>
        <v>644197.56000000006</v>
      </c>
      <c r="S178" s="75">
        <f t="shared" si="98"/>
        <v>644197.56000000006</v>
      </c>
    </row>
    <row r="179" spans="1:19">
      <c r="A179" s="158"/>
      <c r="B179" s="113"/>
      <c r="C179" s="66" t="s">
        <v>106</v>
      </c>
      <c r="D179" s="64"/>
      <c r="E179" s="60">
        <f>E173+E178</f>
        <v>195</v>
      </c>
      <c r="F179" s="60">
        <f t="shared" ref="F179:I179" si="172">F173+F178</f>
        <v>195</v>
      </c>
      <c r="G179" s="60">
        <f t="shared" si="172"/>
        <v>195</v>
      </c>
      <c r="H179" s="60">
        <f t="shared" si="172"/>
        <v>195</v>
      </c>
      <c r="I179" s="60">
        <f t="shared" si="172"/>
        <v>195</v>
      </c>
      <c r="J179" s="73" t="s">
        <v>104</v>
      </c>
      <c r="K179" s="73" t="s">
        <v>104</v>
      </c>
      <c r="L179" s="73" t="s">
        <v>104</v>
      </c>
      <c r="M179" s="73" t="s">
        <v>104</v>
      </c>
      <c r="N179" s="74">
        <f>SUM(N173:N178)</f>
        <v>10211675.679999998</v>
      </c>
      <c r="O179" s="74">
        <f>SUM(O173:O178)</f>
        <v>7344545.8300000001</v>
      </c>
      <c r="P179" s="74">
        <f>SUM(P173:P178)</f>
        <v>752194.95</v>
      </c>
      <c r="Q179" s="74">
        <f t="shared" ref="Q179:S179" si="173">SUM(Q173:Q178)</f>
        <v>2114934.9</v>
      </c>
      <c r="R179" s="74">
        <f t="shared" si="173"/>
        <v>10211675.68</v>
      </c>
      <c r="S179" s="74">
        <f t="shared" si="173"/>
        <v>10211675.68</v>
      </c>
    </row>
    <row r="180" spans="1:19" ht="90">
      <c r="A180" s="158"/>
      <c r="B180" s="159" t="s">
        <v>108</v>
      </c>
      <c r="C180" s="61" t="s">
        <v>100</v>
      </c>
      <c r="D180" s="62" t="s">
        <v>101</v>
      </c>
      <c r="E180" s="60">
        <v>34</v>
      </c>
      <c r="F180" s="60">
        <v>34</v>
      </c>
      <c r="G180" s="101">
        <f t="shared" si="159"/>
        <v>34</v>
      </c>
      <c r="H180" s="60">
        <v>34</v>
      </c>
      <c r="I180" s="60">
        <v>34</v>
      </c>
      <c r="J180" s="110">
        <f>SUM(K180:M180)</f>
        <v>55731.77</v>
      </c>
      <c r="K180" s="110">
        <f>39660.87+1367.67</f>
        <v>41028.54</v>
      </c>
      <c r="L180" s="70">
        <v>3857.41</v>
      </c>
      <c r="M180" s="70">
        <v>10845.82</v>
      </c>
      <c r="N180" s="73">
        <f>SUM(O180:Q180)</f>
        <v>1894880.1800000002</v>
      </c>
      <c r="O180" s="73">
        <f>G180*K180</f>
        <v>1394970.36</v>
      </c>
      <c r="P180" s="73">
        <f>G180*L180</f>
        <v>131151.94</v>
      </c>
      <c r="Q180" s="73">
        <f>G180*M180</f>
        <v>368757.88</v>
      </c>
      <c r="R180" s="75">
        <f t="shared" si="97"/>
        <v>1894880.18</v>
      </c>
      <c r="S180" s="75">
        <f t="shared" si="98"/>
        <v>1894880.18</v>
      </c>
    </row>
    <row r="181" spans="1:19" ht="135">
      <c r="A181" s="158"/>
      <c r="B181" s="159"/>
      <c r="C181" s="63" t="s">
        <v>167</v>
      </c>
      <c r="D181" s="64" t="s">
        <v>101</v>
      </c>
      <c r="E181" s="59" t="s">
        <v>104</v>
      </c>
      <c r="F181" s="59" t="s">
        <v>104</v>
      </c>
      <c r="G181" s="59" t="s">
        <v>104</v>
      </c>
      <c r="H181" s="59" t="s">
        <v>104</v>
      </c>
      <c r="I181" s="59" t="s">
        <v>104</v>
      </c>
      <c r="J181" s="59" t="s">
        <v>104</v>
      </c>
      <c r="K181" s="59" t="s">
        <v>104</v>
      </c>
      <c r="L181" s="59" t="s">
        <v>104</v>
      </c>
      <c r="M181" s="59" t="s">
        <v>104</v>
      </c>
      <c r="N181" s="71"/>
      <c r="O181" s="71"/>
      <c r="P181" s="59" t="s">
        <v>104</v>
      </c>
      <c r="Q181" s="59" t="s">
        <v>104</v>
      </c>
      <c r="R181" s="75"/>
      <c r="S181" s="75"/>
    </row>
    <row r="182" spans="1:19">
      <c r="A182" s="158"/>
      <c r="B182" s="159"/>
      <c r="C182" s="63" t="s">
        <v>169</v>
      </c>
      <c r="D182" s="64" t="s">
        <v>101</v>
      </c>
      <c r="E182" s="60">
        <v>1</v>
      </c>
      <c r="F182" s="60">
        <v>1</v>
      </c>
      <c r="G182" s="101">
        <f t="shared" si="159"/>
        <v>1</v>
      </c>
      <c r="H182" s="60">
        <v>1</v>
      </c>
      <c r="I182" s="60">
        <v>1</v>
      </c>
      <c r="J182" s="75">
        <f>K182</f>
        <v>89075.19</v>
      </c>
      <c r="K182" s="75">
        <v>89075.19</v>
      </c>
      <c r="L182" s="59" t="s">
        <v>104</v>
      </c>
      <c r="M182" s="59" t="s">
        <v>104</v>
      </c>
      <c r="N182" s="71">
        <f>O182</f>
        <v>89075.19</v>
      </c>
      <c r="O182" s="71">
        <f>G182*K182</f>
        <v>89075.19</v>
      </c>
      <c r="P182" s="59" t="s">
        <v>104</v>
      </c>
      <c r="Q182" s="59" t="s">
        <v>104</v>
      </c>
      <c r="R182" s="75">
        <f>H182*K182</f>
        <v>89075.19</v>
      </c>
      <c r="S182" s="75">
        <f>I182*K182</f>
        <v>89075.19</v>
      </c>
    </row>
    <row r="183" spans="1:19" ht="120">
      <c r="A183" s="158"/>
      <c r="B183" s="159"/>
      <c r="C183" s="61" t="s">
        <v>105</v>
      </c>
      <c r="D183" s="64" t="s">
        <v>101</v>
      </c>
      <c r="E183" s="60"/>
      <c r="F183" s="60">
        <v>0</v>
      </c>
      <c r="G183" s="101">
        <f t="shared" si="159"/>
        <v>0</v>
      </c>
      <c r="H183" s="60">
        <v>0</v>
      </c>
      <c r="I183" s="60">
        <v>0</v>
      </c>
      <c r="J183" s="75">
        <f>SUM(K183:M183)</f>
        <v>189996.43000000002</v>
      </c>
      <c r="K183" s="75">
        <f>173925.53+1367.67</f>
        <v>175293.2</v>
      </c>
      <c r="L183" s="72">
        <v>3857.41</v>
      </c>
      <c r="M183" s="70">
        <v>10845.82</v>
      </c>
      <c r="N183" s="73"/>
      <c r="O183" s="73"/>
      <c r="P183" s="73"/>
      <c r="Q183" s="73"/>
      <c r="R183" s="75">
        <f t="shared" si="97"/>
        <v>0</v>
      </c>
      <c r="S183" s="75">
        <f t="shared" si="98"/>
        <v>0</v>
      </c>
    </row>
    <row r="184" spans="1:19">
      <c r="A184" s="158"/>
      <c r="B184" s="113"/>
      <c r="C184" s="66" t="s">
        <v>106</v>
      </c>
      <c r="D184" s="64"/>
      <c r="E184" s="60">
        <f>E180+E183</f>
        <v>34</v>
      </c>
      <c r="F184" s="60">
        <f t="shared" ref="F184:I184" si="174">F180+F183</f>
        <v>34</v>
      </c>
      <c r="G184" s="60">
        <f t="shared" si="174"/>
        <v>34</v>
      </c>
      <c r="H184" s="60">
        <f t="shared" si="174"/>
        <v>34</v>
      </c>
      <c r="I184" s="60">
        <f t="shared" si="174"/>
        <v>34</v>
      </c>
      <c r="J184" s="73" t="s">
        <v>104</v>
      </c>
      <c r="K184" s="73" t="s">
        <v>104</v>
      </c>
      <c r="L184" s="73" t="s">
        <v>104</v>
      </c>
      <c r="M184" s="73" t="s">
        <v>104</v>
      </c>
      <c r="N184" s="74">
        <f>SUM(N180:N183)</f>
        <v>1983955.37</v>
      </c>
      <c r="O184" s="74">
        <f>SUM(O180:O183)</f>
        <v>1484045.55</v>
      </c>
      <c r="P184" s="74">
        <f>SUM(P180:P183)</f>
        <v>131151.94</v>
      </c>
      <c r="Q184" s="74">
        <f t="shared" ref="Q184:S184" si="175">SUM(Q180:Q183)</f>
        <v>368757.88</v>
      </c>
      <c r="R184" s="74">
        <f t="shared" si="175"/>
        <v>1983955.3699999999</v>
      </c>
      <c r="S184" s="74">
        <f t="shared" si="175"/>
        <v>1983955.3699999999</v>
      </c>
    </row>
    <row r="185" spans="1:19" ht="165">
      <c r="A185" s="158"/>
      <c r="B185" s="160" t="s">
        <v>109</v>
      </c>
      <c r="C185" s="61" t="s">
        <v>110</v>
      </c>
      <c r="D185" s="64" t="s">
        <v>101</v>
      </c>
      <c r="E185" s="60">
        <v>235</v>
      </c>
      <c r="F185" s="60">
        <v>235</v>
      </c>
      <c r="G185" s="101">
        <f t="shared" ref="G185:G186" si="176">((E185*8)+(F185*4))/12</f>
        <v>235</v>
      </c>
      <c r="H185" s="60">
        <v>235</v>
      </c>
      <c r="I185" s="60">
        <v>235</v>
      </c>
      <c r="J185" s="75">
        <f>K185</f>
        <v>2770.76</v>
      </c>
      <c r="K185" s="75">
        <v>2770.76</v>
      </c>
      <c r="L185" s="73" t="s">
        <v>104</v>
      </c>
      <c r="M185" s="73" t="s">
        <v>104</v>
      </c>
      <c r="N185" s="73">
        <f>SUM(O185:Q185)</f>
        <v>651128.60000000009</v>
      </c>
      <c r="O185" s="73">
        <f>G185*K185</f>
        <v>651128.60000000009</v>
      </c>
      <c r="P185" s="73" t="s">
        <v>104</v>
      </c>
      <c r="Q185" s="73" t="s">
        <v>104</v>
      </c>
      <c r="R185" s="75">
        <f t="shared" si="97"/>
        <v>651128.60000000009</v>
      </c>
      <c r="S185" s="75">
        <f t="shared" si="98"/>
        <v>651128.60000000009</v>
      </c>
    </row>
    <row r="186" spans="1:19" ht="180">
      <c r="A186" s="158"/>
      <c r="B186" s="160"/>
      <c r="C186" s="61" t="s">
        <v>111</v>
      </c>
      <c r="D186" s="64" t="s">
        <v>101</v>
      </c>
      <c r="E186" s="60">
        <v>240</v>
      </c>
      <c r="F186" s="60">
        <v>240</v>
      </c>
      <c r="G186" s="101">
        <f t="shared" si="176"/>
        <v>240</v>
      </c>
      <c r="H186" s="60">
        <v>240</v>
      </c>
      <c r="I186" s="60">
        <v>240</v>
      </c>
      <c r="J186" s="75">
        <f>K186</f>
        <v>3829.24</v>
      </c>
      <c r="K186" s="75">
        <v>3829.24</v>
      </c>
      <c r="L186" s="73" t="s">
        <v>104</v>
      </c>
      <c r="M186" s="73" t="s">
        <v>104</v>
      </c>
      <c r="N186" s="73">
        <f>SUM(O186:Q186)</f>
        <v>919017.6</v>
      </c>
      <c r="O186" s="73">
        <f>G186*K186</f>
        <v>919017.6</v>
      </c>
      <c r="P186" s="73" t="s">
        <v>104</v>
      </c>
      <c r="Q186" s="73" t="s">
        <v>104</v>
      </c>
      <c r="R186" s="75">
        <f t="shared" si="97"/>
        <v>919017.6</v>
      </c>
      <c r="S186" s="75">
        <f t="shared" si="98"/>
        <v>919017.6</v>
      </c>
    </row>
    <row r="187" spans="1:19">
      <c r="A187" s="158"/>
      <c r="B187" s="69"/>
      <c r="C187" s="66" t="s">
        <v>106</v>
      </c>
      <c r="D187" s="69"/>
      <c r="E187" s="103">
        <f>SUM(E185:E186)</f>
        <v>475</v>
      </c>
      <c r="F187" s="103">
        <f t="shared" ref="F187:I187" si="177">SUM(F185:F186)</f>
        <v>475</v>
      </c>
      <c r="G187" s="103">
        <f t="shared" si="177"/>
        <v>475</v>
      </c>
      <c r="H187" s="103">
        <f t="shared" si="177"/>
        <v>475</v>
      </c>
      <c r="I187" s="103">
        <f t="shared" si="177"/>
        <v>475</v>
      </c>
      <c r="J187" s="73" t="s">
        <v>104</v>
      </c>
      <c r="K187" s="73" t="s">
        <v>104</v>
      </c>
      <c r="L187" s="73" t="s">
        <v>104</v>
      </c>
      <c r="M187" s="74">
        <f t="shared" ref="M187:Q187" si="178">SUM(M185:M186)</f>
        <v>0</v>
      </c>
      <c r="N187" s="74">
        <f>SUM(N185:N186)</f>
        <v>1570146.2000000002</v>
      </c>
      <c r="O187" s="74">
        <f t="shared" si="178"/>
        <v>1570146.2000000002</v>
      </c>
      <c r="P187" s="74">
        <f t="shared" si="178"/>
        <v>0</v>
      </c>
      <c r="Q187" s="74">
        <f t="shared" si="178"/>
        <v>0</v>
      </c>
      <c r="R187" s="75">
        <f>SUM(R185:R186)</f>
        <v>1570146.2000000002</v>
      </c>
      <c r="S187" s="75">
        <f>SUM(S185:S186)</f>
        <v>1570146.2000000002</v>
      </c>
    </row>
    <row r="188" spans="1:19">
      <c r="A188" s="158"/>
      <c r="B188" s="102" t="s">
        <v>112</v>
      </c>
      <c r="C188" s="102"/>
      <c r="D188" s="69"/>
      <c r="E188" s="103"/>
      <c r="F188" s="103"/>
      <c r="G188" s="103"/>
      <c r="H188" s="103"/>
      <c r="I188" s="103"/>
      <c r="J188" s="106"/>
      <c r="K188" s="106"/>
      <c r="L188" s="104"/>
      <c r="M188" s="104"/>
      <c r="N188" s="104">
        <f>SUM(O188:Q188)</f>
        <v>23213149.84</v>
      </c>
      <c r="O188" s="105">
        <f>O172+O179+O184+O187</f>
        <v>16876057.710000001</v>
      </c>
      <c r="P188" s="104">
        <f t="shared" ref="P188:S188" si="179">P172+P179+P184+P187</f>
        <v>1662543.71</v>
      </c>
      <c r="Q188" s="104">
        <f t="shared" si="179"/>
        <v>4674548.419999999</v>
      </c>
      <c r="R188" s="104">
        <f t="shared" si="179"/>
        <v>23213149.84</v>
      </c>
      <c r="S188" s="104">
        <f t="shared" si="179"/>
        <v>23213149.84</v>
      </c>
    </row>
    <row r="189" spans="1:19" ht="90">
      <c r="A189" s="158" t="s">
        <v>116</v>
      </c>
      <c r="B189" s="161" t="s">
        <v>99</v>
      </c>
      <c r="C189" s="61" t="s">
        <v>100</v>
      </c>
      <c r="D189" s="62" t="s">
        <v>101</v>
      </c>
      <c r="E189" s="59">
        <v>329</v>
      </c>
      <c r="F189" s="59">
        <v>329</v>
      </c>
      <c r="G189" s="101">
        <f t="shared" ref="G189" si="180">((E189*8)+(F189*4))/12</f>
        <v>329</v>
      </c>
      <c r="H189" s="59">
        <v>329</v>
      </c>
      <c r="I189" s="59">
        <v>329</v>
      </c>
      <c r="J189" s="110">
        <f>SUM(K189:M189)</f>
        <v>37984.240000000005</v>
      </c>
      <c r="K189" s="110">
        <f>22328.93+952.08</f>
        <v>23281.010000000002</v>
      </c>
      <c r="L189" s="70">
        <v>3857.41</v>
      </c>
      <c r="M189" s="70">
        <v>10845.82</v>
      </c>
      <c r="N189" s="71">
        <f>SUM(O189:Q189)</f>
        <v>12496814.960000001</v>
      </c>
      <c r="O189" s="71">
        <f>G189*K189</f>
        <v>7659452.290000001</v>
      </c>
      <c r="P189" s="71">
        <f>G189*L189</f>
        <v>1269087.8899999999</v>
      </c>
      <c r="Q189" s="75">
        <f>G189*M189</f>
        <v>3568274.78</v>
      </c>
      <c r="R189" s="75">
        <f t="shared" si="97"/>
        <v>12496814.960000001</v>
      </c>
      <c r="S189" s="75">
        <f t="shared" si="98"/>
        <v>12496814.960000001</v>
      </c>
    </row>
    <row r="190" spans="1:19" ht="135">
      <c r="A190" s="158"/>
      <c r="B190" s="162"/>
      <c r="C190" s="63" t="s">
        <v>167</v>
      </c>
      <c r="D190" s="64" t="s">
        <v>101</v>
      </c>
      <c r="E190" s="59" t="s">
        <v>104</v>
      </c>
      <c r="F190" s="59" t="s">
        <v>104</v>
      </c>
      <c r="G190" s="59" t="s">
        <v>104</v>
      </c>
      <c r="H190" s="59" t="s">
        <v>104</v>
      </c>
      <c r="I190" s="59" t="s">
        <v>104</v>
      </c>
      <c r="J190" s="59" t="s">
        <v>104</v>
      </c>
      <c r="K190" s="59" t="s">
        <v>104</v>
      </c>
      <c r="L190" s="59" t="s">
        <v>104</v>
      </c>
      <c r="M190" s="59" t="s">
        <v>104</v>
      </c>
      <c r="N190" s="71"/>
      <c r="O190" s="71"/>
      <c r="P190" s="59" t="s">
        <v>104</v>
      </c>
      <c r="Q190" s="59" t="s">
        <v>104</v>
      </c>
      <c r="R190" s="75"/>
      <c r="S190" s="75"/>
    </row>
    <row r="191" spans="1:19">
      <c r="A191" s="158"/>
      <c r="B191" s="162"/>
      <c r="C191" s="63" t="s">
        <v>168</v>
      </c>
      <c r="D191" s="64" t="s">
        <v>101</v>
      </c>
      <c r="E191" s="59">
        <v>0</v>
      </c>
      <c r="F191" s="59">
        <v>0</v>
      </c>
      <c r="G191" s="101">
        <f t="shared" ref="G191:G196" si="181">((E191*8)+(F191*4))/12</f>
        <v>0</v>
      </c>
      <c r="H191" s="59">
        <v>0</v>
      </c>
      <c r="I191" s="59">
        <v>0</v>
      </c>
      <c r="J191" s="75">
        <f t="shared" ref="J191:J194" si="182">K191</f>
        <v>24684.9</v>
      </c>
      <c r="K191" s="71">
        <v>24684.9</v>
      </c>
      <c r="L191" s="59" t="s">
        <v>104</v>
      </c>
      <c r="M191" s="59" t="s">
        <v>104</v>
      </c>
      <c r="N191" s="71">
        <f t="shared" ref="N191:N192" si="183">O191</f>
        <v>0</v>
      </c>
      <c r="O191" s="71">
        <f>G191*K191</f>
        <v>0</v>
      </c>
      <c r="P191" s="59" t="s">
        <v>104</v>
      </c>
      <c r="Q191" s="59" t="s">
        <v>104</v>
      </c>
      <c r="R191" s="75">
        <f>H191*K191</f>
        <v>0</v>
      </c>
      <c r="S191" s="75">
        <f t="shared" ref="S191:S192" si="184">I191*K191</f>
        <v>0</v>
      </c>
    </row>
    <row r="192" spans="1:19">
      <c r="A192" s="158"/>
      <c r="B192" s="162"/>
      <c r="C192" s="63" t="s">
        <v>176</v>
      </c>
      <c r="D192" s="64" t="s">
        <v>101</v>
      </c>
      <c r="E192" s="59">
        <v>1</v>
      </c>
      <c r="F192" s="59">
        <v>1</v>
      </c>
      <c r="G192" s="101">
        <f t="shared" si="181"/>
        <v>1</v>
      </c>
      <c r="H192" s="59">
        <v>1</v>
      </c>
      <c r="I192" s="59">
        <v>1</v>
      </c>
      <c r="J192" s="75">
        <f t="shared" si="182"/>
        <v>66860.39</v>
      </c>
      <c r="K192" s="71">
        <v>66860.39</v>
      </c>
      <c r="L192" s="59" t="s">
        <v>104</v>
      </c>
      <c r="M192" s="59" t="s">
        <v>104</v>
      </c>
      <c r="N192" s="71">
        <f t="shared" si="183"/>
        <v>66860.39</v>
      </c>
      <c r="O192" s="71">
        <f t="shared" ref="O192:O194" si="185">G192*K192</f>
        <v>66860.39</v>
      </c>
      <c r="P192" s="59" t="s">
        <v>104</v>
      </c>
      <c r="Q192" s="59" t="s">
        <v>104</v>
      </c>
      <c r="R192" s="75">
        <f t="shared" ref="R192:R194" si="186">H192*K192</f>
        <v>66860.39</v>
      </c>
      <c r="S192" s="75">
        <f t="shared" si="184"/>
        <v>66860.39</v>
      </c>
    </row>
    <row r="193" spans="1:19">
      <c r="A193" s="158"/>
      <c r="B193" s="162"/>
      <c r="C193" s="63" t="s">
        <v>170</v>
      </c>
      <c r="D193" s="64" t="s">
        <v>101</v>
      </c>
      <c r="E193" s="59">
        <v>2</v>
      </c>
      <c r="F193" s="59">
        <v>2</v>
      </c>
      <c r="G193" s="101">
        <f t="shared" si="181"/>
        <v>2</v>
      </c>
      <c r="H193" s="59">
        <v>2</v>
      </c>
      <c r="I193" s="59">
        <v>2</v>
      </c>
      <c r="J193" s="75">
        <f t="shared" si="182"/>
        <v>63972.15</v>
      </c>
      <c r="K193" s="75">
        <v>63972.15</v>
      </c>
      <c r="L193" s="59" t="s">
        <v>104</v>
      </c>
      <c r="M193" s="59" t="s">
        <v>104</v>
      </c>
      <c r="N193" s="71">
        <f>O193</f>
        <v>127944.3</v>
      </c>
      <c r="O193" s="71">
        <f t="shared" si="185"/>
        <v>127944.3</v>
      </c>
      <c r="P193" s="59" t="s">
        <v>104</v>
      </c>
      <c r="Q193" s="59" t="s">
        <v>104</v>
      </c>
      <c r="R193" s="75">
        <f t="shared" si="186"/>
        <v>127944.3</v>
      </c>
      <c r="S193" s="75">
        <f>I193*K193</f>
        <v>127944.3</v>
      </c>
    </row>
    <row r="194" spans="1:19">
      <c r="A194" s="158"/>
      <c r="B194" s="162"/>
      <c r="C194" s="63" t="s">
        <v>173</v>
      </c>
      <c r="D194" s="64" t="s">
        <v>101</v>
      </c>
      <c r="E194" s="59">
        <v>1</v>
      </c>
      <c r="F194" s="59">
        <v>1</v>
      </c>
      <c r="G194" s="101">
        <f t="shared" si="181"/>
        <v>1</v>
      </c>
      <c r="H194" s="59">
        <v>1</v>
      </c>
      <c r="I194" s="59">
        <v>1</v>
      </c>
      <c r="J194" s="75">
        <f t="shared" si="182"/>
        <v>22724.03</v>
      </c>
      <c r="K194" s="75">
        <v>22724.03</v>
      </c>
      <c r="L194" s="59" t="s">
        <v>104</v>
      </c>
      <c r="M194" s="59" t="s">
        <v>104</v>
      </c>
      <c r="N194" s="71">
        <f>O194</f>
        <v>22724.03</v>
      </c>
      <c r="O194" s="71">
        <f t="shared" si="185"/>
        <v>22724.03</v>
      </c>
      <c r="P194" s="59" t="s">
        <v>104</v>
      </c>
      <c r="Q194" s="59" t="s">
        <v>104</v>
      </c>
      <c r="R194" s="75">
        <f t="shared" si="186"/>
        <v>22724.03</v>
      </c>
      <c r="S194" s="75">
        <f>I194*K194</f>
        <v>22724.03</v>
      </c>
    </row>
    <row r="195" spans="1:19" ht="120">
      <c r="A195" s="158"/>
      <c r="B195" s="162"/>
      <c r="C195" s="61" t="s">
        <v>105</v>
      </c>
      <c r="D195" s="64" t="s">
        <v>101</v>
      </c>
      <c r="E195" s="59">
        <v>1</v>
      </c>
      <c r="F195" s="59">
        <v>1</v>
      </c>
      <c r="G195" s="101">
        <f t="shared" si="181"/>
        <v>1</v>
      </c>
      <c r="H195" s="59">
        <v>1</v>
      </c>
      <c r="I195" s="59">
        <v>1</v>
      </c>
      <c r="J195" s="75">
        <f>SUM(K195:M195)</f>
        <v>132083.69</v>
      </c>
      <c r="K195" s="75">
        <f>116428.38+952.08</f>
        <v>117380.46</v>
      </c>
      <c r="L195" s="72">
        <v>3857.41</v>
      </c>
      <c r="M195" s="70">
        <v>10845.82</v>
      </c>
      <c r="N195" s="71">
        <f>SUM(O195:Q195)</f>
        <v>132083.69</v>
      </c>
      <c r="O195" s="71">
        <f>G195*K195</f>
        <v>117380.46</v>
      </c>
      <c r="P195" s="71">
        <f>G195*L195</f>
        <v>3857.41</v>
      </c>
      <c r="Q195" s="75">
        <f>G195*M195</f>
        <v>10845.82</v>
      </c>
      <c r="R195" s="75">
        <f t="shared" ref="R195:R214" si="187">H195*J195</f>
        <v>132083.69</v>
      </c>
      <c r="S195" s="75">
        <f t="shared" ref="S195:S214" si="188">I195*J195</f>
        <v>132083.69</v>
      </c>
    </row>
    <row r="196" spans="1:19" ht="105">
      <c r="A196" s="158"/>
      <c r="B196" s="162"/>
      <c r="C196" s="61" t="s">
        <v>117</v>
      </c>
      <c r="D196" s="64" t="s">
        <v>101</v>
      </c>
      <c r="E196" s="59">
        <v>4</v>
      </c>
      <c r="F196" s="59">
        <v>4</v>
      </c>
      <c r="G196" s="59">
        <f t="shared" si="181"/>
        <v>4</v>
      </c>
      <c r="H196" s="59">
        <v>4</v>
      </c>
      <c r="I196" s="59">
        <v>4</v>
      </c>
      <c r="J196" s="75">
        <f>K196</f>
        <v>20712.060000000001</v>
      </c>
      <c r="K196" s="75">
        <v>20712.060000000001</v>
      </c>
      <c r="L196" s="72" t="s">
        <v>104</v>
      </c>
      <c r="M196" s="72" t="s">
        <v>104</v>
      </c>
      <c r="N196" s="71">
        <f>SUM(O196:Q196)</f>
        <v>82848.240000000005</v>
      </c>
      <c r="O196" s="71">
        <f>G196*K196</f>
        <v>82848.240000000005</v>
      </c>
      <c r="P196" s="71"/>
      <c r="Q196" s="71"/>
      <c r="R196" s="75">
        <f t="shared" si="187"/>
        <v>82848.240000000005</v>
      </c>
      <c r="S196" s="75">
        <f t="shared" si="188"/>
        <v>82848.240000000005</v>
      </c>
    </row>
    <row r="197" spans="1:19">
      <c r="A197" s="158"/>
      <c r="B197" s="163"/>
      <c r="C197" s="66" t="s">
        <v>106</v>
      </c>
      <c r="D197" s="67"/>
      <c r="E197" s="59">
        <f>E189+E195</f>
        <v>330</v>
      </c>
      <c r="F197" s="59">
        <f t="shared" ref="F197:I197" si="189">F189+F195</f>
        <v>330</v>
      </c>
      <c r="G197" s="59">
        <f t="shared" si="189"/>
        <v>330</v>
      </c>
      <c r="H197" s="59">
        <f t="shared" si="189"/>
        <v>330</v>
      </c>
      <c r="I197" s="59">
        <f t="shared" si="189"/>
        <v>330</v>
      </c>
      <c r="J197" s="71" t="s">
        <v>104</v>
      </c>
      <c r="K197" s="71" t="s">
        <v>104</v>
      </c>
      <c r="L197" s="71" t="s">
        <v>104</v>
      </c>
      <c r="M197" s="71" t="s">
        <v>104</v>
      </c>
      <c r="N197" s="71">
        <f>SUM(N189:N196)</f>
        <v>12929275.610000001</v>
      </c>
      <c r="O197" s="71">
        <f t="shared" ref="O197:S197" si="190">SUM(O189:O196)</f>
        <v>8077209.7100000009</v>
      </c>
      <c r="P197" s="71">
        <f t="shared" si="190"/>
        <v>1272945.2999999998</v>
      </c>
      <c r="Q197" s="71">
        <f t="shared" si="190"/>
        <v>3579120.5999999996</v>
      </c>
      <c r="R197" s="71">
        <f t="shared" si="190"/>
        <v>12929275.610000001</v>
      </c>
      <c r="S197" s="71">
        <f t="shared" si="190"/>
        <v>12929275.610000001</v>
      </c>
    </row>
    <row r="198" spans="1:19" ht="90">
      <c r="A198" s="158"/>
      <c r="B198" s="161" t="s">
        <v>107</v>
      </c>
      <c r="C198" s="61" t="s">
        <v>100</v>
      </c>
      <c r="D198" s="62" t="s">
        <v>101</v>
      </c>
      <c r="E198" s="59">
        <v>77</v>
      </c>
      <c r="F198" s="59">
        <v>77</v>
      </c>
      <c r="G198" s="101">
        <f t="shared" ref="G198:G210" si="191">((E198*8)+(F198*4))/12</f>
        <v>77</v>
      </c>
      <c r="H198" s="59">
        <v>77</v>
      </c>
      <c r="I198" s="59">
        <v>77</v>
      </c>
      <c r="J198" s="110">
        <f>SUM(K198:M198)</f>
        <v>49020.01</v>
      </c>
      <c r="K198" s="110">
        <f>33147.58+1169.2</f>
        <v>34316.78</v>
      </c>
      <c r="L198" s="70">
        <v>3857.41</v>
      </c>
      <c r="M198" s="70">
        <v>10845.82</v>
      </c>
      <c r="N198" s="71">
        <f>SUM(O198:Q198)</f>
        <v>3774540.77</v>
      </c>
      <c r="O198" s="71">
        <f>G198*K198</f>
        <v>2642392.06</v>
      </c>
      <c r="P198" s="71">
        <f>G198*L198</f>
        <v>297020.57</v>
      </c>
      <c r="Q198" s="71">
        <f>G198*M198</f>
        <v>835128.14</v>
      </c>
      <c r="R198" s="75">
        <f t="shared" si="187"/>
        <v>3774540.77</v>
      </c>
      <c r="S198" s="75">
        <f t="shared" si="188"/>
        <v>3774540.77</v>
      </c>
    </row>
    <row r="199" spans="1:19" ht="120">
      <c r="A199" s="158"/>
      <c r="B199" s="162"/>
      <c r="C199" s="61" t="s">
        <v>118</v>
      </c>
      <c r="D199" s="62" t="s">
        <v>101</v>
      </c>
      <c r="E199" s="59">
        <v>307</v>
      </c>
      <c r="F199" s="59">
        <v>307</v>
      </c>
      <c r="G199" s="101">
        <f t="shared" si="191"/>
        <v>307</v>
      </c>
      <c r="H199" s="59">
        <v>307</v>
      </c>
      <c r="I199" s="59">
        <v>307</v>
      </c>
      <c r="J199" s="110">
        <f>SUM(K199:M199)</f>
        <v>52331.85</v>
      </c>
      <c r="K199" s="110">
        <f>36459.42+1169.2</f>
        <v>37628.619999999995</v>
      </c>
      <c r="L199" s="70">
        <v>3857.41</v>
      </c>
      <c r="M199" s="70">
        <v>10845.82</v>
      </c>
      <c r="N199" s="71">
        <f>SUM(O199:Q199)</f>
        <v>16065877.949999997</v>
      </c>
      <c r="O199" s="71">
        <f t="shared" ref="O199" si="192">G199*K199</f>
        <v>11551986.339999998</v>
      </c>
      <c r="P199" s="71">
        <f>G199*L199</f>
        <v>1184224.8699999999</v>
      </c>
      <c r="Q199" s="71">
        <f>G199*M199</f>
        <v>3329666.7399999998</v>
      </c>
      <c r="R199" s="75">
        <f t="shared" si="187"/>
        <v>16065877.949999999</v>
      </c>
      <c r="S199" s="75">
        <f t="shared" si="188"/>
        <v>16065877.949999999</v>
      </c>
    </row>
    <row r="200" spans="1:19" ht="120">
      <c r="A200" s="158"/>
      <c r="B200" s="162"/>
      <c r="C200" s="63" t="s">
        <v>102</v>
      </c>
      <c r="D200" s="64" t="s">
        <v>101</v>
      </c>
      <c r="E200" s="59" t="s">
        <v>104</v>
      </c>
      <c r="F200" s="59" t="s">
        <v>104</v>
      </c>
      <c r="G200" s="59" t="s">
        <v>104</v>
      </c>
      <c r="H200" s="59" t="s">
        <v>104</v>
      </c>
      <c r="I200" s="59" t="s">
        <v>104</v>
      </c>
      <c r="J200" s="59" t="s">
        <v>104</v>
      </c>
      <c r="K200" s="59" t="s">
        <v>104</v>
      </c>
      <c r="L200" s="59" t="s">
        <v>104</v>
      </c>
      <c r="M200" s="59" t="s">
        <v>104</v>
      </c>
      <c r="N200" s="71"/>
      <c r="O200" s="71"/>
      <c r="P200" s="59" t="s">
        <v>104</v>
      </c>
      <c r="Q200" s="59" t="s">
        <v>104</v>
      </c>
      <c r="R200" s="75"/>
      <c r="S200" s="75"/>
    </row>
    <row r="201" spans="1:19">
      <c r="A201" s="158"/>
      <c r="B201" s="162"/>
      <c r="C201" s="63" t="s">
        <v>179</v>
      </c>
      <c r="D201" s="64" t="s">
        <v>101</v>
      </c>
      <c r="E201" s="60">
        <v>1</v>
      </c>
      <c r="F201" s="60">
        <v>1</v>
      </c>
      <c r="G201" s="101">
        <f t="shared" si="191"/>
        <v>1</v>
      </c>
      <c r="H201" s="60">
        <v>1</v>
      </c>
      <c r="I201" s="60">
        <v>1</v>
      </c>
      <c r="J201" s="75">
        <f>K201</f>
        <v>66860.39</v>
      </c>
      <c r="K201" s="75">
        <v>66860.39</v>
      </c>
      <c r="L201" s="59" t="s">
        <v>104</v>
      </c>
      <c r="M201" s="59" t="s">
        <v>104</v>
      </c>
      <c r="N201" s="71">
        <f>O201</f>
        <v>66860.39</v>
      </c>
      <c r="O201" s="71">
        <f>G201*K201</f>
        <v>66860.39</v>
      </c>
      <c r="P201" s="59" t="s">
        <v>104</v>
      </c>
      <c r="Q201" s="59" t="s">
        <v>104</v>
      </c>
      <c r="R201" s="75">
        <f>H201*K201</f>
        <v>66860.39</v>
      </c>
      <c r="S201" s="75">
        <f>I201*K201</f>
        <v>66860.39</v>
      </c>
    </row>
    <row r="202" spans="1:19">
      <c r="A202" s="158"/>
      <c r="B202" s="162"/>
      <c r="C202" s="63" t="s">
        <v>168</v>
      </c>
      <c r="D202" s="64" t="s">
        <v>101</v>
      </c>
      <c r="E202" s="60">
        <v>1</v>
      </c>
      <c r="F202" s="60">
        <v>1</v>
      </c>
      <c r="G202" s="101">
        <f t="shared" si="191"/>
        <v>1</v>
      </c>
      <c r="H202" s="60">
        <v>1</v>
      </c>
      <c r="I202" s="60">
        <v>1</v>
      </c>
      <c r="J202" s="75">
        <f>K202</f>
        <v>24684.9</v>
      </c>
      <c r="K202" s="75">
        <v>24684.9</v>
      </c>
      <c r="L202" s="59" t="s">
        <v>104</v>
      </c>
      <c r="M202" s="59" t="s">
        <v>104</v>
      </c>
      <c r="N202" s="71">
        <f>O202</f>
        <v>24684.9</v>
      </c>
      <c r="O202" s="71">
        <f>G202*K202</f>
        <v>24684.9</v>
      </c>
      <c r="P202" s="59" t="s">
        <v>104</v>
      </c>
      <c r="Q202" s="59" t="s">
        <v>104</v>
      </c>
      <c r="R202" s="75">
        <f>H202*K202</f>
        <v>24684.9</v>
      </c>
      <c r="S202" s="75">
        <f>I202*K202</f>
        <v>24684.9</v>
      </c>
    </row>
    <row r="203" spans="1:19">
      <c r="A203" s="158"/>
      <c r="B203" s="162"/>
      <c r="C203" s="63" t="s">
        <v>173</v>
      </c>
      <c r="D203" s="64" t="s">
        <v>101</v>
      </c>
      <c r="E203" s="60">
        <v>1</v>
      </c>
      <c r="F203" s="60">
        <v>1</v>
      </c>
      <c r="G203" s="101">
        <f t="shared" si="191"/>
        <v>1</v>
      </c>
      <c r="H203" s="60">
        <v>1</v>
      </c>
      <c r="I203" s="60">
        <v>1</v>
      </c>
      <c r="J203" s="75">
        <f>K203</f>
        <v>22724.03</v>
      </c>
      <c r="K203" s="75">
        <v>22724.03</v>
      </c>
      <c r="L203" s="59" t="s">
        <v>104</v>
      </c>
      <c r="M203" s="59" t="s">
        <v>104</v>
      </c>
      <c r="N203" s="71">
        <f>O203</f>
        <v>22724.03</v>
      </c>
      <c r="O203" s="71">
        <f>G203*K203</f>
        <v>22724.03</v>
      </c>
      <c r="P203" s="59" t="s">
        <v>104</v>
      </c>
      <c r="Q203" s="59" t="s">
        <v>104</v>
      </c>
      <c r="R203" s="75">
        <f>H203*K203</f>
        <v>22724.03</v>
      </c>
      <c r="S203" s="75">
        <f>I203*K203</f>
        <v>22724.03</v>
      </c>
    </row>
    <row r="204" spans="1:19" ht="120">
      <c r="A204" s="158"/>
      <c r="B204" s="162"/>
      <c r="C204" s="61" t="s">
        <v>105</v>
      </c>
      <c r="D204" s="64" t="s">
        <v>101</v>
      </c>
      <c r="E204" s="60"/>
      <c r="F204" s="60"/>
      <c r="G204" s="60"/>
      <c r="H204" s="60"/>
      <c r="I204" s="60"/>
      <c r="J204" s="75">
        <f>SUM(K204:M204)</f>
        <v>161049.39000000001</v>
      </c>
      <c r="K204" s="75">
        <f>145176.96+1169.2</f>
        <v>146346.16</v>
      </c>
      <c r="L204" s="72">
        <v>3857.41</v>
      </c>
      <c r="M204" s="70">
        <v>10845.82</v>
      </c>
      <c r="N204" s="73">
        <f>SUM(O204:Q204)</f>
        <v>0</v>
      </c>
      <c r="O204" s="73">
        <f>E204*K204</f>
        <v>0</v>
      </c>
      <c r="P204" s="73">
        <f>E204*L204</f>
        <v>0</v>
      </c>
      <c r="Q204" s="73">
        <f>E204*M204</f>
        <v>0</v>
      </c>
      <c r="R204" s="75">
        <f t="shared" si="187"/>
        <v>0</v>
      </c>
      <c r="S204" s="75">
        <f t="shared" si="188"/>
        <v>0</v>
      </c>
    </row>
    <row r="205" spans="1:19" ht="105">
      <c r="A205" s="158"/>
      <c r="B205" s="162"/>
      <c r="C205" s="61" t="s">
        <v>117</v>
      </c>
      <c r="D205" s="64" t="s">
        <v>101</v>
      </c>
      <c r="E205" s="60">
        <v>3</v>
      </c>
      <c r="F205" s="60">
        <v>3</v>
      </c>
      <c r="G205" s="101">
        <f t="shared" si="191"/>
        <v>3</v>
      </c>
      <c r="H205" s="60">
        <v>3</v>
      </c>
      <c r="I205" s="60">
        <v>3</v>
      </c>
      <c r="J205" s="75">
        <f>K205</f>
        <v>32794.07</v>
      </c>
      <c r="K205" s="75">
        <f>32794.07</f>
        <v>32794.07</v>
      </c>
      <c r="L205" s="72" t="s">
        <v>104</v>
      </c>
      <c r="M205" s="72" t="s">
        <v>104</v>
      </c>
      <c r="N205" s="73">
        <f>SUM(O205:Q205)</f>
        <v>98382.209999999992</v>
      </c>
      <c r="O205" s="73">
        <f>E205*K205</f>
        <v>98382.209999999992</v>
      </c>
      <c r="P205" s="73"/>
      <c r="Q205" s="73"/>
      <c r="R205" s="75">
        <f t="shared" si="187"/>
        <v>98382.209999999992</v>
      </c>
      <c r="S205" s="75">
        <f t="shared" si="188"/>
        <v>98382.209999999992</v>
      </c>
    </row>
    <row r="206" spans="1:19">
      <c r="A206" s="158"/>
      <c r="B206" s="163"/>
      <c r="C206" s="66" t="s">
        <v>106</v>
      </c>
      <c r="D206" s="64"/>
      <c r="E206" s="60">
        <f>E198++E199+E204</f>
        <v>384</v>
      </c>
      <c r="F206" s="60">
        <f>F198++F199+F204</f>
        <v>384</v>
      </c>
      <c r="G206" s="60">
        <f>G198++G199+G204</f>
        <v>384</v>
      </c>
      <c r="H206" s="60">
        <f>H198++H199+H204</f>
        <v>384</v>
      </c>
      <c r="I206" s="60">
        <f>I198++I199+I204</f>
        <v>384</v>
      </c>
      <c r="J206" s="73" t="s">
        <v>104</v>
      </c>
      <c r="K206" s="73" t="s">
        <v>104</v>
      </c>
      <c r="L206" s="74" t="s">
        <v>104</v>
      </c>
      <c r="M206" s="74" t="s">
        <v>104</v>
      </c>
      <c r="N206" s="74">
        <f>SUM(N198:N205)</f>
        <v>20053070.25</v>
      </c>
      <c r="O206" s="74">
        <f t="shared" ref="O206:S206" si="193">SUM(O198:O205)</f>
        <v>14407029.93</v>
      </c>
      <c r="P206" s="74">
        <f t="shared" si="193"/>
        <v>1481245.44</v>
      </c>
      <c r="Q206" s="74">
        <f t="shared" si="193"/>
        <v>4164794.88</v>
      </c>
      <c r="R206" s="74">
        <f t="shared" si="193"/>
        <v>20053070.25</v>
      </c>
      <c r="S206" s="74">
        <f t="shared" si="193"/>
        <v>20053070.25</v>
      </c>
    </row>
    <row r="207" spans="1:19" ht="90">
      <c r="A207" s="158"/>
      <c r="B207" s="161" t="s">
        <v>108</v>
      </c>
      <c r="C207" s="61" t="s">
        <v>100</v>
      </c>
      <c r="D207" s="62" t="s">
        <v>101</v>
      </c>
      <c r="E207" s="60">
        <v>94</v>
      </c>
      <c r="F207" s="60">
        <v>94</v>
      </c>
      <c r="G207" s="101">
        <f t="shared" si="191"/>
        <v>94</v>
      </c>
      <c r="H207" s="60">
        <v>94</v>
      </c>
      <c r="I207" s="60">
        <v>94</v>
      </c>
      <c r="J207" s="110">
        <f>SUM(K207:M207)</f>
        <v>55731.77</v>
      </c>
      <c r="K207" s="110">
        <f>39660.87+1367.67</f>
        <v>41028.54</v>
      </c>
      <c r="L207" s="70">
        <v>3857.41</v>
      </c>
      <c r="M207" s="70">
        <v>10845.82</v>
      </c>
      <c r="N207" s="73">
        <f>SUM(O207:Q207)</f>
        <v>5238786.38</v>
      </c>
      <c r="O207" s="73">
        <f>G207*K207</f>
        <v>3856682.7600000002</v>
      </c>
      <c r="P207" s="73">
        <f>G207*L207</f>
        <v>362596.54</v>
      </c>
      <c r="Q207" s="73">
        <f>G207*M207</f>
        <v>1019507.08</v>
      </c>
      <c r="R207" s="75">
        <f t="shared" si="187"/>
        <v>5238786.38</v>
      </c>
      <c r="S207" s="75">
        <f t="shared" si="188"/>
        <v>5238786.38</v>
      </c>
    </row>
    <row r="208" spans="1:19" ht="119.25">
      <c r="A208" s="158"/>
      <c r="B208" s="162"/>
      <c r="C208" s="61" t="s">
        <v>180</v>
      </c>
      <c r="D208" s="62" t="s">
        <v>101</v>
      </c>
      <c r="E208" s="60">
        <v>25</v>
      </c>
      <c r="F208" s="60">
        <v>25</v>
      </c>
      <c r="G208" s="101">
        <f t="shared" si="191"/>
        <v>25</v>
      </c>
      <c r="H208" s="60">
        <v>25</v>
      </c>
      <c r="I208" s="60">
        <v>25</v>
      </c>
      <c r="J208" s="110">
        <f>SUM(K208:M208)</f>
        <v>96651.38</v>
      </c>
      <c r="K208" s="110">
        <f>80580.48+1367.67</f>
        <v>81948.149999999994</v>
      </c>
      <c r="L208" s="70">
        <v>3857.41</v>
      </c>
      <c r="M208" s="70">
        <v>10845.82</v>
      </c>
      <c r="N208" s="73">
        <f>SUM(O208:Q208)</f>
        <v>2416284.5</v>
      </c>
      <c r="O208" s="73">
        <f>G208*K208</f>
        <v>2048703.7499999998</v>
      </c>
      <c r="P208" s="73">
        <f>G208*L208</f>
        <v>96435.25</v>
      </c>
      <c r="Q208" s="73">
        <f>G208*M208</f>
        <v>271145.5</v>
      </c>
      <c r="R208" s="75">
        <f t="shared" si="187"/>
        <v>2416284.5</v>
      </c>
      <c r="S208" s="75">
        <f t="shared" si="188"/>
        <v>2416284.5</v>
      </c>
    </row>
    <row r="209" spans="1:22" ht="120">
      <c r="A209" s="158"/>
      <c r="B209" s="162"/>
      <c r="C209" s="63" t="s">
        <v>102</v>
      </c>
      <c r="D209" s="64" t="s">
        <v>101</v>
      </c>
      <c r="E209" s="59" t="s">
        <v>104</v>
      </c>
      <c r="F209" s="59" t="s">
        <v>104</v>
      </c>
      <c r="G209" s="59" t="s">
        <v>104</v>
      </c>
      <c r="H209" s="59" t="s">
        <v>104</v>
      </c>
      <c r="I209" s="59" t="s">
        <v>104</v>
      </c>
      <c r="J209" s="59" t="s">
        <v>104</v>
      </c>
      <c r="K209" s="59" t="s">
        <v>104</v>
      </c>
      <c r="L209" s="59" t="s">
        <v>104</v>
      </c>
      <c r="M209" s="59" t="s">
        <v>104</v>
      </c>
      <c r="N209" s="71"/>
      <c r="O209" s="71"/>
      <c r="P209" s="59" t="s">
        <v>104</v>
      </c>
      <c r="Q209" s="59" t="s">
        <v>104</v>
      </c>
      <c r="R209" s="75"/>
      <c r="S209" s="75"/>
    </row>
    <row r="210" spans="1:22">
      <c r="A210" s="158"/>
      <c r="B210" s="162"/>
      <c r="C210" s="63" t="s">
        <v>173</v>
      </c>
      <c r="D210" s="64" t="s">
        <v>101</v>
      </c>
      <c r="E210" s="60">
        <v>2</v>
      </c>
      <c r="F210" s="60">
        <v>2</v>
      </c>
      <c r="G210" s="101">
        <f t="shared" si="191"/>
        <v>2</v>
      </c>
      <c r="H210" s="60">
        <v>2</v>
      </c>
      <c r="I210" s="60">
        <v>2</v>
      </c>
      <c r="J210" s="75">
        <f>K210</f>
        <v>22724.03</v>
      </c>
      <c r="K210" s="75">
        <v>22724.03</v>
      </c>
      <c r="L210" s="59" t="s">
        <v>104</v>
      </c>
      <c r="M210" s="59" t="s">
        <v>104</v>
      </c>
      <c r="N210" s="71">
        <f>O210</f>
        <v>45448.06</v>
      </c>
      <c r="O210" s="71">
        <f>G210*K210</f>
        <v>45448.06</v>
      </c>
      <c r="P210" s="59" t="s">
        <v>104</v>
      </c>
      <c r="Q210" s="59" t="s">
        <v>104</v>
      </c>
      <c r="R210" s="75">
        <f>H210*K210</f>
        <v>45448.06</v>
      </c>
      <c r="S210" s="75">
        <f>I210*K210</f>
        <v>45448.06</v>
      </c>
    </row>
    <row r="211" spans="1:22" ht="120">
      <c r="A211" s="158"/>
      <c r="B211" s="162"/>
      <c r="C211" s="61" t="s">
        <v>105</v>
      </c>
      <c r="D211" s="64" t="s">
        <v>101</v>
      </c>
      <c r="E211" s="60"/>
      <c r="F211" s="60"/>
      <c r="G211" s="60"/>
      <c r="H211" s="60"/>
      <c r="I211" s="60"/>
      <c r="J211" s="75">
        <f>SUM(K211:M211)</f>
        <v>189996.43000000002</v>
      </c>
      <c r="K211" s="75">
        <f>173925.53+1367.67</f>
        <v>175293.2</v>
      </c>
      <c r="L211" s="72">
        <v>3857.41</v>
      </c>
      <c r="M211" s="70">
        <v>10845.82</v>
      </c>
      <c r="N211" s="73"/>
      <c r="O211" s="73"/>
      <c r="P211" s="73"/>
      <c r="Q211" s="73"/>
      <c r="R211" s="75">
        <f t="shared" si="187"/>
        <v>0</v>
      </c>
      <c r="S211" s="75">
        <f t="shared" si="188"/>
        <v>0</v>
      </c>
    </row>
    <row r="212" spans="1:22">
      <c r="A212" s="158"/>
      <c r="B212" s="163"/>
      <c r="C212" s="66" t="s">
        <v>106</v>
      </c>
      <c r="D212" s="64"/>
      <c r="E212" s="60">
        <f>E207+E211</f>
        <v>94</v>
      </c>
      <c r="F212" s="60">
        <f t="shared" ref="F212:I212" si="194">F207+F211</f>
        <v>94</v>
      </c>
      <c r="G212" s="60">
        <f t="shared" si="194"/>
        <v>94</v>
      </c>
      <c r="H212" s="60">
        <f t="shared" si="194"/>
        <v>94</v>
      </c>
      <c r="I212" s="60">
        <f t="shared" si="194"/>
        <v>94</v>
      </c>
      <c r="J212" s="73" t="s">
        <v>104</v>
      </c>
      <c r="K212" s="73" t="s">
        <v>104</v>
      </c>
      <c r="L212" s="74" t="s">
        <v>104</v>
      </c>
      <c r="M212" s="74" t="s">
        <v>104</v>
      </c>
      <c r="N212" s="74">
        <f>SUM(N207:N211)</f>
        <v>7700518.9399999995</v>
      </c>
      <c r="O212" s="74">
        <f t="shared" ref="O212:S212" si="195">SUM(O207:O211)</f>
        <v>5950834.5699999994</v>
      </c>
      <c r="P212" s="74">
        <f t="shared" si="195"/>
        <v>459031.79</v>
      </c>
      <c r="Q212" s="74">
        <f t="shared" si="195"/>
        <v>1290652.58</v>
      </c>
      <c r="R212" s="74">
        <f t="shared" si="195"/>
        <v>7700518.9399999995</v>
      </c>
      <c r="S212" s="74">
        <f t="shared" si="195"/>
        <v>7700518.9399999995</v>
      </c>
    </row>
    <row r="213" spans="1:22" ht="165">
      <c r="A213" s="158"/>
      <c r="B213" s="160" t="s">
        <v>109</v>
      </c>
      <c r="C213" s="61" t="s">
        <v>110</v>
      </c>
      <c r="D213" s="64" t="s">
        <v>101</v>
      </c>
      <c r="E213" s="60">
        <v>520</v>
      </c>
      <c r="F213" s="60">
        <v>520</v>
      </c>
      <c r="G213" s="101">
        <f t="shared" ref="G213:G214" si="196">((E213*8)+(F213*4))/12</f>
        <v>520</v>
      </c>
      <c r="H213" s="60">
        <v>520</v>
      </c>
      <c r="I213" s="60">
        <v>520</v>
      </c>
      <c r="J213" s="75">
        <f>K213</f>
        <v>2770.76</v>
      </c>
      <c r="K213" s="75">
        <v>2770.76</v>
      </c>
      <c r="L213" s="72" t="s">
        <v>104</v>
      </c>
      <c r="M213" s="72" t="s">
        <v>104</v>
      </c>
      <c r="N213" s="73">
        <f>SUM(O213:Q213)</f>
        <v>1440795.2000000002</v>
      </c>
      <c r="O213" s="73">
        <f>G213*K213</f>
        <v>1440795.2000000002</v>
      </c>
      <c r="P213" s="73" t="s">
        <v>104</v>
      </c>
      <c r="Q213" s="73" t="s">
        <v>104</v>
      </c>
      <c r="R213" s="75">
        <f t="shared" si="187"/>
        <v>1440795.2000000002</v>
      </c>
      <c r="S213" s="75">
        <f t="shared" si="188"/>
        <v>1440795.2000000002</v>
      </c>
    </row>
    <row r="214" spans="1:22" ht="180">
      <c r="A214" s="158"/>
      <c r="B214" s="160"/>
      <c r="C214" s="61" t="s">
        <v>178</v>
      </c>
      <c r="D214" s="64" t="s">
        <v>101</v>
      </c>
      <c r="E214" s="60">
        <v>693</v>
      </c>
      <c r="F214" s="60">
        <v>693</v>
      </c>
      <c r="G214" s="101">
        <f t="shared" si="196"/>
        <v>693</v>
      </c>
      <c r="H214" s="60">
        <v>693</v>
      </c>
      <c r="I214" s="60">
        <v>693</v>
      </c>
      <c r="J214" s="75">
        <v>3829.24</v>
      </c>
      <c r="K214" s="75">
        <f>J214</f>
        <v>3829.24</v>
      </c>
      <c r="L214" s="72" t="s">
        <v>104</v>
      </c>
      <c r="M214" s="72" t="s">
        <v>104</v>
      </c>
      <c r="N214" s="73">
        <f>SUM(O214:Q214)</f>
        <v>2653663.3199999998</v>
      </c>
      <c r="O214" s="73">
        <f>G214*K214</f>
        <v>2653663.3199999998</v>
      </c>
      <c r="P214" s="106" t="s">
        <v>104</v>
      </c>
      <c r="Q214" s="104" t="s">
        <v>104</v>
      </c>
      <c r="R214" s="75">
        <f t="shared" si="187"/>
        <v>2653663.3199999998</v>
      </c>
      <c r="S214" s="75">
        <f t="shared" si="188"/>
        <v>2653663.3199999998</v>
      </c>
    </row>
    <row r="215" spans="1:22">
      <c r="A215" s="158"/>
      <c r="B215" s="69"/>
      <c r="C215" s="66" t="s">
        <v>106</v>
      </c>
      <c r="D215" s="69"/>
      <c r="E215" s="103">
        <f>SUM(E213:E214)</f>
        <v>1213</v>
      </c>
      <c r="F215" s="103">
        <f t="shared" ref="F215:I215" si="197">SUM(F213:F214)</f>
        <v>1213</v>
      </c>
      <c r="G215" s="103">
        <f t="shared" si="197"/>
        <v>1213</v>
      </c>
      <c r="H215" s="103">
        <f t="shared" si="197"/>
        <v>1213</v>
      </c>
      <c r="I215" s="103">
        <f t="shared" si="197"/>
        <v>1213</v>
      </c>
      <c r="J215" s="73" t="s">
        <v>104</v>
      </c>
      <c r="K215" s="73" t="s">
        <v>104</v>
      </c>
      <c r="L215" s="74" t="s">
        <v>104</v>
      </c>
      <c r="M215" s="74">
        <f t="shared" ref="M215:Q215" si="198">SUM(M213:M214)</f>
        <v>0</v>
      </c>
      <c r="N215" s="74">
        <f t="shared" si="198"/>
        <v>4094458.52</v>
      </c>
      <c r="O215" s="74">
        <f t="shared" si="198"/>
        <v>4094458.52</v>
      </c>
      <c r="P215" s="74">
        <f t="shared" si="198"/>
        <v>0</v>
      </c>
      <c r="Q215" s="74">
        <f t="shared" si="198"/>
        <v>0</v>
      </c>
      <c r="R215" s="75">
        <f>SUM(R213:R214)</f>
        <v>4094458.52</v>
      </c>
      <c r="S215" s="75">
        <f>SUM(S213:S214)</f>
        <v>4094458.52</v>
      </c>
    </row>
    <row r="216" spans="1:22">
      <c r="A216" s="158"/>
      <c r="B216" s="102" t="s">
        <v>112</v>
      </c>
      <c r="C216" s="102"/>
      <c r="D216" s="69"/>
      <c r="E216" s="103"/>
      <c r="F216" s="103"/>
      <c r="G216" s="103"/>
      <c r="H216" s="103"/>
      <c r="I216" s="103"/>
      <c r="J216" s="106"/>
      <c r="K216" s="106"/>
      <c r="L216" s="104"/>
      <c r="M216" s="104"/>
      <c r="N216" s="104">
        <f t="shared" ref="N216:S216" si="199">N197+N206+N212+N215</f>
        <v>44777323.32</v>
      </c>
      <c r="O216" s="104">
        <f t="shared" si="199"/>
        <v>32529532.73</v>
      </c>
      <c r="P216" s="104">
        <f t="shared" si="199"/>
        <v>3213222.53</v>
      </c>
      <c r="Q216" s="104">
        <f t="shared" si="199"/>
        <v>9034568.0599999987</v>
      </c>
      <c r="R216" s="104">
        <f t="shared" si="199"/>
        <v>44777323.32</v>
      </c>
      <c r="S216" s="104">
        <f t="shared" si="199"/>
        <v>44777323.32</v>
      </c>
    </row>
    <row r="217" spans="1:22" ht="225">
      <c r="A217" s="158" t="s">
        <v>119</v>
      </c>
      <c r="B217" s="159" t="s">
        <v>99</v>
      </c>
      <c r="C217" s="61" t="s">
        <v>120</v>
      </c>
      <c r="D217" s="62" t="s">
        <v>121</v>
      </c>
      <c r="E217" s="129" t="s">
        <v>122</v>
      </c>
      <c r="F217" s="129" t="s">
        <v>122</v>
      </c>
      <c r="G217" s="129" t="s">
        <v>122</v>
      </c>
      <c r="H217" s="129" t="s">
        <v>122</v>
      </c>
      <c r="I217" s="129" t="s">
        <v>122</v>
      </c>
      <c r="J217" s="110" t="s">
        <v>124</v>
      </c>
      <c r="K217" s="110" t="s">
        <v>125</v>
      </c>
      <c r="L217" s="70" t="s">
        <v>126</v>
      </c>
      <c r="M217" s="70" t="s">
        <v>195</v>
      </c>
      <c r="N217" s="71">
        <f t="shared" ref="N217:N223" si="200">SUM(O217:Q217)</f>
        <v>2005428.36</v>
      </c>
      <c r="O217" s="71">
        <f>642642.05*2+952.08*46</f>
        <v>1329079.78</v>
      </c>
      <c r="P217" s="71">
        <f>3857.41*46</f>
        <v>177440.86</v>
      </c>
      <c r="Q217" s="75">
        <f>10845.82*46</f>
        <v>498907.72</v>
      </c>
      <c r="R217" s="75">
        <f>642642.05*2+15655.31*46</f>
        <v>2005428.36</v>
      </c>
      <c r="S217" s="75">
        <f>642642.05*2+15655.31*46</f>
        <v>2005428.36</v>
      </c>
    </row>
    <row r="218" spans="1:22" ht="240">
      <c r="A218" s="158"/>
      <c r="B218" s="159"/>
      <c r="C218" s="61" t="s">
        <v>128</v>
      </c>
      <c r="D218" s="62" t="s">
        <v>121</v>
      </c>
      <c r="E218" s="129" t="s">
        <v>184</v>
      </c>
      <c r="F218" s="129" t="s">
        <v>184</v>
      </c>
      <c r="G218" s="129" t="s">
        <v>184</v>
      </c>
      <c r="H218" s="129" t="s">
        <v>184</v>
      </c>
      <c r="I218" s="129" t="s">
        <v>184</v>
      </c>
      <c r="J218" s="110" t="s">
        <v>131</v>
      </c>
      <c r="K218" s="110" t="s">
        <v>132</v>
      </c>
      <c r="L218" s="70" t="s">
        <v>126</v>
      </c>
      <c r="M218" s="70" t="s">
        <v>195</v>
      </c>
      <c r="N218" s="71">
        <f t="shared" si="200"/>
        <v>3324590.7399999998</v>
      </c>
      <c r="O218" s="71">
        <f>604145.69*4+952.08*58</f>
        <v>2471803.4</v>
      </c>
      <c r="P218" s="71">
        <f>3857.41*58</f>
        <v>223729.78</v>
      </c>
      <c r="Q218" s="75">
        <f>10845.82*58</f>
        <v>629057.55999999994</v>
      </c>
      <c r="R218" s="75">
        <f>604145.69*4+15655.31*58</f>
        <v>3324590.7399999998</v>
      </c>
      <c r="S218" s="75">
        <f>R218</f>
        <v>3324590.7399999998</v>
      </c>
    </row>
    <row r="219" spans="1:22" ht="120">
      <c r="A219" s="158"/>
      <c r="B219" s="159"/>
      <c r="C219" s="63" t="s">
        <v>102</v>
      </c>
      <c r="D219" s="64" t="s">
        <v>101</v>
      </c>
      <c r="E219" s="65"/>
      <c r="F219" s="65"/>
      <c r="G219" s="65"/>
      <c r="H219" s="65"/>
      <c r="I219" s="65"/>
      <c r="J219" s="75">
        <f>K219</f>
        <v>27251.919999999998</v>
      </c>
      <c r="K219" s="75">
        <v>27251.919999999998</v>
      </c>
      <c r="L219" s="72" t="s">
        <v>103</v>
      </c>
      <c r="M219" s="72" t="s">
        <v>103</v>
      </c>
      <c r="N219" s="71">
        <f t="shared" si="200"/>
        <v>0</v>
      </c>
      <c r="O219" s="71">
        <f>E219*K219</f>
        <v>0</v>
      </c>
      <c r="P219" s="71" t="s">
        <v>104</v>
      </c>
      <c r="Q219" s="122" t="s">
        <v>104</v>
      </c>
      <c r="R219" s="75">
        <f t="shared" ref="R219:R233" si="201">H219*J219</f>
        <v>0</v>
      </c>
      <c r="S219" s="75">
        <f t="shared" ref="S219:S233" si="202">I219*J219</f>
        <v>0</v>
      </c>
    </row>
    <row r="220" spans="1:22" ht="105">
      <c r="A220" s="158"/>
      <c r="B220" s="159"/>
      <c r="C220" s="61" t="s">
        <v>188</v>
      </c>
      <c r="D220" s="64" t="s">
        <v>101</v>
      </c>
      <c r="E220" s="59">
        <v>1</v>
      </c>
      <c r="F220" s="59">
        <v>1</v>
      </c>
      <c r="G220" s="101">
        <f t="shared" ref="G220" si="203">((E220*8)+(F220*4))/12</f>
        <v>1</v>
      </c>
      <c r="H220" s="59">
        <v>1</v>
      </c>
      <c r="I220" s="59">
        <v>1</v>
      </c>
      <c r="J220" s="75">
        <f>K220</f>
        <v>24958.99</v>
      </c>
      <c r="K220" s="75">
        <v>24958.99</v>
      </c>
      <c r="L220" s="71" t="s">
        <v>104</v>
      </c>
      <c r="M220" s="71" t="s">
        <v>104</v>
      </c>
      <c r="N220" s="71">
        <f>O220</f>
        <v>24958.99</v>
      </c>
      <c r="O220" s="71">
        <f>G220*K220</f>
        <v>24958.99</v>
      </c>
      <c r="P220" s="71" t="s">
        <v>104</v>
      </c>
      <c r="Q220" s="122" t="s">
        <v>104</v>
      </c>
      <c r="R220" s="75">
        <f>H220*K220</f>
        <v>24958.99</v>
      </c>
      <c r="S220" s="75">
        <f>I220*K220</f>
        <v>24958.99</v>
      </c>
    </row>
    <row r="221" spans="1:22">
      <c r="A221" s="158"/>
      <c r="B221" s="159"/>
      <c r="C221" s="66" t="s">
        <v>106</v>
      </c>
      <c r="D221" s="67"/>
      <c r="E221" s="129" t="s">
        <v>185</v>
      </c>
      <c r="F221" s="129" t="s">
        <v>185</v>
      </c>
      <c r="G221" s="129" t="s">
        <v>185</v>
      </c>
      <c r="H221" s="129" t="s">
        <v>185</v>
      </c>
      <c r="I221" s="129" t="s">
        <v>185</v>
      </c>
      <c r="J221" s="71" t="s">
        <v>104</v>
      </c>
      <c r="K221" s="71" t="s">
        <v>104</v>
      </c>
      <c r="L221" s="71" t="s">
        <v>104</v>
      </c>
      <c r="M221" s="71" t="s">
        <v>104</v>
      </c>
      <c r="N221" s="71">
        <f>SUM(O221:Q221)</f>
        <v>5354978.09</v>
      </c>
      <c r="O221" s="71">
        <f>SUM(O217:O220)</f>
        <v>3825842.17</v>
      </c>
      <c r="P221" s="71">
        <f>SUM(P217:P220)</f>
        <v>401170.64</v>
      </c>
      <c r="Q221" s="71">
        <f t="shared" ref="Q221:S221" si="204">SUM(Q217:Q220)</f>
        <v>1127965.2799999998</v>
      </c>
      <c r="R221" s="71">
        <f t="shared" si="204"/>
        <v>5354978.09</v>
      </c>
      <c r="S221" s="71">
        <f t="shared" si="204"/>
        <v>5354978.09</v>
      </c>
    </row>
    <row r="222" spans="1:22" ht="225">
      <c r="A222" s="158"/>
      <c r="B222" s="159" t="s">
        <v>107</v>
      </c>
      <c r="C222" s="61" t="s">
        <v>120</v>
      </c>
      <c r="D222" s="62" t="s">
        <v>121</v>
      </c>
      <c r="E222" s="129" t="s">
        <v>182</v>
      </c>
      <c r="F222" s="129" t="s">
        <v>182</v>
      </c>
      <c r="G222" s="129" t="s">
        <v>182</v>
      </c>
      <c r="H222" s="129" t="s">
        <v>182</v>
      </c>
      <c r="I222" s="129" t="s">
        <v>182</v>
      </c>
      <c r="J222" s="110" t="s">
        <v>138</v>
      </c>
      <c r="K222" s="110" t="s">
        <v>139</v>
      </c>
      <c r="L222" s="70" t="s">
        <v>126</v>
      </c>
      <c r="M222" s="70" t="s">
        <v>195</v>
      </c>
      <c r="N222" s="71">
        <f t="shared" si="200"/>
        <v>2624485.31</v>
      </c>
      <c r="O222" s="71">
        <f>2*955112.98+45*1169.2</f>
        <v>1962839.96</v>
      </c>
      <c r="P222" s="71">
        <f>3857.41*45</f>
        <v>173583.44999999998</v>
      </c>
      <c r="Q222" s="71">
        <f>10845.82*45</f>
        <v>488061.89999999997</v>
      </c>
      <c r="R222" s="75">
        <f>2*955112.98+45*15872.43</f>
        <v>2624485.31</v>
      </c>
      <c r="S222" s="75">
        <f>2*955112.98+45*15872.43</f>
        <v>2624485.31</v>
      </c>
      <c r="U222" s="80">
        <f>(3*8+2*4)/12</f>
        <v>2.6666666666666665</v>
      </c>
      <c r="V222" s="80">
        <f>(66*8+45*4)/12</f>
        <v>59</v>
      </c>
    </row>
    <row r="223" spans="1:22" ht="240">
      <c r="A223" s="158"/>
      <c r="B223" s="159"/>
      <c r="C223" s="61" t="s">
        <v>128</v>
      </c>
      <c r="D223" s="62" t="s">
        <v>121</v>
      </c>
      <c r="E223" s="79" t="s">
        <v>189</v>
      </c>
      <c r="F223" s="79" t="s">
        <v>189</v>
      </c>
      <c r="G223" s="79" t="s">
        <v>189</v>
      </c>
      <c r="H223" s="79" t="s">
        <v>189</v>
      </c>
      <c r="I223" s="79" t="s">
        <v>189</v>
      </c>
      <c r="J223" s="110" t="s">
        <v>142</v>
      </c>
      <c r="K223" s="110" t="s">
        <v>143</v>
      </c>
      <c r="L223" s="70" t="s">
        <v>126</v>
      </c>
      <c r="M223" s="70" t="s">
        <v>195</v>
      </c>
      <c r="N223" s="71">
        <f t="shared" si="200"/>
        <v>5005151.3599999994</v>
      </c>
      <c r="O223" s="71">
        <f>5*756594.85+1169.2*77</f>
        <v>3873002.65</v>
      </c>
      <c r="P223" s="71">
        <f>3857.41*77</f>
        <v>297020.57</v>
      </c>
      <c r="Q223" s="71">
        <f>10845.82*77</f>
        <v>835128.14</v>
      </c>
      <c r="R223" s="75">
        <f>5*756594.85+15872.43*77</f>
        <v>5005151.3600000003</v>
      </c>
      <c r="S223" s="75">
        <f>756594.85*5+15872.43*77</f>
        <v>5005151.3600000003</v>
      </c>
      <c r="U223" s="80">
        <f>(3*8+5*4)/12</f>
        <v>3.6666666666666665</v>
      </c>
      <c r="V223" s="80">
        <f>(47*8+77*4)/12</f>
        <v>57</v>
      </c>
    </row>
    <row r="224" spans="1:22" ht="135">
      <c r="A224" s="158"/>
      <c r="B224" s="159"/>
      <c r="C224" s="63" t="s">
        <v>167</v>
      </c>
      <c r="D224" s="64" t="s">
        <v>101</v>
      </c>
      <c r="E224" s="59" t="s">
        <v>104</v>
      </c>
      <c r="F224" s="59" t="s">
        <v>104</v>
      </c>
      <c r="G224" s="59" t="s">
        <v>104</v>
      </c>
      <c r="H224" s="59" t="s">
        <v>104</v>
      </c>
      <c r="I224" s="59" t="s">
        <v>104</v>
      </c>
      <c r="J224" s="59" t="s">
        <v>104</v>
      </c>
      <c r="K224" s="59" t="s">
        <v>104</v>
      </c>
      <c r="L224" s="59" t="s">
        <v>104</v>
      </c>
      <c r="M224" s="59" t="s">
        <v>104</v>
      </c>
      <c r="N224" s="71"/>
      <c r="O224" s="71"/>
      <c r="P224" s="59" t="s">
        <v>104</v>
      </c>
      <c r="Q224" s="59" t="s">
        <v>104</v>
      </c>
      <c r="R224" s="75"/>
      <c r="S224" s="75"/>
    </row>
    <row r="225" spans="1:22">
      <c r="A225" s="158"/>
      <c r="B225" s="113"/>
      <c r="C225" s="63" t="s">
        <v>169</v>
      </c>
      <c r="D225" s="64"/>
      <c r="E225" s="60">
        <v>3</v>
      </c>
      <c r="F225" s="60">
        <v>3</v>
      </c>
      <c r="G225" s="101">
        <f t="shared" ref="G225:G227" si="205">((E225*8)+(F225*4))/12</f>
        <v>3</v>
      </c>
      <c r="H225" s="60">
        <v>3</v>
      </c>
      <c r="I225" s="60">
        <v>3</v>
      </c>
      <c r="J225" s="75">
        <f>K225</f>
        <v>107600.45</v>
      </c>
      <c r="K225" s="75">
        <v>107600.45</v>
      </c>
      <c r="L225" s="59" t="s">
        <v>104</v>
      </c>
      <c r="M225" s="59" t="s">
        <v>104</v>
      </c>
      <c r="N225" s="71">
        <f>O225</f>
        <v>322801.34999999998</v>
      </c>
      <c r="O225" s="73">
        <f>G225*K225</f>
        <v>322801.34999999998</v>
      </c>
      <c r="P225" s="59" t="s">
        <v>104</v>
      </c>
      <c r="Q225" s="59" t="s">
        <v>104</v>
      </c>
      <c r="R225" s="75">
        <f>H225*K225</f>
        <v>322801.34999999998</v>
      </c>
      <c r="S225" s="75">
        <f>I225*K225</f>
        <v>322801.34999999998</v>
      </c>
    </row>
    <row r="226" spans="1:22">
      <c r="A226" s="158"/>
      <c r="B226" s="113"/>
      <c r="C226" s="63" t="s">
        <v>173</v>
      </c>
      <c r="D226" s="64"/>
      <c r="E226" s="60">
        <v>2</v>
      </c>
      <c r="F226" s="60">
        <v>2</v>
      </c>
      <c r="G226" s="101">
        <f t="shared" si="205"/>
        <v>2</v>
      </c>
      <c r="H226" s="60">
        <v>2</v>
      </c>
      <c r="I226" s="60">
        <v>2</v>
      </c>
      <c r="J226" s="75">
        <f>K226</f>
        <v>27251.919999999998</v>
      </c>
      <c r="K226" s="75">
        <v>27251.919999999998</v>
      </c>
      <c r="L226" s="107" t="s">
        <v>104</v>
      </c>
      <c r="M226" s="107" t="s">
        <v>104</v>
      </c>
      <c r="N226" s="71">
        <f>O226</f>
        <v>54503.839999999997</v>
      </c>
      <c r="O226" s="73">
        <f>G226*K226</f>
        <v>54503.839999999997</v>
      </c>
      <c r="P226" s="59" t="s">
        <v>104</v>
      </c>
      <c r="Q226" s="59" t="s">
        <v>104</v>
      </c>
      <c r="R226" s="75">
        <f>H226*K226</f>
        <v>54503.839999999997</v>
      </c>
      <c r="S226" s="75">
        <f>I226*K226</f>
        <v>54503.839999999997</v>
      </c>
    </row>
    <row r="227" spans="1:22" ht="120">
      <c r="A227" s="158"/>
      <c r="B227" s="113"/>
      <c r="C227" s="76" t="s">
        <v>181</v>
      </c>
      <c r="D227" s="64" t="s">
        <v>101</v>
      </c>
      <c r="E227" s="79">
        <v>1</v>
      </c>
      <c r="F227" s="79">
        <v>1</v>
      </c>
      <c r="G227" s="101">
        <f t="shared" si="205"/>
        <v>1</v>
      </c>
      <c r="H227" s="79">
        <v>1</v>
      </c>
      <c r="I227" s="79">
        <v>1</v>
      </c>
      <c r="J227" s="75">
        <f>SUM(K227:M227)</f>
        <v>217701.8</v>
      </c>
      <c r="K227" s="75">
        <f>217701.8+1169.2-1169.2</f>
        <v>217701.8</v>
      </c>
      <c r="L227" s="74"/>
      <c r="M227" s="74"/>
      <c r="N227" s="73">
        <f>SUM(O227:Q227)</f>
        <v>217701.8</v>
      </c>
      <c r="O227" s="73">
        <f>G227*K227</f>
        <v>217701.8</v>
      </c>
      <c r="P227" s="73">
        <f>G227*L227</f>
        <v>0</v>
      </c>
      <c r="Q227" s="73">
        <f>G227*M227</f>
        <v>0</v>
      </c>
      <c r="R227" s="75">
        <f t="shared" si="201"/>
        <v>217701.8</v>
      </c>
      <c r="S227" s="75">
        <f t="shared" si="202"/>
        <v>217701.8</v>
      </c>
    </row>
    <row r="228" spans="1:22" ht="105">
      <c r="A228" s="158"/>
      <c r="B228" s="113"/>
      <c r="C228" s="61" t="s">
        <v>188</v>
      </c>
      <c r="D228" s="64" t="s">
        <v>101</v>
      </c>
      <c r="E228" s="68">
        <v>5</v>
      </c>
      <c r="F228" s="79">
        <v>5</v>
      </c>
      <c r="G228" s="101">
        <v>5</v>
      </c>
      <c r="H228" s="79">
        <v>5</v>
      </c>
      <c r="I228" s="79">
        <v>5</v>
      </c>
      <c r="J228" s="75">
        <f>K228</f>
        <v>39518.410000000003</v>
      </c>
      <c r="K228" s="75">
        <v>39518.410000000003</v>
      </c>
      <c r="L228" s="74"/>
      <c r="M228" s="74"/>
      <c r="N228" s="73">
        <f>O228</f>
        <v>197592.05000000002</v>
      </c>
      <c r="O228" s="73">
        <f>G228*K228</f>
        <v>197592.05000000002</v>
      </c>
      <c r="P228" s="73"/>
      <c r="Q228" s="73"/>
      <c r="R228" s="75">
        <f>H228*K228</f>
        <v>197592.05000000002</v>
      </c>
      <c r="S228" s="75">
        <f>I228*K228</f>
        <v>197592.05000000002</v>
      </c>
    </row>
    <row r="229" spans="1:22">
      <c r="A229" s="158"/>
      <c r="B229" s="113"/>
      <c r="C229" s="66" t="s">
        <v>106</v>
      </c>
      <c r="D229" s="64"/>
      <c r="E229" s="77" t="s">
        <v>186</v>
      </c>
      <c r="F229" s="77" t="s">
        <v>186</v>
      </c>
      <c r="G229" s="77" t="s">
        <v>186</v>
      </c>
      <c r="H229" s="77" t="s">
        <v>186</v>
      </c>
      <c r="I229" s="77" t="s">
        <v>186</v>
      </c>
      <c r="J229" s="73" t="s">
        <v>104</v>
      </c>
      <c r="K229" s="73" t="s">
        <v>104</v>
      </c>
      <c r="L229" s="74" t="s">
        <v>104</v>
      </c>
      <c r="M229" s="74" t="s">
        <v>104</v>
      </c>
      <c r="N229" s="74">
        <f>SUM(O229:Q229)</f>
        <v>8422235.7099999972</v>
      </c>
      <c r="O229" s="74">
        <f>SUM(O222:O228)</f>
        <v>6628441.6499999985</v>
      </c>
      <c r="P229" s="74">
        <f>SUM(P222:P228)</f>
        <v>470604.02</v>
      </c>
      <c r="Q229" s="74">
        <f t="shared" ref="Q229:S229" si="206">SUM(Q222:Q228)</f>
        <v>1323190.04</v>
      </c>
      <c r="R229" s="74">
        <f t="shared" si="206"/>
        <v>8422235.709999999</v>
      </c>
      <c r="S229" s="74">
        <f t="shared" si="206"/>
        <v>8422235.709999999</v>
      </c>
    </row>
    <row r="230" spans="1:22" ht="240">
      <c r="A230" s="158"/>
      <c r="B230" s="113" t="s">
        <v>108</v>
      </c>
      <c r="C230" s="61" t="s">
        <v>128</v>
      </c>
      <c r="D230" s="62" t="s">
        <v>121</v>
      </c>
      <c r="E230" s="129" t="s">
        <v>187</v>
      </c>
      <c r="F230" s="129" t="s">
        <v>187</v>
      </c>
      <c r="G230" s="129" t="s">
        <v>187</v>
      </c>
      <c r="H230" s="129" t="s">
        <v>187</v>
      </c>
      <c r="I230" s="129" t="s">
        <v>187</v>
      </c>
      <c r="J230" s="110" t="s">
        <v>150</v>
      </c>
      <c r="K230" s="110" t="s">
        <v>151</v>
      </c>
      <c r="L230" s="70" t="s">
        <v>126</v>
      </c>
      <c r="M230" s="70" t="s">
        <v>195</v>
      </c>
      <c r="N230" s="73">
        <f>SUM(O230:Q230)</f>
        <v>1001258.42</v>
      </c>
      <c r="O230" s="73">
        <f>808407.62+1367.67*12</f>
        <v>824819.66</v>
      </c>
      <c r="P230" s="73">
        <f>12*3857.41</f>
        <v>46288.92</v>
      </c>
      <c r="Q230" s="46">
        <f>12*10845.82</f>
        <v>130149.84</v>
      </c>
      <c r="R230" s="75">
        <f>808407.62+12*16070.9</f>
        <v>1001258.4199999999</v>
      </c>
      <c r="S230" s="75">
        <f>808407.62+12*16070.9</f>
        <v>1001258.4199999999</v>
      </c>
      <c r="V230" s="80">
        <f>(7*8+12*4)/12</f>
        <v>8.6666666666666661</v>
      </c>
    </row>
    <row r="231" spans="1:22">
      <c r="A231" s="158"/>
      <c r="B231" s="113"/>
      <c r="C231" s="66" t="s">
        <v>106</v>
      </c>
      <c r="D231" s="64"/>
      <c r="E231" s="129" t="s">
        <v>187</v>
      </c>
      <c r="F231" s="129" t="s">
        <v>187</v>
      </c>
      <c r="G231" s="129" t="s">
        <v>187</v>
      </c>
      <c r="H231" s="129" t="s">
        <v>187</v>
      </c>
      <c r="I231" s="129" t="s">
        <v>187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SUM(N230:N230)</f>
        <v>1001258.42</v>
      </c>
      <c r="O231" s="74">
        <f>SUM(O230:O230)</f>
        <v>824819.66</v>
      </c>
      <c r="P231" s="74">
        <f>SUM(P230:P230)</f>
        <v>46288.92</v>
      </c>
      <c r="Q231" s="74">
        <f>SUM(Q230:Q230)</f>
        <v>130149.84</v>
      </c>
      <c r="R231" s="75">
        <f>SUM(R230)</f>
        <v>1001258.4199999999</v>
      </c>
      <c r="S231" s="75">
        <f>SUM(S230)</f>
        <v>1001258.4199999999</v>
      </c>
    </row>
    <row r="232" spans="1:22" ht="165">
      <c r="A232" s="158"/>
      <c r="B232" s="160" t="s">
        <v>109</v>
      </c>
      <c r="C232" s="61" t="s">
        <v>110</v>
      </c>
      <c r="D232" s="64" t="s">
        <v>101</v>
      </c>
      <c r="E232" s="60">
        <v>186</v>
      </c>
      <c r="F232" s="60">
        <v>186</v>
      </c>
      <c r="G232" s="101">
        <f t="shared" ref="G232:G233" si="207">((E232*8)+(F232*4))/12</f>
        <v>186</v>
      </c>
      <c r="H232" s="60">
        <v>186</v>
      </c>
      <c r="I232" s="60">
        <v>186</v>
      </c>
      <c r="J232" s="75">
        <f>K232</f>
        <v>3461.18</v>
      </c>
      <c r="K232" s="75">
        <v>3461.18</v>
      </c>
      <c r="L232" s="72" t="s">
        <v>104</v>
      </c>
      <c r="M232" s="72" t="s">
        <v>104</v>
      </c>
      <c r="N232" s="73">
        <f>SUM(O232:Q232)</f>
        <v>643779.48</v>
      </c>
      <c r="O232" s="73">
        <f>K232*E232</f>
        <v>643779.48</v>
      </c>
      <c r="P232" s="73" t="s">
        <v>104</v>
      </c>
      <c r="Q232" s="73" t="s">
        <v>104</v>
      </c>
      <c r="R232" s="75">
        <f t="shared" si="201"/>
        <v>643779.48</v>
      </c>
      <c r="S232" s="75">
        <f t="shared" si="202"/>
        <v>643779.48</v>
      </c>
    </row>
    <row r="233" spans="1:22" ht="180">
      <c r="A233" s="158"/>
      <c r="B233" s="160"/>
      <c r="C233" s="61" t="s">
        <v>174</v>
      </c>
      <c r="D233" s="64" t="s">
        <v>101</v>
      </c>
      <c r="E233" s="60">
        <v>178</v>
      </c>
      <c r="F233" s="60">
        <v>178</v>
      </c>
      <c r="G233" s="101">
        <f t="shared" si="207"/>
        <v>178</v>
      </c>
      <c r="H233" s="60">
        <v>178</v>
      </c>
      <c r="I233" s="60">
        <v>178</v>
      </c>
      <c r="J233" s="75">
        <f>K233</f>
        <v>4783.41</v>
      </c>
      <c r="K233" s="75">
        <v>4783.41</v>
      </c>
      <c r="L233" s="72" t="s">
        <v>104</v>
      </c>
      <c r="M233" s="72" t="s">
        <v>104</v>
      </c>
      <c r="N233" s="73">
        <f>SUM(O233:Q233)</f>
        <v>851446.98</v>
      </c>
      <c r="O233" s="73">
        <f>K233*E233</f>
        <v>851446.98</v>
      </c>
      <c r="P233" s="73" t="s">
        <v>104</v>
      </c>
      <c r="Q233" s="74" t="s">
        <v>104</v>
      </c>
      <c r="R233" s="75">
        <f t="shared" si="201"/>
        <v>851446.98</v>
      </c>
      <c r="S233" s="75">
        <f t="shared" si="202"/>
        <v>851446.98</v>
      </c>
    </row>
    <row r="234" spans="1:22">
      <c r="A234" s="158"/>
      <c r="B234" s="69"/>
      <c r="C234" s="66" t="s">
        <v>106</v>
      </c>
      <c r="D234" s="69"/>
      <c r="E234" s="60">
        <f>SUM(E232:E233)</f>
        <v>364</v>
      </c>
      <c r="F234" s="60">
        <f t="shared" ref="F234:I234" si="208">SUM(F232:F233)</f>
        <v>364</v>
      </c>
      <c r="G234" s="60">
        <f t="shared" si="208"/>
        <v>364</v>
      </c>
      <c r="H234" s="60">
        <f t="shared" si="208"/>
        <v>364</v>
      </c>
      <c r="I234" s="60">
        <f t="shared" si="208"/>
        <v>364</v>
      </c>
      <c r="J234" s="74" t="s">
        <v>104</v>
      </c>
      <c r="K234" s="74" t="s">
        <v>104</v>
      </c>
      <c r="L234" s="74" t="s">
        <v>104</v>
      </c>
      <c r="M234" s="74">
        <f t="shared" ref="M234:S234" si="209">SUM(M232:M233)</f>
        <v>0</v>
      </c>
      <c r="N234" s="74">
        <f>SUM(N232:N233)</f>
        <v>1495226.46</v>
      </c>
      <c r="O234" s="74">
        <f>SUM(O232:O233)</f>
        <v>1495226.46</v>
      </c>
      <c r="P234" s="74">
        <f t="shared" si="209"/>
        <v>0</v>
      </c>
      <c r="Q234" s="74">
        <f t="shared" si="209"/>
        <v>0</v>
      </c>
      <c r="R234" s="74">
        <f t="shared" si="209"/>
        <v>1495226.46</v>
      </c>
      <c r="S234" s="74">
        <f t="shared" si="209"/>
        <v>1495226.46</v>
      </c>
    </row>
    <row r="235" spans="1:22">
      <c r="A235" s="158"/>
      <c r="B235" s="102" t="s">
        <v>112</v>
      </c>
      <c r="C235" s="102"/>
      <c r="D235" s="69"/>
      <c r="E235" s="104"/>
      <c r="F235" s="104"/>
      <c r="G235" s="104"/>
      <c r="H235" s="104"/>
      <c r="I235" s="104"/>
      <c r="J235" s="104"/>
      <c r="K235" s="104"/>
      <c r="L235" s="104"/>
      <c r="M235" s="104"/>
      <c r="N235" s="104">
        <f>N221+N229+N231+N234</f>
        <v>16273698.679999996</v>
      </c>
      <c r="O235" s="104">
        <f t="shared" ref="O235:S235" si="210">O221+O229+O231+O234</f>
        <v>12774329.939999998</v>
      </c>
      <c r="P235" s="104">
        <f t="shared" si="210"/>
        <v>918063.58000000007</v>
      </c>
      <c r="Q235" s="104">
        <f t="shared" si="210"/>
        <v>2581305.1599999997</v>
      </c>
      <c r="R235" s="104">
        <f t="shared" si="210"/>
        <v>16273698.68</v>
      </c>
      <c r="S235" s="104">
        <f t="shared" si="210"/>
        <v>16273698.68</v>
      </c>
    </row>
    <row r="236" spans="1:22">
      <c r="A236" s="96" t="s">
        <v>156</v>
      </c>
    </row>
    <row r="237" spans="1:22" ht="30">
      <c r="A237" s="112" t="s">
        <v>3</v>
      </c>
      <c r="B237" s="112" t="s">
        <v>81</v>
      </c>
      <c r="C237" s="112" t="s">
        <v>4</v>
      </c>
      <c r="D237" s="164" t="s">
        <v>5</v>
      </c>
      <c r="E237" s="164"/>
      <c r="F237" s="164"/>
      <c r="G237" s="164"/>
      <c r="H237" s="164"/>
      <c r="I237" s="150" t="s">
        <v>6</v>
      </c>
      <c r="J237" s="150" t="s">
        <v>7</v>
      </c>
      <c r="K237" s="150"/>
      <c r="L237" s="150"/>
    </row>
    <row r="238" spans="1:22" ht="30">
      <c r="A238" s="82"/>
      <c r="B238" s="82"/>
      <c r="C238" s="82"/>
      <c r="D238" s="127" t="s">
        <v>9</v>
      </c>
      <c r="E238" s="128" t="s">
        <v>197</v>
      </c>
      <c r="F238" s="126" t="s">
        <v>196</v>
      </c>
      <c r="G238" s="127" t="s">
        <v>10</v>
      </c>
      <c r="H238" s="127" t="s">
        <v>193</v>
      </c>
      <c r="I238" s="150"/>
      <c r="J238" s="127" t="s">
        <v>9</v>
      </c>
      <c r="K238" s="127" t="s">
        <v>10</v>
      </c>
      <c r="L238" s="127" t="s">
        <v>193</v>
      </c>
    </row>
    <row r="239" spans="1:22" ht="94.5" customHeight="1">
      <c r="A239" s="83" t="s">
        <v>13</v>
      </c>
      <c r="B239" s="83" t="s">
        <v>14</v>
      </c>
      <c r="C239" s="112" t="s">
        <v>15</v>
      </c>
      <c r="D239" s="83" t="s">
        <v>16</v>
      </c>
      <c r="E239" s="83" t="s">
        <v>16</v>
      </c>
      <c r="F239" s="83" t="s">
        <v>16</v>
      </c>
      <c r="G239" s="83" t="s">
        <v>16</v>
      </c>
      <c r="H239" s="83" t="s">
        <v>16</v>
      </c>
      <c r="I239" s="112" t="s">
        <v>17</v>
      </c>
      <c r="J239" s="112" t="s">
        <v>17</v>
      </c>
      <c r="K239" s="112" t="s">
        <v>17</v>
      </c>
      <c r="L239" s="112" t="s">
        <v>17</v>
      </c>
    </row>
    <row r="240" spans="1:22" ht="105">
      <c r="A240" s="108" t="s">
        <v>157</v>
      </c>
      <c r="B240" s="112" t="s">
        <v>158</v>
      </c>
      <c r="C240" s="82" t="s">
        <v>198</v>
      </c>
      <c r="D240" s="109">
        <v>228312</v>
      </c>
      <c r="E240" s="109">
        <v>228312</v>
      </c>
      <c r="F240" s="109">
        <v>228312</v>
      </c>
      <c r="G240" s="109">
        <v>228312</v>
      </c>
      <c r="H240" s="109">
        <v>228312</v>
      </c>
      <c r="I240" s="75">
        <v>90.55</v>
      </c>
      <c r="J240" s="75">
        <f>I240*D240</f>
        <v>20673651.599999998</v>
      </c>
      <c r="K240" s="75">
        <f>J240</f>
        <v>20673651.599999998</v>
      </c>
      <c r="L240" s="75">
        <f>K240</f>
        <v>20673651.599999998</v>
      </c>
    </row>
    <row r="241" spans="1:12" ht="105">
      <c r="A241" s="115" t="s">
        <v>160</v>
      </c>
      <c r="B241" s="112" t="s">
        <v>158</v>
      </c>
      <c r="C241" s="82" t="s">
        <v>198</v>
      </c>
      <c r="D241" s="109">
        <v>39024</v>
      </c>
      <c r="E241" s="109">
        <v>39024</v>
      </c>
      <c r="F241" s="109">
        <v>39024</v>
      </c>
      <c r="G241" s="109">
        <v>39024</v>
      </c>
      <c r="H241" s="109">
        <v>39024</v>
      </c>
      <c r="I241" s="75">
        <v>136.69999999999999</v>
      </c>
      <c r="J241" s="75">
        <f>I241*D241</f>
        <v>5334580.8</v>
      </c>
      <c r="K241" s="75">
        <f t="shared" ref="K241:L241" si="211">J241</f>
        <v>5334580.8</v>
      </c>
      <c r="L241" s="75">
        <f t="shared" si="211"/>
        <v>5334580.8</v>
      </c>
    </row>
    <row r="244" spans="1:12">
      <c r="A244" s="80" t="s">
        <v>190</v>
      </c>
    </row>
  </sheetData>
  <sheetProtection password="CF7A" sheet="1" objects="1" scenarios="1"/>
  <mergeCells count="46">
    <mergeCell ref="D237:H237"/>
    <mergeCell ref="I237:I238"/>
    <mergeCell ref="J237:L237"/>
    <mergeCell ref="A189:A216"/>
    <mergeCell ref="B213:B214"/>
    <mergeCell ref="A217:A235"/>
    <mergeCell ref="B217:B221"/>
    <mergeCell ref="B222:B224"/>
    <mergeCell ref="B232:B233"/>
    <mergeCell ref="B207:B212"/>
    <mergeCell ref="B198:B206"/>
    <mergeCell ref="B189:B197"/>
    <mergeCell ref="A141:A165"/>
    <mergeCell ref="B141:B148"/>
    <mergeCell ref="B149:B154"/>
    <mergeCell ref="B156:B160"/>
    <mergeCell ref="B162:B163"/>
    <mergeCell ref="A166:A188"/>
    <mergeCell ref="B166:B172"/>
    <mergeCell ref="B173:B178"/>
    <mergeCell ref="B180:B183"/>
    <mergeCell ref="B185:B186"/>
    <mergeCell ref="A88:A111"/>
    <mergeCell ref="B88:B96"/>
    <mergeCell ref="B97:B102"/>
    <mergeCell ref="B104:B106"/>
    <mergeCell ref="B108:B109"/>
    <mergeCell ref="A112:A140"/>
    <mergeCell ref="B112:B121"/>
    <mergeCell ref="B122:B129"/>
    <mergeCell ref="B131:B135"/>
    <mergeCell ref="B137:B138"/>
    <mergeCell ref="N85:S85"/>
    <mergeCell ref="A3:S3"/>
    <mergeCell ref="E6:I6"/>
    <mergeCell ref="J6:M6"/>
    <mergeCell ref="N6:S6"/>
    <mergeCell ref="N8:Q8"/>
    <mergeCell ref="A84:C84"/>
    <mergeCell ref="E7:G7"/>
    <mergeCell ref="A85:A86"/>
    <mergeCell ref="B85:B86"/>
    <mergeCell ref="D85:D86"/>
    <mergeCell ref="E85:I85"/>
    <mergeCell ref="J85:M85"/>
    <mergeCell ref="N7:Q7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01.01.2016</vt:lpstr>
      <vt:lpstr>26.12.2016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Студеникина</cp:lastModifiedBy>
  <cp:lastPrinted>2017-01-09T04:04:47Z</cp:lastPrinted>
  <dcterms:modified xsi:type="dcterms:W3CDTF">2017-01-13T01:02:20Z</dcterms:modified>
</cp:coreProperties>
</file>