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9320" windowHeight="11760" firstSheet="1" activeTab="1"/>
  </bookViews>
  <sheets>
    <sheet name="01.01.2016" sheetId="1" state="hidden" r:id="rId1"/>
    <sheet name="04.01.2018" sheetId="3" r:id="rId2"/>
  </sheets>
  <calcPr calcId="145621"/>
</workbook>
</file>

<file path=xl/calcChain.xml><?xml version="1.0" encoding="utf-8"?>
<calcChain xmlns="http://schemas.openxmlformats.org/spreadsheetml/2006/main">
  <c r="P21" i="3" l="1"/>
  <c r="O21" i="3"/>
  <c r="N21" i="3"/>
  <c r="J243" i="3"/>
  <c r="K243" i="3"/>
  <c r="M21" i="3"/>
  <c r="M14" i="3"/>
  <c r="R14" i="3" s="1"/>
  <c r="I73" i="3"/>
  <c r="H73" i="3"/>
  <c r="F73" i="3"/>
  <c r="E73" i="3"/>
  <c r="G15" i="3"/>
  <c r="G14" i="3"/>
  <c r="R234" i="3" l="1"/>
  <c r="R227" i="3"/>
  <c r="R226" i="3"/>
  <c r="R222" i="3"/>
  <c r="R221" i="3"/>
  <c r="K231" i="3"/>
  <c r="P234" i="3"/>
  <c r="P231" i="3"/>
  <c r="P227" i="3"/>
  <c r="P226" i="3"/>
  <c r="P222" i="3"/>
  <c r="P221" i="3"/>
  <c r="O234" i="3"/>
  <c r="O227" i="3"/>
  <c r="O226" i="3"/>
  <c r="O222" i="3"/>
  <c r="O221" i="3"/>
  <c r="K216" i="3"/>
  <c r="K213" i="3"/>
  <c r="K212" i="3"/>
  <c r="K209" i="3"/>
  <c r="K204" i="3"/>
  <c r="K203" i="3"/>
  <c r="K200" i="3"/>
  <c r="K193" i="3"/>
  <c r="K188" i="3"/>
  <c r="K185" i="3"/>
  <c r="K183" i="3"/>
  <c r="K178" i="3"/>
  <c r="K176" i="3"/>
  <c r="K169" i="3"/>
  <c r="K164" i="3"/>
  <c r="J162" i="3"/>
  <c r="J163" i="3"/>
  <c r="K160" i="3"/>
  <c r="K158" i="3"/>
  <c r="K153" i="3"/>
  <c r="K151" i="3"/>
  <c r="K144" i="3"/>
  <c r="K139" i="3"/>
  <c r="K136" i="3"/>
  <c r="K134" i="3"/>
  <c r="K129" i="3"/>
  <c r="K127" i="3"/>
  <c r="K122" i="3"/>
  <c r="K114" i="3"/>
  <c r="K112" i="3"/>
  <c r="K107" i="3"/>
  <c r="K105" i="3"/>
  <c r="K96" i="3"/>
  <c r="H35" i="3"/>
  <c r="R35" i="3" s="1"/>
  <c r="Q112" i="3"/>
  <c r="Q176" i="3"/>
  <c r="Q234" i="3"/>
  <c r="Q231" i="3"/>
  <c r="Q227" i="3"/>
  <c r="Q226" i="3"/>
  <c r="Q222" i="3"/>
  <c r="Q221" i="3"/>
  <c r="N221" i="3" l="1"/>
  <c r="I91" i="3"/>
  <c r="I85" i="3"/>
  <c r="I79" i="3"/>
  <c r="I64" i="3"/>
  <c r="I55" i="3"/>
  <c r="I49" i="3"/>
  <c r="I42" i="3"/>
  <c r="I35" i="3"/>
  <c r="I29" i="3"/>
  <c r="I18" i="3"/>
  <c r="H91" i="3"/>
  <c r="H85" i="3"/>
  <c r="H79" i="3"/>
  <c r="H64" i="3"/>
  <c r="H55" i="3"/>
  <c r="H49" i="3"/>
  <c r="H42" i="3"/>
  <c r="H29" i="3"/>
  <c r="H18" i="3"/>
  <c r="M15" i="3"/>
  <c r="O20" i="3"/>
  <c r="M16" i="3"/>
  <c r="R16" i="3" s="1"/>
  <c r="M18" i="3"/>
  <c r="G22" i="3"/>
  <c r="E91" i="3"/>
  <c r="E85" i="3"/>
  <c r="E79" i="3"/>
  <c r="E64" i="3"/>
  <c r="E55" i="3"/>
  <c r="E49" i="3"/>
  <c r="E42" i="3"/>
  <c r="E35" i="3"/>
  <c r="P35" i="3" s="1"/>
  <c r="E29" i="3"/>
  <c r="E18" i="3"/>
  <c r="F18" i="3"/>
  <c r="G16" i="3"/>
  <c r="Q96" i="3"/>
  <c r="P96" i="3"/>
  <c r="P14" i="3" l="1"/>
  <c r="N14" i="3"/>
  <c r="Q21" i="3"/>
  <c r="R21" i="3" s="1"/>
  <c r="J244" i="3"/>
  <c r="Q213" i="3"/>
  <c r="Q212" i="3"/>
  <c r="Q204" i="3"/>
  <c r="Q203" i="3"/>
  <c r="Q200" i="3"/>
  <c r="Q193" i="3"/>
  <c r="Q185" i="3"/>
  <c r="Q183" i="3"/>
  <c r="Q178" i="3"/>
  <c r="Q169" i="3"/>
  <c r="Q160" i="3"/>
  <c r="Q158" i="3"/>
  <c r="Q153" i="3"/>
  <c r="Q144" i="3"/>
  <c r="Q139" i="3"/>
  <c r="Q136" i="3"/>
  <c r="Q134" i="3"/>
  <c r="Q129" i="3"/>
  <c r="Q127" i="3"/>
  <c r="Q122" i="3"/>
  <c r="Q114" i="3"/>
  <c r="Q107" i="3"/>
  <c r="Q105" i="3"/>
  <c r="S227" i="3"/>
  <c r="S226" i="3"/>
  <c r="S221" i="3"/>
  <c r="S234" i="3"/>
  <c r="O236" i="3"/>
  <c r="N236" i="3" s="1"/>
  <c r="O232" i="3"/>
  <c r="O230" i="3"/>
  <c r="O229" i="3"/>
  <c r="O224" i="3"/>
  <c r="O231" i="3"/>
  <c r="O215" i="3"/>
  <c r="O218" i="3"/>
  <c r="P213" i="3"/>
  <c r="P212" i="3"/>
  <c r="O213" i="3"/>
  <c r="O212" i="3"/>
  <c r="O207" i="3"/>
  <c r="O208" i="3"/>
  <c r="O206" i="3"/>
  <c r="P204" i="3"/>
  <c r="P203" i="3"/>
  <c r="O204" i="3"/>
  <c r="O203" i="3"/>
  <c r="P200" i="3"/>
  <c r="P193" i="3"/>
  <c r="O201" i="3"/>
  <c r="O196" i="3"/>
  <c r="O197" i="3"/>
  <c r="O198" i="3"/>
  <c r="O199" i="3"/>
  <c r="O195" i="3"/>
  <c r="O200" i="3"/>
  <c r="O193" i="3"/>
  <c r="O190" i="3"/>
  <c r="O188" i="3"/>
  <c r="O185" i="3"/>
  <c r="P188" i="3"/>
  <c r="O187" i="3"/>
  <c r="P185" i="3"/>
  <c r="P183" i="3"/>
  <c r="O181" i="3"/>
  <c r="O182" i="3"/>
  <c r="O180" i="3"/>
  <c r="P178" i="3"/>
  <c r="O183" i="3"/>
  <c r="O178" i="3"/>
  <c r="P176" i="3"/>
  <c r="P169" i="3"/>
  <c r="O176" i="3"/>
  <c r="O172" i="3"/>
  <c r="O173" i="3"/>
  <c r="O174" i="3"/>
  <c r="O175" i="3"/>
  <c r="O171" i="3"/>
  <c r="O169" i="3"/>
  <c r="P160" i="3"/>
  <c r="P158" i="3"/>
  <c r="P153" i="3"/>
  <c r="P151" i="3"/>
  <c r="P144" i="3"/>
  <c r="P139" i="3"/>
  <c r="P136" i="3"/>
  <c r="P134" i="3"/>
  <c r="P129" i="3"/>
  <c r="P127" i="3"/>
  <c r="P122" i="3"/>
  <c r="P114" i="3"/>
  <c r="P112" i="3"/>
  <c r="P107" i="3"/>
  <c r="P105" i="3"/>
  <c r="O166" i="3"/>
  <c r="O163" i="3"/>
  <c r="O162" i="3"/>
  <c r="O160" i="3"/>
  <c r="O156" i="3"/>
  <c r="O157" i="3"/>
  <c r="O155" i="3"/>
  <c r="O158" i="3"/>
  <c r="O153" i="3"/>
  <c r="G152" i="3"/>
  <c r="O147" i="3"/>
  <c r="O148" i="3"/>
  <c r="O149" i="3"/>
  <c r="O150" i="3"/>
  <c r="O146" i="3"/>
  <c r="O151" i="3"/>
  <c r="O144" i="3"/>
  <c r="O138" i="3"/>
  <c r="O141" i="3"/>
  <c r="O139" i="3"/>
  <c r="O136" i="3"/>
  <c r="G135" i="3"/>
  <c r="O132" i="3"/>
  <c r="O133" i="3"/>
  <c r="O131" i="3"/>
  <c r="O125" i="3"/>
  <c r="O126" i="3"/>
  <c r="O124" i="3"/>
  <c r="O134" i="3"/>
  <c r="O129" i="3"/>
  <c r="O127" i="3"/>
  <c r="O122" i="3"/>
  <c r="O116" i="3"/>
  <c r="O114" i="3"/>
  <c r="O110" i="3"/>
  <c r="O111" i="3"/>
  <c r="O109" i="3"/>
  <c r="O107" i="3"/>
  <c r="O105" i="3"/>
  <c r="O99" i="3"/>
  <c r="O100" i="3"/>
  <c r="O101" i="3"/>
  <c r="O102" i="3"/>
  <c r="O103" i="3"/>
  <c r="O104" i="3"/>
  <c r="O98" i="3"/>
  <c r="O96" i="3"/>
  <c r="N96" i="3" s="1"/>
  <c r="R20" i="3" l="1"/>
  <c r="S21" i="3"/>
  <c r="O112" i="3"/>
  <c r="N112" i="3" s="1"/>
  <c r="R112" i="3" s="1"/>
  <c r="S112" i="3" s="1"/>
  <c r="J112" i="3"/>
  <c r="F91" i="3" l="1"/>
  <c r="F85" i="3"/>
  <c r="F79" i="3"/>
  <c r="M68" i="3"/>
  <c r="G72" i="3" l="1"/>
  <c r="O72" i="3" s="1"/>
  <c r="G71" i="3"/>
  <c r="O71" i="3" s="1"/>
  <c r="M71" i="3"/>
  <c r="R71" i="3" s="1"/>
  <c r="N71" i="3"/>
  <c r="S71" i="3"/>
  <c r="M72" i="3"/>
  <c r="R72" i="3" s="1"/>
  <c r="N72" i="3"/>
  <c r="M66" i="3"/>
  <c r="F64" i="3"/>
  <c r="G63" i="3"/>
  <c r="P63" i="3" s="1"/>
  <c r="M63" i="3"/>
  <c r="R63" i="3" s="1"/>
  <c r="M61" i="3"/>
  <c r="S61" i="3" s="1"/>
  <c r="G61" i="3"/>
  <c r="P61" i="3" s="1"/>
  <c r="M62" i="3"/>
  <c r="S62" i="3" s="1"/>
  <c r="G62" i="3"/>
  <c r="P62" i="3" s="1"/>
  <c r="F55" i="3"/>
  <c r="F49" i="3"/>
  <c r="G47" i="3"/>
  <c r="P47" i="3" s="1"/>
  <c r="G46" i="3"/>
  <c r="O46" i="3" s="1"/>
  <c r="M47" i="3"/>
  <c r="R47" i="3" s="1"/>
  <c r="F42" i="3"/>
  <c r="F35" i="3"/>
  <c r="F29" i="3"/>
  <c r="G17" i="3"/>
  <c r="M17" i="3"/>
  <c r="S16" i="3"/>
  <c r="S15" i="3"/>
  <c r="O14" i="3" l="1"/>
  <c r="G29" i="3"/>
  <c r="P72" i="3"/>
  <c r="Q72" i="3" s="1"/>
  <c r="P71" i="3"/>
  <c r="Q71" i="3" s="1"/>
  <c r="N63" i="3"/>
  <c r="O16" i="3"/>
  <c r="N16" i="3"/>
  <c r="P15" i="3"/>
  <c r="O15" i="3"/>
  <c r="N15" i="3"/>
  <c r="N17" i="3"/>
  <c r="O17" i="3"/>
  <c r="G18" i="3"/>
  <c r="N46" i="3"/>
  <c r="O63" i="3"/>
  <c r="G64" i="3"/>
  <c r="N64" i="3" s="1"/>
  <c r="S72" i="3"/>
  <c r="G49" i="3"/>
  <c r="P16" i="3"/>
  <c r="O61" i="3"/>
  <c r="P46" i="3"/>
  <c r="S47" i="3"/>
  <c r="N61" i="3"/>
  <c r="R61" i="3"/>
  <c r="S63" i="3"/>
  <c r="N62" i="3"/>
  <c r="R62" i="3"/>
  <c r="R15" i="3"/>
  <c r="N47" i="3"/>
  <c r="O47" i="3"/>
  <c r="O62" i="3"/>
  <c r="R18" i="3"/>
  <c r="K244" i="3"/>
  <c r="I235" i="3"/>
  <c r="H235" i="3"/>
  <c r="G35" i="3"/>
  <c r="Q15" i="3" l="1"/>
  <c r="Q46" i="3"/>
  <c r="Q16" i="3"/>
  <c r="N13" i="3"/>
  <c r="Q63" i="3"/>
  <c r="O13" i="3"/>
  <c r="Q47" i="3"/>
  <c r="Q61" i="3"/>
  <c r="S18" i="3"/>
  <c r="Q62" i="3"/>
  <c r="Q14" i="3"/>
  <c r="G235" i="3"/>
  <c r="F235" i="3"/>
  <c r="E235" i="3"/>
  <c r="S198" i="3"/>
  <c r="R198" i="3"/>
  <c r="J198" i="3"/>
  <c r="N198" i="3"/>
  <c r="S197" i="3"/>
  <c r="R197" i="3"/>
  <c r="J197" i="3"/>
  <c r="N197" i="3"/>
  <c r="S171" i="3"/>
  <c r="S172" i="3"/>
  <c r="R171" i="3"/>
  <c r="R172" i="3"/>
  <c r="J171" i="3"/>
  <c r="N171" i="3"/>
  <c r="J172" i="3"/>
  <c r="N172" i="3"/>
  <c r="S147" i="3"/>
  <c r="R147" i="3"/>
  <c r="J147" i="3"/>
  <c r="N147" i="3"/>
  <c r="E140" i="3"/>
  <c r="J129" i="3"/>
  <c r="J127" i="3"/>
  <c r="S116" i="3"/>
  <c r="R116" i="3"/>
  <c r="J116" i="3"/>
  <c r="N116" i="3"/>
  <c r="S103" i="3"/>
  <c r="R103" i="3"/>
  <c r="J103" i="3"/>
  <c r="N103" i="3"/>
  <c r="S99" i="3"/>
  <c r="R99" i="3"/>
  <c r="J99" i="3"/>
  <c r="N99" i="3"/>
  <c r="G73" i="3"/>
  <c r="N73" i="3" s="1"/>
  <c r="G28" i="3"/>
  <c r="P22" i="3"/>
  <c r="P18" i="3"/>
  <c r="N234" i="3"/>
  <c r="S207" i="3"/>
  <c r="R207" i="3"/>
  <c r="J207" i="3"/>
  <c r="N207" i="3"/>
  <c r="E120" i="3"/>
  <c r="G70" i="3"/>
  <c r="G68" i="3"/>
  <c r="N68" i="3" s="1"/>
  <c r="G69" i="3"/>
  <c r="G48" i="3"/>
  <c r="P48" i="3" s="1"/>
  <c r="S232" i="3" l="1"/>
  <c r="R232" i="3"/>
  <c r="J232" i="3"/>
  <c r="N232" i="3"/>
  <c r="S224" i="3"/>
  <c r="R224" i="3"/>
  <c r="N224" i="3"/>
  <c r="J224" i="3"/>
  <c r="J223" i="3"/>
  <c r="S195" i="3" l="1"/>
  <c r="R195" i="3"/>
  <c r="R196" i="3"/>
  <c r="R199" i="3"/>
  <c r="J195" i="3"/>
  <c r="N195" i="3"/>
  <c r="G89" i="3"/>
  <c r="G90" i="3"/>
  <c r="P90" i="3" s="1"/>
  <c r="G91" i="3"/>
  <c r="P91" i="3" s="1"/>
  <c r="G88" i="3"/>
  <c r="G83" i="3"/>
  <c r="G84" i="3"/>
  <c r="G85" i="3"/>
  <c r="P85" i="3" s="1"/>
  <c r="G82" i="3"/>
  <c r="M78" i="3"/>
  <c r="R78" i="3" s="1"/>
  <c r="G78" i="3"/>
  <c r="P78" i="3" s="1"/>
  <c r="G77" i="3"/>
  <c r="P77" i="3" s="1"/>
  <c r="G79" i="3"/>
  <c r="P79" i="3" s="1"/>
  <c r="G76" i="3"/>
  <c r="O76" i="3" s="1"/>
  <c r="P68" i="3"/>
  <c r="P70" i="3"/>
  <c r="N70" i="3"/>
  <c r="O68" i="3"/>
  <c r="P69" i="3"/>
  <c r="O70" i="3"/>
  <c r="G67" i="3"/>
  <c r="G60" i="3"/>
  <c r="M60" i="3"/>
  <c r="R60" i="3" s="1"/>
  <c r="G59" i="3"/>
  <c r="P64" i="3"/>
  <c r="G58" i="3"/>
  <c r="G54" i="3"/>
  <c r="P54" i="3" s="1"/>
  <c r="G53" i="3"/>
  <c r="N53" i="3" s="1"/>
  <c r="G52" i="3"/>
  <c r="N52" i="3" s="1"/>
  <c r="N48" i="3"/>
  <c r="O48" i="3"/>
  <c r="G45" i="3"/>
  <c r="G41" i="3"/>
  <c r="O41" i="3" s="1"/>
  <c r="G40" i="3"/>
  <c r="P40" i="3" s="1"/>
  <c r="G39" i="3"/>
  <c r="O39" i="3" s="1"/>
  <c r="G38" i="3"/>
  <c r="O38" i="3" s="1"/>
  <c r="G34" i="3"/>
  <c r="O34" i="3" s="1"/>
  <c r="G33" i="3"/>
  <c r="P33" i="3" s="1"/>
  <c r="G32" i="3"/>
  <c r="P32" i="3" s="1"/>
  <c r="P28" i="3"/>
  <c r="G27" i="3"/>
  <c r="P27" i="3" s="1"/>
  <c r="G26" i="3"/>
  <c r="P26" i="3" s="1"/>
  <c r="G25" i="3"/>
  <c r="P25" i="3" s="1"/>
  <c r="N18" i="3"/>
  <c r="P73" i="3"/>
  <c r="G55" i="3"/>
  <c r="P55" i="3" s="1"/>
  <c r="P49" i="3"/>
  <c r="G42" i="3"/>
  <c r="P42" i="3" s="1"/>
  <c r="P29" i="3"/>
  <c r="P83" i="3" l="1"/>
  <c r="O83" i="3"/>
  <c r="P82" i="3"/>
  <c r="O82" i="3"/>
  <c r="P84" i="3"/>
  <c r="O84" i="3"/>
  <c r="P89" i="3"/>
  <c r="N89" i="3"/>
  <c r="P88" i="3"/>
  <c r="P87" i="3" s="1"/>
  <c r="N88" i="3"/>
  <c r="O67" i="3"/>
  <c r="N67" i="3"/>
  <c r="O60" i="3"/>
  <c r="N60" i="3"/>
  <c r="O59" i="3"/>
  <c r="N59" i="3"/>
  <c r="O58" i="3"/>
  <c r="O57" i="3" s="1"/>
  <c r="N58" i="3"/>
  <c r="N57" i="3" s="1"/>
  <c r="N56" i="3" s="1"/>
  <c r="P24" i="3"/>
  <c r="P23" i="3" s="1"/>
  <c r="O25" i="3"/>
  <c r="P81" i="3"/>
  <c r="P80" i="3" s="1"/>
  <c r="M48" i="3"/>
  <c r="S48" i="3" s="1"/>
  <c r="N32" i="3"/>
  <c r="O32" i="3"/>
  <c r="N41" i="3"/>
  <c r="P41" i="3"/>
  <c r="O52" i="3"/>
  <c r="O64" i="3"/>
  <c r="P59" i="3"/>
  <c r="N76" i="3"/>
  <c r="P76" i="3"/>
  <c r="P75" i="3" s="1"/>
  <c r="P74" i="3" s="1"/>
  <c r="O45" i="3"/>
  <c r="O44" i="3" s="1"/>
  <c r="P45" i="3"/>
  <c r="P44" i="3" s="1"/>
  <c r="P43" i="3" s="1"/>
  <c r="R48" i="3"/>
  <c r="N35" i="3"/>
  <c r="Q35" i="3" s="1"/>
  <c r="O35" i="3"/>
  <c r="P34" i="3"/>
  <c r="P31" i="3" s="1"/>
  <c r="N39" i="3"/>
  <c r="P39" i="3"/>
  <c r="O54" i="3"/>
  <c r="P60" i="3"/>
  <c r="Q48" i="3"/>
  <c r="N49" i="3"/>
  <c r="O49" i="3"/>
  <c r="O73" i="3"/>
  <c r="O69" i="3"/>
  <c r="P67" i="3"/>
  <c r="P66" i="3" s="1"/>
  <c r="N78" i="3"/>
  <c r="O78" i="3"/>
  <c r="N85" i="3"/>
  <c r="N83" i="3"/>
  <c r="O85" i="3"/>
  <c r="N91" i="3"/>
  <c r="O91" i="3"/>
  <c r="O89" i="3"/>
  <c r="N27" i="3"/>
  <c r="N38" i="3"/>
  <c r="O42" i="3"/>
  <c r="O40" i="3"/>
  <c r="O37" i="3" s="1"/>
  <c r="P38" i="3"/>
  <c r="N45" i="3"/>
  <c r="N44" i="3" s="1"/>
  <c r="S60" i="3"/>
  <c r="P58" i="3"/>
  <c r="P57" i="3" s="1"/>
  <c r="O27" i="3"/>
  <c r="N25" i="3"/>
  <c r="N33" i="3"/>
  <c r="N34" i="3"/>
  <c r="O33" i="3"/>
  <c r="N42" i="3"/>
  <c r="N40" i="3"/>
  <c r="O55" i="3"/>
  <c r="N69" i="3"/>
  <c r="N79" i="3"/>
  <c r="N77" i="3"/>
  <c r="O79" i="3"/>
  <c r="O77" i="3"/>
  <c r="N82" i="3"/>
  <c r="N84" i="3"/>
  <c r="N90" i="3"/>
  <c r="O88" i="3"/>
  <c r="O90" i="3"/>
  <c r="S78" i="3"/>
  <c r="P52" i="3"/>
  <c r="N54" i="3"/>
  <c r="N51" i="3" s="1"/>
  <c r="O53" i="3"/>
  <c r="P53" i="3"/>
  <c r="O26" i="3"/>
  <c r="O28" i="3"/>
  <c r="N26" i="3"/>
  <c r="N28" i="3"/>
  <c r="O81" i="3" l="1"/>
  <c r="O80" i="3" s="1"/>
  <c r="O66" i="3"/>
  <c r="N66" i="3"/>
  <c r="N65" i="3" s="1"/>
  <c r="N87" i="3"/>
  <c r="N86" i="3" s="1"/>
  <c r="O56" i="3"/>
  <c r="N43" i="3"/>
  <c r="Q59" i="3"/>
  <c r="P37" i="3"/>
  <c r="Q60" i="3"/>
  <c r="Q64" i="3"/>
  <c r="O75" i="3"/>
  <c r="O74" i="3" s="1"/>
  <c r="P56" i="3"/>
  <c r="O87" i="3"/>
  <c r="O24" i="3"/>
  <c r="N75" i="3"/>
  <c r="N74" i="3" s="1"/>
  <c r="O31" i="3"/>
  <c r="P51" i="3"/>
  <c r="Q78" i="3"/>
  <c r="O51" i="3"/>
  <c r="O43" i="3"/>
  <c r="R17" i="3"/>
  <c r="R13" i="3" s="1"/>
  <c r="R12" i="3" s="1"/>
  <c r="S17" i="3"/>
  <c r="P17" i="3"/>
  <c r="O18" i="3"/>
  <c r="O12" i="3" s="1"/>
  <c r="S181" i="3"/>
  <c r="S182" i="3"/>
  <c r="R181" i="3"/>
  <c r="R182" i="3"/>
  <c r="R180" i="3"/>
  <c r="R173" i="3"/>
  <c r="P13" i="3" l="1"/>
  <c r="P12" i="3" s="1"/>
  <c r="Q18" i="3"/>
  <c r="N12" i="3"/>
  <c r="Q17" i="3"/>
  <c r="Q13" i="3" s="1"/>
  <c r="S230" i="3"/>
  <c r="S229" i="3"/>
  <c r="R230" i="3"/>
  <c r="R229" i="3"/>
  <c r="N230" i="3"/>
  <c r="J230" i="3"/>
  <c r="J229" i="3"/>
  <c r="F237" i="3"/>
  <c r="H237" i="3"/>
  <c r="I237" i="3"/>
  <c r="N237" i="3"/>
  <c r="F202" i="3"/>
  <c r="H202" i="3"/>
  <c r="I202" i="3"/>
  <c r="J213" i="3"/>
  <c r="R213" i="3" s="1"/>
  <c r="F219" i="3"/>
  <c r="H219" i="3"/>
  <c r="I219" i="3"/>
  <c r="F211" i="3"/>
  <c r="H211" i="3"/>
  <c r="I211" i="3"/>
  <c r="F217" i="3"/>
  <c r="H217" i="3"/>
  <c r="I217" i="3"/>
  <c r="S215" i="3"/>
  <c r="R215" i="3"/>
  <c r="N215" i="3"/>
  <c r="J215" i="3"/>
  <c r="G217" i="3"/>
  <c r="S208" i="3"/>
  <c r="S206" i="3"/>
  <c r="R208" i="3"/>
  <c r="R206" i="3"/>
  <c r="N208" i="3"/>
  <c r="N206" i="3"/>
  <c r="J208" i="3"/>
  <c r="J206" i="3"/>
  <c r="G201" i="3"/>
  <c r="N201" i="3" s="1"/>
  <c r="S199" i="3"/>
  <c r="S196" i="3"/>
  <c r="N196" i="3"/>
  <c r="J196" i="3"/>
  <c r="J199" i="3"/>
  <c r="G188" i="3"/>
  <c r="J181" i="3"/>
  <c r="J182" i="3"/>
  <c r="N190" i="3"/>
  <c r="F191" i="3"/>
  <c r="H191" i="3"/>
  <c r="I191" i="3"/>
  <c r="F189" i="3"/>
  <c r="H189" i="3"/>
  <c r="I189" i="3"/>
  <c r="S187" i="3"/>
  <c r="R187" i="3"/>
  <c r="N187" i="3"/>
  <c r="J187" i="3"/>
  <c r="F184" i="3"/>
  <c r="H184" i="3"/>
  <c r="I184" i="3"/>
  <c r="S180" i="3"/>
  <c r="J180" i="3"/>
  <c r="F177" i="3"/>
  <c r="H177" i="3"/>
  <c r="I177" i="3"/>
  <c r="S174" i="3"/>
  <c r="S175" i="3"/>
  <c r="S173" i="3"/>
  <c r="R174" i="3"/>
  <c r="R175" i="3"/>
  <c r="J174" i="3"/>
  <c r="J175" i="3"/>
  <c r="J173" i="3"/>
  <c r="S139" i="3"/>
  <c r="F140" i="3"/>
  <c r="H140" i="3"/>
  <c r="I140" i="3"/>
  <c r="J110" i="3"/>
  <c r="J111" i="3"/>
  <c r="J109" i="3"/>
  <c r="F167" i="3"/>
  <c r="H167" i="3"/>
  <c r="I167" i="3"/>
  <c r="S163" i="3"/>
  <c r="S162" i="3"/>
  <c r="R163" i="3"/>
  <c r="R162" i="3"/>
  <c r="F165" i="3"/>
  <c r="H165" i="3"/>
  <c r="I165" i="3"/>
  <c r="N162" i="3"/>
  <c r="N163" i="3"/>
  <c r="F152" i="3"/>
  <c r="H152" i="3"/>
  <c r="I152" i="3"/>
  <c r="F159" i="3"/>
  <c r="H159" i="3"/>
  <c r="I159" i="3"/>
  <c r="J155" i="3"/>
  <c r="J156" i="3"/>
  <c r="S156" i="3"/>
  <c r="S157" i="3"/>
  <c r="S155" i="3"/>
  <c r="R156" i="3"/>
  <c r="R157" i="3"/>
  <c r="R155" i="3"/>
  <c r="J157" i="3"/>
  <c r="N156" i="3"/>
  <c r="N155" i="3"/>
  <c r="N157" i="3"/>
  <c r="S148" i="3"/>
  <c r="S149" i="3"/>
  <c r="S150" i="3"/>
  <c r="S146" i="3"/>
  <c r="R148" i="3"/>
  <c r="R149" i="3"/>
  <c r="R150" i="3"/>
  <c r="R146" i="3"/>
  <c r="N148" i="3"/>
  <c r="N149" i="3"/>
  <c r="N150" i="3"/>
  <c r="N146" i="3"/>
  <c r="J146" i="3"/>
  <c r="J148" i="3"/>
  <c r="J149" i="3"/>
  <c r="J150" i="3"/>
  <c r="F142" i="3"/>
  <c r="H142" i="3"/>
  <c r="I142" i="3"/>
  <c r="S138" i="3"/>
  <c r="R138" i="3"/>
  <c r="N138" i="3"/>
  <c r="J138" i="3"/>
  <c r="F135" i="3"/>
  <c r="H135" i="3"/>
  <c r="I135" i="3"/>
  <c r="E135" i="3"/>
  <c r="S131" i="3"/>
  <c r="S132" i="3"/>
  <c r="S133" i="3"/>
  <c r="R131" i="3"/>
  <c r="R132" i="3"/>
  <c r="R133" i="3"/>
  <c r="J131" i="3"/>
  <c r="J132" i="3"/>
  <c r="J133" i="3"/>
  <c r="N131" i="3"/>
  <c r="N132" i="3"/>
  <c r="N133" i="3"/>
  <c r="H128" i="3"/>
  <c r="I128" i="3"/>
  <c r="F128" i="3"/>
  <c r="S124" i="3"/>
  <c r="S125" i="3"/>
  <c r="S126" i="3"/>
  <c r="R124" i="3"/>
  <c r="R125" i="3"/>
  <c r="R126" i="3"/>
  <c r="J124" i="3"/>
  <c r="J125" i="3"/>
  <c r="J126" i="3"/>
  <c r="N124" i="3"/>
  <c r="N125" i="3"/>
  <c r="N126" i="3"/>
  <c r="N110" i="3"/>
  <c r="N111" i="3"/>
  <c r="N109" i="3"/>
  <c r="N100" i="3"/>
  <c r="N101" i="3"/>
  <c r="N102" i="3"/>
  <c r="N104" i="3"/>
  <c r="N98" i="3"/>
  <c r="P120" i="3"/>
  <c r="Q120" i="3"/>
  <c r="F120" i="3"/>
  <c r="F118" i="3"/>
  <c r="Q118" i="3"/>
  <c r="F113" i="3"/>
  <c r="S110" i="3"/>
  <c r="S111" i="3"/>
  <c r="S109" i="3"/>
  <c r="R110" i="3"/>
  <c r="R111" i="3"/>
  <c r="R109" i="3"/>
  <c r="S100" i="3"/>
  <c r="S101" i="3"/>
  <c r="S102" i="3"/>
  <c r="S104" i="3"/>
  <c r="S98" i="3"/>
  <c r="R100" i="3"/>
  <c r="R101" i="3"/>
  <c r="R102" i="3"/>
  <c r="R104" i="3"/>
  <c r="R98" i="3"/>
  <c r="J100" i="3"/>
  <c r="J101" i="3"/>
  <c r="J102" i="3"/>
  <c r="J104" i="3"/>
  <c r="J98" i="3"/>
  <c r="F106" i="3"/>
  <c r="L244" i="3"/>
  <c r="L243" i="3"/>
  <c r="Q237" i="3"/>
  <c r="P237" i="3"/>
  <c r="M237" i="3"/>
  <c r="E237" i="3"/>
  <c r="J236" i="3"/>
  <c r="S236" i="3" s="1"/>
  <c r="S235" i="3"/>
  <c r="R235" i="3"/>
  <c r="Q235" i="3"/>
  <c r="P235" i="3"/>
  <c r="O235" i="3"/>
  <c r="J231" i="3"/>
  <c r="S223" i="3"/>
  <c r="R223" i="3"/>
  <c r="O223" i="3"/>
  <c r="N223" i="3" s="1"/>
  <c r="S222" i="3"/>
  <c r="Q225" i="3"/>
  <c r="P225" i="3"/>
  <c r="Q219" i="3"/>
  <c r="P219" i="3"/>
  <c r="M219" i="3"/>
  <c r="E219" i="3"/>
  <c r="J218" i="3"/>
  <c r="S218" i="3" s="1"/>
  <c r="E217" i="3"/>
  <c r="J216" i="3"/>
  <c r="E211" i="3"/>
  <c r="Q209" i="3"/>
  <c r="P209" i="3"/>
  <c r="O209" i="3"/>
  <c r="E202" i="3"/>
  <c r="J201" i="3"/>
  <c r="S201" i="3" s="1"/>
  <c r="Q191" i="3"/>
  <c r="P191" i="3"/>
  <c r="M191" i="3"/>
  <c r="E191" i="3"/>
  <c r="J190" i="3"/>
  <c r="S190" i="3" s="1"/>
  <c r="E189" i="3"/>
  <c r="J188" i="3"/>
  <c r="R188" i="3" s="1"/>
  <c r="E184" i="3"/>
  <c r="J183" i="3"/>
  <c r="E177" i="3"/>
  <c r="Q167" i="3"/>
  <c r="P167" i="3"/>
  <c r="M167" i="3"/>
  <c r="E167" i="3"/>
  <c r="J166" i="3"/>
  <c r="S166" i="3" s="1"/>
  <c r="E165" i="3"/>
  <c r="J164" i="3"/>
  <c r="E159" i="3"/>
  <c r="E152" i="3"/>
  <c r="Q151" i="3"/>
  <c r="Q142" i="3"/>
  <c r="P142" i="3"/>
  <c r="M142" i="3"/>
  <c r="E142" i="3"/>
  <c r="N141" i="3"/>
  <c r="J141" i="3"/>
  <c r="S141" i="3" s="1"/>
  <c r="S142" i="3" s="1"/>
  <c r="J136" i="3"/>
  <c r="R136" i="3" s="1"/>
  <c r="E128" i="3"/>
  <c r="R127" i="3"/>
  <c r="M120" i="3"/>
  <c r="I120" i="3"/>
  <c r="H120" i="3"/>
  <c r="J119" i="3"/>
  <c r="I118" i="3"/>
  <c r="H118" i="3"/>
  <c r="E118" i="3"/>
  <c r="S117" i="3"/>
  <c r="R117" i="3"/>
  <c r="I113" i="3"/>
  <c r="H113" i="3"/>
  <c r="E113" i="3"/>
  <c r="I106" i="3"/>
  <c r="H106" i="3"/>
  <c r="E106" i="3"/>
  <c r="M91" i="3"/>
  <c r="S91" i="3" s="1"/>
  <c r="M90" i="3"/>
  <c r="S90" i="3" s="1"/>
  <c r="M89" i="3"/>
  <c r="S89" i="3" s="1"/>
  <c r="O86" i="3"/>
  <c r="M88" i="3"/>
  <c r="M87" i="3"/>
  <c r="M86" i="3"/>
  <c r="M85" i="3"/>
  <c r="S85" i="3" s="1"/>
  <c r="M84" i="3"/>
  <c r="S84" i="3" s="1"/>
  <c r="M83" i="3"/>
  <c r="S83" i="3" s="1"/>
  <c r="M82" i="3"/>
  <c r="S82" i="3" s="1"/>
  <c r="M81" i="3"/>
  <c r="M80" i="3"/>
  <c r="M79" i="3"/>
  <c r="S79" i="3" s="1"/>
  <c r="M77" i="3"/>
  <c r="S77" i="3" s="1"/>
  <c r="M76" i="3"/>
  <c r="S76" i="3" s="1"/>
  <c r="M75" i="3"/>
  <c r="M74" i="3"/>
  <c r="M73" i="3"/>
  <c r="S73" i="3" s="1"/>
  <c r="M70" i="3"/>
  <c r="S70" i="3" s="1"/>
  <c r="M69" i="3"/>
  <c r="S69" i="3" s="1"/>
  <c r="S68" i="3"/>
  <c r="P65" i="3"/>
  <c r="M67" i="3"/>
  <c r="S67" i="3" s="1"/>
  <c r="M65" i="3"/>
  <c r="M64" i="3"/>
  <c r="S64" i="3" s="1"/>
  <c r="M59" i="3"/>
  <c r="R59" i="3" s="1"/>
  <c r="M58" i="3"/>
  <c r="S58" i="3" s="1"/>
  <c r="M57" i="3"/>
  <c r="M56" i="3"/>
  <c r="N55" i="3"/>
  <c r="M55" i="3"/>
  <c r="R55" i="3" s="1"/>
  <c r="M54" i="3"/>
  <c r="S54" i="3" s="1"/>
  <c r="M53" i="3"/>
  <c r="R53" i="3" s="1"/>
  <c r="P50" i="3"/>
  <c r="O50" i="3"/>
  <c r="M52" i="3"/>
  <c r="S52" i="3" s="1"/>
  <c r="M51" i="3"/>
  <c r="M50" i="3"/>
  <c r="M49" i="3"/>
  <c r="S49" i="3" s="1"/>
  <c r="M46" i="3"/>
  <c r="M45" i="3"/>
  <c r="S45" i="3" s="1"/>
  <c r="M44" i="3"/>
  <c r="M43" i="3"/>
  <c r="M42" i="3"/>
  <c r="S42" i="3" s="1"/>
  <c r="M41" i="3"/>
  <c r="S41" i="3" s="1"/>
  <c r="M40" i="3"/>
  <c r="S40" i="3" s="1"/>
  <c r="M39" i="3"/>
  <c r="S39" i="3" s="1"/>
  <c r="P36" i="3"/>
  <c r="O36" i="3"/>
  <c r="M38" i="3"/>
  <c r="S38" i="3" s="1"/>
  <c r="M37" i="3"/>
  <c r="M36" i="3"/>
  <c r="M35" i="3"/>
  <c r="S35" i="3" s="1"/>
  <c r="M34" i="3"/>
  <c r="S34" i="3" s="1"/>
  <c r="M33" i="3"/>
  <c r="S33" i="3" s="1"/>
  <c r="O30" i="3"/>
  <c r="M32" i="3"/>
  <c r="S32" i="3" s="1"/>
  <c r="M31" i="3"/>
  <c r="M30" i="3"/>
  <c r="O29" i="3"/>
  <c r="O23" i="3" s="1"/>
  <c r="N29" i="3"/>
  <c r="M29" i="3"/>
  <c r="M28" i="3"/>
  <c r="S28" i="3" s="1"/>
  <c r="M27" i="3"/>
  <c r="S27" i="3" s="1"/>
  <c r="M26" i="3"/>
  <c r="S26" i="3" s="1"/>
  <c r="M25" i="3"/>
  <c r="M24" i="3"/>
  <c r="M23" i="3"/>
  <c r="O22" i="3"/>
  <c r="N22" i="3"/>
  <c r="M22" i="3"/>
  <c r="N20" i="3"/>
  <c r="P20" i="3"/>
  <c r="P19" i="3" s="1"/>
  <c r="M20" i="3"/>
  <c r="M19" i="3"/>
  <c r="H205" i="1"/>
  <c r="I205" i="1" s="1"/>
  <c r="J205" i="1" s="1"/>
  <c r="H204" i="1"/>
  <c r="H203" i="1"/>
  <c r="I203" i="1" s="1"/>
  <c r="J203" i="1" s="1"/>
  <c r="F202" i="1"/>
  <c r="E202" i="1"/>
  <c r="D202" i="1"/>
  <c r="O196" i="1"/>
  <c r="N196" i="1"/>
  <c r="K196" i="1"/>
  <c r="G196" i="1"/>
  <c r="F196" i="1"/>
  <c r="E196" i="1"/>
  <c r="Q195" i="1"/>
  <c r="P195" i="1"/>
  <c r="M195" i="1"/>
  <c r="L195" i="1" s="1"/>
  <c r="M194" i="1"/>
  <c r="L194" i="1" s="1"/>
  <c r="H194" i="1"/>
  <c r="P194" i="1" s="1"/>
  <c r="Q192" i="1"/>
  <c r="Q193" i="1" s="1"/>
  <c r="P192" i="1"/>
  <c r="P193" i="1" s="1"/>
  <c r="O192" i="1"/>
  <c r="O193" i="1" s="1"/>
  <c r="N192" i="1"/>
  <c r="N193" i="1" s="1"/>
  <c r="M192" i="1"/>
  <c r="M193" i="1" s="1"/>
  <c r="O190" i="1"/>
  <c r="N190" i="1"/>
  <c r="M190" i="1"/>
  <c r="H190" i="1"/>
  <c r="Q190" i="1" s="1"/>
  <c r="M189" i="1"/>
  <c r="L189" i="1" s="1"/>
  <c r="H189" i="1"/>
  <c r="P189" i="1" s="1"/>
  <c r="Q188" i="1"/>
  <c r="P188" i="1"/>
  <c r="O188" i="1"/>
  <c r="N188" i="1"/>
  <c r="M188" i="1"/>
  <c r="Q187" i="1"/>
  <c r="P187" i="1"/>
  <c r="O187" i="1"/>
  <c r="N187" i="1"/>
  <c r="M187" i="1"/>
  <c r="Q185" i="1"/>
  <c r="P185" i="1"/>
  <c r="M185" i="1"/>
  <c r="L185" i="1" s="1"/>
  <c r="P184" i="1"/>
  <c r="Q184" i="1" s="1"/>
  <c r="O184" i="1"/>
  <c r="N184" i="1"/>
  <c r="M184" i="1"/>
  <c r="Q183" i="1"/>
  <c r="P183" i="1"/>
  <c r="O183" i="1"/>
  <c r="N183" i="1"/>
  <c r="M183" i="1"/>
  <c r="O181" i="1"/>
  <c r="N181" i="1"/>
  <c r="K181" i="1"/>
  <c r="G181" i="1"/>
  <c r="F181" i="1"/>
  <c r="E181" i="1"/>
  <c r="Q180" i="1"/>
  <c r="P180" i="1"/>
  <c r="I180" i="1"/>
  <c r="M180" i="1" s="1"/>
  <c r="L180" i="1" s="1"/>
  <c r="M179" i="1"/>
  <c r="H179" i="1"/>
  <c r="P179" i="1" s="1"/>
  <c r="G178" i="1"/>
  <c r="F178" i="1"/>
  <c r="E178" i="1"/>
  <c r="I177" i="1"/>
  <c r="H177" i="1" s="1"/>
  <c r="Q176" i="1"/>
  <c r="P176" i="1"/>
  <c r="M176" i="1"/>
  <c r="L176" i="1" s="1"/>
  <c r="O175" i="1"/>
  <c r="O178" i="1" s="1"/>
  <c r="N175" i="1"/>
  <c r="N178" i="1" s="1"/>
  <c r="I175" i="1"/>
  <c r="H175" i="1" s="1"/>
  <c r="G174" i="1"/>
  <c r="F174" i="1"/>
  <c r="E174" i="1"/>
  <c r="Q173" i="1"/>
  <c r="P173" i="1"/>
  <c r="I173" i="1"/>
  <c r="M173" i="1" s="1"/>
  <c r="L173" i="1" s="1"/>
  <c r="O172" i="1"/>
  <c r="N172" i="1"/>
  <c r="I172" i="1"/>
  <c r="H172" i="1" s="1"/>
  <c r="Q171" i="1"/>
  <c r="P171" i="1"/>
  <c r="M171" i="1"/>
  <c r="L171" i="1" s="1"/>
  <c r="O170" i="1"/>
  <c r="N170" i="1"/>
  <c r="I170" i="1"/>
  <c r="H170" i="1" s="1"/>
  <c r="O169" i="1"/>
  <c r="N169" i="1"/>
  <c r="I169" i="1"/>
  <c r="H169" i="1" s="1"/>
  <c r="G168" i="1"/>
  <c r="F168" i="1"/>
  <c r="E168" i="1"/>
  <c r="M167" i="1"/>
  <c r="L167" i="1" s="1"/>
  <c r="H167" i="1"/>
  <c r="Q167" i="1" s="1"/>
  <c r="O166" i="1"/>
  <c r="N166" i="1"/>
  <c r="I166" i="1"/>
  <c r="H166" i="1" s="1"/>
  <c r="Q165" i="1"/>
  <c r="P165" i="1"/>
  <c r="M165" i="1"/>
  <c r="L165" i="1" s="1"/>
  <c r="O164" i="1"/>
  <c r="N164" i="1"/>
  <c r="I164" i="1"/>
  <c r="H164" i="1" s="1"/>
  <c r="O162" i="1"/>
  <c r="N162" i="1"/>
  <c r="K162" i="1"/>
  <c r="G162" i="1"/>
  <c r="F162" i="1"/>
  <c r="E162" i="1"/>
  <c r="Q161" i="1"/>
  <c r="P161" i="1"/>
  <c r="I161" i="1"/>
  <c r="M161" i="1" s="1"/>
  <c r="M160" i="1"/>
  <c r="L160" i="1" s="1"/>
  <c r="H160" i="1"/>
  <c r="Q160" i="1" s="1"/>
  <c r="Q162" i="1" s="1"/>
  <c r="G159" i="1"/>
  <c r="F159" i="1"/>
  <c r="E159" i="1"/>
  <c r="I158" i="1"/>
  <c r="H158" i="1" s="1"/>
  <c r="Q158" i="1" s="1"/>
  <c r="Q157" i="1"/>
  <c r="P157" i="1"/>
  <c r="M157" i="1"/>
  <c r="L157" i="1" s="1"/>
  <c r="O156" i="1"/>
  <c r="O159" i="1" s="1"/>
  <c r="N156" i="1"/>
  <c r="N159" i="1" s="1"/>
  <c r="I156" i="1"/>
  <c r="M156" i="1" s="1"/>
  <c r="G155" i="1"/>
  <c r="F155" i="1"/>
  <c r="E155" i="1"/>
  <c r="O154" i="1"/>
  <c r="N154" i="1"/>
  <c r="I154" i="1"/>
  <c r="H154" i="1" s="1"/>
  <c r="Q153" i="1"/>
  <c r="P153" i="1"/>
  <c r="M153" i="1"/>
  <c r="L153" i="1" s="1"/>
  <c r="O152" i="1"/>
  <c r="N152" i="1"/>
  <c r="N155" i="1" s="1"/>
  <c r="I152" i="1"/>
  <c r="H152" i="1" s="1"/>
  <c r="G151" i="1"/>
  <c r="F151" i="1"/>
  <c r="E151" i="1"/>
  <c r="O150" i="1"/>
  <c r="N150" i="1"/>
  <c r="I150" i="1"/>
  <c r="M150" i="1" s="1"/>
  <c r="Q149" i="1"/>
  <c r="P149" i="1"/>
  <c r="M149" i="1"/>
  <c r="L149" i="1" s="1"/>
  <c r="O148" i="1"/>
  <c r="N148" i="1"/>
  <c r="N151" i="1" s="1"/>
  <c r="I148" i="1"/>
  <c r="M148" i="1" s="1"/>
  <c r="O146" i="1"/>
  <c r="N146" i="1"/>
  <c r="K146" i="1"/>
  <c r="G146" i="1"/>
  <c r="F146" i="1"/>
  <c r="E146" i="1"/>
  <c r="Q145" i="1"/>
  <c r="P145" i="1"/>
  <c r="I145" i="1"/>
  <c r="M145" i="1" s="1"/>
  <c r="L145" i="1" s="1"/>
  <c r="M144" i="1"/>
  <c r="H144" i="1"/>
  <c r="P144" i="1" s="1"/>
  <c r="G143" i="1"/>
  <c r="F143" i="1"/>
  <c r="E143" i="1"/>
  <c r="I142" i="1"/>
  <c r="H142" i="1" s="1"/>
  <c r="P142" i="1" s="1"/>
  <c r="Q141" i="1"/>
  <c r="P141" i="1"/>
  <c r="M141" i="1"/>
  <c r="L141" i="1" s="1"/>
  <c r="O140" i="1"/>
  <c r="O143" i="1" s="1"/>
  <c r="N140" i="1"/>
  <c r="N143" i="1" s="1"/>
  <c r="I140" i="1"/>
  <c r="H140" i="1" s="1"/>
  <c r="P140" i="1" s="1"/>
  <c r="G139" i="1"/>
  <c r="F139" i="1"/>
  <c r="E139" i="1"/>
  <c r="O138" i="1"/>
  <c r="N138" i="1"/>
  <c r="I138" i="1"/>
  <c r="M138" i="1" s="1"/>
  <c r="Q137" i="1"/>
  <c r="P137" i="1"/>
  <c r="M137" i="1"/>
  <c r="L137" i="1" s="1"/>
  <c r="O136" i="1"/>
  <c r="O139" i="1" s="1"/>
  <c r="N136" i="1"/>
  <c r="I136" i="1"/>
  <c r="M136" i="1" s="1"/>
  <c r="G135" i="1"/>
  <c r="F135" i="1"/>
  <c r="E135" i="1"/>
  <c r="O134" i="1"/>
  <c r="N134" i="1"/>
  <c r="I134" i="1"/>
  <c r="H134" i="1" s="1"/>
  <c r="P134" i="1" s="1"/>
  <c r="Q133" i="1"/>
  <c r="P133" i="1"/>
  <c r="M133" i="1"/>
  <c r="L133" i="1" s="1"/>
  <c r="O132" i="1"/>
  <c r="O135" i="1" s="1"/>
  <c r="N132" i="1"/>
  <c r="N135" i="1" s="1"/>
  <c r="I132" i="1"/>
  <c r="H132" i="1" s="1"/>
  <c r="P132" i="1" s="1"/>
  <c r="O130" i="1"/>
  <c r="N130" i="1"/>
  <c r="K130" i="1"/>
  <c r="G130" i="1"/>
  <c r="F130" i="1"/>
  <c r="E130" i="1"/>
  <c r="Q129" i="1"/>
  <c r="P129" i="1"/>
  <c r="I129" i="1"/>
  <c r="M129" i="1" s="1"/>
  <c r="M128" i="1"/>
  <c r="L128" i="1" s="1"/>
  <c r="H128" i="1"/>
  <c r="Q128" i="1" s="1"/>
  <c r="Q130" i="1" s="1"/>
  <c r="G127" i="1"/>
  <c r="F127" i="1"/>
  <c r="E127" i="1"/>
  <c r="Q126" i="1"/>
  <c r="P126" i="1"/>
  <c r="Q125" i="1"/>
  <c r="P125" i="1"/>
  <c r="M125" i="1"/>
  <c r="L125" i="1" s="1"/>
  <c r="O124" i="1"/>
  <c r="O127" i="1" s="1"/>
  <c r="N124" i="1"/>
  <c r="N127" i="1" s="1"/>
  <c r="I124" i="1"/>
  <c r="M124" i="1" s="1"/>
  <c r="G123" i="1"/>
  <c r="F123" i="1"/>
  <c r="E123" i="1"/>
  <c r="O122" i="1"/>
  <c r="N122" i="1"/>
  <c r="I122" i="1"/>
  <c r="H122" i="1" s="1"/>
  <c r="P122" i="1" s="1"/>
  <c r="Q121" i="1"/>
  <c r="P121" i="1"/>
  <c r="M121" i="1"/>
  <c r="L121" i="1" s="1"/>
  <c r="O120" i="1"/>
  <c r="N120" i="1"/>
  <c r="I120" i="1"/>
  <c r="H120" i="1" s="1"/>
  <c r="P120" i="1" s="1"/>
  <c r="P123" i="1" s="1"/>
  <c r="G119" i="1"/>
  <c r="F119" i="1"/>
  <c r="E119" i="1"/>
  <c r="O118" i="1"/>
  <c r="N118" i="1"/>
  <c r="I118" i="1"/>
  <c r="M118" i="1" s="1"/>
  <c r="Q117" i="1"/>
  <c r="P117" i="1"/>
  <c r="M117" i="1"/>
  <c r="L117" i="1" s="1"/>
  <c r="O116" i="1"/>
  <c r="N116" i="1"/>
  <c r="I116" i="1"/>
  <c r="M116" i="1" s="1"/>
  <c r="O114" i="1"/>
  <c r="N114" i="1"/>
  <c r="K114" i="1"/>
  <c r="G114" i="1"/>
  <c r="F114" i="1"/>
  <c r="E114" i="1"/>
  <c r="Q113" i="1"/>
  <c r="P113" i="1"/>
  <c r="I113" i="1"/>
  <c r="M113" i="1" s="1"/>
  <c r="L113" i="1" s="1"/>
  <c r="M112" i="1"/>
  <c r="H112" i="1"/>
  <c r="P112" i="1" s="1"/>
  <c r="G111" i="1"/>
  <c r="F111" i="1"/>
  <c r="E111" i="1"/>
  <c r="Q110" i="1"/>
  <c r="P110" i="1"/>
  <c r="Q109" i="1"/>
  <c r="P109" i="1"/>
  <c r="M109" i="1"/>
  <c r="L109" i="1" s="1"/>
  <c r="O108" i="1"/>
  <c r="O111" i="1" s="1"/>
  <c r="N108" i="1"/>
  <c r="N111" i="1" s="1"/>
  <c r="I108" i="1"/>
  <c r="H108" i="1" s="1"/>
  <c r="P108" i="1" s="1"/>
  <c r="G107" i="1"/>
  <c r="F107" i="1"/>
  <c r="E107" i="1"/>
  <c r="Q106" i="1"/>
  <c r="P106" i="1"/>
  <c r="Q105" i="1"/>
  <c r="P105" i="1"/>
  <c r="M105" i="1"/>
  <c r="L105" i="1" s="1"/>
  <c r="O104" i="1"/>
  <c r="O107" i="1" s="1"/>
  <c r="N104" i="1"/>
  <c r="N107" i="1" s="1"/>
  <c r="I104" i="1"/>
  <c r="M104" i="1" s="1"/>
  <c r="G103" i="1"/>
  <c r="F103" i="1"/>
  <c r="E103" i="1"/>
  <c r="O102" i="1"/>
  <c r="N102" i="1"/>
  <c r="I102" i="1"/>
  <c r="H102" i="1" s="1"/>
  <c r="P102" i="1" s="1"/>
  <c r="Q101" i="1"/>
  <c r="P101" i="1"/>
  <c r="M101" i="1"/>
  <c r="L101" i="1" s="1"/>
  <c r="O100" i="1"/>
  <c r="N100" i="1"/>
  <c r="N103" i="1" s="1"/>
  <c r="I100" i="1"/>
  <c r="H100" i="1" s="1"/>
  <c r="P100" i="1" s="1"/>
  <c r="P103" i="1" s="1"/>
  <c r="N19" i="3" l="1"/>
  <c r="S25" i="3"/>
  <c r="R25" i="3"/>
  <c r="S22" i="3"/>
  <c r="R22" i="3"/>
  <c r="S88" i="3"/>
  <c r="S87" i="3" s="1"/>
  <c r="S86" i="3" s="1"/>
  <c r="R88" i="3"/>
  <c r="S119" i="3"/>
  <c r="S120" i="3" s="1"/>
  <c r="O119" i="3"/>
  <c r="O120" i="3" s="1"/>
  <c r="S66" i="3"/>
  <c r="S65" i="3" s="1"/>
  <c r="Q29" i="3"/>
  <c r="S14" i="3"/>
  <c r="S13" i="3" s="1"/>
  <c r="R46" i="3"/>
  <c r="S46" i="3"/>
  <c r="S44" i="3" s="1"/>
  <c r="S43" i="3" s="1"/>
  <c r="S29" i="3"/>
  <c r="R29" i="3"/>
  <c r="P233" i="3"/>
  <c r="N174" i="1"/>
  <c r="M186" i="1"/>
  <c r="O186" i="1"/>
  <c r="O210" i="3"/>
  <c r="S167" i="3"/>
  <c r="S31" i="3"/>
  <c r="S30" i="3" s="1"/>
  <c r="S81" i="3"/>
  <c r="S80" i="3" s="1"/>
  <c r="S219" i="3"/>
  <c r="O225" i="3"/>
  <c r="N225" i="3" s="1"/>
  <c r="S225" i="3"/>
  <c r="G202" i="3"/>
  <c r="Q113" i="3"/>
  <c r="P113" i="3"/>
  <c r="S24" i="3"/>
  <c r="S37" i="3"/>
  <c r="S36" i="3" s="1"/>
  <c r="S75" i="3"/>
  <c r="S74" i="3" s="1"/>
  <c r="N229" i="3"/>
  <c r="R225" i="3"/>
  <c r="G237" i="3"/>
  <c r="N199" i="3"/>
  <c r="N181" i="3"/>
  <c r="N174" i="3"/>
  <c r="P202" i="3"/>
  <c r="Q233" i="3"/>
  <c r="Q238" i="3" s="1"/>
  <c r="N173" i="3"/>
  <c r="N182" i="3"/>
  <c r="N175" i="3"/>
  <c r="Q202" i="3"/>
  <c r="P217" i="3"/>
  <c r="G211" i="3"/>
  <c r="N180" i="3"/>
  <c r="S237" i="3"/>
  <c r="S213" i="3"/>
  <c r="G219" i="3"/>
  <c r="O65" i="3"/>
  <c r="P86" i="3"/>
  <c r="O237" i="3"/>
  <c r="O189" i="3"/>
  <c r="N222" i="3"/>
  <c r="N227" i="3"/>
  <c r="O164" i="3"/>
  <c r="G167" i="3"/>
  <c r="G142" i="3"/>
  <c r="Q177" i="3"/>
  <c r="G177" i="3"/>
  <c r="G184" i="3"/>
  <c r="G189" i="3"/>
  <c r="P189" i="3"/>
  <c r="Q189" i="3"/>
  <c r="G140" i="3"/>
  <c r="G159" i="3"/>
  <c r="G191" i="3"/>
  <c r="P152" i="3"/>
  <c r="R139" i="3"/>
  <c r="R140" i="3" s="1"/>
  <c r="J139" i="3"/>
  <c r="G128" i="3"/>
  <c r="N24" i="3"/>
  <c r="N23" i="3" s="1"/>
  <c r="O155" i="1"/>
  <c r="N168" i="1"/>
  <c r="L187" i="1"/>
  <c r="G165" i="3"/>
  <c r="O103" i="1"/>
  <c r="O151" i="1"/>
  <c r="Q45" i="3"/>
  <c r="Q44" i="3" s="1"/>
  <c r="O152" i="3"/>
  <c r="Q165" i="3"/>
  <c r="G118" i="3"/>
  <c r="Q152" i="3"/>
  <c r="P159" i="3"/>
  <c r="P165" i="3"/>
  <c r="P30" i="3"/>
  <c r="P111" i="1"/>
  <c r="O119" i="1"/>
  <c r="P143" i="1"/>
  <c r="O168" i="1"/>
  <c r="Q53" i="3"/>
  <c r="J185" i="3"/>
  <c r="R185" i="3" s="1"/>
  <c r="R189" i="3" s="1"/>
  <c r="Q211" i="3"/>
  <c r="P106" i="3"/>
  <c r="P135" i="3"/>
  <c r="P118" i="3"/>
  <c r="Q27" i="3"/>
  <c r="Q32" i="3"/>
  <c r="Q34" i="3"/>
  <c r="Q70" i="3"/>
  <c r="Q79" i="3"/>
  <c r="Q82" i="3"/>
  <c r="Q84" i="3"/>
  <c r="Q90" i="3"/>
  <c r="J122" i="3"/>
  <c r="R122" i="3" s="1"/>
  <c r="R128" i="3" s="1"/>
  <c r="R141" i="3"/>
  <c r="R142" i="3" s="1"/>
  <c r="N151" i="3"/>
  <c r="N204" i="3"/>
  <c r="N209" i="3"/>
  <c r="Q89" i="3"/>
  <c r="Q20" i="3"/>
  <c r="Q26" i="3"/>
  <c r="Q33" i="3"/>
  <c r="Q38" i="3"/>
  <c r="Q40" i="3"/>
  <c r="Q42" i="3"/>
  <c r="Q54" i="3"/>
  <c r="Q67" i="3"/>
  <c r="Q69" i="3"/>
  <c r="Q73" i="3"/>
  <c r="Q77" i="3"/>
  <c r="Q85" i="3"/>
  <c r="Q88" i="3"/>
  <c r="Q22" i="3"/>
  <c r="Q25" i="3"/>
  <c r="R26" i="3"/>
  <c r="Q28" i="3"/>
  <c r="R34" i="3"/>
  <c r="R38" i="3"/>
  <c r="Q41" i="3"/>
  <c r="R42" i="3"/>
  <c r="Q49" i="3"/>
  <c r="Q52" i="3"/>
  <c r="Q55" i="3"/>
  <c r="S55" i="3"/>
  <c r="R58" i="3"/>
  <c r="R57" i="3" s="1"/>
  <c r="Q68" i="3"/>
  <c r="R69" i="3"/>
  <c r="Q76" i="3"/>
  <c r="R77" i="3"/>
  <c r="R82" i="3"/>
  <c r="R90" i="3"/>
  <c r="J107" i="3"/>
  <c r="R107" i="3" s="1"/>
  <c r="R113" i="3" s="1"/>
  <c r="J153" i="3"/>
  <c r="R153" i="3" s="1"/>
  <c r="J158" i="3"/>
  <c r="R158" i="3" s="1"/>
  <c r="J169" i="3"/>
  <c r="R169" i="3" s="1"/>
  <c r="J176" i="3"/>
  <c r="R176" i="3" s="1"/>
  <c r="R190" i="3"/>
  <c r="R201" i="3"/>
  <c r="R28" i="3"/>
  <c r="R32" i="3"/>
  <c r="Q39" i="3"/>
  <c r="R40" i="3"/>
  <c r="R54" i="3"/>
  <c r="R67" i="3"/>
  <c r="R73" i="3"/>
  <c r="Q83" i="3"/>
  <c r="R84" i="3"/>
  <c r="Q91" i="3"/>
  <c r="N226" i="3"/>
  <c r="N235" i="3"/>
  <c r="O142" i="3"/>
  <c r="N142" i="3"/>
  <c r="S164" i="3"/>
  <c r="R164" i="3"/>
  <c r="S216" i="3"/>
  <c r="R216" i="3"/>
  <c r="O19" i="3"/>
  <c r="R27" i="3"/>
  <c r="N31" i="3"/>
  <c r="N30" i="3" s="1"/>
  <c r="R33" i="3"/>
  <c r="N37" i="3"/>
  <c r="N36" i="3" s="1"/>
  <c r="R39" i="3"/>
  <c r="R41" i="3"/>
  <c r="R45" i="3"/>
  <c r="R49" i="3"/>
  <c r="N50" i="3"/>
  <c r="R52" i="3"/>
  <c r="S53" i="3"/>
  <c r="S51" i="3" s="1"/>
  <c r="S59" i="3"/>
  <c r="S57" i="3" s="1"/>
  <c r="Q58" i="3"/>
  <c r="R64" i="3"/>
  <c r="R68" i="3"/>
  <c r="R70" i="3"/>
  <c r="R76" i="3"/>
  <c r="R79" i="3"/>
  <c r="N81" i="3"/>
  <c r="N80" i="3" s="1"/>
  <c r="R83" i="3"/>
  <c r="R85" i="3"/>
  <c r="R89" i="3"/>
  <c r="R91" i="3"/>
  <c r="J96" i="3"/>
  <c r="J105" i="3"/>
  <c r="J114" i="3"/>
  <c r="R114" i="3" s="1"/>
  <c r="N119" i="3"/>
  <c r="R119" i="3"/>
  <c r="R120" i="3" s="1"/>
  <c r="S127" i="3"/>
  <c r="J134" i="3"/>
  <c r="S136" i="3"/>
  <c r="S140" i="3" s="1"/>
  <c r="J144" i="3"/>
  <c r="J151" i="3"/>
  <c r="J160" i="3"/>
  <c r="N166" i="3"/>
  <c r="R166" i="3"/>
  <c r="R167" i="3" s="1"/>
  <c r="J178" i="3"/>
  <c r="S188" i="3"/>
  <c r="J193" i="3"/>
  <c r="J200" i="3"/>
  <c r="J203" i="3"/>
  <c r="J204" i="3"/>
  <c r="R204" i="3" s="1"/>
  <c r="J209" i="3"/>
  <c r="J212" i="3"/>
  <c r="N218" i="3"/>
  <c r="R218" i="3"/>
  <c r="R219" i="3" s="1"/>
  <c r="R236" i="3"/>
  <c r="R237" i="3" s="1"/>
  <c r="H104" i="1"/>
  <c r="Q104" i="1" s="1"/>
  <c r="Q107" i="1" s="1"/>
  <c r="P114" i="1"/>
  <c r="H118" i="1"/>
  <c r="Q118" i="1" s="1"/>
  <c r="N123" i="1"/>
  <c r="M122" i="1"/>
  <c r="L122" i="1" s="1"/>
  <c r="M127" i="1"/>
  <c r="L136" i="1"/>
  <c r="P146" i="1"/>
  <c r="M132" i="1"/>
  <c r="H136" i="1"/>
  <c r="Q136" i="1" s="1"/>
  <c r="L138" i="1"/>
  <c r="N191" i="1"/>
  <c r="N197" i="1" s="1"/>
  <c r="L188" i="1"/>
  <c r="L190" i="1"/>
  <c r="H202" i="1"/>
  <c r="I204" i="1"/>
  <c r="J204" i="1" s="1"/>
  <c r="J202" i="1" s="1"/>
  <c r="L116" i="1"/>
  <c r="L150" i="1"/>
  <c r="H156" i="1"/>
  <c r="Q156" i="1" s="1"/>
  <c r="Q159" i="1" s="1"/>
  <c r="P181" i="1"/>
  <c r="N186" i="1"/>
  <c r="L186" i="1" s="1"/>
  <c r="L184" i="1"/>
  <c r="L192" i="1"/>
  <c r="L193" i="1" s="1"/>
  <c r="P196" i="1"/>
  <c r="N115" i="1"/>
  <c r="L104" i="1"/>
  <c r="L107" i="1" s="1"/>
  <c r="M108" i="1"/>
  <c r="M111" i="1" s="1"/>
  <c r="H116" i="1"/>
  <c r="N119" i="1"/>
  <c r="L118" i="1"/>
  <c r="M120" i="1"/>
  <c r="M123" i="1" s="1"/>
  <c r="O123" i="1"/>
  <c r="H124" i="1"/>
  <c r="Q124" i="1" s="1"/>
  <c r="Q127" i="1" s="1"/>
  <c r="L124" i="1"/>
  <c r="L127" i="1" s="1"/>
  <c r="P128" i="1"/>
  <c r="P130" i="1" s="1"/>
  <c r="P135" i="1"/>
  <c r="M134" i="1"/>
  <c r="L134" i="1" s="1"/>
  <c r="M139" i="1"/>
  <c r="N139" i="1"/>
  <c r="N147" i="1" s="1"/>
  <c r="H138" i="1"/>
  <c r="Q138" i="1" s="1"/>
  <c r="H148" i="1"/>
  <c r="Q148" i="1" s="1"/>
  <c r="N163" i="1"/>
  <c r="H150" i="1"/>
  <c r="Q150" i="1" s="1"/>
  <c r="P160" i="1"/>
  <c r="P162" i="1" s="1"/>
  <c r="P167" i="1"/>
  <c r="O174" i="1"/>
  <c r="O182" i="1" s="1"/>
  <c r="M181" i="1"/>
  <c r="L183" i="1"/>
  <c r="P186" i="1"/>
  <c r="M191" i="1"/>
  <c r="O191" i="1"/>
  <c r="O197" i="1" s="1"/>
  <c r="P190" i="1"/>
  <c r="P191" i="1" s="1"/>
  <c r="L196" i="1"/>
  <c r="P104" i="1"/>
  <c r="P107" i="1" s="1"/>
  <c r="O147" i="1"/>
  <c r="L139" i="1"/>
  <c r="N182" i="1"/>
  <c r="L129" i="1"/>
  <c r="L130" i="1" s="1"/>
  <c r="M130" i="1"/>
  <c r="L108" i="1"/>
  <c r="L111" i="1" s="1"/>
  <c r="M114" i="1"/>
  <c r="L112" i="1"/>
  <c r="L114" i="1" s="1"/>
  <c r="L132" i="1"/>
  <c r="P152" i="1"/>
  <c r="Q152" i="1"/>
  <c r="P154" i="1"/>
  <c r="Q154" i="1"/>
  <c r="M159" i="1"/>
  <c r="L156" i="1"/>
  <c r="L159" i="1" s="1"/>
  <c r="P164" i="1"/>
  <c r="Q164" i="1"/>
  <c r="P166" i="1"/>
  <c r="Q166" i="1"/>
  <c r="P169" i="1"/>
  <c r="Q169" i="1"/>
  <c r="P175" i="1"/>
  <c r="Q175" i="1"/>
  <c r="P177" i="1"/>
  <c r="Q177" i="1"/>
  <c r="M146" i="1"/>
  <c r="L144" i="1"/>
  <c r="L146" i="1" s="1"/>
  <c r="M151" i="1"/>
  <c r="L148" i="1"/>
  <c r="L161" i="1"/>
  <c r="L162" i="1" s="1"/>
  <c r="M162" i="1"/>
  <c r="P170" i="1"/>
  <c r="Q170" i="1"/>
  <c r="P172" i="1"/>
  <c r="Q172" i="1"/>
  <c r="Q102" i="1"/>
  <c r="M107" i="1"/>
  <c r="M119" i="1"/>
  <c r="Q140" i="1"/>
  <c r="Q144" i="1"/>
  <c r="Q146" i="1" s="1"/>
  <c r="M100" i="1"/>
  <c r="O115" i="1"/>
  <c r="M102" i="1"/>
  <c r="L102" i="1" s="1"/>
  <c r="Q108" i="1"/>
  <c r="Q111" i="1" s="1"/>
  <c r="Q112" i="1"/>
  <c r="Q114" i="1" s="1"/>
  <c r="Q120" i="1"/>
  <c r="Q122" i="1"/>
  <c r="P124" i="1"/>
  <c r="P127" i="1" s="1"/>
  <c r="Q132" i="1"/>
  <c r="Q134" i="1"/>
  <c r="P138" i="1"/>
  <c r="M140" i="1"/>
  <c r="Q142" i="1"/>
  <c r="O163" i="1"/>
  <c r="Q186" i="1"/>
  <c r="Q100" i="1"/>
  <c r="M152" i="1"/>
  <c r="M154" i="1"/>
  <c r="L154" i="1" s="1"/>
  <c r="P158" i="1"/>
  <c r="M164" i="1"/>
  <c r="M166" i="1"/>
  <c r="L166" i="1" s="1"/>
  <c r="M169" i="1"/>
  <c r="M170" i="1"/>
  <c r="L170" i="1" s="1"/>
  <c r="M172" i="1"/>
  <c r="L172" i="1" s="1"/>
  <c r="M175" i="1"/>
  <c r="Q179" i="1"/>
  <c r="Q181" i="1" s="1"/>
  <c r="Q189" i="1"/>
  <c r="Q191" i="1" s="1"/>
  <c r="Q194" i="1"/>
  <c r="Q196" i="1" s="1"/>
  <c r="M196" i="1"/>
  <c r="M197" i="1" s="1"/>
  <c r="L179" i="1"/>
  <c r="L181" i="1" s="1"/>
  <c r="Q123" i="1" l="1"/>
  <c r="P115" i="1"/>
  <c r="N131" i="1"/>
  <c r="P148" i="1"/>
  <c r="Q87" i="3"/>
  <c r="R96" i="3"/>
  <c r="S96" i="3"/>
  <c r="R66" i="3"/>
  <c r="R65" i="3" s="1"/>
  <c r="Q66" i="3"/>
  <c r="Q65" i="3" s="1"/>
  <c r="Q57" i="3"/>
  <c r="Q56" i="3" s="1"/>
  <c r="N200" i="3"/>
  <c r="N203" i="3"/>
  <c r="S56" i="3"/>
  <c r="R51" i="3"/>
  <c r="R50" i="3" s="1"/>
  <c r="S185" i="3"/>
  <c r="S189" i="3" s="1"/>
  <c r="O167" i="3"/>
  <c r="R44" i="3"/>
  <c r="R43" i="3" s="1"/>
  <c r="N167" i="3"/>
  <c r="S23" i="3"/>
  <c r="Q12" i="3"/>
  <c r="N193" i="3"/>
  <c r="Q43" i="3"/>
  <c r="Q140" i="3"/>
  <c r="P211" i="3"/>
  <c r="P220" i="3" s="1"/>
  <c r="S12" i="3"/>
  <c r="O202" i="3"/>
  <c r="N213" i="3"/>
  <c r="O217" i="3"/>
  <c r="N212" i="3"/>
  <c r="N217" i="3" s="1"/>
  <c r="O219" i="3"/>
  <c r="N139" i="3"/>
  <c r="R75" i="3"/>
  <c r="R74" i="3" s="1"/>
  <c r="Q75" i="3"/>
  <c r="Q217" i="3"/>
  <c r="Q220" i="3" s="1"/>
  <c r="Q74" i="3"/>
  <c r="R24" i="3"/>
  <c r="R23" i="3" s="1"/>
  <c r="Q86" i="3"/>
  <c r="N105" i="3"/>
  <c r="N106" i="3" s="1"/>
  <c r="N107" i="3"/>
  <c r="O113" i="3"/>
  <c r="R87" i="3"/>
  <c r="R31" i="3"/>
  <c r="R30" i="3" s="1"/>
  <c r="R56" i="3"/>
  <c r="R37" i="3"/>
  <c r="R36" i="3" s="1"/>
  <c r="P121" i="3"/>
  <c r="P140" i="3"/>
  <c r="L135" i="1"/>
  <c r="R81" i="3"/>
  <c r="R80" i="3" s="1"/>
  <c r="Q51" i="3"/>
  <c r="Q50" i="3" s="1"/>
  <c r="Q24" i="3"/>
  <c r="Q23" i="3" s="1"/>
  <c r="Q37" i="3"/>
  <c r="Q36" i="3" s="1"/>
  <c r="Q81" i="3"/>
  <c r="Q80" i="3" s="1"/>
  <c r="Q31" i="3"/>
  <c r="Q30" i="3" s="1"/>
  <c r="N231" i="3"/>
  <c r="R231" i="3" s="1"/>
  <c r="O233" i="3"/>
  <c r="N233" i="3" s="1"/>
  <c r="N238" i="3" s="1"/>
  <c r="P238" i="3"/>
  <c r="O165" i="3"/>
  <c r="O184" i="3"/>
  <c r="O177" i="3"/>
  <c r="P177" i="3"/>
  <c r="P184" i="3"/>
  <c r="Q184" i="3"/>
  <c r="Q192" i="3" s="1"/>
  <c r="N219" i="3"/>
  <c r="R177" i="3"/>
  <c r="N176" i="3"/>
  <c r="R19" i="3"/>
  <c r="N178" i="3"/>
  <c r="N129" i="3"/>
  <c r="N169" i="3"/>
  <c r="Q159" i="3"/>
  <c r="Q168" i="3" s="1"/>
  <c r="S107" i="3"/>
  <c r="S113" i="3" s="1"/>
  <c r="N185" i="3"/>
  <c r="N189" i="3" s="1"/>
  <c r="N183" i="3"/>
  <c r="N134" i="3"/>
  <c r="N153" i="3"/>
  <c r="S153" i="3"/>
  <c r="N122" i="3"/>
  <c r="S122" i="3"/>
  <c r="S128" i="3" s="1"/>
  <c r="N120" i="3"/>
  <c r="O159" i="3"/>
  <c r="N160" i="3"/>
  <c r="N165" i="3" s="1"/>
  <c r="S169" i="3"/>
  <c r="O128" i="3"/>
  <c r="P168" i="3"/>
  <c r="N158" i="3"/>
  <c r="N144" i="3"/>
  <c r="N152" i="3" s="1"/>
  <c r="P128" i="3"/>
  <c r="Q135" i="3"/>
  <c r="N127" i="3"/>
  <c r="O106" i="3"/>
  <c r="O121" i="3" s="1"/>
  <c r="N136" i="3"/>
  <c r="N114" i="3"/>
  <c r="N118" i="3" s="1"/>
  <c r="Q128" i="3"/>
  <c r="L151" i="1"/>
  <c r="O135" i="3"/>
  <c r="S158" i="3"/>
  <c r="R86" i="3"/>
  <c r="O140" i="3"/>
  <c r="P118" i="1"/>
  <c r="O131" i="1"/>
  <c r="Q19" i="3"/>
  <c r="O118" i="3"/>
  <c r="Q106" i="3"/>
  <c r="Q121" i="3" s="1"/>
  <c r="S176" i="3"/>
  <c r="S50" i="3"/>
  <c r="R159" i="3"/>
  <c r="S212" i="3"/>
  <c r="S217" i="3" s="1"/>
  <c r="R212" i="3"/>
  <c r="R217" i="3" s="1"/>
  <c r="S204" i="3"/>
  <c r="S200" i="3"/>
  <c r="R200" i="3"/>
  <c r="S183" i="3"/>
  <c r="R183" i="3"/>
  <c r="S160" i="3"/>
  <c r="S165" i="3" s="1"/>
  <c r="R160" i="3"/>
  <c r="R165" i="3" s="1"/>
  <c r="S144" i="3"/>
  <c r="R144" i="3"/>
  <c r="S134" i="3"/>
  <c r="R134" i="3"/>
  <c r="S114" i="3"/>
  <c r="S118" i="3" s="1"/>
  <c r="R118" i="3"/>
  <c r="S105" i="3"/>
  <c r="R105" i="3"/>
  <c r="S209" i="3"/>
  <c r="R209" i="3"/>
  <c r="S203" i="3"/>
  <c r="R203" i="3"/>
  <c r="S193" i="3"/>
  <c r="R193" i="3"/>
  <c r="S178" i="3"/>
  <c r="S184" i="3" s="1"/>
  <c r="R178" i="3"/>
  <c r="R184" i="3" s="1"/>
  <c r="S151" i="3"/>
  <c r="R151" i="3"/>
  <c r="S129" i="3"/>
  <c r="R129" i="3"/>
  <c r="L119" i="1"/>
  <c r="I202" i="1"/>
  <c r="Q139" i="1"/>
  <c r="P156" i="1"/>
  <c r="P136" i="1"/>
  <c r="L120" i="1"/>
  <c r="L123" i="1" s="1"/>
  <c r="P197" i="1"/>
  <c r="P159" i="1"/>
  <c r="P139" i="1"/>
  <c r="P147" i="1" s="1"/>
  <c r="Q135" i="1"/>
  <c r="Q143" i="1"/>
  <c r="Q116" i="1"/>
  <c r="Q119" i="1" s="1"/>
  <c r="Q131" i="1" s="1"/>
  <c r="P116" i="1"/>
  <c r="P119" i="1" s="1"/>
  <c r="P131" i="1" s="1"/>
  <c r="P150" i="1"/>
  <c r="P151" i="1" s="1"/>
  <c r="M135" i="1"/>
  <c r="L191" i="1"/>
  <c r="L197" i="1" s="1"/>
  <c r="Q151" i="1"/>
  <c r="L169" i="1"/>
  <c r="L174" i="1" s="1"/>
  <c r="M174" i="1"/>
  <c r="M155" i="1"/>
  <c r="M163" i="1" s="1"/>
  <c r="L163" i="1" s="1"/>
  <c r="L152" i="1"/>
  <c r="L155" i="1" s="1"/>
  <c r="M178" i="1"/>
  <c r="L175" i="1"/>
  <c r="L178" i="1" s="1"/>
  <c r="M103" i="1"/>
  <c r="M115" i="1" s="1"/>
  <c r="L115" i="1" s="1"/>
  <c r="L100" i="1"/>
  <c r="L103" i="1" s="1"/>
  <c r="Q103" i="1"/>
  <c r="Q115" i="1" s="1"/>
  <c r="M131" i="1"/>
  <c r="Q178" i="1"/>
  <c r="Q174" i="1"/>
  <c r="Q168" i="1"/>
  <c r="Q155" i="1"/>
  <c r="Q163" i="1" s="1"/>
  <c r="L164" i="1"/>
  <c r="L168" i="1" s="1"/>
  <c r="M168" i="1"/>
  <c r="M143" i="1"/>
  <c r="L140" i="1"/>
  <c r="L143" i="1" s="1"/>
  <c r="Q197" i="1"/>
  <c r="P178" i="1"/>
  <c r="P174" i="1"/>
  <c r="P168" i="1"/>
  <c r="P155" i="1"/>
  <c r="T30" i="3" l="1"/>
  <c r="R233" i="3"/>
  <c r="R238" i="3" s="1"/>
  <c r="S231" i="3"/>
  <c r="S233" i="3" s="1"/>
  <c r="S238" i="3" s="1"/>
  <c r="N113" i="3"/>
  <c r="N121" i="3"/>
  <c r="N202" i="3"/>
  <c r="M147" i="1"/>
  <c r="L147" i="1" s="1"/>
  <c r="P192" i="3"/>
  <c r="N140" i="3"/>
  <c r="P143" i="3"/>
  <c r="O168" i="3"/>
  <c r="N168" i="3" s="1"/>
  <c r="O238" i="3"/>
  <c r="N177" i="3"/>
  <c r="N184" i="3"/>
  <c r="S202" i="3"/>
  <c r="S20" i="3"/>
  <c r="S19" i="3" s="1"/>
  <c r="S177" i="3"/>
  <c r="O143" i="3"/>
  <c r="N135" i="3"/>
  <c r="N159" i="3"/>
  <c r="N128" i="3"/>
  <c r="S159" i="3"/>
  <c r="Q143" i="3"/>
  <c r="L131" i="1"/>
  <c r="S106" i="3"/>
  <c r="S121" i="3" s="1"/>
  <c r="S135" i="3"/>
  <c r="S143" i="3" s="1"/>
  <c r="R152" i="3"/>
  <c r="R168" i="3" s="1"/>
  <c r="R106" i="3"/>
  <c r="R121" i="3" s="1"/>
  <c r="R135" i="3"/>
  <c r="R143" i="3" s="1"/>
  <c r="R202" i="3"/>
  <c r="S152" i="3"/>
  <c r="Q147" i="1"/>
  <c r="P163" i="1"/>
  <c r="P182" i="1"/>
  <c r="L182" i="1"/>
  <c r="Q182" i="1"/>
  <c r="M182" i="1"/>
  <c r="N143" i="3" l="1"/>
  <c r="S168" i="3"/>
  <c r="L26" i="1"/>
  <c r="M41" i="1"/>
  <c r="M40" i="1"/>
  <c r="M39" i="1"/>
  <c r="M33" i="1"/>
  <c r="M32" i="1"/>
  <c r="M26" i="1"/>
  <c r="M25" i="1"/>
  <c r="M24" i="1"/>
  <c r="M18" i="1"/>
  <c r="N92" i="1"/>
  <c r="N91" i="1"/>
  <c r="M92" i="1"/>
  <c r="M91" i="1"/>
  <c r="L92" i="1"/>
  <c r="L91" i="1"/>
  <c r="N85" i="1"/>
  <c r="N86" i="1"/>
  <c r="N87" i="1"/>
  <c r="N84" i="1"/>
  <c r="M85" i="1"/>
  <c r="M84" i="1"/>
  <c r="L85" i="1"/>
  <c r="L84" i="1"/>
  <c r="N78" i="1"/>
  <c r="N76" i="1" s="1"/>
  <c r="N77" i="1"/>
  <c r="M78" i="1"/>
  <c r="M77" i="1"/>
  <c r="L78" i="1"/>
  <c r="L79" i="1"/>
  <c r="L80" i="1"/>
  <c r="L81" i="1"/>
  <c r="L77" i="1"/>
  <c r="N70" i="1"/>
  <c r="N71" i="1"/>
  <c r="N69" i="1"/>
  <c r="M70" i="1"/>
  <c r="M71" i="1"/>
  <c r="M69" i="1"/>
  <c r="L70" i="1"/>
  <c r="L71" i="1"/>
  <c r="L69" i="1"/>
  <c r="N62" i="1"/>
  <c r="N63" i="1"/>
  <c r="N61" i="1"/>
  <c r="M62" i="1"/>
  <c r="M63" i="1"/>
  <c r="M61" i="1"/>
  <c r="L62" i="1"/>
  <c r="L63" i="1"/>
  <c r="L61" i="1"/>
  <c r="N55" i="1"/>
  <c r="N54" i="1"/>
  <c r="M55" i="1"/>
  <c r="M54" i="1"/>
  <c r="L55" i="1"/>
  <c r="L54" i="1"/>
  <c r="N48" i="1"/>
  <c r="M48" i="1"/>
  <c r="L48" i="1"/>
  <c r="N47" i="1"/>
  <c r="M47" i="1"/>
  <c r="L47" i="1"/>
  <c r="N44" i="1"/>
  <c r="N40" i="1"/>
  <c r="N41" i="1"/>
  <c r="N39" i="1"/>
  <c r="L40" i="1"/>
  <c r="L41" i="1"/>
  <c r="L39" i="1"/>
  <c r="N36" i="1"/>
  <c r="N33" i="1"/>
  <c r="N32" i="1"/>
  <c r="L32" i="1"/>
  <c r="N25" i="1"/>
  <c r="N26" i="1"/>
  <c r="L25" i="1"/>
  <c r="L24" i="1"/>
  <c r="N46" i="1" l="1"/>
  <c r="N83" i="1"/>
  <c r="N53" i="1"/>
  <c r="M38" i="1"/>
  <c r="M23" i="1"/>
  <c r="M68" i="1"/>
  <c r="M31" i="1"/>
  <c r="M53" i="1"/>
  <c r="N38" i="1"/>
  <c r="N37" i="1" s="1"/>
  <c r="M60" i="1"/>
  <c r="N90" i="1"/>
  <c r="M46" i="1"/>
  <c r="N68" i="1"/>
  <c r="M76" i="1"/>
  <c r="M90" i="1"/>
  <c r="M83" i="1"/>
  <c r="N60" i="1"/>
  <c r="N31" i="1"/>
  <c r="N30" i="1" s="1"/>
  <c r="N24" i="1" l="1"/>
  <c r="N23" i="1" s="1"/>
  <c r="O25" i="1"/>
  <c r="P25" i="1" s="1"/>
  <c r="Q25" i="1" s="1"/>
  <c r="M17" i="1"/>
  <c r="L90" i="1"/>
  <c r="L83" i="1"/>
  <c r="O83" i="1" s="1"/>
  <c r="P83" i="1" s="1"/>
  <c r="Q83" i="1" s="1"/>
  <c r="L76" i="1"/>
  <c r="L75" i="1" s="1"/>
  <c r="N18" i="1"/>
  <c r="N17" i="1" s="1"/>
  <c r="O77" i="1"/>
  <c r="P77" i="1" s="1"/>
  <c r="Q77" i="1" s="1"/>
  <c r="O78" i="1"/>
  <c r="P78" i="1" s="1"/>
  <c r="Q78" i="1" s="1"/>
  <c r="O84" i="1"/>
  <c r="P84" i="1" s="1"/>
  <c r="Q84" i="1" s="1"/>
  <c r="O85" i="1"/>
  <c r="P85" i="1" s="1"/>
  <c r="Q85" i="1" s="1"/>
  <c r="O90" i="1"/>
  <c r="P90" i="1" s="1"/>
  <c r="Q90" i="1" s="1"/>
  <c r="O91" i="1"/>
  <c r="P91" i="1" s="1"/>
  <c r="Q91" i="1" s="1"/>
  <c r="O92" i="1"/>
  <c r="P92" i="1" s="1"/>
  <c r="Q92" i="1" s="1"/>
  <c r="N12" i="1"/>
  <c r="N13" i="1"/>
  <c r="N14" i="1"/>
  <c r="N15" i="1"/>
  <c r="N19" i="1"/>
  <c r="N20" i="1"/>
  <c r="N21" i="1"/>
  <c r="N27" i="1"/>
  <c r="N28" i="1"/>
  <c r="N29" i="1"/>
  <c r="N34" i="1"/>
  <c r="N35" i="1"/>
  <c r="N42" i="1"/>
  <c r="N43" i="1"/>
  <c r="N49" i="1"/>
  <c r="N50" i="1"/>
  <c r="N51" i="1"/>
  <c r="N45" i="1" s="1"/>
  <c r="N56" i="1"/>
  <c r="N57" i="1"/>
  <c r="N58" i="1"/>
  <c r="N52" i="1" s="1"/>
  <c r="N64" i="1"/>
  <c r="N65" i="1"/>
  <c r="N66" i="1"/>
  <c r="N59" i="1" s="1"/>
  <c r="N72" i="1"/>
  <c r="N73" i="1"/>
  <c r="N74" i="1"/>
  <c r="N67" i="1" s="1"/>
  <c r="N79" i="1"/>
  <c r="N80" i="1"/>
  <c r="N81" i="1"/>
  <c r="N75" i="1" s="1"/>
  <c r="N88" i="1"/>
  <c r="N82" i="1" s="1"/>
  <c r="N93" i="1"/>
  <c r="N94" i="1"/>
  <c r="N95" i="1"/>
  <c r="N89" i="1" s="1"/>
  <c r="N11" i="1"/>
  <c r="M12" i="1"/>
  <c r="M13" i="1"/>
  <c r="M14" i="1"/>
  <c r="M15" i="1"/>
  <c r="M19" i="1"/>
  <c r="M20" i="1"/>
  <c r="M21" i="1"/>
  <c r="M27" i="1"/>
  <c r="M28" i="1"/>
  <c r="M29" i="1"/>
  <c r="M34" i="1"/>
  <c r="M35" i="1"/>
  <c r="M36" i="1"/>
  <c r="M30" i="1" s="1"/>
  <c r="M42" i="1"/>
  <c r="M43" i="1"/>
  <c r="M44" i="1"/>
  <c r="M37" i="1" s="1"/>
  <c r="M49" i="1"/>
  <c r="M50" i="1"/>
  <c r="M51" i="1"/>
  <c r="M45" i="1" s="1"/>
  <c r="M56" i="1"/>
  <c r="M57" i="1"/>
  <c r="M58" i="1"/>
  <c r="M52" i="1" s="1"/>
  <c r="M64" i="1"/>
  <c r="M65" i="1"/>
  <c r="M66" i="1"/>
  <c r="M59" i="1" s="1"/>
  <c r="M72" i="1"/>
  <c r="M73" i="1"/>
  <c r="M74" i="1"/>
  <c r="M67" i="1" s="1"/>
  <c r="M79" i="1"/>
  <c r="O79" i="1" s="1"/>
  <c r="P79" i="1" s="1"/>
  <c r="Q79" i="1" s="1"/>
  <c r="M80" i="1"/>
  <c r="O80" i="1" s="1"/>
  <c r="P80" i="1" s="1"/>
  <c r="Q80" i="1" s="1"/>
  <c r="M81" i="1"/>
  <c r="M75" i="1" s="1"/>
  <c r="M86" i="1"/>
  <c r="M87" i="1"/>
  <c r="M88" i="1"/>
  <c r="M82" i="1" s="1"/>
  <c r="M93" i="1"/>
  <c r="M94" i="1"/>
  <c r="M95" i="1"/>
  <c r="M89" i="1" s="1"/>
  <c r="M11" i="1"/>
  <c r="L12" i="1"/>
  <c r="O12" i="1" s="1"/>
  <c r="P12" i="1" s="1"/>
  <c r="Q12" i="1" s="1"/>
  <c r="L13" i="1"/>
  <c r="O13" i="1" s="1"/>
  <c r="P13" i="1" s="1"/>
  <c r="Q13" i="1" s="1"/>
  <c r="L14" i="1"/>
  <c r="O14" i="1" s="1"/>
  <c r="P14" i="1" s="1"/>
  <c r="Q14" i="1" s="1"/>
  <c r="L15" i="1"/>
  <c r="L18" i="1"/>
  <c r="L17" i="1" s="1"/>
  <c r="L19" i="1"/>
  <c r="L20" i="1"/>
  <c r="L21" i="1"/>
  <c r="L27" i="1"/>
  <c r="L28" i="1"/>
  <c r="L29" i="1"/>
  <c r="L33" i="1"/>
  <c r="O33" i="1" s="1"/>
  <c r="P33" i="1" s="1"/>
  <c r="Q33" i="1" s="1"/>
  <c r="L34" i="1"/>
  <c r="O34" i="1" s="1"/>
  <c r="P34" i="1" s="1"/>
  <c r="Q34" i="1" s="1"/>
  <c r="L35" i="1"/>
  <c r="O35" i="1" s="1"/>
  <c r="P35" i="1" s="1"/>
  <c r="Q35" i="1" s="1"/>
  <c r="L36" i="1"/>
  <c r="O36" i="1" s="1"/>
  <c r="P36" i="1" s="1"/>
  <c r="Q36" i="1" s="1"/>
  <c r="L38" i="1"/>
  <c r="O40" i="1"/>
  <c r="P40" i="1" s="1"/>
  <c r="Q40" i="1" s="1"/>
  <c r="O41" i="1"/>
  <c r="P41" i="1" s="1"/>
  <c r="Q41" i="1" s="1"/>
  <c r="L42" i="1"/>
  <c r="O42" i="1" s="1"/>
  <c r="P42" i="1" s="1"/>
  <c r="Q42" i="1" s="1"/>
  <c r="L43" i="1"/>
  <c r="L44" i="1"/>
  <c r="L46" i="1"/>
  <c r="O48" i="1"/>
  <c r="P48" i="1" s="1"/>
  <c r="Q48" i="1" s="1"/>
  <c r="L49" i="1"/>
  <c r="L50" i="1"/>
  <c r="O50" i="1" s="1"/>
  <c r="P50" i="1" s="1"/>
  <c r="Q50" i="1" s="1"/>
  <c r="L51" i="1"/>
  <c r="L53" i="1"/>
  <c r="O55" i="1"/>
  <c r="P55" i="1" s="1"/>
  <c r="Q55" i="1" s="1"/>
  <c r="L56" i="1"/>
  <c r="L57" i="1"/>
  <c r="L58" i="1"/>
  <c r="O58" i="1" s="1"/>
  <c r="P58" i="1" s="1"/>
  <c r="Q58" i="1" s="1"/>
  <c r="O61" i="1"/>
  <c r="P61" i="1" s="1"/>
  <c r="Q61" i="1" s="1"/>
  <c r="O62" i="1"/>
  <c r="P62" i="1" s="1"/>
  <c r="Q62" i="1" s="1"/>
  <c r="O63" i="1"/>
  <c r="P63" i="1" s="1"/>
  <c r="Q63" i="1" s="1"/>
  <c r="L64" i="1"/>
  <c r="O64" i="1" s="1"/>
  <c r="P64" i="1" s="1"/>
  <c r="Q64" i="1" s="1"/>
  <c r="L65" i="1"/>
  <c r="L66" i="1"/>
  <c r="O66" i="1" s="1"/>
  <c r="P66" i="1" s="1"/>
  <c r="Q66" i="1" s="1"/>
  <c r="L68" i="1"/>
  <c r="O70" i="1"/>
  <c r="P70" i="1" s="1"/>
  <c r="Q70" i="1" s="1"/>
  <c r="O71" i="1"/>
  <c r="P71" i="1" s="1"/>
  <c r="Q71" i="1" s="1"/>
  <c r="L72" i="1"/>
  <c r="O72" i="1" s="1"/>
  <c r="P72" i="1" s="1"/>
  <c r="Q72" i="1" s="1"/>
  <c r="L73" i="1"/>
  <c r="L74" i="1"/>
  <c r="L86" i="1"/>
  <c r="L87" i="1"/>
  <c r="O87" i="1" s="1"/>
  <c r="P87" i="1" s="1"/>
  <c r="Q87" i="1" s="1"/>
  <c r="L88" i="1"/>
  <c r="O88" i="1" s="1"/>
  <c r="P88" i="1" s="1"/>
  <c r="Q88" i="1" s="1"/>
  <c r="L93" i="1"/>
  <c r="O93" i="1" s="1"/>
  <c r="P93" i="1" s="1"/>
  <c r="Q93" i="1" s="1"/>
  <c r="L94" i="1"/>
  <c r="L95" i="1"/>
  <c r="O95" i="1" s="1"/>
  <c r="P95" i="1" s="1"/>
  <c r="Q95" i="1" s="1"/>
  <c r="L11" i="1"/>
  <c r="O11" i="1" s="1"/>
  <c r="P11" i="1" s="1"/>
  <c r="Q11" i="1" s="1"/>
  <c r="O73" i="1" l="1"/>
  <c r="P73" i="1" s="1"/>
  <c r="Q73" i="1" s="1"/>
  <c r="O29" i="1"/>
  <c r="P29" i="1" s="1"/>
  <c r="Q29" i="1" s="1"/>
  <c r="O20" i="1"/>
  <c r="P20" i="1" s="1"/>
  <c r="Q20" i="1" s="1"/>
  <c r="O74" i="1"/>
  <c r="P74" i="1" s="1"/>
  <c r="Q74" i="1" s="1"/>
  <c r="O94" i="1"/>
  <c r="P94" i="1" s="1"/>
  <c r="Q94" i="1" s="1"/>
  <c r="O86" i="1"/>
  <c r="P86" i="1" s="1"/>
  <c r="Q86" i="1" s="1"/>
  <c r="O65" i="1"/>
  <c r="P65" i="1" s="1"/>
  <c r="Q65" i="1" s="1"/>
  <c r="O15" i="1"/>
  <c r="P15" i="1" s="1"/>
  <c r="Q15" i="1" s="1"/>
  <c r="O56" i="1"/>
  <c r="P56" i="1" s="1"/>
  <c r="Q56" i="1" s="1"/>
  <c r="O44" i="1"/>
  <c r="P44" i="1" s="1"/>
  <c r="Q44" i="1" s="1"/>
  <c r="O27" i="1"/>
  <c r="P27" i="1" s="1"/>
  <c r="Q27" i="1" s="1"/>
  <c r="L16" i="1"/>
  <c r="O57" i="1"/>
  <c r="P57" i="1" s="1"/>
  <c r="Q57" i="1" s="1"/>
  <c r="O51" i="1"/>
  <c r="P51" i="1" s="1"/>
  <c r="Q51" i="1" s="1"/>
  <c r="O49" i="1"/>
  <c r="P49" i="1" s="1"/>
  <c r="Q49" i="1" s="1"/>
  <c r="O43" i="1"/>
  <c r="P43" i="1" s="1"/>
  <c r="Q43" i="1" s="1"/>
  <c r="O28" i="1"/>
  <c r="P28" i="1" s="1"/>
  <c r="Q28" i="1" s="1"/>
  <c r="O21" i="1"/>
  <c r="P21" i="1" s="1"/>
  <c r="Q21" i="1" s="1"/>
  <c r="O19" i="1"/>
  <c r="P19" i="1" s="1"/>
  <c r="Q19" i="1" s="1"/>
  <c r="N16" i="1"/>
  <c r="M10" i="1"/>
  <c r="M9" i="1" s="1"/>
  <c r="N10" i="1"/>
  <c r="N9" i="1" s="1"/>
  <c r="O81" i="1"/>
  <c r="P81" i="1" s="1"/>
  <c r="Q81" i="1" s="1"/>
  <c r="O75" i="1"/>
  <c r="P75" i="1" s="1"/>
  <c r="Q75" i="1" s="1"/>
  <c r="L89" i="1"/>
  <c r="L31" i="1"/>
  <c r="L30" i="1" s="1"/>
  <c r="O30" i="1" s="1"/>
  <c r="P30" i="1" s="1"/>
  <c r="Q30" i="1" s="1"/>
  <c r="N22" i="1"/>
  <c r="O76" i="1"/>
  <c r="P76" i="1" s="1"/>
  <c r="Q76" i="1" s="1"/>
  <c r="L82" i="1"/>
  <c r="O82" i="1" s="1"/>
  <c r="P82" i="1" s="1"/>
  <c r="Q82" i="1" s="1"/>
  <c r="L67" i="1"/>
  <c r="O67" i="1" s="1"/>
  <c r="P67" i="1" s="1"/>
  <c r="Q67" i="1" s="1"/>
  <c r="O68" i="1"/>
  <c r="P68" i="1" s="1"/>
  <c r="Q68" i="1" s="1"/>
  <c r="L45" i="1"/>
  <c r="O45" i="1" s="1"/>
  <c r="P45" i="1" s="1"/>
  <c r="Q45" i="1" s="1"/>
  <c r="O46" i="1"/>
  <c r="P46" i="1" s="1"/>
  <c r="Q46" i="1" s="1"/>
  <c r="O38" i="1"/>
  <c r="O37" i="1" s="1"/>
  <c r="L37" i="1"/>
  <c r="L52" i="1"/>
  <c r="O52" i="1" s="1"/>
  <c r="P52" i="1" s="1"/>
  <c r="Q52" i="1" s="1"/>
  <c r="O53" i="1"/>
  <c r="P53" i="1" s="1"/>
  <c r="Q53" i="1" s="1"/>
  <c r="O31" i="1"/>
  <c r="P31" i="1" s="1"/>
  <c r="Q31" i="1" s="1"/>
  <c r="O69" i="1"/>
  <c r="P69" i="1" s="1"/>
  <c r="Q69" i="1" s="1"/>
  <c r="O39" i="1"/>
  <c r="P39" i="1" s="1"/>
  <c r="Q39" i="1" s="1"/>
  <c r="O32" i="1"/>
  <c r="P32" i="1" s="1"/>
  <c r="Q32" i="1" s="1"/>
  <c r="L10" i="1"/>
  <c r="L60" i="1"/>
  <c r="M16" i="1"/>
  <c r="O54" i="1"/>
  <c r="P54" i="1" s="1"/>
  <c r="Q54" i="1" s="1"/>
  <c r="O47" i="1"/>
  <c r="P47" i="1" s="1"/>
  <c r="Q47" i="1" s="1"/>
  <c r="M22" i="1"/>
  <c r="O24" i="1"/>
  <c r="P24" i="1" s="1"/>
  <c r="Q24" i="1" s="1"/>
  <c r="L23" i="1"/>
  <c r="L22" i="1" s="1"/>
  <c r="O26" i="1"/>
  <c r="P26" i="1" s="1"/>
  <c r="Q26" i="1" s="1"/>
  <c r="O23" i="1"/>
  <c r="P23" i="1" s="1"/>
  <c r="Q23" i="1" s="1"/>
  <c r="O17" i="1"/>
  <c r="P17" i="1" s="1"/>
  <c r="Q17" i="1" s="1"/>
  <c r="O89" i="1"/>
  <c r="P89" i="1" s="1"/>
  <c r="Q89" i="1" s="1"/>
  <c r="O18" i="1"/>
  <c r="P18" i="1" s="1"/>
  <c r="Q18" i="1" s="1"/>
  <c r="K12" i="1"/>
  <c r="K13" i="1"/>
  <c r="K14" i="1"/>
  <c r="K15" i="1"/>
  <c r="K16" i="1"/>
  <c r="K17" i="1"/>
  <c r="K18" i="1"/>
  <c r="K19" i="1"/>
  <c r="K20" i="1"/>
  <c r="K21" i="1"/>
  <c r="K22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11" i="1"/>
  <c r="O16" i="1" l="1"/>
  <c r="P16" i="1" s="1"/>
  <c r="Q16" i="1" s="1"/>
  <c r="P38" i="1"/>
  <c r="P37" i="1" s="1"/>
  <c r="O22" i="1"/>
  <c r="P22" i="1" s="1"/>
  <c r="Q22" i="1" s="1"/>
  <c r="L59" i="1"/>
  <c r="O59" i="1" s="1"/>
  <c r="P59" i="1" s="1"/>
  <c r="Q59" i="1" s="1"/>
  <c r="O60" i="1"/>
  <c r="P60" i="1" s="1"/>
  <c r="Q60" i="1" s="1"/>
  <c r="O10" i="1"/>
  <c r="P10" i="1" s="1"/>
  <c r="Q10" i="1" s="1"/>
  <c r="L9" i="1"/>
  <c r="O9" i="1" s="1"/>
  <c r="K23" i="1"/>
  <c r="Q38" i="1" l="1"/>
  <c r="Q37" i="1" s="1"/>
  <c r="P9" i="1"/>
  <c r="Q9" i="1"/>
  <c r="R191" i="3"/>
  <c r="R192" i="3" s="1"/>
  <c r="O191" i="3"/>
  <c r="O192" i="3" s="1"/>
  <c r="N192" i="3" l="1"/>
  <c r="N191" i="3"/>
  <c r="S191" i="3"/>
  <c r="S192" i="3" s="1"/>
  <c r="O211" i="3"/>
  <c r="O220" i="3" s="1"/>
  <c r="J210" i="3"/>
  <c r="R210" i="3" s="1"/>
  <c r="R211" i="3" s="1"/>
  <c r="R220" i="3" s="1"/>
  <c r="N210" i="3" l="1"/>
  <c r="S210" i="3"/>
  <c r="S211" i="3" s="1"/>
  <c r="S220" i="3" s="1"/>
  <c r="N211" i="3" l="1"/>
  <c r="N220" i="3" s="1"/>
</calcChain>
</file>

<file path=xl/sharedStrings.xml><?xml version="1.0" encoding="utf-8"?>
<sst xmlns="http://schemas.openxmlformats.org/spreadsheetml/2006/main" count="2029" uniqueCount="216">
  <si>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</si>
  <si>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</si>
  <si>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</si>
  <si>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</si>
  <si>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</si>
  <si>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</si>
  <si>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</si>
  <si>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</si>
  <si>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</si>
  <si>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</si>
  <si>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</si>
  <si>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</si>
  <si>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</si>
  <si>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</si>
  <si>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</si>
  <si>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</si>
  <si>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</si>
  <si>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</si>
  <si>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</si>
  <si>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</si>
  <si>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</si>
  <si>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</si>
  <si>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</si>
  <si>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</si>
  <si>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</si>
  <si>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</si>
  <si>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</si>
  <si>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</si>
  <si>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</si>
  <si>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</si>
  <si>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</si>
  <si>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</si>
  <si>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</si>
  <si>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</si>
  <si>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</si>
  <si>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</si>
  <si>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</si>
  <si>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</si>
  <si>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</si>
  <si>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</si>
  <si>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</si>
  <si>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</si>
  <si>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</si>
  <si>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</si>
  <si>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</si>
  <si>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</si>
  <si>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</si>
  <si>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</si>
  <si>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</si>
  <si>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</si>
  <si>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</si>
  <si>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</si>
  <si>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</si>
  <si>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</si>
  <si>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</si>
  <si>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</si>
  <si>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</si>
  <si>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</si>
  <si>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</si>
  <si>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</si>
  <si>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</si>
  <si>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</si>
  <si>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</si>
  <si>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</si>
  <si>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</si>
  <si>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</si>
  <si>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</si>
  <si>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</si>
  <si>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</si>
  <si>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</si>
  <si>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</si>
  <si>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</si>
  <si>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</si>
  <si>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</si>
  <si>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</si>
  <si>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</si>
  <si>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</si>
  <si>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</si>
  <si>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</si>
  <si>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</si>
  <si>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</si>
  <si>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</si>
  <si>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</si>
  <si>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</si>
  <si>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</si>
  <si>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</si>
  <si>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</si>
  <si>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</si>
  <si>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</si>
  <si>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</si>
  <si>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</si>
  <si>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</si>
  <si>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</si>
  <si>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</si>
  <si>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</si>
  <si>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</si>
  <si>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</si>
  <si>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</si>
  <si>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</si>
  <si>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</si>
  <si>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</si>
  <si>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</si>
  <si>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</si>
  <si>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</si>
  <si>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</si>
  <si>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</si>
  <si>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</si>
  <si>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</si>
  <si>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</si>
  <si>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</si>
  <si>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</si>
  <si>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</si>
  <si>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</si>
  <si>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</si>
  <si>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</si>
  <si>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</si>
  <si>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</si>
  <si>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</si>
  <si>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</si>
  <si>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</si>
  <si>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</si>
  <si>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</si>
  <si>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</si>
  <si>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</si>
  <si>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</si>
  <si>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</si>
  <si>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</si>
  <si>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</si>
  <si>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</si>
  <si>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</si>
  <si>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</si>
  <si>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</si>
  <si>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</si>
  <si>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</si>
  <si>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</si>
  <si>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</si>
  <si>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</si>
  <si>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</si>
  <si>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</si>
  <si>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</si>
  <si>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</si>
  <si>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</si>
  <si>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</si>
  <si>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</si>
  <si>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</si>
  <si>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</si>
  <si>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</si>
  <si>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</si>
  <si>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</si>
  <si>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</si>
  <si>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</si>
  <si>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</si>
  <si>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</si>
  <si>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</si>
  <si>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</si>
  <si>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</si>
  <si>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</si>
  <si>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</si>
  <si>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</si>
  <si>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</si>
  <si>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</si>
  <si>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</si>
  <si>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</si>
  <si>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</si>
  <si>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</si>
  <si>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</si>
  <si>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</si>
  <si>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</si>
  <si>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</si>
  <si>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</si>
  <si>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</si>
  <si>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</si>
  <si>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</si>
  <si>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</si>
  <si>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</si>
  <si>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</si>
  <si>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</si>
  <si>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</si>
  <si>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2019 год, всего</t>
  </si>
  <si>
    <t>2\30</t>
  </si>
  <si>
    <t>4\54</t>
  </si>
  <si>
    <t>2\19</t>
  </si>
  <si>
    <t>3\65</t>
  </si>
  <si>
    <t>5\96</t>
  </si>
  <si>
    <t>7\120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</si>
  <si>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</si>
  <si>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</si>
  <si>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</si>
  <si>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</si>
  <si>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</si>
  <si>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Нормативные затраты на оказание муниципальных услуг (работ) на 2018-2020 гг.</t>
  </si>
  <si>
    <t>2018 год c 01.09.2018</t>
  </si>
  <si>
    <t>2018 год срзнач.</t>
  </si>
  <si>
    <t>2020 год</t>
  </si>
  <si>
    <t>Всего на 2018 год:</t>
  </si>
  <si>
    <t>2020 год, всего</t>
  </si>
  <si>
    <t>2020год</t>
  </si>
  <si>
    <t>2018год</t>
  </si>
  <si>
    <t>11041,90- на 1 человека</t>
  </si>
  <si>
    <t>668575,57- на 1 класс+ 941,28- на 1 человека</t>
  </si>
  <si>
    <t>619952,77- на 1 класс+ 941,28 на 1 человека</t>
  </si>
  <si>
    <t>993246,10- на 1 класс+ 1148,82 на 1 человека</t>
  </si>
  <si>
    <t>777519,25- на 1 класс+1148,82 на 1 человека</t>
  </si>
  <si>
    <t>831071,27 на 1 класс+1391,95 на 1 человека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</si>
  <si>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</si>
  <si>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</si>
  <si>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</si>
  <si>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831071,27 на 1 класс+ 16435,84 на 1 человека</t>
  </si>
  <si>
    <t>993246,1- на 1 класс+ 16192,71 на 1 человека</t>
  </si>
  <si>
    <t>777519,25 на 1 класс+ 16192,71 на 1 человека</t>
  </si>
  <si>
    <t>619952,77 на 1 класс+ 15985,17 на 1 человека</t>
  </si>
  <si>
    <t>668575,57- на 1 класс+15985,17 на 1 человека</t>
  </si>
  <si>
    <t>3\34</t>
  </si>
  <si>
    <t>к Приказу от 27.12.2017 г. № 244</t>
  </si>
  <si>
    <t>Приложение № 2</t>
  </si>
  <si>
    <t>к Приказу от 12.04.2018 г. № 75/1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</si>
</sst>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0"/>
  </numFmts>
  <fonts count="16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198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right" wrapText="1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0" fontId="1" fillId="0" borderId="4" xfId="0" applyFont="1" applyFill="1" applyBorder="1" applyAlignment="1">
      <alignment horizontal="right"/>
    </xf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/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top" wrapText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2.75" x14ac:dyDescent="0.2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 x14ac:dyDescent="0.2">
      <c r="A1" s="1"/>
      <c r="O1" s="3" t="s">
        <v>2</v>
      </c>
    </row>
    <row r="2" spans="1:19" ht="15" x14ac:dyDescent="0.2">
      <c r="O2" s="3" t="s">
        <v>153</v>
      </c>
    </row>
    <row r="3" spans="1:19" ht="18.75" x14ac:dyDescent="0.2">
      <c r="A3" s="162" t="s">
        <v>1</v>
      </c>
      <c r="B3" s="162"/>
      <c r="C3" s="163"/>
      <c r="D3" s="162"/>
      <c r="E3" s="162"/>
      <c r="F3" s="162"/>
      <c r="G3" s="162"/>
      <c r="H3" s="162"/>
      <c r="I3" s="163"/>
      <c r="J3" s="162"/>
      <c r="K3" s="162"/>
      <c r="L3" s="162"/>
      <c r="M3" s="162"/>
      <c r="N3" s="163"/>
      <c r="O3" s="162"/>
      <c r="P3" s="162"/>
      <c r="Q3" s="162"/>
    </row>
    <row r="4" spans="1:19" ht="36.75" customHeight="1" x14ac:dyDescent="0.3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 x14ac:dyDescent="0.2">
      <c r="A6" s="38" t="s">
        <v>3</v>
      </c>
      <c r="B6" s="38" t="s">
        <v>81</v>
      </c>
      <c r="C6" s="38" t="s">
        <v>152</v>
      </c>
      <c r="D6" s="38" t="s">
        <v>4</v>
      </c>
      <c r="E6" s="169" t="s">
        <v>5</v>
      </c>
      <c r="F6" s="169"/>
      <c r="G6" s="169"/>
      <c r="H6" s="160" t="s">
        <v>6</v>
      </c>
      <c r="I6" s="160"/>
      <c r="J6" s="160"/>
      <c r="K6" s="160"/>
      <c r="L6" s="160" t="s">
        <v>7</v>
      </c>
      <c r="M6" s="160"/>
      <c r="N6" s="160"/>
      <c r="O6" s="160"/>
      <c r="P6" s="160"/>
      <c r="Q6" s="160"/>
    </row>
    <row r="7" spans="1:19" ht="60" x14ac:dyDescent="0.25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161" t="s">
        <v>8</v>
      </c>
      <c r="M7" s="161"/>
      <c r="N7" s="161"/>
      <c r="O7" s="161"/>
      <c r="P7" s="40" t="s">
        <v>9</v>
      </c>
      <c r="Q7" s="40" t="s">
        <v>10</v>
      </c>
    </row>
    <row r="8" spans="1:19" ht="43.5" customHeight="1" x14ac:dyDescent="0.25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 x14ac:dyDescent="0.2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 x14ac:dyDescent="0.2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 x14ac:dyDescent="0.2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 x14ac:dyDescent="0.2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75" hidden="1" x14ac:dyDescent="0.25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5" hidden="1" x14ac:dyDescent="0.25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5" x14ac:dyDescent="0.2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5" x14ac:dyDescent="0.2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5.5" x14ac:dyDescent="0.2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105" x14ac:dyDescent="0.2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5" hidden="1" x14ac:dyDescent="0.25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75" hidden="1" x14ac:dyDescent="0.25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5" x14ac:dyDescent="0.2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5" x14ac:dyDescent="0.2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5.5" x14ac:dyDescent="0.2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105" x14ac:dyDescent="0.2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5" x14ac:dyDescent="0.2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105" x14ac:dyDescent="0.2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5" hidden="1" x14ac:dyDescent="0.25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75" hidden="1" x14ac:dyDescent="0.25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5" x14ac:dyDescent="0.2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5" x14ac:dyDescent="0.2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5.5" x14ac:dyDescent="0.2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105" x14ac:dyDescent="0.2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5" x14ac:dyDescent="0.2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5" hidden="1" x14ac:dyDescent="0.25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60" hidden="1" x14ac:dyDescent="0.25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5" x14ac:dyDescent="0.2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5" x14ac:dyDescent="0.2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5.5" x14ac:dyDescent="0.2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105" x14ac:dyDescent="0.2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5" x14ac:dyDescent="0.2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105" x14ac:dyDescent="0.2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5" hidden="1" x14ac:dyDescent="0.25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75" hidden="1" x14ac:dyDescent="0.25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5" x14ac:dyDescent="0.2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5" x14ac:dyDescent="0.2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5.5" x14ac:dyDescent="0.2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105" x14ac:dyDescent="0.2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5" x14ac:dyDescent="0.2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5" hidden="1" x14ac:dyDescent="0.25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60" hidden="1" x14ac:dyDescent="0.25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5" x14ac:dyDescent="0.2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5" x14ac:dyDescent="0.2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5.5" x14ac:dyDescent="0.2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105" x14ac:dyDescent="0.2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5" x14ac:dyDescent="0.2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5" hidden="1" x14ac:dyDescent="0.25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75" hidden="1" x14ac:dyDescent="0.25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5" x14ac:dyDescent="0.2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5" x14ac:dyDescent="0.2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5.5" x14ac:dyDescent="0.2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105" x14ac:dyDescent="0.2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5" x14ac:dyDescent="0.2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75" x14ac:dyDescent="0.2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5" hidden="1" x14ac:dyDescent="0.25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75" hidden="1" x14ac:dyDescent="0.25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5" x14ac:dyDescent="0.2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5" x14ac:dyDescent="0.2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5.5" x14ac:dyDescent="0.2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105" x14ac:dyDescent="0.2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5" x14ac:dyDescent="0.2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75" x14ac:dyDescent="0.2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5" hidden="1" x14ac:dyDescent="0.25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75" hidden="1" x14ac:dyDescent="0.25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5" x14ac:dyDescent="0.2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5" x14ac:dyDescent="0.2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5.5" x14ac:dyDescent="0.2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105" x14ac:dyDescent="0.2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5" x14ac:dyDescent="0.2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5" hidden="1" x14ac:dyDescent="0.25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75" hidden="1" x14ac:dyDescent="0.25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5" x14ac:dyDescent="0.2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5" x14ac:dyDescent="0.2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5.5" x14ac:dyDescent="0.2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105" x14ac:dyDescent="0.2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5" x14ac:dyDescent="0.2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5" hidden="1" x14ac:dyDescent="0.25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75" hidden="1" x14ac:dyDescent="0.25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5" x14ac:dyDescent="0.2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5" x14ac:dyDescent="0.2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5.5" x14ac:dyDescent="0.2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105" x14ac:dyDescent="0.2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5" x14ac:dyDescent="0.2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5" hidden="1" x14ac:dyDescent="0.25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75" hidden="1" x14ac:dyDescent="0.25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5" x14ac:dyDescent="0.2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 x14ac:dyDescent="0.3">
      <c r="A96" s="158" t="s">
        <v>154</v>
      </c>
      <c r="B96" s="158"/>
      <c r="C96" s="158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 x14ac:dyDescent="0.2">
      <c r="A97" s="164" t="s">
        <v>3</v>
      </c>
      <c r="B97" s="164" t="s">
        <v>86</v>
      </c>
      <c r="C97" s="7" t="s">
        <v>87</v>
      </c>
      <c r="D97" s="164" t="s">
        <v>4</v>
      </c>
      <c r="E97" s="164" t="s">
        <v>5</v>
      </c>
      <c r="F97" s="164"/>
      <c r="G97" s="164"/>
      <c r="H97" s="164" t="s">
        <v>6</v>
      </c>
      <c r="I97" s="164"/>
      <c r="J97" s="164"/>
      <c r="K97" s="164"/>
      <c r="L97" s="164" t="s">
        <v>7</v>
      </c>
      <c r="M97" s="164"/>
      <c r="N97" s="164"/>
      <c r="O97" s="164"/>
      <c r="P97" s="164"/>
      <c r="Q97" s="164"/>
    </row>
    <row r="98" spans="1:17" ht="120" x14ac:dyDescent="0.2">
      <c r="A98" s="164"/>
      <c r="B98" s="164"/>
      <c r="C98" s="7"/>
      <c r="D98" s="164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60" x14ac:dyDescent="0.2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 x14ac:dyDescent="0.25">
      <c r="A100" s="159" t="s">
        <v>98</v>
      </c>
      <c r="B100" s="156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 x14ac:dyDescent="0.2">
      <c r="A101" s="159"/>
      <c r="B101" s="156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20" x14ac:dyDescent="0.25">
      <c r="A102" s="159"/>
      <c r="B102" s="156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5" x14ac:dyDescent="0.2">
      <c r="A103" s="159"/>
      <c r="B103" s="156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90" x14ac:dyDescent="0.25">
      <c r="A104" s="159"/>
      <c r="B104" s="156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120" x14ac:dyDescent="0.25">
      <c r="A105" s="159"/>
      <c r="B105" s="156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20" x14ac:dyDescent="0.25">
      <c r="A106" s="159"/>
      <c r="B106" s="156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5" x14ac:dyDescent="0.25">
      <c r="A107" s="159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90" x14ac:dyDescent="0.25">
      <c r="A108" s="159"/>
      <c r="B108" s="156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120" x14ac:dyDescent="0.25">
      <c r="A109" s="159"/>
      <c r="B109" s="156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20" x14ac:dyDescent="0.25">
      <c r="A110" s="159"/>
      <c r="B110" s="156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5" x14ac:dyDescent="0.25">
      <c r="A111" s="159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 x14ac:dyDescent="0.25">
      <c r="A112" s="159"/>
      <c r="B112" s="157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 x14ac:dyDescent="0.25">
      <c r="A113" s="159"/>
      <c r="B113" s="157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5" x14ac:dyDescent="0.25">
      <c r="A114" s="159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 x14ac:dyDescent="0.2">
      <c r="A115" s="159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90" x14ac:dyDescent="0.25">
      <c r="A116" s="159" t="s">
        <v>113</v>
      </c>
      <c r="B116" s="156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 x14ac:dyDescent="0.2">
      <c r="A117" s="159"/>
      <c r="B117" s="156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20" x14ac:dyDescent="0.25">
      <c r="A118" s="159"/>
      <c r="B118" s="156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5" x14ac:dyDescent="0.2">
      <c r="A119" s="159"/>
      <c r="B119" s="156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90" x14ac:dyDescent="0.25">
      <c r="A120" s="159"/>
      <c r="B120" s="156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 x14ac:dyDescent="0.25">
      <c r="A121" s="159"/>
      <c r="B121" s="156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20" x14ac:dyDescent="0.25">
      <c r="A122" s="159"/>
      <c r="B122" s="156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5" x14ac:dyDescent="0.25">
      <c r="A123" s="159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90" x14ac:dyDescent="0.25">
      <c r="A124" s="159"/>
      <c r="B124" s="156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 x14ac:dyDescent="0.25">
      <c r="A125" s="159"/>
      <c r="B125" s="156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20" x14ac:dyDescent="0.25">
      <c r="A126" s="159"/>
      <c r="B126" s="156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5" x14ac:dyDescent="0.25">
      <c r="A127" s="159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 x14ac:dyDescent="0.25">
      <c r="A128" s="159"/>
      <c r="B128" s="157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 x14ac:dyDescent="0.25">
      <c r="A129" s="159"/>
      <c r="B129" s="157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5" x14ac:dyDescent="0.25">
      <c r="A130" s="159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4.25" x14ac:dyDescent="0.2">
      <c r="A131" s="159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90" x14ac:dyDescent="0.25">
      <c r="A132" s="159" t="s">
        <v>114</v>
      </c>
      <c r="B132" s="156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120" x14ac:dyDescent="0.2">
      <c r="A133" s="159"/>
      <c r="B133" s="156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20" x14ac:dyDescent="0.25">
      <c r="A134" s="159"/>
      <c r="B134" s="156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5" x14ac:dyDescent="0.2">
      <c r="A135" s="159"/>
      <c r="B135" s="156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90" x14ac:dyDescent="0.25">
      <c r="A136" s="159"/>
      <c r="B136" s="156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 x14ac:dyDescent="0.25">
      <c r="A137" s="159"/>
      <c r="B137" s="156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20" x14ac:dyDescent="0.25">
      <c r="A138" s="159"/>
      <c r="B138" s="156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5" x14ac:dyDescent="0.25">
      <c r="A139" s="159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90" x14ac:dyDescent="0.25">
      <c r="A140" s="159"/>
      <c r="B140" s="156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120" x14ac:dyDescent="0.25">
      <c r="A141" s="159"/>
      <c r="B141" s="156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20" x14ac:dyDescent="0.25">
      <c r="A142" s="159"/>
      <c r="B142" s="156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5" x14ac:dyDescent="0.25">
      <c r="A143" s="159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 x14ac:dyDescent="0.25">
      <c r="A144" s="159"/>
      <c r="B144" s="157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 x14ac:dyDescent="0.25">
      <c r="A145" s="159"/>
      <c r="B145" s="157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5" x14ac:dyDescent="0.25">
      <c r="A146" s="159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4.25" x14ac:dyDescent="0.2">
      <c r="A147" s="159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90" x14ac:dyDescent="0.25">
      <c r="A148" s="159" t="s">
        <v>115</v>
      </c>
      <c r="B148" s="156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 x14ac:dyDescent="0.2">
      <c r="A149" s="159"/>
      <c r="B149" s="156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20" x14ac:dyDescent="0.25">
      <c r="A150" s="159"/>
      <c r="B150" s="156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5" x14ac:dyDescent="0.2">
      <c r="A151" s="159"/>
      <c r="B151" s="156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90" x14ac:dyDescent="0.25">
      <c r="A152" s="159"/>
      <c r="B152" s="156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 x14ac:dyDescent="0.25">
      <c r="A153" s="159"/>
      <c r="B153" s="156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20" x14ac:dyDescent="0.25">
      <c r="A154" s="159"/>
      <c r="B154" s="156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5" x14ac:dyDescent="0.25">
      <c r="A155" s="159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90" x14ac:dyDescent="0.25">
      <c r="A156" s="159"/>
      <c r="B156" s="156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120" x14ac:dyDescent="0.25">
      <c r="A157" s="159"/>
      <c r="B157" s="156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20" x14ac:dyDescent="0.25">
      <c r="A158" s="159"/>
      <c r="B158" s="156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5" x14ac:dyDescent="0.25">
      <c r="A159" s="159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 x14ac:dyDescent="0.25">
      <c r="A160" s="159"/>
      <c r="B160" s="157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 x14ac:dyDescent="0.25">
      <c r="A161" s="159"/>
      <c r="B161" s="157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5" x14ac:dyDescent="0.25">
      <c r="A162" s="159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4.25" x14ac:dyDescent="0.2">
      <c r="A163" s="159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90" x14ac:dyDescent="0.25">
      <c r="A164" s="159" t="s">
        <v>116</v>
      </c>
      <c r="B164" s="156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 x14ac:dyDescent="0.2">
      <c r="A165" s="159"/>
      <c r="B165" s="156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20" x14ac:dyDescent="0.25">
      <c r="A166" s="159"/>
      <c r="B166" s="156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105" x14ac:dyDescent="0.25">
      <c r="A167" s="159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5" x14ac:dyDescent="0.2">
      <c r="A168" s="159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90" x14ac:dyDescent="0.25">
      <c r="A169" s="159"/>
      <c r="B169" s="156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 x14ac:dyDescent="0.25">
      <c r="A170" s="159"/>
      <c r="B170" s="156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 x14ac:dyDescent="0.25">
      <c r="A171" s="159"/>
      <c r="B171" s="156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20" x14ac:dyDescent="0.25">
      <c r="A172" s="159"/>
      <c r="B172" s="156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105" x14ac:dyDescent="0.25">
      <c r="A173" s="159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5" x14ac:dyDescent="0.25">
      <c r="A174" s="159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90" x14ac:dyDescent="0.25">
      <c r="A175" s="159"/>
      <c r="B175" s="156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 x14ac:dyDescent="0.25">
      <c r="A176" s="159"/>
      <c r="B176" s="156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20" x14ac:dyDescent="0.25">
      <c r="A177" s="159"/>
      <c r="B177" s="156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5" x14ac:dyDescent="0.25">
      <c r="A178" s="159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 x14ac:dyDescent="0.25">
      <c r="A179" s="159"/>
      <c r="B179" s="157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 x14ac:dyDescent="0.25">
      <c r="A180" s="159"/>
      <c r="B180" s="157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5" x14ac:dyDescent="0.25">
      <c r="A181" s="159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4.25" x14ac:dyDescent="0.2">
      <c r="A182" s="159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 x14ac:dyDescent="0.25">
      <c r="A183" s="159" t="s">
        <v>119</v>
      </c>
      <c r="B183" s="156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 x14ac:dyDescent="0.25">
      <c r="A184" s="159"/>
      <c r="B184" s="156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 x14ac:dyDescent="0.2">
      <c r="A185" s="159"/>
      <c r="B185" s="156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5" x14ac:dyDescent="0.2">
      <c r="A186" s="159"/>
      <c r="B186" s="156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 x14ac:dyDescent="0.25">
      <c r="A187" s="159"/>
      <c r="B187" s="156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 x14ac:dyDescent="0.25">
      <c r="A188" s="159"/>
      <c r="B188" s="156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 x14ac:dyDescent="0.25">
      <c r="A189" s="159"/>
      <c r="B189" s="156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20" x14ac:dyDescent="0.25">
      <c r="A190" s="159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5" x14ac:dyDescent="0.25">
      <c r="A191" s="159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 x14ac:dyDescent="0.25">
      <c r="A192" s="159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 x14ac:dyDescent="0.25">
      <c r="A193" s="159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 x14ac:dyDescent="0.25">
      <c r="A194" s="159"/>
      <c r="B194" s="157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 x14ac:dyDescent="0.25">
      <c r="A195" s="159"/>
      <c r="B195" s="157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5" x14ac:dyDescent="0.25">
      <c r="A196" s="159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4.25" x14ac:dyDescent="0.2">
      <c r="A197" s="159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 x14ac:dyDescent="0.25">
      <c r="A198" s="55" t="s">
        <v>156</v>
      </c>
    </row>
    <row r="199" spans="1:17" ht="30" x14ac:dyDescent="0.2">
      <c r="A199" s="43" t="s">
        <v>3</v>
      </c>
      <c r="B199" s="43" t="s">
        <v>81</v>
      </c>
      <c r="C199" s="43" t="s">
        <v>4</v>
      </c>
      <c r="D199" s="167" t="s">
        <v>5</v>
      </c>
      <c r="E199" s="167"/>
      <c r="F199" s="167"/>
      <c r="G199" s="168" t="s">
        <v>6</v>
      </c>
      <c r="H199" s="168" t="s">
        <v>7</v>
      </c>
      <c r="I199" s="168"/>
      <c r="J199" s="168"/>
    </row>
    <row r="200" spans="1:17" ht="15" x14ac:dyDescent="0.2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168"/>
      <c r="H200" s="50">
        <v>2016</v>
      </c>
      <c r="I200" s="50" t="s">
        <v>9</v>
      </c>
      <c r="J200" s="50" t="s">
        <v>10</v>
      </c>
    </row>
    <row r="201" spans="1:17" ht="75" x14ac:dyDescent="0.2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 x14ac:dyDescent="0.2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 x14ac:dyDescent="0.25">
      <c r="A203" s="165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 x14ac:dyDescent="0.25">
      <c r="A204" s="166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 x14ac:dyDescent="0.25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 x14ac:dyDescent="0.2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7"/>
  <sheetViews>
    <sheetView tabSelected="1" zoomScale="80" zoomScaleNormal="80" workbookViewId="0">
      <selection activeCell="Q2" sqref="Q2:S2"/>
    </sheetView>
  </sheetViews>
  <sheetFormatPr defaultColWidth="9.140625" defaultRowHeight="15" x14ac:dyDescent="0.25"/>
  <cols>
    <col min="1" max="1" width="19.42578125" style="80" customWidth="1"/>
    <col min="2" max="2" width="19.85546875" style="80" customWidth="1"/>
    <col min="3" max="3" width="23.7109375" style="80" customWidth="1"/>
    <col min="4" max="4" width="8.7109375" style="80" customWidth="1"/>
    <col min="5" max="5" width="18.28515625" style="80" customWidth="1"/>
    <col min="6" max="6" width="13.28515625" style="80" hidden="1" customWidth="1"/>
    <col min="7" max="7" width="14" style="80" hidden="1" customWidth="1"/>
    <col min="8" max="9" width="12.7109375" style="80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bestFit="1" customWidth="1"/>
    <col min="14" max="14" width="16.7109375" style="80" customWidth="1"/>
    <col min="15" max="15" width="15.42578125" style="80" customWidth="1"/>
    <col min="16" max="16" width="14.7109375" style="80" customWidth="1"/>
    <col min="17" max="17" width="14.28515625" style="80" customWidth="1"/>
    <col min="18" max="18" width="14.140625" style="80" customWidth="1"/>
    <col min="19" max="19" width="14.85546875" style="80" bestFit="1" customWidth="1"/>
    <col min="20" max="20" width="15.28515625" style="80" customWidth="1"/>
    <col min="21" max="21" width="13.5703125" style="80" bestFit="1" customWidth="1"/>
    <col min="22" max="22" width="9.42578125" style="80" bestFit="1" customWidth="1"/>
    <col min="23" max="16384" width="9.140625" style="80"/>
  </cols>
  <sheetData>
    <row r="1" spans="1:21" x14ac:dyDescent="0.25">
      <c r="Q1" s="120" t="s">
        <v>214</v>
      </c>
    </row>
    <row r="2" spans="1:21" x14ac:dyDescent="0.25">
      <c r="Q2" s="196" t="s">
        <v>215</v>
      </c>
      <c r="R2" s="197"/>
      <c r="S2" s="197"/>
    </row>
    <row r="3" spans="1:21" x14ac:dyDescent="0.25">
      <c r="Q3" s="120" t="s">
        <v>175</v>
      </c>
    </row>
    <row r="4" spans="1:21" x14ac:dyDescent="0.25">
      <c r="Q4" s="120" t="s">
        <v>213</v>
      </c>
    </row>
    <row r="5" spans="1:21" x14ac:dyDescent="0.25">
      <c r="A5" s="178" t="s">
        <v>190</v>
      </c>
      <c r="B5" s="178"/>
      <c r="C5" s="179"/>
      <c r="D5" s="178"/>
      <c r="E5" s="178"/>
      <c r="F5" s="179"/>
      <c r="G5" s="179"/>
      <c r="H5" s="178"/>
      <c r="I5" s="178"/>
      <c r="J5" s="178"/>
      <c r="K5" s="179"/>
      <c r="L5" s="178"/>
      <c r="M5" s="178"/>
      <c r="N5" s="178"/>
      <c r="O5" s="178"/>
      <c r="P5" s="179"/>
      <c r="Q5" s="178"/>
      <c r="R5" s="178"/>
      <c r="S5" s="178"/>
    </row>
    <row r="6" spans="1:21" ht="36.75" customHeight="1" x14ac:dyDescent="0.25">
      <c r="A6" s="81" t="s">
        <v>155</v>
      </c>
    </row>
    <row r="8" spans="1:21" ht="49.15" customHeight="1" x14ac:dyDescent="0.25">
      <c r="A8" s="143" t="s">
        <v>3</v>
      </c>
      <c r="B8" s="111" t="s">
        <v>81</v>
      </c>
      <c r="C8" s="111" t="s">
        <v>152</v>
      </c>
      <c r="D8" s="111" t="s">
        <v>4</v>
      </c>
      <c r="E8" s="144" t="s">
        <v>5</v>
      </c>
      <c r="F8" s="145"/>
      <c r="G8" s="145"/>
      <c r="H8" s="145"/>
      <c r="I8" s="146"/>
      <c r="J8" s="180" t="s">
        <v>6</v>
      </c>
      <c r="K8" s="181"/>
      <c r="L8" s="181"/>
      <c r="M8" s="182"/>
      <c r="N8" s="171" t="s">
        <v>7</v>
      </c>
      <c r="O8" s="171"/>
      <c r="P8" s="171"/>
      <c r="Q8" s="171"/>
      <c r="R8" s="171"/>
      <c r="S8" s="171"/>
    </row>
    <row r="9" spans="1:21" x14ac:dyDescent="0.25">
      <c r="A9" s="111"/>
      <c r="B9" s="111"/>
      <c r="C9" s="111"/>
      <c r="D9" s="111"/>
      <c r="E9" s="185" t="s">
        <v>197</v>
      </c>
      <c r="F9" s="186"/>
      <c r="G9" s="187"/>
      <c r="H9" s="110"/>
      <c r="I9" s="110"/>
      <c r="J9" s="154"/>
      <c r="K9" s="154"/>
      <c r="L9" s="154"/>
      <c r="M9" s="154"/>
      <c r="N9" s="180"/>
      <c r="O9" s="190"/>
      <c r="P9" s="190"/>
      <c r="Q9" s="191"/>
      <c r="R9" s="111"/>
      <c r="S9" s="111"/>
    </row>
    <row r="10" spans="1:21" ht="60" x14ac:dyDescent="0.25">
      <c r="A10" s="82"/>
      <c r="B10" s="82"/>
      <c r="C10" s="82"/>
      <c r="D10" s="82"/>
      <c r="E10" s="138" t="s">
        <v>10</v>
      </c>
      <c r="F10" s="140" t="s">
        <v>191</v>
      </c>
      <c r="G10" s="140" t="s">
        <v>192</v>
      </c>
      <c r="H10" s="139" t="s">
        <v>176</v>
      </c>
      <c r="I10" s="139" t="s">
        <v>193</v>
      </c>
      <c r="J10" s="83" t="s">
        <v>79</v>
      </c>
      <c r="K10" s="154" t="s">
        <v>80</v>
      </c>
      <c r="L10" s="83" t="s">
        <v>11</v>
      </c>
      <c r="M10" s="155" t="s">
        <v>12</v>
      </c>
      <c r="N10" s="183" t="s">
        <v>10</v>
      </c>
      <c r="O10" s="183"/>
      <c r="P10" s="183"/>
      <c r="Q10" s="183"/>
      <c r="R10" s="139" t="s">
        <v>176</v>
      </c>
      <c r="S10" s="139" t="s">
        <v>193</v>
      </c>
    </row>
    <row r="11" spans="1:21" ht="63" customHeight="1" x14ac:dyDescent="0.25">
      <c r="A11" s="83" t="s">
        <v>13</v>
      </c>
      <c r="B11" s="83" t="s">
        <v>14</v>
      </c>
      <c r="C11" s="83"/>
      <c r="D11" s="111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54" t="s">
        <v>17</v>
      </c>
      <c r="K11" s="154" t="s">
        <v>17</v>
      </c>
      <c r="L11" s="154" t="s">
        <v>17</v>
      </c>
      <c r="M11" s="154" t="s">
        <v>17</v>
      </c>
      <c r="N11" s="111" t="s">
        <v>85</v>
      </c>
      <c r="O11" s="143" t="s">
        <v>83</v>
      </c>
      <c r="P11" s="123" t="s">
        <v>84</v>
      </c>
      <c r="Q11" s="118" t="s">
        <v>12</v>
      </c>
      <c r="R11" s="111" t="s">
        <v>17</v>
      </c>
      <c r="S11" s="111" t="s">
        <v>17</v>
      </c>
    </row>
    <row r="12" spans="1:21" x14ac:dyDescent="0.25">
      <c r="A12" s="115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75"/>
      <c r="M12" s="75"/>
      <c r="N12" s="78">
        <f>N13+N18</f>
        <v>5739991.9199999999</v>
      </c>
      <c r="O12" s="78">
        <f>O13+O18</f>
        <v>1408550.8800000001</v>
      </c>
      <c r="P12" s="78">
        <f>P13+P18</f>
        <v>6434058.3200000003</v>
      </c>
      <c r="Q12" s="78">
        <f t="shared" ref="Q12:S12" si="0">Q13+Q18</f>
        <v>13582601.120000001</v>
      </c>
      <c r="R12" s="78">
        <f>R13+R18</f>
        <v>13582601.120000001</v>
      </c>
      <c r="S12" s="78">
        <f t="shared" si="0"/>
        <v>13582601.120000001</v>
      </c>
    </row>
    <row r="13" spans="1:21" ht="85.5" x14ac:dyDescent="0.25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75"/>
      <c r="M13" s="75"/>
      <c r="N13" s="75">
        <f>N14+N15+N17+N16</f>
        <v>5739991.9199999999</v>
      </c>
      <c r="O13" s="75">
        <f>O14+O15+O17+O16</f>
        <v>1408550.8800000001</v>
      </c>
      <c r="P13" s="75">
        <f>P14+P15+P17+P16</f>
        <v>3351458.08</v>
      </c>
      <c r="Q13" s="75">
        <f t="shared" ref="Q13:S13" si="1">Q14+Q15+Q17+Q16</f>
        <v>10500000.880000001</v>
      </c>
      <c r="R13" s="75">
        <f>R14+R15+R17+R16</f>
        <v>10500000.880000001</v>
      </c>
      <c r="S13" s="75">
        <f t="shared" si="1"/>
        <v>10500000.880000001</v>
      </c>
      <c r="U13" s="85"/>
    </row>
    <row r="14" spans="1:21" ht="105" x14ac:dyDescent="0.25">
      <c r="A14" s="83"/>
      <c r="B14" s="97" t="s">
        <v>19</v>
      </c>
      <c r="C14" s="93" t="s">
        <v>0</v>
      </c>
      <c r="D14" s="86" t="s">
        <v>20</v>
      </c>
      <c r="E14" s="87">
        <v>19</v>
      </c>
      <c r="F14" s="87">
        <v>19</v>
      </c>
      <c r="G14" s="87">
        <f>(E14*8+F14*4)/12</f>
        <v>19</v>
      </c>
      <c r="H14" s="87">
        <v>19</v>
      </c>
      <c r="I14" s="87">
        <v>19</v>
      </c>
      <c r="J14" s="75">
        <v>49378.38</v>
      </c>
      <c r="K14" s="75">
        <v>12142.68</v>
      </c>
      <c r="L14" s="75">
        <v>28891.88</v>
      </c>
      <c r="M14" s="75">
        <f>J14+K14+L14</f>
        <v>90412.94</v>
      </c>
      <c r="N14" s="75">
        <f>G14*J14</f>
        <v>938189.22</v>
      </c>
      <c r="O14" s="75">
        <f>G14*K14</f>
        <v>230710.92</v>
      </c>
      <c r="P14" s="75">
        <f>G14*L14</f>
        <v>548945.72</v>
      </c>
      <c r="Q14" s="75">
        <f>SUM(N14:P14)</f>
        <v>1717845.8599999999</v>
      </c>
      <c r="R14" s="75">
        <f>H14*M14</f>
        <v>1717845.86</v>
      </c>
      <c r="S14" s="75">
        <f>I14*M14</f>
        <v>1717845.86</v>
      </c>
      <c r="U14" s="85"/>
    </row>
    <row r="15" spans="1:21" x14ac:dyDescent="0.25">
      <c r="A15" s="88"/>
      <c r="B15" s="97" t="s">
        <v>24</v>
      </c>
      <c r="C15" s="130"/>
      <c r="D15" s="114" t="s">
        <v>20</v>
      </c>
      <c r="E15" s="87">
        <v>60</v>
      </c>
      <c r="F15" s="87">
        <v>60</v>
      </c>
      <c r="G15" s="87">
        <f>(E15*8+F15*4)/12</f>
        <v>60</v>
      </c>
      <c r="H15" s="87">
        <v>60</v>
      </c>
      <c r="I15" s="87">
        <v>60</v>
      </c>
      <c r="J15" s="75">
        <v>39098.57</v>
      </c>
      <c r="K15" s="75">
        <v>12142.68</v>
      </c>
      <c r="L15" s="75">
        <v>28891.88</v>
      </c>
      <c r="M15" s="75">
        <f>J15+K15+L15</f>
        <v>80133.13</v>
      </c>
      <c r="N15" s="75">
        <f>G15*J15</f>
        <v>2345914.2000000002</v>
      </c>
      <c r="O15" s="75">
        <f>G15*K15</f>
        <v>728560.8</v>
      </c>
      <c r="P15" s="75">
        <f>G15*L15</f>
        <v>1733512.8</v>
      </c>
      <c r="Q15" s="75">
        <f>SUM(N15:P15)</f>
        <v>4807987.8</v>
      </c>
      <c r="R15" s="75">
        <f>H15*M15</f>
        <v>4807987.8000000007</v>
      </c>
      <c r="S15" s="75">
        <f>I15*M15</f>
        <v>4807987.8000000007</v>
      </c>
      <c r="U15" s="85"/>
    </row>
    <row r="16" spans="1:21" ht="105" x14ac:dyDescent="0.25">
      <c r="A16" s="88"/>
      <c r="B16" s="97" t="s">
        <v>24</v>
      </c>
      <c r="C16" s="93" t="s">
        <v>186</v>
      </c>
      <c r="D16" s="129" t="s">
        <v>20</v>
      </c>
      <c r="E16" s="87">
        <v>17</v>
      </c>
      <c r="F16" s="87">
        <v>17</v>
      </c>
      <c r="G16" s="87">
        <f>(E16*8+F16*4)/12</f>
        <v>17</v>
      </c>
      <c r="H16" s="87">
        <v>17</v>
      </c>
      <c r="I16" s="87">
        <v>17</v>
      </c>
      <c r="J16" s="75">
        <v>77037.7</v>
      </c>
      <c r="K16" s="75">
        <v>12142.68</v>
      </c>
      <c r="L16" s="75">
        <v>28891.88</v>
      </c>
      <c r="M16" s="75">
        <f>J16+K16+L16</f>
        <v>118072.26000000001</v>
      </c>
      <c r="N16" s="75">
        <f>G16*J16</f>
        <v>1309640.8999999999</v>
      </c>
      <c r="O16" s="75">
        <f>G16*K16</f>
        <v>206425.56</v>
      </c>
      <c r="P16" s="75">
        <f>G16*L16</f>
        <v>491161.96</v>
      </c>
      <c r="Q16" s="75">
        <f>SUM(N16:P16)</f>
        <v>2007228.42</v>
      </c>
      <c r="R16" s="75">
        <f>H16*M16</f>
        <v>2007228.4200000002</v>
      </c>
      <c r="S16" s="75">
        <f>I16*M16</f>
        <v>2007228.4200000002</v>
      </c>
      <c r="U16" s="85"/>
    </row>
    <row r="17" spans="1:21" ht="120" x14ac:dyDescent="0.25">
      <c r="A17" s="88"/>
      <c r="B17" s="97" t="s">
        <v>24</v>
      </c>
      <c r="C17" s="93" t="s">
        <v>162</v>
      </c>
      <c r="D17" s="114" t="s">
        <v>20</v>
      </c>
      <c r="E17" s="87">
        <v>20</v>
      </c>
      <c r="F17" s="87">
        <v>20</v>
      </c>
      <c r="G17" s="87">
        <f>(E17*8+F17*4)/12</f>
        <v>20</v>
      </c>
      <c r="H17" s="87">
        <v>20</v>
      </c>
      <c r="I17" s="87">
        <v>20</v>
      </c>
      <c r="J17" s="75">
        <v>57312.38</v>
      </c>
      <c r="K17" s="75">
        <v>12142.68</v>
      </c>
      <c r="L17" s="75">
        <v>28891.88</v>
      </c>
      <c r="M17" s="75">
        <f>J17+K17+L17</f>
        <v>98346.94</v>
      </c>
      <c r="N17" s="75">
        <f>G17*J17</f>
        <v>1146247.5999999999</v>
      </c>
      <c r="O17" s="75">
        <f>G17*K17</f>
        <v>242853.6</v>
      </c>
      <c r="P17" s="75">
        <f>G17*L17</f>
        <v>577837.6</v>
      </c>
      <c r="Q17" s="75">
        <f t="shared" ref="Q17:Q85" si="2">SUM(N17:P17)</f>
        <v>1966938.7999999998</v>
      </c>
      <c r="R17" s="75">
        <f t="shared" ref="R17:R85" si="3">H17*M17</f>
        <v>1966938.8</v>
      </c>
      <c r="S17" s="75">
        <f t="shared" ref="S17:S85" si="4">I17*M17</f>
        <v>1966938.8</v>
      </c>
      <c r="U17" s="85"/>
    </row>
    <row r="18" spans="1:21" x14ac:dyDescent="0.25">
      <c r="A18" s="114"/>
      <c r="B18" s="114" t="s">
        <v>28</v>
      </c>
      <c r="C18" s="130"/>
      <c r="D18" s="82"/>
      <c r="E18" s="87">
        <f>E17+E16+E15+E14</f>
        <v>116</v>
      </c>
      <c r="F18" s="87">
        <f>F17+F16+F15+F14</f>
        <v>116</v>
      </c>
      <c r="G18" s="87">
        <f>(E18*8+F18*4)/12</f>
        <v>116</v>
      </c>
      <c r="H18" s="87">
        <f>H17+H16+H15+H14</f>
        <v>116</v>
      </c>
      <c r="I18" s="87">
        <f>I17+I16+I15+I14</f>
        <v>116</v>
      </c>
      <c r="J18" s="75">
        <v>0</v>
      </c>
      <c r="K18" s="75"/>
      <c r="L18" s="75">
        <v>26574.14</v>
      </c>
      <c r="M18" s="75">
        <f>J18+K18+L18</f>
        <v>26574.14</v>
      </c>
      <c r="N18" s="75">
        <f t="shared" ref="N18" si="5">E18*J18</f>
        <v>0</v>
      </c>
      <c r="O18" s="75">
        <f t="shared" ref="O18" si="6">G18*K18</f>
        <v>0</v>
      </c>
      <c r="P18" s="75">
        <f>G18*L18</f>
        <v>3082600.2399999998</v>
      </c>
      <c r="Q18" s="75">
        <f>SUM(N18:P18)</f>
        <v>3082600.2399999998</v>
      </c>
      <c r="R18" s="75">
        <f>H18*M18</f>
        <v>3082600.2399999998</v>
      </c>
      <c r="S18" s="75">
        <f>I18*M18</f>
        <v>3082600.2399999998</v>
      </c>
    </row>
    <row r="19" spans="1:21" x14ac:dyDescent="0.25">
      <c r="A19" s="89" t="s">
        <v>29</v>
      </c>
      <c r="B19" s="114"/>
      <c r="C19" s="130"/>
      <c r="D19" s="82"/>
      <c r="E19" s="87"/>
      <c r="F19" s="87"/>
      <c r="G19" s="87"/>
      <c r="H19" s="87"/>
      <c r="I19" s="87"/>
      <c r="J19" s="75"/>
      <c r="K19" s="75"/>
      <c r="L19" s="75"/>
      <c r="M19" s="75">
        <f t="shared" ref="M19:M86" si="7">J19+K19+L19</f>
        <v>0</v>
      </c>
      <c r="N19" s="78">
        <f>N20+N22</f>
        <v>2274393.33</v>
      </c>
      <c r="O19" s="78">
        <f t="shared" ref="O19:S19" si="8">O20+O22</f>
        <v>412851.11999999994</v>
      </c>
      <c r="P19" s="78">
        <f>P20+P22</f>
        <v>1943628.44</v>
      </c>
      <c r="Q19" s="78">
        <f t="shared" si="8"/>
        <v>4630872.8900000006</v>
      </c>
      <c r="R19" s="78">
        <f t="shared" si="8"/>
        <v>4630872.8900000006</v>
      </c>
      <c r="S19" s="78">
        <f t="shared" si="8"/>
        <v>4630872.8900000006</v>
      </c>
    </row>
    <row r="20" spans="1:21" ht="85.5" x14ac:dyDescent="0.25">
      <c r="A20" s="90"/>
      <c r="B20" s="84" t="s">
        <v>76</v>
      </c>
      <c r="C20" s="131"/>
      <c r="D20" s="82"/>
      <c r="E20" s="68"/>
      <c r="F20" s="68"/>
      <c r="G20" s="68"/>
      <c r="H20" s="68"/>
      <c r="I20" s="68"/>
      <c r="J20" s="75"/>
      <c r="K20" s="75"/>
      <c r="L20" s="75"/>
      <c r="M20" s="75">
        <f t="shared" si="7"/>
        <v>0</v>
      </c>
      <c r="N20" s="75">
        <f t="shared" ref="N20:S20" si="9">SUM(N21:N21)</f>
        <v>2274393.33</v>
      </c>
      <c r="O20" s="75">
        <f>SUM(O21:O21)</f>
        <v>412851.11999999994</v>
      </c>
      <c r="P20" s="75">
        <f t="shared" si="9"/>
        <v>1040107.68</v>
      </c>
      <c r="Q20" s="75">
        <f t="shared" si="9"/>
        <v>3727352.1300000004</v>
      </c>
      <c r="R20" s="75">
        <f>SUM(R21:R21)</f>
        <v>3727352.1300000004</v>
      </c>
      <c r="S20" s="75">
        <f t="shared" si="9"/>
        <v>3727352.1300000004</v>
      </c>
    </row>
    <row r="21" spans="1:21" ht="105" x14ac:dyDescent="0.25">
      <c r="A21" s="83"/>
      <c r="B21" s="82"/>
      <c r="C21" s="93" t="s">
        <v>30</v>
      </c>
      <c r="D21" s="114" t="s">
        <v>31</v>
      </c>
      <c r="E21" s="87" t="s">
        <v>212</v>
      </c>
      <c r="F21" s="87" t="s">
        <v>212</v>
      </c>
      <c r="G21" s="87" t="s">
        <v>212</v>
      </c>
      <c r="H21" s="87" t="s">
        <v>212</v>
      </c>
      <c r="I21" s="87" t="s">
        <v>212</v>
      </c>
      <c r="J21" s="75">
        <v>758131.11</v>
      </c>
      <c r="K21" s="75">
        <v>12142.68</v>
      </c>
      <c r="L21" s="75">
        <v>28891.88</v>
      </c>
      <c r="M21" s="75">
        <f>J21+K21+L21</f>
        <v>799165.67</v>
      </c>
      <c r="N21" s="75">
        <f>3*J21</f>
        <v>2274393.33</v>
      </c>
      <c r="O21" s="75">
        <f>((34*12142.68*8)+(34*12142.68*4))/12</f>
        <v>412851.11999999994</v>
      </c>
      <c r="P21" s="75">
        <f>L21*36</f>
        <v>1040107.68</v>
      </c>
      <c r="Q21" s="75">
        <f>SUM(N21:P21)</f>
        <v>3727352.1300000004</v>
      </c>
      <c r="R21" s="75">
        <f>Q21</f>
        <v>3727352.1300000004</v>
      </c>
      <c r="S21" s="75">
        <f>R21</f>
        <v>3727352.1300000004</v>
      </c>
    </row>
    <row r="22" spans="1:21" x14ac:dyDescent="0.25">
      <c r="A22" s="114"/>
      <c r="B22" s="114" t="s">
        <v>28</v>
      </c>
      <c r="C22" s="130"/>
      <c r="D22" s="114" t="s">
        <v>20</v>
      </c>
      <c r="E22" s="87">
        <v>34</v>
      </c>
      <c r="F22" s="87">
        <v>34</v>
      </c>
      <c r="G22" s="87">
        <f>(E22*8+F22*4)/12</f>
        <v>34</v>
      </c>
      <c r="H22" s="87">
        <v>34</v>
      </c>
      <c r="I22" s="87">
        <v>34</v>
      </c>
      <c r="J22" s="75" t="s">
        <v>23</v>
      </c>
      <c r="K22" s="75"/>
      <c r="L22" s="75">
        <v>26574.14</v>
      </c>
      <c r="M22" s="75">
        <f t="shared" si="7"/>
        <v>26574.14</v>
      </c>
      <c r="N22" s="75">
        <f t="shared" ref="N22" si="10">E22*J22</f>
        <v>0</v>
      </c>
      <c r="O22" s="75">
        <f t="shared" ref="O22:O29" si="11">E22*K22</f>
        <v>0</v>
      </c>
      <c r="P22" s="75">
        <f>G22*L22</f>
        <v>903520.76</v>
      </c>
      <c r="Q22" s="75">
        <f t="shared" si="2"/>
        <v>903520.76</v>
      </c>
      <c r="R22" s="75">
        <f>H22*M22</f>
        <v>903520.76</v>
      </c>
      <c r="S22" s="75">
        <f t="shared" si="4"/>
        <v>903520.76</v>
      </c>
    </row>
    <row r="23" spans="1:21" x14ac:dyDescent="0.25">
      <c r="A23" s="115" t="s">
        <v>35</v>
      </c>
      <c r="B23" s="91"/>
      <c r="C23" s="91"/>
      <c r="D23" s="91"/>
      <c r="E23" s="92"/>
      <c r="F23" s="92"/>
      <c r="G23" s="92"/>
      <c r="H23" s="92"/>
      <c r="I23" s="92"/>
      <c r="J23" s="78"/>
      <c r="K23" s="78"/>
      <c r="L23" s="78"/>
      <c r="M23" s="78">
        <f t="shared" si="7"/>
        <v>0</v>
      </c>
      <c r="N23" s="78">
        <f>N24+N29</f>
        <v>8477555.6699999999</v>
      </c>
      <c r="O23" s="78">
        <f>O24+O29</f>
        <v>1529977.6800000002</v>
      </c>
      <c r="P23" s="78">
        <f>P24+P29</f>
        <v>6988718.5199999996</v>
      </c>
      <c r="Q23" s="78">
        <f t="shared" ref="Q23:S23" si="12">Q24+Q29</f>
        <v>16996251.869999997</v>
      </c>
      <c r="R23" s="78">
        <f t="shared" si="12"/>
        <v>16996251.870000001</v>
      </c>
      <c r="S23" s="78">
        <f t="shared" si="12"/>
        <v>16996251.870000001</v>
      </c>
    </row>
    <row r="24" spans="1:21" ht="85.5" x14ac:dyDescent="0.25">
      <c r="A24" s="83"/>
      <c r="B24" s="84" t="s">
        <v>76</v>
      </c>
      <c r="C24" s="131"/>
      <c r="D24" s="82"/>
      <c r="E24" s="68"/>
      <c r="F24" s="68"/>
      <c r="G24" s="68"/>
      <c r="H24" s="68"/>
      <c r="I24" s="68"/>
      <c r="J24" s="75"/>
      <c r="K24" s="75"/>
      <c r="L24" s="75"/>
      <c r="M24" s="75">
        <f t="shared" si="7"/>
        <v>0</v>
      </c>
      <c r="N24" s="75">
        <f>SUM(N25:N28)</f>
        <v>8477555.6699999999</v>
      </c>
      <c r="O24" s="75">
        <f t="shared" ref="O24:S24" si="13">SUM(O25:O28)</f>
        <v>1529977.6800000002</v>
      </c>
      <c r="P24" s="75">
        <f t="shared" si="13"/>
        <v>3640376.88</v>
      </c>
      <c r="Q24" s="75">
        <f t="shared" si="13"/>
        <v>13647910.229999999</v>
      </c>
      <c r="R24" s="75">
        <f t="shared" si="13"/>
        <v>13647910.23</v>
      </c>
      <c r="S24" s="75">
        <f t="shared" si="13"/>
        <v>13647910.23</v>
      </c>
    </row>
    <row r="25" spans="1:21" ht="105" x14ac:dyDescent="0.25">
      <c r="A25" s="83"/>
      <c r="B25" s="97" t="s">
        <v>19</v>
      </c>
      <c r="C25" s="93" t="s">
        <v>0</v>
      </c>
      <c r="D25" s="114" t="s">
        <v>20</v>
      </c>
      <c r="E25" s="87">
        <v>17</v>
      </c>
      <c r="F25" s="87">
        <v>17</v>
      </c>
      <c r="G25" s="87">
        <f t="shared" ref="G25:G27" si="14">(E25*8+F25*4)/12</f>
        <v>17</v>
      </c>
      <c r="H25" s="87">
        <v>17</v>
      </c>
      <c r="I25" s="87">
        <v>17</v>
      </c>
      <c r="J25" s="75">
        <v>43138.04</v>
      </c>
      <c r="K25" s="75">
        <v>12142.68</v>
      </c>
      <c r="L25" s="75">
        <v>28891.88</v>
      </c>
      <c r="M25" s="75">
        <f t="shared" si="7"/>
        <v>84172.6</v>
      </c>
      <c r="N25" s="75">
        <f>G25*J25</f>
        <v>733346.68</v>
      </c>
      <c r="O25" s="75">
        <f>G25*K25</f>
        <v>206425.56</v>
      </c>
      <c r="P25" s="75">
        <f>G25*L25</f>
        <v>491161.96</v>
      </c>
      <c r="Q25" s="75">
        <f t="shared" si="2"/>
        <v>1430934.2</v>
      </c>
      <c r="R25" s="75">
        <f t="shared" si="3"/>
        <v>1430934.2000000002</v>
      </c>
      <c r="S25" s="75">
        <f t="shared" si="4"/>
        <v>1430934.2000000002</v>
      </c>
    </row>
    <row r="26" spans="1:21" x14ac:dyDescent="0.25">
      <c r="A26" s="88"/>
      <c r="B26" s="97" t="s">
        <v>24</v>
      </c>
      <c r="C26" s="97"/>
      <c r="D26" s="86" t="s">
        <v>20</v>
      </c>
      <c r="E26" s="87">
        <v>53</v>
      </c>
      <c r="F26" s="87">
        <v>53</v>
      </c>
      <c r="G26" s="87">
        <f t="shared" si="14"/>
        <v>53</v>
      </c>
      <c r="H26" s="87">
        <v>53</v>
      </c>
      <c r="I26" s="87">
        <v>53</v>
      </c>
      <c r="J26" s="75">
        <v>34198.17</v>
      </c>
      <c r="K26" s="75">
        <v>12142.68</v>
      </c>
      <c r="L26" s="75">
        <v>28891.88</v>
      </c>
      <c r="M26" s="75">
        <f t="shared" si="7"/>
        <v>75232.73</v>
      </c>
      <c r="N26" s="75">
        <f>G26*J26</f>
        <v>1812503.01</v>
      </c>
      <c r="O26" s="75">
        <f>G26*K26</f>
        <v>643562.04</v>
      </c>
      <c r="P26" s="75">
        <f>G26*L26</f>
        <v>1531269.6400000001</v>
      </c>
      <c r="Q26" s="75">
        <f t="shared" si="2"/>
        <v>3987334.69</v>
      </c>
      <c r="R26" s="75">
        <f t="shared" si="3"/>
        <v>3987334.69</v>
      </c>
      <c r="S26" s="75">
        <f t="shared" si="4"/>
        <v>3987334.69</v>
      </c>
    </row>
    <row r="27" spans="1:21" ht="105" x14ac:dyDescent="0.25">
      <c r="A27" s="83"/>
      <c r="B27" s="97" t="s">
        <v>24</v>
      </c>
      <c r="C27" s="93" t="s">
        <v>38</v>
      </c>
      <c r="D27" s="114" t="s">
        <v>20</v>
      </c>
      <c r="E27" s="87">
        <v>34</v>
      </c>
      <c r="F27" s="87">
        <v>34</v>
      </c>
      <c r="G27" s="87">
        <f t="shared" si="14"/>
        <v>34</v>
      </c>
      <c r="H27" s="87">
        <v>34</v>
      </c>
      <c r="I27" s="87">
        <v>34</v>
      </c>
      <c r="J27" s="75">
        <v>142093.57999999999</v>
      </c>
      <c r="K27" s="75">
        <v>12142.68</v>
      </c>
      <c r="L27" s="75">
        <v>28891.88</v>
      </c>
      <c r="M27" s="75">
        <f t="shared" si="7"/>
        <v>183128.13999999998</v>
      </c>
      <c r="N27" s="75">
        <f>G27*J27</f>
        <v>4831181.72</v>
      </c>
      <c r="O27" s="75">
        <f>G27*K27</f>
        <v>412851.12</v>
      </c>
      <c r="P27" s="75">
        <f>G27*L27</f>
        <v>982323.92</v>
      </c>
      <c r="Q27" s="75">
        <f t="shared" si="2"/>
        <v>6226356.7599999998</v>
      </c>
      <c r="R27" s="75">
        <f t="shared" si="3"/>
        <v>6226356.7599999998</v>
      </c>
      <c r="S27" s="75">
        <f t="shared" si="4"/>
        <v>6226356.7599999998</v>
      </c>
    </row>
    <row r="28" spans="1:21" ht="120" x14ac:dyDescent="0.25">
      <c r="A28" s="83"/>
      <c r="B28" s="97" t="s">
        <v>24</v>
      </c>
      <c r="C28" s="93" t="s">
        <v>162</v>
      </c>
      <c r="D28" s="114" t="s">
        <v>20</v>
      </c>
      <c r="E28" s="87">
        <v>22</v>
      </c>
      <c r="F28" s="87">
        <v>22</v>
      </c>
      <c r="G28" s="87">
        <f>(E28*8+F28*4)/12</f>
        <v>22</v>
      </c>
      <c r="H28" s="87">
        <v>22</v>
      </c>
      <c r="I28" s="87">
        <v>22</v>
      </c>
      <c r="J28" s="75">
        <v>50023.83</v>
      </c>
      <c r="K28" s="75">
        <v>12142.68</v>
      </c>
      <c r="L28" s="75">
        <v>28891.88</v>
      </c>
      <c r="M28" s="75">
        <f t="shared" si="7"/>
        <v>91058.39</v>
      </c>
      <c r="N28" s="75">
        <f>G28*J28</f>
        <v>1100524.26</v>
      </c>
      <c r="O28" s="75">
        <f>G28*K28</f>
        <v>267138.96000000002</v>
      </c>
      <c r="P28" s="75">
        <f>G28*L28</f>
        <v>635621.36</v>
      </c>
      <c r="Q28" s="75">
        <f t="shared" si="2"/>
        <v>2003284.58</v>
      </c>
      <c r="R28" s="75">
        <f t="shared" si="3"/>
        <v>2003284.58</v>
      </c>
      <c r="S28" s="75">
        <f t="shared" si="4"/>
        <v>2003284.58</v>
      </c>
    </row>
    <row r="29" spans="1:21" x14ac:dyDescent="0.25">
      <c r="A29" s="86"/>
      <c r="B29" s="86" t="s">
        <v>28</v>
      </c>
      <c r="C29" s="97"/>
      <c r="D29" s="114" t="s">
        <v>20</v>
      </c>
      <c r="E29" s="87">
        <f>E28+E27+E26+E25</f>
        <v>126</v>
      </c>
      <c r="F29" s="87">
        <f>F28+F27+F26+F25</f>
        <v>126</v>
      </c>
      <c r="G29" s="87">
        <f>(E29*8+F29*4)/12</f>
        <v>126</v>
      </c>
      <c r="H29" s="87">
        <f>H28+H27+H26+H25</f>
        <v>126</v>
      </c>
      <c r="I29" s="87">
        <f>I28+I27+I26+I25</f>
        <v>126</v>
      </c>
      <c r="J29" s="75" t="s">
        <v>23</v>
      </c>
      <c r="K29" s="75"/>
      <c r="L29" s="75">
        <v>26574.14</v>
      </c>
      <c r="M29" s="75">
        <f t="shared" si="7"/>
        <v>26574.14</v>
      </c>
      <c r="N29" s="75">
        <f t="shared" ref="N29:N55" si="15">E29*J29</f>
        <v>0</v>
      </c>
      <c r="O29" s="75">
        <f t="shared" si="11"/>
        <v>0</v>
      </c>
      <c r="P29" s="75">
        <f>G29*L29</f>
        <v>3348341.64</v>
      </c>
      <c r="Q29" s="75">
        <f>SUM(N29:P29)</f>
        <v>3348341.64</v>
      </c>
      <c r="R29" s="75">
        <f>H29*M29</f>
        <v>3348341.64</v>
      </c>
      <c r="S29" s="75">
        <f t="shared" si="4"/>
        <v>3348341.64</v>
      </c>
    </row>
    <row r="30" spans="1:21" x14ac:dyDescent="0.25">
      <c r="A30" s="115" t="s">
        <v>40</v>
      </c>
      <c r="B30" s="94"/>
      <c r="C30" s="94"/>
      <c r="D30" s="94"/>
      <c r="E30" s="92"/>
      <c r="F30" s="92"/>
      <c r="G30" s="92"/>
      <c r="H30" s="92"/>
      <c r="I30" s="92"/>
      <c r="J30" s="78"/>
      <c r="K30" s="78"/>
      <c r="L30" s="78"/>
      <c r="M30" s="78">
        <f t="shared" si="7"/>
        <v>0</v>
      </c>
      <c r="N30" s="78">
        <f>N31+N35</f>
        <v>4455433.1099999994</v>
      </c>
      <c r="O30" s="78">
        <f t="shared" ref="O30:S30" si="16">O31+O35</f>
        <v>1287124.08</v>
      </c>
      <c r="P30" s="78">
        <f t="shared" si="16"/>
        <v>5879398.1200000001</v>
      </c>
      <c r="Q30" s="78">
        <f t="shared" si="16"/>
        <v>11621955.310000001</v>
      </c>
      <c r="R30" s="78">
        <f>R31+R35</f>
        <v>11621955.309999999</v>
      </c>
      <c r="S30" s="78">
        <f t="shared" si="16"/>
        <v>11621955.309999999</v>
      </c>
      <c r="T30" s="85">
        <f>Q30-R30</f>
        <v>0</v>
      </c>
    </row>
    <row r="31" spans="1:21" ht="85.5" x14ac:dyDescent="0.25">
      <c r="A31" s="83"/>
      <c r="B31" s="84" t="s">
        <v>76</v>
      </c>
      <c r="C31" s="131"/>
      <c r="D31" s="95"/>
      <c r="E31" s="68"/>
      <c r="F31" s="68"/>
      <c r="G31" s="68"/>
      <c r="H31" s="68"/>
      <c r="I31" s="68"/>
      <c r="J31" s="75"/>
      <c r="K31" s="75"/>
      <c r="L31" s="75"/>
      <c r="M31" s="75">
        <f t="shared" si="7"/>
        <v>0</v>
      </c>
      <c r="N31" s="75">
        <f>SUM(N32:N34)</f>
        <v>4455433.1099999994</v>
      </c>
      <c r="O31" s="75">
        <f t="shared" ref="O31:S31" si="17">SUM(O32:O34)</f>
        <v>1287124.08</v>
      </c>
      <c r="P31" s="75">
        <f t="shared" si="17"/>
        <v>3062539.2800000003</v>
      </c>
      <c r="Q31" s="75">
        <f t="shared" si="17"/>
        <v>8805096.4700000007</v>
      </c>
      <c r="R31" s="75">
        <f t="shared" si="17"/>
        <v>8805096.4699999988</v>
      </c>
      <c r="S31" s="75">
        <f t="shared" si="17"/>
        <v>8805096.4699999988</v>
      </c>
    </row>
    <row r="32" spans="1:21" ht="105" x14ac:dyDescent="0.25">
      <c r="A32" s="83"/>
      <c r="B32" s="97" t="s">
        <v>19</v>
      </c>
      <c r="C32" s="93" t="s">
        <v>0</v>
      </c>
      <c r="D32" s="114" t="s">
        <v>20</v>
      </c>
      <c r="E32" s="87">
        <v>15</v>
      </c>
      <c r="F32" s="87">
        <v>15</v>
      </c>
      <c r="G32" s="87">
        <f t="shared" ref="G32:G34" si="18">(E32*8+F32*4)/12</f>
        <v>15</v>
      </c>
      <c r="H32" s="87">
        <v>15</v>
      </c>
      <c r="I32" s="87">
        <v>15</v>
      </c>
      <c r="J32" s="75">
        <v>43138.04</v>
      </c>
      <c r="K32" s="75">
        <v>12142.68</v>
      </c>
      <c r="L32" s="75">
        <v>28891.88</v>
      </c>
      <c r="M32" s="75">
        <f t="shared" si="7"/>
        <v>84172.6</v>
      </c>
      <c r="N32" s="75">
        <f>G32*J32</f>
        <v>647070.6</v>
      </c>
      <c r="O32" s="75">
        <f>G32*K32</f>
        <v>182140.2</v>
      </c>
      <c r="P32" s="75">
        <f>G32*L32</f>
        <v>433378.2</v>
      </c>
      <c r="Q32" s="75">
        <f t="shared" si="2"/>
        <v>1262589</v>
      </c>
      <c r="R32" s="75">
        <f t="shared" si="3"/>
        <v>1262589</v>
      </c>
      <c r="S32" s="75">
        <f t="shared" si="4"/>
        <v>1262589</v>
      </c>
    </row>
    <row r="33" spans="1:19" x14ac:dyDescent="0.25">
      <c r="A33" s="88"/>
      <c r="B33" s="97" t="s">
        <v>24</v>
      </c>
      <c r="C33" s="97"/>
      <c r="D33" s="86" t="s">
        <v>20</v>
      </c>
      <c r="E33" s="87">
        <v>47</v>
      </c>
      <c r="F33" s="87">
        <v>47</v>
      </c>
      <c r="G33" s="87">
        <f t="shared" si="18"/>
        <v>47</v>
      </c>
      <c r="H33" s="87">
        <v>47</v>
      </c>
      <c r="I33" s="87">
        <v>47</v>
      </c>
      <c r="J33" s="75">
        <v>34198.17</v>
      </c>
      <c r="K33" s="75">
        <v>12142.68</v>
      </c>
      <c r="L33" s="75">
        <v>28891.88</v>
      </c>
      <c r="M33" s="75">
        <f t="shared" si="7"/>
        <v>75232.73</v>
      </c>
      <c r="N33" s="75">
        <f>G33*J33</f>
        <v>1607313.99</v>
      </c>
      <c r="O33" s="75">
        <f>G33*K33</f>
        <v>570705.96</v>
      </c>
      <c r="P33" s="75">
        <f>G33*L33</f>
        <v>1357918.36</v>
      </c>
      <c r="Q33" s="75">
        <f t="shared" si="2"/>
        <v>3535938.3100000005</v>
      </c>
      <c r="R33" s="75">
        <f t="shared" si="3"/>
        <v>3535938.3099999996</v>
      </c>
      <c r="S33" s="75">
        <f t="shared" si="4"/>
        <v>3535938.3099999996</v>
      </c>
    </row>
    <row r="34" spans="1:19" ht="120" x14ac:dyDescent="0.25">
      <c r="A34" s="88"/>
      <c r="B34" s="97" t="s">
        <v>24</v>
      </c>
      <c r="C34" s="93" t="s">
        <v>162</v>
      </c>
      <c r="D34" s="114" t="s">
        <v>20</v>
      </c>
      <c r="E34" s="87">
        <v>44</v>
      </c>
      <c r="F34" s="87">
        <v>44</v>
      </c>
      <c r="G34" s="87">
        <f t="shared" si="18"/>
        <v>44</v>
      </c>
      <c r="H34" s="87">
        <v>44</v>
      </c>
      <c r="I34" s="87">
        <v>44</v>
      </c>
      <c r="J34" s="75">
        <v>50023.83</v>
      </c>
      <c r="K34" s="75">
        <v>12142.68</v>
      </c>
      <c r="L34" s="75">
        <v>28891.88</v>
      </c>
      <c r="M34" s="75">
        <f t="shared" si="7"/>
        <v>91058.39</v>
      </c>
      <c r="N34" s="75">
        <f t="shared" ref="N34:N35" si="19">G34*J34</f>
        <v>2201048.52</v>
      </c>
      <c r="O34" s="75">
        <f t="shared" ref="O34:O35" si="20">G34*K34</f>
        <v>534277.92000000004</v>
      </c>
      <c r="P34" s="75">
        <f>G34*L34</f>
        <v>1271242.72</v>
      </c>
      <c r="Q34" s="75">
        <f t="shared" si="2"/>
        <v>4006569.16</v>
      </c>
      <c r="R34" s="75">
        <f t="shared" si="3"/>
        <v>4006569.16</v>
      </c>
      <c r="S34" s="75">
        <f t="shared" si="4"/>
        <v>4006569.16</v>
      </c>
    </row>
    <row r="35" spans="1:19" x14ac:dyDescent="0.25">
      <c r="A35" s="86"/>
      <c r="B35" s="86" t="s">
        <v>28</v>
      </c>
      <c r="C35" s="97"/>
      <c r="D35" s="86" t="s">
        <v>20</v>
      </c>
      <c r="E35" s="87">
        <f>E34+E33+E32</f>
        <v>106</v>
      </c>
      <c r="F35" s="87">
        <f>F34+F33+F32</f>
        <v>106</v>
      </c>
      <c r="G35" s="87">
        <f>(E35*8+F35*4)/12-1</f>
        <v>105</v>
      </c>
      <c r="H35" s="87">
        <f>H34+H33+H32</f>
        <v>106</v>
      </c>
      <c r="I35" s="87">
        <f>I34+I33+I32</f>
        <v>106</v>
      </c>
      <c r="J35" s="75" t="s">
        <v>23</v>
      </c>
      <c r="K35" s="75"/>
      <c r="L35" s="75">
        <v>26574.14</v>
      </c>
      <c r="M35" s="75">
        <f t="shared" si="7"/>
        <v>26574.14</v>
      </c>
      <c r="N35" s="75">
        <f t="shared" si="19"/>
        <v>0</v>
      </c>
      <c r="O35" s="75">
        <f t="shared" si="20"/>
        <v>0</v>
      </c>
      <c r="P35" s="75">
        <f>E35*L35</f>
        <v>2816858.84</v>
      </c>
      <c r="Q35" s="75">
        <f>SUM(N35:P35)</f>
        <v>2816858.84</v>
      </c>
      <c r="R35" s="75">
        <f>H35*L35</f>
        <v>2816858.84</v>
      </c>
      <c r="S35" s="75">
        <f>I35*M35</f>
        <v>2816858.84</v>
      </c>
    </row>
    <row r="36" spans="1:19" x14ac:dyDescent="0.25">
      <c r="A36" s="115" t="s">
        <v>44</v>
      </c>
      <c r="B36" s="94"/>
      <c r="C36" s="94"/>
      <c r="D36" s="94"/>
      <c r="E36" s="92"/>
      <c r="F36" s="92"/>
      <c r="G36" s="92"/>
      <c r="H36" s="92"/>
      <c r="I36" s="92"/>
      <c r="J36" s="78"/>
      <c r="K36" s="78"/>
      <c r="L36" s="78"/>
      <c r="M36" s="78">
        <f t="shared" si="7"/>
        <v>0</v>
      </c>
      <c r="N36" s="78">
        <f>N37+N42</f>
        <v>11858728.6</v>
      </c>
      <c r="O36" s="78">
        <f t="shared" ref="O36:S36" si="21">O37+O42</f>
        <v>2780673.72</v>
      </c>
      <c r="P36" s="78">
        <f t="shared" si="21"/>
        <v>12701718.579999998</v>
      </c>
      <c r="Q36" s="78">
        <f t="shared" si="21"/>
        <v>27341120.899999999</v>
      </c>
      <c r="R36" s="78">
        <f t="shared" si="21"/>
        <v>27341120.899999999</v>
      </c>
      <c r="S36" s="78">
        <f t="shared" si="21"/>
        <v>27341120.899999999</v>
      </c>
    </row>
    <row r="37" spans="1:19" ht="85.5" x14ac:dyDescent="0.25">
      <c r="A37" s="83"/>
      <c r="B37" s="84" t="s">
        <v>76</v>
      </c>
      <c r="C37" s="131"/>
      <c r="D37" s="95"/>
      <c r="E37" s="68"/>
      <c r="F37" s="68"/>
      <c r="G37" s="68"/>
      <c r="H37" s="68"/>
      <c r="I37" s="68"/>
      <c r="J37" s="75"/>
      <c r="K37" s="75"/>
      <c r="L37" s="75"/>
      <c r="M37" s="75">
        <f t="shared" si="7"/>
        <v>0</v>
      </c>
      <c r="N37" s="75">
        <f>SUM(N38:N41)</f>
        <v>11858728.6</v>
      </c>
      <c r="O37" s="75">
        <f t="shared" ref="O37:S37" si="22">SUM(O38:O41)</f>
        <v>2780673.72</v>
      </c>
      <c r="P37" s="75">
        <f t="shared" si="22"/>
        <v>6616240.5199999996</v>
      </c>
      <c r="Q37" s="75">
        <f t="shared" si="22"/>
        <v>21255642.84</v>
      </c>
      <c r="R37" s="75">
        <f t="shared" si="22"/>
        <v>21255642.84</v>
      </c>
      <c r="S37" s="75">
        <f t="shared" si="22"/>
        <v>21255642.84</v>
      </c>
    </row>
    <row r="38" spans="1:19" ht="105" x14ac:dyDescent="0.25">
      <c r="A38" s="83"/>
      <c r="B38" s="97" t="s">
        <v>19</v>
      </c>
      <c r="C38" s="93" t="s">
        <v>0</v>
      </c>
      <c r="D38" s="114" t="s">
        <v>20</v>
      </c>
      <c r="E38" s="87">
        <v>16</v>
      </c>
      <c r="F38" s="87">
        <v>16</v>
      </c>
      <c r="G38" s="87">
        <f t="shared" ref="G38:G41" si="23">(E38*8+F38*4)/12</f>
        <v>16</v>
      </c>
      <c r="H38" s="87">
        <v>16</v>
      </c>
      <c r="I38" s="87">
        <v>16</v>
      </c>
      <c r="J38" s="75">
        <v>43138.04</v>
      </c>
      <c r="K38" s="75">
        <v>12142.68</v>
      </c>
      <c r="L38" s="75">
        <v>28891.88</v>
      </c>
      <c r="M38" s="75">
        <f t="shared" si="7"/>
        <v>84172.6</v>
      </c>
      <c r="N38" s="75">
        <f>G38*J38</f>
        <v>690208.64</v>
      </c>
      <c r="O38" s="75">
        <f>G38*K38</f>
        <v>194282.88</v>
      </c>
      <c r="P38" s="75">
        <f>G38*L38</f>
        <v>462270.08</v>
      </c>
      <c r="Q38" s="75">
        <f t="shared" si="2"/>
        <v>1346761.6</v>
      </c>
      <c r="R38" s="75">
        <f t="shared" si="3"/>
        <v>1346761.6</v>
      </c>
      <c r="S38" s="75">
        <f t="shared" si="4"/>
        <v>1346761.6</v>
      </c>
    </row>
    <row r="39" spans="1:19" x14ac:dyDescent="0.25">
      <c r="A39" s="88"/>
      <c r="B39" s="97" t="s">
        <v>24</v>
      </c>
      <c r="C39" s="97"/>
      <c r="D39" s="86" t="s">
        <v>20</v>
      </c>
      <c r="E39" s="87">
        <v>113</v>
      </c>
      <c r="F39" s="87">
        <v>113</v>
      </c>
      <c r="G39" s="87">
        <f t="shared" si="23"/>
        <v>113</v>
      </c>
      <c r="H39" s="87">
        <v>113</v>
      </c>
      <c r="I39" s="87">
        <v>113</v>
      </c>
      <c r="J39" s="75">
        <v>34198.17</v>
      </c>
      <c r="K39" s="75">
        <v>12142.68</v>
      </c>
      <c r="L39" s="75">
        <v>28891.88</v>
      </c>
      <c r="M39" s="75">
        <f t="shared" si="7"/>
        <v>75232.73</v>
      </c>
      <c r="N39" s="75">
        <f t="shared" ref="N39:N42" si="24">G39*J39</f>
        <v>3864393.21</v>
      </c>
      <c r="O39" s="75">
        <f t="shared" ref="O39:O42" si="25">G39*K39</f>
        <v>1372122.84</v>
      </c>
      <c r="P39" s="75">
        <f t="shared" ref="P39:P41" si="26">G39*L39</f>
        <v>3264782.44</v>
      </c>
      <c r="Q39" s="75">
        <f t="shared" si="2"/>
        <v>8501298.4900000002</v>
      </c>
      <c r="R39" s="75">
        <f t="shared" si="3"/>
        <v>8501298.4900000002</v>
      </c>
      <c r="S39" s="75">
        <f t="shared" si="4"/>
        <v>8501298.4900000002</v>
      </c>
    </row>
    <row r="40" spans="1:19" ht="105" x14ac:dyDescent="0.25">
      <c r="A40" s="83"/>
      <c r="B40" s="133"/>
      <c r="C40" s="93" t="s">
        <v>38</v>
      </c>
      <c r="D40" s="114" t="s">
        <v>20</v>
      </c>
      <c r="E40" s="87">
        <v>25</v>
      </c>
      <c r="F40" s="87">
        <v>25</v>
      </c>
      <c r="G40" s="87">
        <f t="shared" si="23"/>
        <v>25</v>
      </c>
      <c r="H40" s="87">
        <v>25</v>
      </c>
      <c r="I40" s="87">
        <v>25</v>
      </c>
      <c r="J40" s="75">
        <v>142093.57999999999</v>
      </c>
      <c r="K40" s="75">
        <v>12142.68</v>
      </c>
      <c r="L40" s="75">
        <v>28891.88</v>
      </c>
      <c r="M40" s="75">
        <f t="shared" si="7"/>
        <v>183128.13999999998</v>
      </c>
      <c r="N40" s="75">
        <f t="shared" si="24"/>
        <v>3552339.4999999995</v>
      </c>
      <c r="O40" s="75">
        <f t="shared" si="25"/>
        <v>303567</v>
      </c>
      <c r="P40" s="75">
        <f t="shared" si="26"/>
        <v>722297</v>
      </c>
      <c r="Q40" s="75">
        <f t="shared" si="2"/>
        <v>4578203.5</v>
      </c>
      <c r="R40" s="75">
        <f t="shared" si="3"/>
        <v>4578203.5</v>
      </c>
      <c r="S40" s="75">
        <f t="shared" si="4"/>
        <v>4578203.5</v>
      </c>
    </row>
    <row r="41" spans="1:19" ht="120" x14ac:dyDescent="0.25">
      <c r="A41" s="83"/>
      <c r="B41" s="97" t="s">
        <v>24</v>
      </c>
      <c r="C41" s="93" t="s">
        <v>162</v>
      </c>
      <c r="D41" s="114" t="s">
        <v>20</v>
      </c>
      <c r="E41" s="87">
        <v>75</v>
      </c>
      <c r="F41" s="87">
        <v>75</v>
      </c>
      <c r="G41" s="87">
        <f t="shared" si="23"/>
        <v>75</v>
      </c>
      <c r="H41" s="87">
        <v>75</v>
      </c>
      <c r="I41" s="87">
        <v>75</v>
      </c>
      <c r="J41" s="75">
        <v>50023.83</v>
      </c>
      <c r="K41" s="75">
        <v>12142.68</v>
      </c>
      <c r="L41" s="75">
        <v>28891.88</v>
      </c>
      <c r="M41" s="75">
        <f t="shared" si="7"/>
        <v>91058.39</v>
      </c>
      <c r="N41" s="75">
        <f t="shared" si="24"/>
        <v>3751787.25</v>
      </c>
      <c r="O41" s="75">
        <f t="shared" si="25"/>
        <v>910701</v>
      </c>
      <c r="P41" s="75">
        <f t="shared" si="26"/>
        <v>2166891</v>
      </c>
      <c r="Q41" s="75">
        <f t="shared" si="2"/>
        <v>6829379.25</v>
      </c>
      <c r="R41" s="75">
        <f t="shared" si="3"/>
        <v>6829379.25</v>
      </c>
      <c r="S41" s="75">
        <f t="shared" si="4"/>
        <v>6829379.25</v>
      </c>
    </row>
    <row r="42" spans="1:19" x14ac:dyDescent="0.25">
      <c r="A42" s="86"/>
      <c r="B42" s="86" t="s">
        <v>28</v>
      </c>
      <c r="C42" s="97"/>
      <c r="D42" s="86" t="s">
        <v>20</v>
      </c>
      <c r="E42" s="87">
        <f>E41+E40+E39+E38</f>
        <v>229</v>
      </c>
      <c r="F42" s="87">
        <f>F41+F40+F39+F38</f>
        <v>229</v>
      </c>
      <c r="G42" s="87">
        <f t="shared" ref="G42" si="27">(E42*8+F42*4)/12</f>
        <v>229</v>
      </c>
      <c r="H42" s="87">
        <f>H41+H40+H39+H38</f>
        <v>229</v>
      </c>
      <c r="I42" s="87">
        <f>I41+I40+I39+I38</f>
        <v>229</v>
      </c>
      <c r="J42" s="75" t="s">
        <v>23</v>
      </c>
      <c r="K42" s="75"/>
      <c r="L42" s="75">
        <v>26574.14</v>
      </c>
      <c r="M42" s="75">
        <f t="shared" si="7"/>
        <v>26574.14</v>
      </c>
      <c r="N42" s="75">
        <f t="shared" si="24"/>
        <v>0</v>
      </c>
      <c r="O42" s="75">
        <f t="shared" si="25"/>
        <v>0</v>
      </c>
      <c r="P42" s="75">
        <f>G42*L42</f>
        <v>6085478.0599999996</v>
      </c>
      <c r="Q42" s="75">
        <f t="shared" si="2"/>
        <v>6085478.0599999996</v>
      </c>
      <c r="R42" s="75">
        <f t="shared" si="3"/>
        <v>6085478.0599999996</v>
      </c>
      <c r="S42" s="75">
        <f t="shared" si="4"/>
        <v>6085478.0599999996</v>
      </c>
    </row>
    <row r="43" spans="1:19" x14ac:dyDescent="0.25">
      <c r="A43" s="115" t="s">
        <v>49</v>
      </c>
      <c r="B43" s="94"/>
      <c r="C43" s="94"/>
      <c r="D43" s="94"/>
      <c r="E43" s="92"/>
      <c r="F43" s="92"/>
      <c r="G43" s="92"/>
      <c r="H43" s="92"/>
      <c r="I43" s="92"/>
      <c r="J43" s="78"/>
      <c r="K43" s="78"/>
      <c r="L43" s="78"/>
      <c r="M43" s="78">
        <f t="shared" si="7"/>
        <v>0</v>
      </c>
      <c r="N43" s="78">
        <f>N44+N49</f>
        <v>4636663.1500000004</v>
      </c>
      <c r="O43" s="78">
        <f t="shared" ref="O43:S43" si="28">O44+O49</f>
        <v>1311409.44</v>
      </c>
      <c r="P43" s="78">
        <f>P44+P49</f>
        <v>5990330.1600000001</v>
      </c>
      <c r="Q43" s="78">
        <f t="shared" si="28"/>
        <v>11938402.75</v>
      </c>
      <c r="R43" s="78">
        <f t="shared" si="28"/>
        <v>11938402.75</v>
      </c>
      <c r="S43" s="78">
        <f t="shared" si="28"/>
        <v>11938402.75</v>
      </c>
    </row>
    <row r="44" spans="1:19" ht="85.5" x14ac:dyDescent="0.25">
      <c r="A44" s="83"/>
      <c r="B44" s="84" t="s">
        <v>76</v>
      </c>
      <c r="C44" s="131"/>
      <c r="D44" s="95"/>
      <c r="E44" s="68"/>
      <c r="F44" s="68"/>
      <c r="G44" s="68"/>
      <c r="H44" s="68"/>
      <c r="I44" s="68"/>
      <c r="J44" s="75"/>
      <c r="K44" s="75"/>
      <c r="L44" s="75"/>
      <c r="M44" s="75">
        <f t="shared" si="7"/>
        <v>0</v>
      </c>
      <c r="N44" s="75">
        <f t="shared" ref="N44:S44" si="29">SUM(N45:N48)</f>
        <v>4636663.1500000004</v>
      </c>
      <c r="O44" s="75">
        <f t="shared" si="29"/>
        <v>1311409.44</v>
      </c>
      <c r="P44" s="75">
        <f t="shared" si="29"/>
        <v>3120323.04</v>
      </c>
      <c r="Q44" s="75">
        <f t="shared" si="29"/>
        <v>9068395.629999999</v>
      </c>
      <c r="R44" s="75">
        <f t="shared" si="29"/>
        <v>9068395.629999999</v>
      </c>
      <c r="S44" s="75">
        <f t="shared" si="29"/>
        <v>9068395.629999999</v>
      </c>
    </row>
    <row r="45" spans="1:19" ht="105" x14ac:dyDescent="0.25">
      <c r="A45" s="83"/>
      <c r="B45" s="97" t="s">
        <v>19</v>
      </c>
      <c r="C45" s="93" t="s">
        <v>0</v>
      </c>
      <c r="D45" s="114" t="s">
        <v>20</v>
      </c>
      <c r="E45" s="87">
        <v>17</v>
      </c>
      <c r="F45" s="87">
        <v>17</v>
      </c>
      <c r="G45" s="87">
        <f t="shared" ref="G45:G48" si="30">(E45*8+F45*4)/12</f>
        <v>17</v>
      </c>
      <c r="H45" s="87">
        <v>17</v>
      </c>
      <c r="I45" s="87">
        <v>17</v>
      </c>
      <c r="J45" s="75">
        <v>43138.04</v>
      </c>
      <c r="K45" s="75">
        <v>12142.68</v>
      </c>
      <c r="L45" s="75">
        <v>28891.88</v>
      </c>
      <c r="M45" s="75">
        <f t="shared" si="7"/>
        <v>84172.6</v>
      </c>
      <c r="N45" s="75">
        <f>G45*J45</f>
        <v>733346.68</v>
      </c>
      <c r="O45" s="75">
        <f>G45*K45</f>
        <v>206425.56</v>
      </c>
      <c r="P45" s="75">
        <f>G45*L45</f>
        <v>491161.96</v>
      </c>
      <c r="Q45" s="75">
        <f t="shared" si="2"/>
        <v>1430934.2</v>
      </c>
      <c r="R45" s="75">
        <f t="shared" si="3"/>
        <v>1430934.2000000002</v>
      </c>
      <c r="S45" s="75">
        <f t="shared" si="4"/>
        <v>1430934.2000000002</v>
      </c>
    </row>
    <row r="46" spans="1:19" x14ac:dyDescent="0.25">
      <c r="A46" s="88"/>
      <c r="B46" s="97" t="s">
        <v>24</v>
      </c>
      <c r="C46" s="97"/>
      <c r="D46" s="86" t="s">
        <v>20</v>
      </c>
      <c r="E46" s="87">
        <v>41</v>
      </c>
      <c r="F46" s="87">
        <v>41</v>
      </c>
      <c r="G46" s="87">
        <f>(E46*8+F46*4)/12</f>
        <v>41</v>
      </c>
      <c r="H46" s="87">
        <v>41</v>
      </c>
      <c r="I46" s="87">
        <v>41</v>
      </c>
      <c r="J46" s="75">
        <v>34198.17</v>
      </c>
      <c r="K46" s="75">
        <v>12142.68</v>
      </c>
      <c r="L46" s="75">
        <v>28891.88</v>
      </c>
      <c r="M46" s="75">
        <f t="shared" si="7"/>
        <v>75232.73</v>
      </c>
      <c r="N46" s="75">
        <f>G46*J46</f>
        <v>1402124.97</v>
      </c>
      <c r="O46" s="75">
        <f>G46*K46</f>
        <v>497849.88</v>
      </c>
      <c r="P46" s="75">
        <f>G46*L46</f>
        <v>1184567.08</v>
      </c>
      <c r="Q46" s="75">
        <f>SUM(N46:P46)</f>
        <v>3084541.93</v>
      </c>
      <c r="R46" s="75">
        <f>H46*M46</f>
        <v>3084541.9299999997</v>
      </c>
      <c r="S46" s="75">
        <f>I46*M46</f>
        <v>3084541.9299999997</v>
      </c>
    </row>
    <row r="47" spans="1:19" ht="120" x14ac:dyDescent="0.25">
      <c r="A47" s="88"/>
      <c r="B47" s="97" t="s">
        <v>24</v>
      </c>
      <c r="C47" s="93" t="s">
        <v>186</v>
      </c>
      <c r="D47" s="86" t="s">
        <v>20</v>
      </c>
      <c r="E47" s="87">
        <v>0</v>
      </c>
      <c r="F47" s="87">
        <v>0</v>
      </c>
      <c r="G47" s="87">
        <f>(E47*8+F47*4)/12</f>
        <v>0</v>
      </c>
      <c r="H47" s="87">
        <v>0</v>
      </c>
      <c r="I47" s="87">
        <v>0</v>
      </c>
      <c r="J47" s="75">
        <v>67236.92</v>
      </c>
      <c r="K47" s="75">
        <v>12142.68</v>
      </c>
      <c r="L47" s="75">
        <v>28891.88</v>
      </c>
      <c r="M47" s="75">
        <f>J47+K47+L47</f>
        <v>108271.48000000001</v>
      </c>
      <c r="N47" s="75">
        <f>G47*J47</f>
        <v>0</v>
      </c>
      <c r="O47" s="75">
        <f>G47*K47</f>
        <v>0</v>
      </c>
      <c r="P47" s="75">
        <f>G47*L47</f>
        <v>0</v>
      </c>
      <c r="Q47" s="75">
        <f>SUM(N47:P47)</f>
        <v>0</v>
      </c>
      <c r="R47" s="75">
        <f>H47*M47</f>
        <v>0</v>
      </c>
      <c r="S47" s="75">
        <f>I47*M47</f>
        <v>0</v>
      </c>
    </row>
    <row r="48" spans="1:19" ht="120" x14ac:dyDescent="0.25">
      <c r="A48" s="88"/>
      <c r="B48" s="97" t="s">
        <v>24</v>
      </c>
      <c r="C48" s="93" t="s">
        <v>162</v>
      </c>
      <c r="D48" s="114" t="s">
        <v>20</v>
      </c>
      <c r="E48" s="87">
        <v>50</v>
      </c>
      <c r="F48" s="87">
        <v>50</v>
      </c>
      <c r="G48" s="87">
        <f t="shared" si="30"/>
        <v>50</v>
      </c>
      <c r="H48" s="87">
        <v>50</v>
      </c>
      <c r="I48" s="87">
        <v>50</v>
      </c>
      <c r="J48" s="75">
        <v>50023.83</v>
      </c>
      <c r="K48" s="75">
        <v>12142.68</v>
      </c>
      <c r="L48" s="75">
        <v>28891.88</v>
      </c>
      <c r="M48" s="75">
        <f t="shared" ref="M48" si="31">J48+K48+L48</f>
        <v>91058.39</v>
      </c>
      <c r="N48" s="75">
        <f t="shared" ref="N48:N49" si="32">G48*J48</f>
        <v>2501191.5</v>
      </c>
      <c r="O48" s="75">
        <f t="shared" ref="O48:O49" si="33">G48*K48</f>
        <v>607134</v>
      </c>
      <c r="P48" s="75">
        <f t="shared" ref="P48:P49" si="34">G48*L48</f>
        <v>1444594</v>
      </c>
      <c r="Q48" s="75">
        <f t="shared" ref="Q48" si="35">SUM(N48:P48)</f>
        <v>4552919.5</v>
      </c>
      <c r="R48" s="75">
        <f t="shared" ref="R48" si="36">H48*M48</f>
        <v>4552919.5</v>
      </c>
      <c r="S48" s="75">
        <f t="shared" ref="S48" si="37">I48*M48</f>
        <v>4552919.5</v>
      </c>
    </row>
    <row r="49" spans="1:19" x14ac:dyDescent="0.25">
      <c r="A49" s="86"/>
      <c r="B49" s="86" t="s">
        <v>28</v>
      </c>
      <c r="C49" s="97"/>
      <c r="D49" s="86" t="s">
        <v>20</v>
      </c>
      <c r="E49" s="87">
        <f>E48+E47+E46+E45</f>
        <v>108</v>
      </c>
      <c r="F49" s="87">
        <f>F48+F47+F46+F45</f>
        <v>108</v>
      </c>
      <c r="G49" s="87">
        <f>(E49*8+F49*4)/12</f>
        <v>108</v>
      </c>
      <c r="H49" s="87">
        <f>H48+H47+H46+H45</f>
        <v>108</v>
      </c>
      <c r="I49" s="87">
        <f>I48+I47+I46+I45</f>
        <v>108</v>
      </c>
      <c r="J49" s="75" t="s">
        <v>23</v>
      </c>
      <c r="K49" s="75"/>
      <c r="L49" s="75">
        <v>26574.14</v>
      </c>
      <c r="M49" s="75">
        <f t="shared" si="7"/>
        <v>26574.14</v>
      </c>
      <c r="N49" s="75">
        <f t="shared" si="32"/>
        <v>0</v>
      </c>
      <c r="O49" s="75">
        <f t="shared" si="33"/>
        <v>0</v>
      </c>
      <c r="P49" s="75">
        <f t="shared" si="34"/>
        <v>2870007.12</v>
      </c>
      <c r="Q49" s="75">
        <f t="shared" si="2"/>
        <v>2870007.12</v>
      </c>
      <c r="R49" s="75">
        <f t="shared" si="3"/>
        <v>2870007.12</v>
      </c>
      <c r="S49" s="75">
        <f t="shared" si="4"/>
        <v>2870007.12</v>
      </c>
    </row>
    <row r="50" spans="1:19" x14ac:dyDescent="0.25">
      <c r="A50" s="115" t="s">
        <v>53</v>
      </c>
      <c r="B50" s="94"/>
      <c r="C50" s="94"/>
      <c r="D50" s="94"/>
      <c r="E50" s="92"/>
      <c r="F50" s="92"/>
      <c r="G50" s="92"/>
      <c r="H50" s="92"/>
      <c r="I50" s="92"/>
      <c r="J50" s="78"/>
      <c r="K50" s="78"/>
      <c r="L50" s="78"/>
      <c r="M50" s="78">
        <f t="shared" si="7"/>
        <v>0</v>
      </c>
      <c r="N50" s="78">
        <f>N51+N55</f>
        <v>6531217.5099999998</v>
      </c>
      <c r="O50" s="78">
        <f t="shared" ref="O50:S50" si="38">O51+O55</f>
        <v>1979256.84</v>
      </c>
      <c r="P50" s="78">
        <f t="shared" si="38"/>
        <v>9040961.2600000016</v>
      </c>
      <c r="Q50" s="78">
        <f t="shared" si="38"/>
        <v>17551435.609999999</v>
      </c>
      <c r="R50" s="78">
        <f t="shared" si="38"/>
        <v>17551435.609999999</v>
      </c>
      <c r="S50" s="78">
        <f t="shared" si="38"/>
        <v>17551435.609999999</v>
      </c>
    </row>
    <row r="51" spans="1:19" ht="85.5" x14ac:dyDescent="0.25">
      <c r="A51" s="83"/>
      <c r="B51" s="84" t="s">
        <v>76</v>
      </c>
      <c r="C51" s="131"/>
      <c r="D51" s="95"/>
      <c r="E51" s="68"/>
      <c r="F51" s="68"/>
      <c r="G51" s="68"/>
      <c r="H51" s="68"/>
      <c r="I51" s="68"/>
      <c r="J51" s="75"/>
      <c r="K51" s="75"/>
      <c r="L51" s="75"/>
      <c r="M51" s="75">
        <f t="shared" si="7"/>
        <v>0</v>
      </c>
      <c r="N51" s="75">
        <f>SUM(N52:N54)</f>
        <v>6531217.5099999998</v>
      </c>
      <c r="O51" s="75">
        <f t="shared" ref="O51:Q51" si="39">SUM(O52:O54)</f>
        <v>1979256.84</v>
      </c>
      <c r="P51" s="75">
        <f t="shared" si="39"/>
        <v>4709376.4400000004</v>
      </c>
      <c r="Q51" s="75">
        <f t="shared" si="39"/>
        <v>13219850.789999999</v>
      </c>
      <c r="R51" s="75">
        <f>SUM(R52:R54)</f>
        <v>13219850.789999999</v>
      </c>
      <c r="S51" s="75">
        <f>SUM(S52:S54)</f>
        <v>13219850.789999999</v>
      </c>
    </row>
    <row r="52" spans="1:19" ht="105" x14ac:dyDescent="0.25">
      <c r="A52" s="83"/>
      <c r="B52" s="97" t="s">
        <v>19</v>
      </c>
      <c r="C52" s="93" t="s">
        <v>0</v>
      </c>
      <c r="D52" s="114" t="s">
        <v>20</v>
      </c>
      <c r="E52" s="87">
        <v>38</v>
      </c>
      <c r="F52" s="87">
        <v>38</v>
      </c>
      <c r="G52" s="87">
        <f t="shared" ref="G52:G54" si="40">(E52*8+F52*4)/12</f>
        <v>38</v>
      </c>
      <c r="H52" s="87">
        <v>38</v>
      </c>
      <c r="I52" s="87">
        <v>38</v>
      </c>
      <c r="J52" s="75">
        <v>43138.04</v>
      </c>
      <c r="K52" s="75">
        <v>12142.68</v>
      </c>
      <c r="L52" s="75">
        <v>28891.88</v>
      </c>
      <c r="M52" s="75">
        <f t="shared" si="7"/>
        <v>84172.6</v>
      </c>
      <c r="N52" s="75">
        <f>G52*J52</f>
        <v>1639245.52</v>
      </c>
      <c r="O52" s="75">
        <f>G52*K52</f>
        <v>461421.84</v>
      </c>
      <c r="P52" s="75">
        <f>G52*L52</f>
        <v>1097891.44</v>
      </c>
      <c r="Q52" s="75">
        <f t="shared" si="2"/>
        <v>3198558.8</v>
      </c>
      <c r="R52" s="75">
        <f t="shared" si="3"/>
        <v>3198558.8000000003</v>
      </c>
      <c r="S52" s="75">
        <f t="shared" si="4"/>
        <v>3198558.8000000003</v>
      </c>
    </row>
    <row r="53" spans="1:19" x14ac:dyDescent="0.25">
      <c r="A53" s="88"/>
      <c r="B53" s="97" t="s">
        <v>24</v>
      </c>
      <c r="C53" s="97"/>
      <c r="D53" s="86" t="s">
        <v>20</v>
      </c>
      <c r="E53" s="87">
        <v>86</v>
      </c>
      <c r="F53" s="87">
        <v>86</v>
      </c>
      <c r="G53" s="87">
        <f t="shared" si="40"/>
        <v>86</v>
      </c>
      <c r="H53" s="87">
        <v>86</v>
      </c>
      <c r="I53" s="87">
        <v>86</v>
      </c>
      <c r="J53" s="75">
        <v>34198.17</v>
      </c>
      <c r="K53" s="75">
        <v>12142.68</v>
      </c>
      <c r="L53" s="75">
        <v>28891.88</v>
      </c>
      <c r="M53" s="75">
        <f t="shared" si="7"/>
        <v>75232.73</v>
      </c>
      <c r="N53" s="75">
        <f>G53*J53</f>
        <v>2941042.6199999996</v>
      </c>
      <c r="O53" s="75">
        <f t="shared" ref="O53:O55" si="41">G53*K53</f>
        <v>1044270.48</v>
      </c>
      <c r="P53" s="75">
        <f t="shared" ref="P53:P54" si="42">G53*L53</f>
        <v>2484701.6800000002</v>
      </c>
      <c r="Q53" s="75">
        <f t="shared" si="2"/>
        <v>6470014.7799999993</v>
      </c>
      <c r="R53" s="75">
        <f t="shared" si="3"/>
        <v>6470014.7799999993</v>
      </c>
      <c r="S53" s="75">
        <f t="shared" si="4"/>
        <v>6470014.7799999993</v>
      </c>
    </row>
    <row r="54" spans="1:19" ht="120" x14ac:dyDescent="0.25">
      <c r="A54" s="88"/>
      <c r="B54" s="97" t="s">
        <v>24</v>
      </c>
      <c r="C54" s="93" t="s">
        <v>162</v>
      </c>
      <c r="D54" s="114" t="s">
        <v>20</v>
      </c>
      <c r="E54" s="87">
        <v>39</v>
      </c>
      <c r="F54" s="87">
        <v>39</v>
      </c>
      <c r="G54" s="87">
        <f t="shared" si="40"/>
        <v>39</v>
      </c>
      <c r="H54" s="87">
        <v>39</v>
      </c>
      <c r="I54" s="87">
        <v>39</v>
      </c>
      <c r="J54" s="75">
        <v>50023.83</v>
      </c>
      <c r="K54" s="75">
        <v>12142.68</v>
      </c>
      <c r="L54" s="75">
        <v>28891.88</v>
      </c>
      <c r="M54" s="75">
        <f t="shared" si="7"/>
        <v>91058.39</v>
      </c>
      <c r="N54" s="75">
        <f>G54*J54</f>
        <v>1950929.37</v>
      </c>
      <c r="O54" s="75">
        <f t="shared" si="41"/>
        <v>473564.52</v>
      </c>
      <c r="P54" s="75">
        <f t="shared" si="42"/>
        <v>1126783.32</v>
      </c>
      <c r="Q54" s="75">
        <f t="shared" si="2"/>
        <v>3551277.21</v>
      </c>
      <c r="R54" s="75">
        <f t="shared" si="3"/>
        <v>3551277.21</v>
      </c>
      <c r="S54" s="75">
        <f t="shared" si="4"/>
        <v>3551277.21</v>
      </c>
    </row>
    <row r="55" spans="1:19" x14ac:dyDescent="0.25">
      <c r="A55" s="86"/>
      <c r="B55" s="86" t="s">
        <v>28</v>
      </c>
      <c r="C55" s="97"/>
      <c r="D55" s="86" t="s">
        <v>20</v>
      </c>
      <c r="E55" s="87">
        <f>E54+E53+E52</f>
        <v>163</v>
      </c>
      <c r="F55" s="87">
        <f>F54+F53+F52</f>
        <v>163</v>
      </c>
      <c r="G55" s="87">
        <f t="shared" ref="G55" si="43">(E55*8+F55*4)/12</f>
        <v>163</v>
      </c>
      <c r="H55" s="87">
        <f>H54+H53+H52</f>
        <v>163</v>
      </c>
      <c r="I55" s="87">
        <f>I54+I53+I52</f>
        <v>163</v>
      </c>
      <c r="J55" s="75" t="s">
        <v>23</v>
      </c>
      <c r="K55" s="75"/>
      <c r="L55" s="75">
        <v>26574.14</v>
      </c>
      <c r="M55" s="75">
        <f t="shared" si="7"/>
        <v>26574.14</v>
      </c>
      <c r="N55" s="75">
        <f t="shared" si="15"/>
        <v>0</v>
      </c>
      <c r="O55" s="75">
        <f t="shared" si="41"/>
        <v>0</v>
      </c>
      <c r="P55" s="75">
        <f>G55*L55</f>
        <v>4331584.82</v>
      </c>
      <c r="Q55" s="75">
        <f t="shared" si="2"/>
        <v>4331584.82</v>
      </c>
      <c r="R55" s="75">
        <f t="shared" si="3"/>
        <v>4331584.82</v>
      </c>
      <c r="S55" s="75">
        <f t="shared" si="4"/>
        <v>4331584.82</v>
      </c>
    </row>
    <row r="56" spans="1:19" x14ac:dyDescent="0.25">
      <c r="A56" s="115" t="s">
        <v>57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78"/>
      <c r="M56" s="78">
        <f t="shared" si="7"/>
        <v>0</v>
      </c>
      <c r="N56" s="78">
        <f t="shared" ref="N56:S56" si="44">N57+N64</f>
        <v>4929727.17</v>
      </c>
      <c r="O56" s="78">
        <f t="shared" si="44"/>
        <v>1335694.8</v>
      </c>
      <c r="P56" s="78">
        <f t="shared" si="44"/>
        <v>6101262.1999999993</v>
      </c>
      <c r="Q56" s="78">
        <f t="shared" si="44"/>
        <v>12366684.170000002</v>
      </c>
      <c r="R56" s="78">
        <f t="shared" si="44"/>
        <v>12366684.170000002</v>
      </c>
      <c r="S56" s="78">
        <f t="shared" si="44"/>
        <v>12366684.170000002</v>
      </c>
    </row>
    <row r="57" spans="1:19" ht="85.5" x14ac:dyDescent="0.25">
      <c r="A57" s="83"/>
      <c r="B57" s="84" t="s">
        <v>76</v>
      </c>
      <c r="C57" s="131"/>
      <c r="D57" s="95"/>
      <c r="E57" s="68"/>
      <c r="F57" s="68"/>
      <c r="G57" s="68"/>
      <c r="H57" s="68"/>
      <c r="I57" s="68"/>
      <c r="J57" s="75"/>
      <c r="K57" s="75"/>
      <c r="L57" s="75"/>
      <c r="M57" s="75">
        <f t="shared" si="7"/>
        <v>0</v>
      </c>
      <c r="N57" s="75">
        <f t="shared" ref="N57:S57" si="45">SUM(N58:N63)</f>
        <v>4929727.17</v>
      </c>
      <c r="O57" s="75">
        <f t="shared" si="45"/>
        <v>1335694.8</v>
      </c>
      <c r="P57" s="75">
        <f t="shared" si="45"/>
        <v>3178106.8</v>
      </c>
      <c r="Q57" s="75">
        <f t="shared" si="45"/>
        <v>9443528.7700000014</v>
      </c>
      <c r="R57" s="75">
        <f t="shared" si="45"/>
        <v>9443528.7700000014</v>
      </c>
      <c r="S57" s="75">
        <f t="shared" si="45"/>
        <v>9443528.7700000014</v>
      </c>
    </row>
    <row r="58" spans="1:19" ht="105" x14ac:dyDescent="0.25">
      <c r="A58" s="83"/>
      <c r="B58" s="97" t="s">
        <v>19</v>
      </c>
      <c r="C58" s="93" t="s">
        <v>0</v>
      </c>
      <c r="D58" s="114" t="s">
        <v>20</v>
      </c>
      <c r="E58" s="87">
        <v>19</v>
      </c>
      <c r="F58" s="87">
        <v>19</v>
      </c>
      <c r="G58" s="87">
        <f t="shared" ref="G58:G59" si="46">(E58*8+F58*4)/12</f>
        <v>19</v>
      </c>
      <c r="H58" s="87">
        <v>19</v>
      </c>
      <c r="I58" s="87">
        <v>19</v>
      </c>
      <c r="J58" s="75">
        <v>43138.04</v>
      </c>
      <c r="K58" s="75">
        <v>12142.68</v>
      </c>
      <c r="L58" s="75">
        <v>28891.88</v>
      </c>
      <c r="M58" s="75">
        <f t="shared" si="7"/>
        <v>84172.6</v>
      </c>
      <c r="N58" s="75">
        <f t="shared" ref="N58:N64" si="47">G58*J58</f>
        <v>819622.76</v>
      </c>
      <c r="O58" s="75">
        <f>G58*K58</f>
        <v>230710.92</v>
      </c>
      <c r="P58" s="75">
        <f>G58*L58</f>
        <v>548945.72</v>
      </c>
      <c r="Q58" s="75">
        <f t="shared" si="2"/>
        <v>1599279.4</v>
      </c>
      <c r="R58" s="75">
        <f t="shared" si="3"/>
        <v>1599279.4000000001</v>
      </c>
      <c r="S58" s="75">
        <f t="shared" si="4"/>
        <v>1599279.4000000001</v>
      </c>
    </row>
    <row r="59" spans="1:19" x14ac:dyDescent="0.25">
      <c r="A59" s="88"/>
      <c r="B59" s="97" t="s">
        <v>24</v>
      </c>
      <c r="C59" s="97"/>
      <c r="D59" s="86" t="s">
        <v>20</v>
      </c>
      <c r="E59" s="87">
        <v>41</v>
      </c>
      <c r="F59" s="87">
        <v>41</v>
      </c>
      <c r="G59" s="87">
        <f t="shared" si="46"/>
        <v>41</v>
      </c>
      <c r="H59" s="87">
        <v>41</v>
      </c>
      <c r="I59" s="87">
        <v>41</v>
      </c>
      <c r="J59" s="75">
        <v>34198.17</v>
      </c>
      <c r="K59" s="75">
        <v>12142.68</v>
      </c>
      <c r="L59" s="75">
        <v>28891.88</v>
      </c>
      <c r="M59" s="75">
        <f t="shared" si="7"/>
        <v>75232.73</v>
      </c>
      <c r="N59" s="75">
        <f t="shared" si="47"/>
        <v>1402124.97</v>
      </c>
      <c r="O59" s="75">
        <f t="shared" ref="O59:O64" si="48">G59*K59</f>
        <v>497849.88</v>
      </c>
      <c r="P59" s="75">
        <f t="shared" ref="P59" si="49">G59*L59</f>
        <v>1184567.08</v>
      </c>
      <c r="Q59" s="75">
        <f t="shared" si="2"/>
        <v>3084541.93</v>
      </c>
      <c r="R59" s="75">
        <f t="shared" si="3"/>
        <v>3084541.9299999997</v>
      </c>
      <c r="S59" s="75">
        <f t="shared" si="4"/>
        <v>3084541.9299999997</v>
      </c>
    </row>
    <row r="60" spans="1:19" ht="120" x14ac:dyDescent="0.25">
      <c r="A60" s="83"/>
      <c r="B60" s="97" t="s">
        <v>24</v>
      </c>
      <c r="C60" s="93" t="s">
        <v>162</v>
      </c>
      <c r="D60" s="114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75">
        <v>28891.88</v>
      </c>
      <c r="M60" s="75">
        <f t="shared" ref="M60" si="50">J60+K60+L60</f>
        <v>91058.39</v>
      </c>
      <c r="N60" s="75">
        <f>G60*J60</f>
        <v>2501191.5</v>
      </c>
      <c r="O60" s="75">
        <f>G60*K60</f>
        <v>607134</v>
      </c>
      <c r="P60" s="75">
        <f>G60*L60</f>
        <v>1444594</v>
      </c>
      <c r="Q60" s="75">
        <f>SUM(N60:P60)</f>
        <v>4552919.5</v>
      </c>
      <c r="R60" s="75">
        <f t="shared" ref="R60" si="51">H60*M60</f>
        <v>4552919.5</v>
      </c>
      <c r="S60" s="75">
        <f t="shared" ref="S60" si="52">I60*M60</f>
        <v>4552919.5</v>
      </c>
    </row>
    <row r="61" spans="1:19" ht="56.25" customHeight="1" x14ac:dyDescent="0.25">
      <c r="A61" s="83"/>
      <c r="B61" s="97" t="s">
        <v>187</v>
      </c>
      <c r="C61" s="192" t="s">
        <v>78</v>
      </c>
      <c r="D61" s="194" t="s">
        <v>20</v>
      </c>
      <c r="E61" s="87">
        <v>19</v>
      </c>
      <c r="F61" s="87">
        <v>19</v>
      </c>
      <c r="G61" s="87">
        <f>(E61*8+F61*4)/12</f>
        <v>19</v>
      </c>
      <c r="H61" s="87">
        <v>19</v>
      </c>
      <c r="I61" s="87">
        <v>19</v>
      </c>
      <c r="J61" s="75">
        <v>2073.06</v>
      </c>
      <c r="K61" s="75"/>
      <c r="L61" s="75"/>
      <c r="M61" s="75">
        <f>J61+K61+L61</f>
        <v>2073.06</v>
      </c>
      <c r="N61" s="75">
        <f t="shared" si="47"/>
        <v>39388.14</v>
      </c>
      <c r="O61" s="75">
        <f>G61*K61</f>
        <v>0</v>
      </c>
      <c r="P61" s="75">
        <f>G61*L61</f>
        <v>0</v>
      </c>
      <c r="Q61" s="75">
        <f>SUM(N61:P61)</f>
        <v>39388.14</v>
      </c>
      <c r="R61" s="75">
        <f>H61*M61</f>
        <v>39388.14</v>
      </c>
      <c r="S61" s="75">
        <f>I61*M61</f>
        <v>39388.14</v>
      </c>
    </row>
    <row r="62" spans="1:19" ht="21" customHeight="1" x14ac:dyDescent="0.25">
      <c r="A62" s="83"/>
      <c r="B62" s="97" t="s">
        <v>188</v>
      </c>
      <c r="C62" s="193"/>
      <c r="D62" s="195"/>
      <c r="E62" s="87">
        <v>41</v>
      </c>
      <c r="F62" s="87">
        <v>41</v>
      </c>
      <c r="G62" s="87">
        <f>(E62*8+F62*4)/12</f>
        <v>41</v>
      </c>
      <c r="H62" s="87">
        <v>41</v>
      </c>
      <c r="I62" s="87">
        <v>41</v>
      </c>
      <c r="J62" s="75">
        <v>1554.8</v>
      </c>
      <c r="K62" s="75"/>
      <c r="L62" s="75"/>
      <c r="M62" s="75">
        <f>J62+K62+L62</f>
        <v>1554.8</v>
      </c>
      <c r="N62" s="75">
        <f t="shared" si="47"/>
        <v>63746.799999999996</v>
      </c>
      <c r="O62" s="75">
        <f>G62*K62</f>
        <v>0</v>
      </c>
      <c r="P62" s="75">
        <f>G62*L62</f>
        <v>0</v>
      </c>
      <c r="Q62" s="75">
        <f>SUM(N62:P62)</f>
        <v>63746.799999999996</v>
      </c>
      <c r="R62" s="75">
        <f>H62*M62</f>
        <v>63746.799999999996</v>
      </c>
      <c r="S62" s="75">
        <f>I62*M62</f>
        <v>63746.799999999996</v>
      </c>
    </row>
    <row r="63" spans="1:19" ht="75" x14ac:dyDescent="0.25">
      <c r="A63" s="83"/>
      <c r="B63" s="97" t="s">
        <v>188</v>
      </c>
      <c r="C63" s="150" t="s">
        <v>189</v>
      </c>
      <c r="D63" s="86" t="s">
        <v>20</v>
      </c>
      <c r="E63" s="87">
        <v>50</v>
      </c>
      <c r="F63" s="87">
        <v>50</v>
      </c>
      <c r="G63" s="87">
        <f>(E63*8+F63*4)/12</f>
        <v>50</v>
      </c>
      <c r="H63" s="87">
        <v>50</v>
      </c>
      <c r="I63" s="87">
        <v>50</v>
      </c>
      <c r="J63" s="75">
        <v>2073.06</v>
      </c>
      <c r="K63" s="75"/>
      <c r="L63" s="75"/>
      <c r="M63" s="75">
        <f>J63+K63+L63</f>
        <v>2073.06</v>
      </c>
      <c r="N63" s="75">
        <f t="shared" si="47"/>
        <v>103653</v>
      </c>
      <c r="O63" s="75">
        <f>G63*K63</f>
        <v>0</v>
      </c>
      <c r="P63" s="75">
        <f>G63*L63</f>
        <v>0</v>
      </c>
      <c r="Q63" s="75">
        <f>SUM(N63:P63)</f>
        <v>103653</v>
      </c>
      <c r="R63" s="75">
        <f>H63*M63</f>
        <v>103653</v>
      </c>
      <c r="S63" s="75">
        <f>I63*M63</f>
        <v>103653</v>
      </c>
    </row>
    <row r="64" spans="1:19" x14ac:dyDescent="0.25">
      <c r="A64" s="86"/>
      <c r="B64" s="86" t="s">
        <v>28</v>
      </c>
      <c r="C64" s="97"/>
      <c r="D64" s="86" t="s">
        <v>20</v>
      </c>
      <c r="E64" s="87">
        <f>E60+E59+E58</f>
        <v>110</v>
      </c>
      <c r="F64" s="87">
        <f>F60+F59+F58</f>
        <v>110</v>
      </c>
      <c r="G64" s="87">
        <f>(E64*8+F64*4)/12</f>
        <v>110</v>
      </c>
      <c r="H64" s="87">
        <f>H60+H59+H58</f>
        <v>110</v>
      </c>
      <c r="I64" s="87">
        <f>I60+I59+I58</f>
        <v>110</v>
      </c>
      <c r="J64" s="75" t="s">
        <v>23</v>
      </c>
      <c r="K64" s="75"/>
      <c r="L64" s="75">
        <v>26574.14</v>
      </c>
      <c r="M64" s="75">
        <f t="shared" si="7"/>
        <v>26574.14</v>
      </c>
      <c r="N64" s="75">
        <f t="shared" si="47"/>
        <v>0</v>
      </c>
      <c r="O64" s="75">
        <f t="shared" si="48"/>
        <v>0</v>
      </c>
      <c r="P64" s="75">
        <f>G64*L64</f>
        <v>2923155.4</v>
      </c>
      <c r="Q64" s="75">
        <f t="shared" si="2"/>
        <v>2923155.4</v>
      </c>
      <c r="R64" s="75">
        <f t="shared" si="3"/>
        <v>2923155.4</v>
      </c>
      <c r="S64" s="75">
        <f t="shared" si="4"/>
        <v>2923155.4</v>
      </c>
    </row>
    <row r="65" spans="1:19" x14ac:dyDescent="0.25">
      <c r="A65" s="115" t="s">
        <v>61</v>
      </c>
      <c r="B65" s="94"/>
      <c r="C65" s="94"/>
      <c r="D65" s="94"/>
      <c r="E65" s="92"/>
      <c r="F65" s="92"/>
      <c r="G65" s="92"/>
      <c r="H65" s="92"/>
      <c r="I65" s="92"/>
      <c r="J65" s="78"/>
      <c r="K65" s="78"/>
      <c r="L65" s="78"/>
      <c r="M65" s="78">
        <f t="shared" si="7"/>
        <v>0</v>
      </c>
      <c r="N65" s="78">
        <f t="shared" ref="N65:S65" si="53">N66+N73</f>
        <v>10343159.210000001</v>
      </c>
      <c r="O65" s="78">
        <f t="shared" si="53"/>
        <v>2829244.44</v>
      </c>
      <c r="P65" s="78">
        <f t="shared" si="53"/>
        <v>12923582.66</v>
      </c>
      <c r="Q65" s="78">
        <f t="shared" si="53"/>
        <v>26095986.309999999</v>
      </c>
      <c r="R65" s="78">
        <f t="shared" si="53"/>
        <v>26095986.309999999</v>
      </c>
      <c r="S65" s="78">
        <f t="shared" si="53"/>
        <v>26095986.309999999</v>
      </c>
    </row>
    <row r="66" spans="1:19" ht="85.5" x14ac:dyDescent="0.25">
      <c r="A66" s="83"/>
      <c r="B66" s="84" t="s">
        <v>76</v>
      </c>
      <c r="C66" s="131"/>
      <c r="D66" s="95"/>
      <c r="E66" s="68"/>
      <c r="F66" s="68"/>
      <c r="G66" s="68"/>
      <c r="H66" s="68"/>
      <c r="I66" s="68"/>
      <c r="J66" s="75"/>
      <c r="K66" s="75"/>
      <c r="L66" s="75"/>
      <c r="M66" s="75">
        <f>J66+K66+L66</f>
        <v>0</v>
      </c>
      <c r="N66" s="75">
        <f t="shared" ref="N66:S66" si="54">SUM(N67:N72)</f>
        <v>10343159.210000001</v>
      </c>
      <c r="O66" s="75">
        <f t="shared" si="54"/>
        <v>2829244.44</v>
      </c>
      <c r="P66" s="75">
        <f t="shared" si="54"/>
        <v>6731808.04</v>
      </c>
      <c r="Q66" s="75">
        <f t="shared" si="54"/>
        <v>19904211.689999998</v>
      </c>
      <c r="R66" s="75">
        <f t="shared" si="54"/>
        <v>19904211.689999998</v>
      </c>
      <c r="S66" s="75">
        <f t="shared" si="54"/>
        <v>19904211.689999998</v>
      </c>
    </row>
    <row r="67" spans="1:19" ht="105" x14ac:dyDescent="0.25">
      <c r="A67" s="83"/>
      <c r="B67" s="97" t="s">
        <v>19</v>
      </c>
      <c r="C67" s="93" t="s">
        <v>0</v>
      </c>
      <c r="D67" s="114" t="s">
        <v>20</v>
      </c>
      <c r="E67" s="87">
        <v>40</v>
      </c>
      <c r="F67" s="87">
        <v>40</v>
      </c>
      <c r="G67" s="87">
        <f t="shared" ref="G67:G72" si="55">(E67*8+F67*4)/12</f>
        <v>40</v>
      </c>
      <c r="H67" s="87">
        <v>40</v>
      </c>
      <c r="I67" s="87">
        <v>40</v>
      </c>
      <c r="J67" s="75">
        <v>43138.04</v>
      </c>
      <c r="K67" s="75">
        <v>12142.68</v>
      </c>
      <c r="L67" s="75">
        <v>28891.88</v>
      </c>
      <c r="M67" s="75">
        <f t="shared" si="7"/>
        <v>84172.6</v>
      </c>
      <c r="N67" s="75">
        <f>G67*J67</f>
        <v>1725521.6</v>
      </c>
      <c r="O67" s="75">
        <f>G67*K67</f>
        <v>485707.2</v>
      </c>
      <c r="P67" s="75">
        <f>G67*L67</f>
        <v>1155675.2</v>
      </c>
      <c r="Q67" s="75">
        <f t="shared" si="2"/>
        <v>3366904</v>
      </c>
      <c r="R67" s="75">
        <f t="shared" si="3"/>
        <v>3366904</v>
      </c>
      <c r="S67" s="75">
        <f t="shared" si="4"/>
        <v>3366904</v>
      </c>
    </row>
    <row r="68" spans="1:19" x14ac:dyDescent="0.25">
      <c r="A68" s="88"/>
      <c r="B68" s="97" t="s">
        <v>24</v>
      </c>
      <c r="C68" s="97"/>
      <c r="D68" s="86" t="s">
        <v>20</v>
      </c>
      <c r="E68" s="87">
        <v>93</v>
      </c>
      <c r="F68" s="87">
        <v>93</v>
      </c>
      <c r="G68" s="87">
        <f t="shared" si="55"/>
        <v>93</v>
      </c>
      <c r="H68" s="87">
        <v>93</v>
      </c>
      <c r="I68" s="87">
        <v>93</v>
      </c>
      <c r="J68" s="75">
        <v>34198.17</v>
      </c>
      <c r="K68" s="75">
        <v>12142.68</v>
      </c>
      <c r="L68" s="75">
        <v>28891.88</v>
      </c>
      <c r="M68" s="75">
        <f>J68+K68+L68</f>
        <v>75232.73</v>
      </c>
      <c r="N68" s="75">
        <f>G68*J68</f>
        <v>3180429.81</v>
      </c>
      <c r="O68" s="75">
        <f t="shared" ref="O68:O73" si="56">G68*K68</f>
        <v>1129269.24</v>
      </c>
      <c r="P68" s="75">
        <f t="shared" ref="P68:P70" si="57">G68*L68</f>
        <v>2686944.8400000003</v>
      </c>
      <c r="Q68" s="75">
        <f t="shared" si="2"/>
        <v>6996643.8900000006</v>
      </c>
      <c r="R68" s="75">
        <f t="shared" si="3"/>
        <v>6996643.8899999997</v>
      </c>
      <c r="S68" s="75">
        <f t="shared" si="4"/>
        <v>6996643.8899999997</v>
      </c>
    </row>
    <row r="69" spans="1:19" ht="120" x14ac:dyDescent="0.25">
      <c r="A69" s="88"/>
      <c r="B69" s="97" t="s">
        <v>24</v>
      </c>
      <c r="C69" s="128" t="s">
        <v>162</v>
      </c>
      <c r="D69" s="114" t="s">
        <v>20</v>
      </c>
      <c r="E69" s="87">
        <v>100</v>
      </c>
      <c r="F69" s="87">
        <v>100</v>
      </c>
      <c r="G69" s="87">
        <f t="shared" si="55"/>
        <v>100</v>
      </c>
      <c r="H69" s="87">
        <v>100</v>
      </c>
      <c r="I69" s="87">
        <v>100</v>
      </c>
      <c r="J69" s="75">
        <v>50023.83</v>
      </c>
      <c r="K69" s="75">
        <v>12142.68</v>
      </c>
      <c r="L69" s="75">
        <v>28891.88</v>
      </c>
      <c r="M69" s="75">
        <f t="shared" si="7"/>
        <v>91058.39</v>
      </c>
      <c r="N69" s="75">
        <f t="shared" ref="N69:N70" si="58">G69*J69</f>
        <v>5002383</v>
      </c>
      <c r="O69" s="75">
        <f t="shared" si="56"/>
        <v>1214268</v>
      </c>
      <c r="P69" s="75">
        <f t="shared" si="57"/>
        <v>2889188</v>
      </c>
      <c r="Q69" s="75">
        <f t="shared" si="2"/>
        <v>9105839</v>
      </c>
      <c r="R69" s="75">
        <f t="shared" si="3"/>
        <v>9105839</v>
      </c>
      <c r="S69" s="75">
        <f t="shared" si="4"/>
        <v>9105839</v>
      </c>
    </row>
    <row r="70" spans="1:19" ht="75" x14ac:dyDescent="0.25">
      <c r="A70" s="83"/>
      <c r="B70" s="97" t="s">
        <v>187</v>
      </c>
      <c r="C70" s="93" t="s">
        <v>78</v>
      </c>
      <c r="D70" s="114" t="s">
        <v>20</v>
      </c>
      <c r="E70" s="87">
        <v>40</v>
      </c>
      <c r="F70" s="87">
        <v>40</v>
      </c>
      <c r="G70" s="87">
        <f t="shared" si="55"/>
        <v>40</v>
      </c>
      <c r="H70" s="87">
        <v>40</v>
      </c>
      <c r="I70" s="87">
        <v>40</v>
      </c>
      <c r="J70" s="75">
        <v>2073.06</v>
      </c>
      <c r="K70" s="75"/>
      <c r="L70" s="75"/>
      <c r="M70" s="75">
        <f t="shared" si="7"/>
        <v>2073.06</v>
      </c>
      <c r="N70" s="75">
        <f t="shared" si="58"/>
        <v>82922.399999999994</v>
      </c>
      <c r="O70" s="75">
        <f t="shared" si="56"/>
        <v>0</v>
      </c>
      <c r="P70" s="75">
        <f t="shared" si="57"/>
        <v>0</v>
      </c>
      <c r="Q70" s="75">
        <f t="shared" si="2"/>
        <v>82922.399999999994</v>
      </c>
      <c r="R70" s="75">
        <f t="shared" si="3"/>
        <v>82922.399999999994</v>
      </c>
      <c r="S70" s="75">
        <f t="shared" si="4"/>
        <v>82922.399999999994</v>
      </c>
    </row>
    <row r="71" spans="1:19" x14ac:dyDescent="0.25">
      <c r="A71" s="83"/>
      <c r="B71" s="97" t="s">
        <v>188</v>
      </c>
      <c r="C71" s="93"/>
      <c r="D71" s="129" t="s">
        <v>20</v>
      </c>
      <c r="E71" s="87">
        <v>93</v>
      </c>
      <c r="F71" s="87">
        <v>93</v>
      </c>
      <c r="G71" s="87">
        <f t="shared" si="55"/>
        <v>93</v>
      </c>
      <c r="H71" s="87">
        <v>93</v>
      </c>
      <c r="I71" s="87">
        <v>93</v>
      </c>
      <c r="J71" s="75">
        <v>1554.8</v>
      </c>
      <c r="K71" s="75"/>
      <c r="L71" s="75"/>
      <c r="M71" s="75">
        <f t="shared" ref="M71:M72" si="59">J71+K71+L71</f>
        <v>1554.8</v>
      </c>
      <c r="N71" s="75">
        <f t="shared" ref="N71:N72" si="60">G71*J71</f>
        <v>144596.4</v>
      </c>
      <c r="O71" s="75">
        <f t="shared" ref="O71:O72" si="61">G71*K71</f>
        <v>0</v>
      </c>
      <c r="P71" s="75">
        <f t="shared" ref="P71:P72" si="62">G71*L71</f>
        <v>0</v>
      </c>
      <c r="Q71" s="75">
        <f t="shared" ref="Q71:Q72" si="63">SUM(N71:P71)</f>
        <v>144596.4</v>
      </c>
      <c r="R71" s="75">
        <f t="shared" ref="R71:R72" si="64">H71*M71</f>
        <v>144596.4</v>
      </c>
      <c r="S71" s="75">
        <f t="shared" ref="S71:S72" si="65">I71*M71</f>
        <v>144596.4</v>
      </c>
    </row>
    <row r="72" spans="1:19" ht="75" x14ac:dyDescent="0.25">
      <c r="A72" s="83"/>
      <c r="B72" s="97" t="s">
        <v>188</v>
      </c>
      <c r="C72" s="132" t="s">
        <v>189</v>
      </c>
      <c r="D72" s="129" t="s">
        <v>20</v>
      </c>
      <c r="E72" s="87">
        <v>100</v>
      </c>
      <c r="F72" s="87">
        <v>100</v>
      </c>
      <c r="G72" s="87">
        <f t="shared" si="55"/>
        <v>100</v>
      </c>
      <c r="H72" s="87">
        <v>100</v>
      </c>
      <c r="I72" s="87">
        <v>100</v>
      </c>
      <c r="J72" s="75">
        <v>2073.06</v>
      </c>
      <c r="K72" s="75"/>
      <c r="L72" s="75"/>
      <c r="M72" s="75">
        <f t="shared" si="59"/>
        <v>2073.06</v>
      </c>
      <c r="N72" s="75">
        <f t="shared" si="60"/>
        <v>207306</v>
      </c>
      <c r="O72" s="75">
        <f t="shared" si="61"/>
        <v>0</v>
      </c>
      <c r="P72" s="75">
        <f t="shared" si="62"/>
        <v>0</v>
      </c>
      <c r="Q72" s="75">
        <f t="shared" si="63"/>
        <v>207306</v>
      </c>
      <c r="R72" s="75">
        <f t="shared" si="64"/>
        <v>207306</v>
      </c>
      <c r="S72" s="75">
        <f t="shared" si="65"/>
        <v>207306</v>
      </c>
    </row>
    <row r="73" spans="1:19" x14ac:dyDescent="0.25">
      <c r="A73" s="86"/>
      <c r="B73" s="86" t="s">
        <v>28</v>
      </c>
      <c r="C73" s="97"/>
      <c r="D73" s="86" t="s">
        <v>20</v>
      </c>
      <c r="E73" s="87">
        <f>E69+E68+E67</f>
        <v>233</v>
      </c>
      <c r="F73" s="87">
        <f>F69+F68+F67</f>
        <v>233</v>
      </c>
      <c r="G73" s="87">
        <f>(E73*8+F73*4)/12</f>
        <v>233</v>
      </c>
      <c r="H73" s="87">
        <f>H69+H68+H67</f>
        <v>233</v>
      </c>
      <c r="I73" s="87">
        <f>I69+I68+I67</f>
        <v>233</v>
      </c>
      <c r="J73" s="75" t="s">
        <v>23</v>
      </c>
      <c r="K73" s="75"/>
      <c r="L73" s="75">
        <v>26574.14</v>
      </c>
      <c r="M73" s="75">
        <f t="shared" si="7"/>
        <v>26574.14</v>
      </c>
      <c r="N73" s="75">
        <f>G73*J73</f>
        <v>0</v>
      </c>
      <c r="O73" s="75">
        <f t="shared" si="56"/>
        <v>0</v>
      </c>
      <c r="P73" s="75">
        <f>G73*L73</f>
        <v>6191774.6200000001</v>
      </c>
      <c r="Q73" s="75">
        <f t="shared" si="2"/>
        <v>6191774.6200000001</v>
      </c>
      <c r="R73" s="75">
        <f t="shared" si="3"/>
        <v>6191774.6200000001</v>
      </c>
      <c r="S73" s="75">
        <f t="shared" si="4"/>
        <v>6191774.6200000001</v>
      </c>
    </row>
    <row r="74" spans="1:19" x14ac:dyDescent="0.25">
      <c r="A74" s="115" t="s">
        <v>65</v>
      </c>
      <c r="B74" s="94"/>
      <c r="C74" s="94"/>
      <c r="D74" s="94"/>
      <c r="E74" s="92"/>
      <c r="F74" s="92"/>
      <c r="G74" s="92"/>
      <c r="H74" s="92"/>
      <c r="I74" s="92"/>
      <c r="J74" s="78"/>
      <c r="K74" s="78"/>
      <c r="L74" s="78"/>
      <c r="M74" s="78">
        <f t="shared" si="7"/>
        <v>0</v>
      </c>
      <c r="N74" s="78">
        <f>N75+N79</f>
        <v>5335363.09</v>
      </c>
      <c r="O74" s="78">
        <f t="shared" ref="O74:S74" si="66">O75+O79</f>
        <v>1699975.2000000002</v>
      </c>
      <c r="P74" s="78">
        <f t="shared" si="66"/>
        <v>7765242.8000000007</v>
      </c>
      <c r="Q74" s="78">
        <f t="shared" si="66"/>
        <v>14800581.09</v>
      </c>
      <c r="R74" s="78">
        <f t="shared" si="66"/>
        <v>14800581.09</v>
      </c>
      <c r="S74" s="78">
        <f t="shared" si="66"/>
        <v>14800581.09</v>
      </c>
    </row>
    <row r="75" spans="1:19" ht="85.5" x14ac:dyDescent="0.25">
      <c r="A75" s="83"/>
      <c r="B75" s="84" t="s">
        <v>76</v>
      </c>
      <c r="C75" s="131"/>
      <c r="D75" s="95"/>
      <c r="E75" s="68"/>
      <c r="F75" s="68"/>
      <c r="G75" s="68"/>
      <c r="H75" s="68"/>
      <c r="I75" s="68"/>
      <c r="J75" s="75"/>
      <c r="K75" s="75"/>
      <c r="L75" s="75"/>
      <c r="M75" s="75">
        <f t="shared" si="7"/>
        <v>0</v>
      </c>
      <c r="N75" s="75">
        <f>SUM(N76:N78)</f>
        <v>5335363.09</v>
      </c>
      <c r="O75" s="75">
        <f t="shared" ref="O75:S75" si="67">SUM(O76:O78)</f>
        <v>1699975.2000000002</v>
      </c>
      <c r="P75" s="75">
        <f t="shared" si="67"/>
        <v>4044863.2</v>
      </c>
      <c r="Q75" s="75">
        <f t="shared" si="67"/>
        <v>11080201.49</v>
      </c>
      <c r="R75" s="75">
        <f t="shared" si="67"/>
        <v>11080201.49</v>
      </c>
      <c r="S75" s="75">
        <f t="shared" si="67"/>
        <v>11080201.49</v>
      </c>
    </row>
    <row r="76" spans="1:19" ht="105" x14ac:dyDescent="0.25">
      <c r="A76" s="83"/>
      <c r="B76" s="97" t="s">
        <v>19</v>
      </c>
      <c r="C76" s="93" t="s">
        <v>0</v>
      </c>
      <c r="D76" s="86" t="s">
        <v>20</v>
      </c>
      <c r="E76" s="87">
        <v>17</v>
      </c>
      <c r="F76" s="87">
        <v>17</v>
      </c>
      <c r="G76" s="87">
        <f t="shared" ref="G76:G79" si="68">(E76*8+F76*4)/12</f>
        <v>17</v>
      </c>
      <c r="H76" s="87">
        <v>17</v>
      </c>
      <c r="I76" s="87">
        <v>17</v>
      </c>
      <c r="J76" s="75">
        <v>43138.04</v>
      </c>
      <c r="K76" s="75">
        <v>12142.68</v>
      </c>
      <c r="L76" s="75">
        <v>28891.88</v>
      </c>
      <c r="M76" s="75">
        <f t="shared" si="7"/>
        <v>84172.6</v>
      </c>
      <c r="N76" s="75">
        <f>G76*J76</f>
        <v>733346.68</v>
      </c>
      <c r="O76" s="75">
        <f>G76*K76</f>
        <v>206425.56</v>
      </c>
      <c r="P76" s="75">
        <f>G76*L76</f>
        <v>491161.96</v>
      </c>
      <c r="Q76" s="75">
        <f t="shared" si="2"/>
        <v>1430934.2</v>
      </c>
      <c r="R76" s="75">
        <f t="shared" si="3"/>
        <v>1430934.2000000002</v>
      </c>
      <c r="S76" s="75">
        <f t="shared" si="4"/>
        <v>1430934.2000000002</v>
      </c>
    </row>
    <row r="77" spans="1:19" x14ac:dyDescent="0.25">
      <c r="A77" s="88"/>
      <c r="B77" s="97" t="s">
        <v>24</v>
      </c>
      <c r="C77" s="97"/>
      <c r="D77" s="86" t="s">
        <v>20</v>
      </c>
      <c r="E77" s="87">
        <v>98</v>
      </c>
      <c r="F77" s="87">
        <v>98</v>
      </c>
      <c r="G77" s="87">
        <f t="shared" si="68"/>
        <v>98</v>
      </c>
      <c r="H77" s="87">
        <v>98</v>
      </c>
      <c r="I77" s="87">
        <v>98</v>
      </c>
      <c r="J77" s="75">
        <v>34198.17</v>
      </c>
      <c r="K77" s="75">
        <v>12142.68</v>
      </c>
      <c r="L77" s="75">
        <v>28891.88</v>
      </c>
      <c r="M77" s="75">
        <f t="shared" si="7"/>
        <v>75232.73</v>
      </c>
      <c r="N77" s="75">
        <f t="shared" ref="N77:N79" si="69">G77*J77</f>
        <v>3351420.6599999997</v>
      </c>
      <c r="O77" s="75">
        <f t="shared" ref="O77:O79" si="70">G77*K77</f>
        <v>1189982.6400000001</v>
      </c>
      <c r="P77" s="75">
        <f t="shared" ref="P77:P78" si="71">G77*L77</f>
        <v>2831404.24</v>
      </c>
      <c r="Q77" s="75">
        <f t="shared" si="2"/>
        <v>7372807.54</v>
      </c>
      <c r="R77" s="75">
        <f t="shared" si="3"/>
        <v>7372807.54</v>
      </c>
      <c r="S77" s="75">
        <f t="shared" si="4"/>
        <v>7372807.54</v>
      </c>
    </row>
    <row r="78" spans="1:19" ht="120" x14ac:dyDescent="0.25">
      <c r="A78" s="88"/>
      <c r="B78" s="97" t="s">
        <v>24</v>
      </c>
      <c r="C78" s="128" t="s">
        <v>162</v>
      </c>
      <c r="D78" s="114" t="s">
        <v>20</v>
      </c>
      <c r="E78" s="87">
        <v>25</v>
      </c>
      <c r="F78" s="87">
        <v>25</v>
      </c>
      <c r="G78" s="87">
        <f t="shared" si="68"/>
        <v>25</v>
      </c>
      <c r="H78" s="87">
        <v>25</v>
      </c>
      <c r="I78" s="87">
        <v>25</v>
      </c>
      <c r="J78" s="75">
        <v>50023.83</v>
      </c>
      <c r="K78" s="75">
        <v>12142.68</v>
      </c>
      <c r="L78" s="75">
        <v>28891.88</v>
      </c>
      <c r="M78" s="75">
        <f t="shared" ref="M78" si="72">J78+K78+L78</f>
        <v>91058.39</v>
      </c>
      <c r="N78" s="75">
        <f t="shared" si="69"/>
        <v>1250595.75</v>
      </c>
      <c r="O78" s="75">
        <f t="shared" si="70"/>
        <v>303567</v>
      </c>
      <c r="P78" s="75">
        <f t="shared" si="71"/>
        <v>722297</v>
      </c>
      <c r="Q78" s="75">
        <f t="shared" ref="Q78" si="73">SUM(N78:P78)</f>
        <v>2276459.75</v>
      </c>
      <c r="R78" s="75">
        <f t="shared" ref="R78" si="74">H78*M78</f>
        <v>2276459.75</v>
      </c>
      <c r="S78" s="75">
        <f t="shared" ref="S78" si="75">I78*M78</f>
        <v>2276459.75</v>
      </c>
    </row>
    <row r="79" spans="1:19" x14ac:dyDescent="0.25">
      <c r="A79" s="86"/>
      <c r="B79" s="86" t="s">
        <v>28</v>
      </c>
      <c r="C79" s="97"/>
      <c r="D79" s="86" t="s">
        <v>20</v>
      </c>
      <c r="E79" s="87">
        <f>E78+E77+E76</f>
        <v>140</v>
      </c>
      <c r="F79" s="87">
        <f>F78+F77+F76</f>
        <v>140</v>
      </c>
      <c r="G79" s="87">
        <f t="shared" si="68"/>
        <v>140</v>
      </c>
      <c r="H79" s="87">
        <f>H78+H77+H76</f>
        <v>140</v>
      </c>
      <c r="I79" s="87">
        <f>I78+I77+I76</f>
        <v>140</v>
      </c>
      <c r="J79" s="75" t="s">
        <v>23</v>
      </c>
      <c r="K79" s="75"/>
      <c r="L79" s="75">
        <v>26574.14</v>
      </c>
      <c r="M79" s="75">
        <f t="shared" si="7"/>
        <v>26574.14</v>
      </c>
      <c r="N79" s="75">
        <f t="shared" si="69"/>
        <v>0</v>
      </c>
      <c r="O79" s="75">
        <f t="shared" si="70"/>
        <v>0</v>
      </c>
      <c r="P79" s="75">
        <f>G79*L79</f>
        <v>3720379.6</v>
      </c>
      <c r="Q79" s="75">
        <f t="shared" si="2"/>
        <v>3720379.6</v>
      </c>
      <c r="R79" s="75">
        <f t="shared" si="3"/>
        <v>3720379.6</v>
      </c>
      <c r="S79" s="75">
        <f t="shared" si="4"/>
        <v>3720379.6</v>
      </c>
    </row>
    <row r="80" spans="1:19" x14ac:dyDescent="0.25">
      <c r="A80" s="115" t="s">
        <v>68</v>
      </c>
      <c r="B80" s="94"/>
      <c r="C80" s="94"/>
      <c r="D80" s="94"/>
      <c r="E80" s="92"/>
      <c r="F80" s="92"/>
      <c r="G80" s="92"/>
      <c r="H80" s="92"/>
      <c r="I80" s="92"/>
      <c r="J80" s="78"/>
      <c r="K80" s="78"/>
      <c r="L80" s="78"/>
      <c r="M80" s="78">
        <f t="shared" si="7"/>
        <v>0</v>
      </c>
      <c r="N80" s="78">
        <f>N81+N85</f>
        <v>5858857.4000000004</v>
      </c>
      <c r="O80" s="78">
        <f t="shared" ref="O80:S80" si="76">O81+O85</f>
        <v>1748545.92</v>
      </c>
      <c r="P80" s="78">
        <f t="shared" si="76"/>
        <v>7987106.8800000008</v>
      </c>
      <c r="Q80" s="78">
        <f t="shared" si="76"/>
        <v>15594510.199999999</v>
      </c>
      <c r="R80" s="78">
        <f t="shared" si="76"/>
        <v>15594510.199999999</v>
      </c>
      <c r="S80" s="78">
        <f t="shared" si="76"/>
        <v>15594510.199999999</v>
      </c>
    </row>
    <row r="81" spans="1:19" ht="85.5" x14ac:dyDescent="0.25">
      <c r="A81" s="83"/>
      <c r="B81" s="84" t="s">
        <v>76</v>
      </c>
      <c r="C81" s="131"/>
      <c r="D81" s="95"/>
      <c r="E81" s="68"/>
      <c r="F81" s="68"/>
      <c r="G81" s="68"/>
      <c r="H81" s="68"/>
      <c r="I81" s="68"/>
      <c r="J81" s="75"/>
      <c r="K81" s="75"/>
      <c r="L81" s="75"/>
      <c r="M81" s="75">
        <f t="shared" si="7"/>
        <v>0</v>
      </c>
      <c r="N81" s="75">
        <f>SUM(N82:N84)</f>
        <v>5858857.4000000004</v>
      </c>
      <c r="O81" s="75">
        <f>SUM(O82:O84)</f>
        <v>1748545.92</v>
      </c>
      <c r="P81" s="75">
        <f t="shared" ref="P81:S81" si="77">SUM(P82:P84)</f>
        <v>4160430.72</v>
      </c>
      <c r="Q81" s="75">
        <f t="shared" si="77"/>
        <v>11767834.039999999</v>
      </c>
      <c r="R81" s="75">
        <f t="shared" si="77"/>
        <v>11767834.039999999</v>
      </c>
      <c r="S81" s="75">
        <f t="shared" si="77"/>
        <v>11767834.039999999</v>
      </c>
    </row>
    <row r="82" spans="1:19" ht="105" x14ac:dyDescent="0.25">
      <c r="A82" s="83"/>
      <c r="B82" s="97" t="s">
        <v>19</v>
      </c>
      <c r="C82" s="93" t="s">
        <v>0</v>
      </c>
      <c r="D82" s="114" t="s">
        <v>20</v>
      </c>
      <c r="E82" s="87">
        <v>16</v>
      </c>
      <c r="F82" s="87">
        <v>16</v>
      </c>
      <c r="G82" s="87">
        <f t="shared" ref="G82:G85" si="78">(E82*8+F82*4)/12</f>
        <v>16</v>
      </c>
      <c r="H82" s="87">
        <v>16</v>
      </c>
      <c r="I82" s="87">
        <v>16</v>
      </c>
      <c r="J82" s="75">
        <v>43138.04</v>
      </c>
      <c r="K82" s="75">
        <v>12142.68</v>
      </c>
      <c r="L82" s="75">
        <v>28891.88</v>
      </c>
      <c r="M82" s="75">
        <f t="shared" si="7"/>
        <v>84172.6</v>
      </c>
      <c r="N82" s="75">
        <f>G82*J82</f>
        <v>690208.64</v>
      </c>
      <c r="O82" s="75">
        <f>G82*K82</f>
        <v>194282.88</v>
      </c>
      <c r="P82" s="75">
        <f>G82*L82</f>
        <v>462270.08</v>
      </c>
      <c r="Q82" s="75">
        <f t="shared" si="2"/>
        <v>1346761.6</v>
      </c>
      <c r="R82" s="75">
        <f t="shared" si="3"/>
        <v>1346761.6</v>
      </c>
      <c r="S82" s="75">
        <f t="shared" si="4"/>
        <v>1346761.6</v>
      </c>
    </row>
    <row r="83" spans="1:19" x14ac:dyDescent="0.25">
      <c r="A83" s="88"/>
      <c r="B83" s="97" t="s">
        <v>24</v>
      </c>
      <c r="C83" s="97"/>
      <c r="D83" s="86" t="s">
        <v>20</v>
      </c>
      <c r="E83" s="87">
        <v>78</v>
      </c>
      <c r="F83" s="87">
        <v>78</v>
      </c>
      <c r="G83" s="87">
        <f t="shared" si="78"/>
        <v>78</v>
      </c>
      <c r="H83" s="87">
        <v>78</v>
      </c>
      <c r="I83" s="87">
        <v>78</v>
      </c>
      <c r="J83" s="75">
        <v>34198.17</v>
      </c>
      <c r="K83" s="75">
        <v>12142.68</v>
      </c>
      <c r="L83" s="75">
        <v>28891.88</v>
      </c>
      <c r="M83" s="75">
        <f t="shared" si="7"/>
        <v>75232.73</v>
      </c>
      <c r="N83" s="75">
        <f t="shared" ref="N83:N85" si="79">G83*J83</f>
        <v>2667457.2599999998</v>
      </c>
      <c r="O83" s="75">
        <f>G83*K83</f>
        <v>947129.04</v>
      </c>
      <c r="P83" s="75">
        <f t="shared" ref="P83:P84" si="80">G83*L83</f>
        <v>2253566.64</v>
      </c>
      <c r="Q83" s="75">
        <f t="shared" si="2"/>
        <v>5868152.9399999995</v>
      </c>
      <c r="R83" s="75">
        <f t="shared" si="3"/>
        <v>5868152.9399999995</v>
      </c>
      <c r="S83" s="75">
        <f t="shared" si="4"/>
        <v>5868152.9399999995</v>
      </c>
    </row>
    <row r="84" spans="1:19" ht="120" x14ac:dyDescent="0.25">
      <c r="A84" s="88"/>
      <c r="B84" s="97" t="s">
        <v>24</v>
      </c>
      <c r="C84" s="93" t="s">
        <v>162</v>
      </c>
      <c r="D84" s="114" t="s">
        <v>20</v>
      </c>
      <c r="E84" s="87">
        <v>50</v>
      </c>
      <c r="F84" s="87">
        <v>50</v>
      </c>
      <c r="G84" s="87">
        <f t="shared" si="78"/>
        <v>50</v>
      </c>
      <c r="H84" s="87">
        <v>50</v>
      </c>
      <c r="I84" s="87">
        <v>50</v>
      </c>
      <c r="J84" s="75">
        <v>50023.83</v>
      </c>
      <c r="K84" s="75">
        <v>12142.68</v>
      </c>
      <c r="L84" s="75">
        <v>28891.88</v>
      </c>
      <c r="M84" s="75">
        <f t="shared" si="7"/>
        <v>91058.39</v>
      </c>
      <c r="N84" s="75">
        <f t="shared" si="79"/>
        <v>2501191.5</v>
      </c>
      <c r="O84" s="75">
        <f>G84*K84</f>
        <v>607134</v>
      </c>
      <c r="P84" s="75">
        <f t="shared" si="80"/>
        <v>1444594</v>
      </c>
      <c r="Q84" s="75">
        <f t="shared" si="2"/>
        <v>4552919.5</v>
      </c>
      <c r="R84" s="75">
        <f t="shared" si="3"/>
        <v>4552919.5</v>
      </c>
      <c r="S84" s="75">
        <f t="shared" si="4"/>
        <v>4552919.5</v>
      </c>
    </row>
    <row r="85" spans="1:19" x14ac:dyDescent="0.25">
      <c r="A85" s="86"/>
      <c r="B85" s="86" t="s">
        <v>28</v>
      </c>
      <c r="C85" s="97"/>
      <c r="D85" s="86" t="s">
        <v>20</v>
      </c>
      <c r="E85" s="87">
        <f>E84+E83+E82</f>
        <v>144</v>
      </c>
      <c r="F85" s="87">
        <f>F84+F83+F82</f>
        <v>144</v>
      </c>
      <c r="G85" s="87">
        <f t="shared" si="78"/>
        <v>144</v>
      </c>
      <c r="H85" s="87">
        <f>H84+H83+H82</f>
        <v>144</v>
      </c>
      <c r="I85" s="87">
        <f>I84+I83+I82</f>
        <v>144</v>
      </c>
      <c r="J85" s="75" t="s">
        <v>23</v>
      </c>
      <c r="K85" s="75"/>
      <c r="L85" s="75">
        <v>26574.14</v>
      </c>
      <c r="M85" s="75">
        <f t="shared" si="7"/>
        <v>26574.14</v>
      </c>
      <c r="N85" s="75">
        <f t="shared" si="79"/>
        <v>0</v>
      </c>
      <c r="O85" s="75">
        <f t="shared" ref="O85" si="81">G85*K85</f>
        <v>0</v>
      </c>
      <c r="P85" s="75">
        <f>G85*L85</f>
        <v>3826676.16</v>
      </c>
      <c r="Q85" s="75">
        <f t="shared" si="2"/>
        <v>3826676.16</v>
      </c>
      <c r="R85" s="75">
        <f t="shared" si="3"/>
        <v>3826676.16</v>
      </c>
      <c r="S85" s="75">
        <f t="shared" si="4"/>
        <v>3826676.16</v>
      </c>
    </row>
    <row r="86" spans="1:19" s="96" customFormat="1" ht="14.25" x14ac:dyDescent="0.2">
      <c r="A86" s="115" t="s">
        <v>71</v>
      </c>
      <c r="B86" s="94"/>
      <c r="C86" s="94"/>
      <c r="D86" s="94"/>
      <c r="E86" s="92"/>
      <c r="F86" s="92"/>
      <c r="G86" s="92"/>
      <c r="H86" s="92"/>
      <c r="I86" s="92"/>
      <c r="J86" s="78"/>
      <c r="K86" s="78"/>
      <c r="L86" s="78"/>
      <c r="M86" s="78">
        <f t="shared" si="7"/>
        <v>0</v>
      </c>
      <c r="N86" s="78">
        <f>N87+N91</f>
        <v>10780055.66</v>
      </c>
      <c r="O86" s="78">
        <f t="shared" ref="O86:S86" si="82">O87+O91</f>
        <v>2950671.24</v>
      </c>
      <c r="P86" s="78">
        <f t="shared" si="82"/>
        <v>13478242.859999999</v>
      </c>
      <c r="Q86" s="78">
        <f t="shared" si="82"/>
        <v>27208969.760000002</v>
      </c>
      <c r="R86" s="78">
        <f t="shared" si="82"/>
        <v>27208969.759999998</v>
      </c>
      <c r="S86" s="78">
        <f t="shared" si="82"/>
        <v>27208969.759999998</v>
      </c>
    </row>
    <row r="87" spans="1:19" ht="85.5" x14ac:dyDescent="0.25">
      <c r="A87" s="83"/>
      <c r="B87" s="84" t="s">
        <v>76</v>
      </c>
      <c r="C87" s="131"/>
      <c r="D87" s="95"/>
      <c r="E87" s="68"/>
      <c r="F87" s="68"/>
      <c r="G87" s="68"/>
      <c r="H87" s="68"/>
      <c r="I87" s="68"/>
      <c r="J87" s="75"/>
      <c r="K87" s="75"/>
      <c r="L87" s="75"/>
      <c r="M87" s="75">
        <f t="shared" ref="M87:M91" si="83">J87+K87+L87</f>
        <v>0</v>
      </c>
      <c r="N87" s="75">
        <f>SUM(N88:N90)</f>
        <v>10780055.66</v>
      </c>
      <c r="O87" s="75">
        <f t="shared" ref="O87:S87" si="84">SUM(O88:O90)</f>
        <v>2950671.24</v>
      </c>
      <c r="P87" s="75">
        <f t="shared" si="84"/>
        <v>7020726.8399999999</v>
      </c>
      <c r="Q87" s="75">
        <f>SUM(Q88:Q90)</f>
        <v>20751453.740000002</v>
      </c>
      <c r="R87" s="75">
        <f t="shared" si="84"/>
        <v>20751453.739999998</v>
      </c>
      <c r="S87" s="75">
        <f t="shared" si="84"/>
        <v>20751453.739999998</v>
      </c>
    </row>
    <row r="88" spans="1:19" ht="105" x14ac:dyDescent="0.25">
      <c r="A88" s="83"/>
      <c r="B88" s="97" t="s">
        <v>19</v>
      </c>
      <c r="C88" s="93" t="s">
        <v>0</v>
      </c>
      <c r="D88" s="114" t="s">
        <v>20</v>
      </c>
      <c r="E88" s="87">
        <v>55</v>
      </c>
      <c r="F88" s="87">
        <v>55</v>
      </c>
      <c r="G88" s="87">
        <f t="shared" ref="G88:G91" si="85">(E88*8+F88*4)/12</f>
        <v>55</v>
      </c>
      <c r="H88" s="87">
        <v>55</v>
      </c>
      <c r="I88" s="87">
        <v>55</v>
      </c>
      <c r="J88" s="75">
        <v>43138.04</v>
      </c>
      <c r="K88" s="75">
        <v>12142.68</v>
      </c>
      <c r="L88" s="75">
        <v>28891.88</v>
      </c>
      <c r="M88" s="75">
        <f t="shared" si="83"/>
        <v>84172.6</v>
      </c>
      <c r="N88" s="75">
        <f>G88*J88</f>
        <v>2372592.2000000002</v>
      </c>
      <c r="O88" s="75">
        <f>G88*K88</f>
        <v>667847.4</v>
      </c>
      <c r="P88" s="75">
        <f>G88*L88</f>
        <v>1589053.4000000001</v>
      </c>
      <c r="Q88" s="75">
        <f t="shared" ref="Q88:Q91" si="86">SUM(N88:P88)</f>
        <v>4629493</v>
      </c>
      <c r="R88" s="75">
        <f t="shared" ref="R88:R91" si="87">H88*M88</f>
        <v>4629493</v>
      </c>
      <c r="S88" s="75">
        <f t="shared" ref="S88:S91" si="88">I88*M88</f>
        <v>4629493</v>
      </c>
    </row>
    <row r="89" spans="1:19" x14ac:dyDescent="0.25">
      <c r="A89" s="88"/>
      <c r="B89" s="97" t="s">
        <v>24</v>
      </c>
      <c r="C89" s="97"/>
      <c r="D89" s="86" t="s">
        <v>20</v>
      </c>
      <c r="E89" s="87">
        <v>63</v>
      </c>
      <c r="F89" s="87">
        <v>63</v>
      </c>
      <c r="G89" s="87">
        <f t="shared" si="85"/>
        <v>63</v>
      </c>
      <c r="H89" s="87">
        <v>63</v>
      </c>
      <c r="I89" s="87">
        <v>63</v>
      </c>
      <c r="J89" s="75">
        <v>34198.17</v>
      </c>
      <c r="K89" s="75">
        <v>12142.68</v>
      </c>
      <c r="L89" s="75">
        <v>28891.88</v>
      </c>
      <c r="M89" s="75">
        <f t="shared" si="83"/>
        <v>75232.73</v>
      </c>
      <c r="N89" s="75">
        <f t="shared" ref="N89:N91" si="89">G89*J89</f>
        <v>2154484.71</v>
      </c>
      <c r="O89" s="75">
        <f t="shared" ref="O89:O91" si="90">G89*K89</f>
        <v>764988.84</v>
      </c>
      <c r="P89" s="75">
        <f t="shared" ref="P89:P90" si="91">G89*L89</f>
        <v>1820188.4400000002</v>
      </c>
      <c r="Q89" s="75">
        <f t="shared" si="86"/>
        <v>4739661.99</v>
      </c>
      <c r="R89" s="75">
        <f t="shared" si="87"/>
        <v>4739661.9899999993</v>
      </c>
      <c r="S89" s="75">
        <f t="shared" si="88"/>
        <v>4739661.9899999993</v>
      </c>
    </row>
    <row r="90" spans="1:19" ht="120" x14ac:dyDescent="0.25">
      <c r="A90" s="88"/>
      <c r="B90" s="97" t="s">
        <v>24</v>
      </c>
      <c r="C90" s="93" t="s">
        <v>162</v>
      </c>
      <c r="D90" s="114" t="s">
        <v>20</v>
      </c>
      <c r="E90" s="87">
        <v>125</v>
      </c>
      <c r="F90" s="87">
        <v>125</v>
      </c>
      <c r="G90" s="87">
        <f t="shared" si="85"/>
        <v>125</v>
      </c>
      <c r="H90" s="87">
        <v>125</v>
      </c>
      <c r="I90" s="87">
        <v>125</v>
      </c>
      <c r="J90" s="75">
        <v>50023.83</v>
      </c>
      <c r="K90" s="75">
        <v>12142.68</v>
      </c>
      <c r="L90" s="75">
        <v>28891.88</v>
      </c>
      <c r="M90" s="75">
        <f t="shared" si="83"/>
        <v>91058.39</v>
      </c>
      <c r="N90" s="75">
        <f t="shared" si="89"/>
        <v>6252978.75</v>
      </c>
      <c r="O90" s="75">
        <f t="shared" si="90"/>
        <v>1517835</v>
      </c>
      <c r="P90" s="75">
        <f t="shared" si="91"/>
        <v>3611485</v>
      </c>
      <c r="Q90" s="75">
        <f t="shared" si="86"/>
        <v>11382298.75</v>
      </c>
      <c r="R90" s="75">
        <f t="shared" si="87"/>
        <v>11382298.75</v>
      </c>
      <c r="S90" s="75">
        <f t="shared" si="88"/>
        <v>11382298.75</v>
      </c>
    </row>
    <row r="91" spans="1:19" x14ac:dyDescent="0.25">
      <c r="A91" s="86"/>
      <c r="B91" s="97" t="s">
        <v>75</v>
      </c>
      <c r="C91" s="97"/>
      <c r="D91" s="86" t="s">
        <v>20</v>
      </c>
      <c r="E91" s="87">
        <f>E90+E89+E88</f>
        <v>243</v>
      </c>
      <c r="F91" s="87">
        <f>F90+F89+F88</f>
        <v>243</v>
      </c>
      <c r="G91" s="87">
        <f t="shared" si="85"/>
        <v>243</v>
      </c>
      <c r="H91" s="87">
        <f>H90+H89+H88</f>
        <v>243</v>
      </c>
      <c r="I91" s="87">
        <f>I90+I89+I88</f>
        <v>243</v>
      </c>
      <c r="J91" s="75" t="s">
        <v>23</v>
      </c>
      <c r="K91" s="75"/>
      <c r="L91" s="75">
        <v>26574.14</v>
      </c>
      <c r="M91" s="75">
        <f t="shared" si="83"/>
        <v>26574.14</v>
      </c>
      <c r="N91" s="75">
        <f t="shared" si="89"/>
        <v>0</v>
      </c>
      <c r="O91" s="75">
        <f t="shared" si="90"/>
        <v>0</v>
      </c>
      <c r="P91" s="75">
        <f>G91*L91</f>
        <v>6457516.0199999996</v>
      </c>
      <c r="Q91" s="75">
        <f t="shared" si="86"/>
        <v>6457516.0199999996</v>
      </c>
      <c r="R91" s="75">
        <f t="shared" si="87"/>
        <v>6457516.0199999996</v>
      </c>
      <c r="S91" s="75">
        <f t="shared" si="88"/>
        <v>6457516.0199999996</v>
      </c>
    </row>
    <row r="92" spans="1:19" x14ac:dyDescent="0.25">
      <c r="A92" s="184" t="s">
        <v>154</v>
      </c>
      <c r="B92" s="184"/>
      <c r="C92" s="184"/>
      <c r="D92" s="86"/>
      <c r="E92" s="87"/>
      <c r="F92" s="87"/>
      <c r="G92" s="87"/>
      <c r="H92" s="87"/>
      <c r="I92" s="87"/>
      <c r="J92" s="75"/>
      <c r="K92" s="75"/>
      <c r="L92" s="75"/>
      <c r="M92" s="75"/>
      <c r="N92" s="75"/>
      <c r="O92" s="75"/>
      <c r="P92" s="75"/>
      <c r="Q92" s="75"/>
      <c r="R92" s="75"/>
      <c r="S92" s="75"/>
    </row>
    <row r="93" spans="1:19" ht="30" x14ac:dyDescent="0.25">
      <c r="A93" s="188" t="s">
        <v>3</v>
      </c>
      <c r="B93" s="188" t="s">
        <v>86</v>
      </c>
      <c r="C93" s="116" t="s">
        <v>87</v>
      </c>
      <c r="D93" s="188" t="s">
        <v>4</v>
      </c>
      <c r="E93" s="189" t="s">
        <v>5</v>
      </c>
      <c r="F93" s="189"/>
      <c r="G93" s="189"/>
      <c r="H93" s="189"/>
      <c r="I93" s="189"/>
      <c r="J93" s="177" t="s">
        <v>6</v>
      </c>
      <c r="K93" s="177"/>
      <c r="L93" s="177"/>
      <c r="M93" s="177"/>
      <c r="N93" s="177" t="s">
        <v>7</v>
      </c>
      <c r="O93" s="177"/>
      <c r="P93" s="177"/>
      <c r="Q93" s="177"/>
      <c r="R93" s="177"/>
      <c r="S93" s="177"/>
    </row>
    <row r="94" spans="1:19" ht="120" x14ac:dyDescent="0.25">
      <c r="A94" s="188"/>
      <c r="B94" s="188"/>
      <c r="C94" s="116"/>
      <c r="D94" s="188"/>
      <c r="E94" s="137" t="s">
        <v>10</v>
      </c>
      <c r="F94" s="137" t="s">
        <v>191</v>
      </c>
      <c r="G94" s="137" t="s">
        <v>192</v>
      </c>
      <c r="H94" s="137" t="s">
        <v>176</v>
      </c>
      <c r="I94" s="137" t="s">
        <v>193</v>
      </c>
      <c r="J94" s="153" t="s">
        <v>88</v>
      </c>
      <c r="K94" s="153" t="s">
        <v>89</v>
      </c>
      <c r="L94" s="153" t="s">
        <v>90</v>
      </c>
      <c r="M94" s="153" t="s">
        <v>91</v>
      </c>
      <c r="N94" s="152" t="s">
        <v>194</v>
      </c>
      <c r="O94" s="142" t="s">
        <v>93</v>
      </c>
      <c r="P94" s="122" t="s">
        <v>94</v>
      </c>
      <c r="Q94" s="117" t="s">
        <v>95</v>
      </c>
      <c r="R94" s="134" t="s">
        <v>178</v>
      </c>
      <c r="S94" s="134" t="s">
        <v>195</v>
      </c>
    </row>
    <row r="95" spans="1:19" ht="45" x14ac:dyDescent="0.25">
      <c r="A95" s="98" t="s">
        <v>13</v>
      </c>
      <c r="B95" s="98" t="s">
        <v>13</v>
      </c>
      <c r="C95" s="98"/>
      <c r="D95" s="98" t="s">
        <v>15</v>
      </c>
      <c r="E95" s="99" t="s">
        <v>16</v>
      </c>
      <c r="F95" s="99" t="s">
        <v>16</v>
      </c>
      <c r="G95" s="99"/>
      <c r="H95" s="99" t="s">
        <v>16</v>
      </c>
      <c r="I95" s="99" t="s">
        <v>16</v>
      </c>
      <c r="J95" s="153" t="s">
        <v>17</v>
      </c>
      <c r="K95" s="153" t="s">
        <v>17</v>
      </c>
      <c r="L95" s="153" t="s">
        <v>17</v>
      </c>
      <c r="M95" s="153" t="s">
        <v>17</v>
      </c>
      <c r="N95" s="152" t="s">
        <v>17</v>
      </c>
      <c r="O95" s="142" t="s">
        <v>17</v>
      </c>
      <c r="P95" s="122" t="s">
        <v>17</v>
      </c>
      <c r="Q95" s="117" t="s">
        <v>17</v>
      </c>
      <c r="R95" s="113" t="s">
        <v>17</v>
      </c>
      <c r="S95" s="113" t="s">
        <v>17</v>
      </c>
    </row>
    <row r="96" spans="1:19" ht="90" x14ac:dyDescent="0.25">
      <c r="A96" s="172" t="s">
        <v>98</v>
      </c>
      <c r="B96" s="174" t="s">
        <v>99</v>
      </c>
      <c r="C96" s="61" t="s">
        <v>100</v>
      </c>
      <c r="D96" s="62" t="s">
        <v>101</v>
      </c>
      <c r="E96" s="59">
        <v>259</v>
      </c>
      <c r="F96" s="126"/>
      <c r="G96" s="126"/>
      <c r="H96" s="59">
        <v>259</v>
      </c>
      <c r="I96" s="59">
        <v>259</v>
      </c>
      <c r="J96" s="109">
        <f>SUM(K96:M96)</f>
        <v>39104.29</v>
      </c>
      <c r="K96" s="109">
        <f>23119.12+941.28</f>
        <v>24060.399999999998</v>
      </c>
      <c r="L96" s="70">
        <v>4001.99</v>
      </c>
      <c r="M96" s="70">
        <v>11041.9</v>
      </c>
      <c r="N96" s="71">
        <f>SUM(O96:Q96)</f>
        <v>10128011.109999999</v>
      </c>
      <c r="O96" s="71">
        <f>E96*K96</f>
        <v>6231643.5999999996</v>
      </c>
      <c r="P96" s="71">
        <f>E96*L96</f>
        <v>1036515.4099999999</v>
      </c>
      <c r="Q96" s="75">
        <f>E96*M96</f>
        <v>2859852.1</v>
      </c>
      <c r="R96" s="75">
        <f>H96*J96</f>
        <v>10128011.109999999</v>
      </c>
      <c r="S96" s="75">
        <f>I96*J96</f>
        <v>10128011.109999999</v>
      </c>
    </row>
    <row r="97" spans="1:22" ht="120.75" customHeight="1" x14ac:dyDescent="0.25">
      <c r="A97" s="172"/>
      <c r="B97" s="175"/>
      <c r="C97" s="63" t="s">
        <v>163</v>
      </c>
      <c r="D97" s="64" t="s">
        <v>101</v>
      </c>
      <c r="E97" s="59" t="s">
        <v>104</v>
      </c>
      <c r="F97" s="59" t="s">
        <v>104</v>
      </c>
      <c r="G97" s="59"/>
      <c r="H97" s="59" t="s">
        <v>104</v>
      </c>
      <c r="I97" s="59" t="s">
        <v>104</v>
      </c>
      <c r="J97" s="59" t="s">
        <v>104</v>
      </c>
      <c r="K97" s="59" t="s">
        <v>104</v>
      </c>
      <c r="L97" s="72" t="s">
        <v>104</v>
      </c>
      <c r="M97" s="72" t="s">
        <v>104</v>
      </c>
      <c r="N97" s="152"/>
      <c r="O97" s="71"/>
      <c r="P97" s="72" t="s">
        <v>104</v>
      </c>
      <c r="Q97" s="72" t="s">
        <v>104</v>
      </c>
      <c r="R97" s="100"/>
      <c r="S97" s="100"/>
    </row>
    <row r="98" spans="1:22" x14ac:dyDescent="0.25">
      <c r="A98" s="172"/>
      <c r="B98" s="175"/>
      <c r="C98" s="63" t="s">
        <v>164</v>
      </c>
      <c r="D98" s="64"/>
      <c r="E98" s="126">
        <v>1</v>
      </c>
      <c r="F98" s="126"/>
      <c r="G98" s="126"/>
      <c r="H98" s="126">
        <v>1</v>
      </c>
      <c r="I98" s="126">
        <v>1</v>
      </c>
      <c r="J98" s="71">
        <f>K98</f>
        <v>25589.72</v>
      </c>
      <c r="K98" s="75">
        <v>25589.72</v>
      </c>
      <c r="L98" s="72" t="s">
        <v>104</v>
      </c>
      <c r="M98" s="72" t="s">
        <v>104</v>
      </c>
      <c r="N98" s="152">
        <f>O98</f>
        <v>25589.72</v>
      </c>
      <c r="O98" s="71">
        <f>E98*K98</f>
        <v>25589.72</v>
      </c>
      <c r="P98" s="72" t="s">
        <v>104</v>
      </c>
      <c r="Q98" s="72" t="s">
        <v>104</v>
      </c>
      <c r="R98" s="100">
        <f>H98*K98</f>
        <v>25589.72</v>
      </c>
      <c r="S98" s="100">
        <f>I98*K98</f>
        <v>25589.72</v>
      </c>
    </row>
    <row r="99" spans="1:22" x14ac:dyDescent="0.25">
      <c r="A99" s="172"/>
      <c r="B99" s="175"/>
      <c r="C99" s="15" t="s">
        <v>169</v>
      </c>
      <c r="D99" s="64"/>
      <c r="E99" s="126">
        <v>5</v>
      </c>
      <c r="F99" s="126"/>
      <c r="G99" s="126"/>
      <c r="H99" s="126">
        <v>5</v>
      </c>
      <c r="I99" s="126">
        <v>5</v>
      </c>
      <c r="J99" s="71">
        <f>K99</f>
        <v>69362.66</v>
      </c>
      <c r="K99" s="71">
        <v>69362.66</v>
      </c>
      <c r="L99" s="72" t="s">
        <v>104</v>
      </c>
      <c r="M99" s="72" t="s">
        <v>104</v>
      </c>
      <c r="N99" s="152">
        <f>O99</f>
        <v>346813.30000000005</v>
      </c>
      <c r="O99" s="71">
        <f t="shared" ref="O99:O104" si="92">E99*K99</f>
        <v>346813.30000000005</v>
      </c>
      <c r="P99" s="72" t="s">
        <v>104</v>
      </c>
      <c r="Q99" s="72" t="s">
        <v>104</v>
      </c>
      <c r="R99" s="100">
        <f>H99*K99</f>
        <v>346813.30000000005</v>
      </c>
      <c r="S99" s="100">
        <f>I99*K99</f>
        <v>346813.30000000005</v>
      </c>
    </row>
    <row r="100" spans="1:22" x14ac:dyDescent="0.25">
      <c r="A100" s="172"/>
      <c r="B100" s="175"/>
      <c r="C100" s="15" t="s">
        <v>165</v>
      </c>
      <c r="D100" s="64"/>
      <c r="E100" s="126">
        <v>2</v>
      </c>
      <c r="F100" s="126"/>
      <c r="G100" s="126"/>
      <c r="H100" s="126">
        <v>2</v>
      </c>
      <c r="I100" s="126">
        <v>2</v>
      </c>
      <c r="J100" s="71">
        <f t="shared" ref="J100:J104" si="93">K100</f>
        <v>92468.25</v>
      </c>
      <c r="K100" s="75">
        <v>92468.25</v>
      </c>
      <c r="L100" s="72" t="s">
        <v>104</v>
      </c>
      <c r="M100" s="72" t="s">
        <v>104</v>
      </c>
      <c r="N100" s="152">
        <f t="shared" ref="N100:N104" si="94">O100</f>
        <v>184936.5</v>
      </c>
      <c r="O100" s="71">
        <f t="shared" si="92"/>
        <v>184936.5</v>
      </c>
      <c r="P100" s="72" t="s">
        <v>104</v>
      </c>
      <c r="Q100" s="72" t="s">
        <v>104</v>
      </c>
      <c r="R100" s="100">
        <f t="shared" ref="R100:R104" si="95">H100*K100</f>
        <v>184936.5</v>
      </c>
      <c r="S100" s="100">
        <f t="shared" ref="S100:S104" si="96">I100*K100</f>
        <v>184936.5</v>
      </c>
    </row>
    <row r="101" spans="1:22" x14ac:dyDescent="0.25">
      <c r="A101" s="172"/>
      <c r="B101" s="175"/>
      <c r="C101" s="15" t="s">
        <v>166</v>
      </c>
      <c r="D101" s="64"/>
      <c r="E101" s="126">
        <v>15</v>
      </c>
      <c r="F101" s="126"/>
      <c r="G101" s="126"/>
      <c r="H101" s="126">
        <v>15</v>
      </c>
      <c r="I101" s="126">
        <v>15</v>
      </c>
      <c r="J101" s="71">
        <f t="shared" si="93"/>
        <v>66361.320000000007</v>
      </c>
      <c r="K101" s="75">
        <v>66361.320000000007</v>
      </c>
      <c r="L101" s="72" t="s">
        <v>104</v>
      </c>
      <c r="M101" s="72" t="s">
        <v>104</v>
      </c>
      <c r="N101" s="152">
        <f t="shared" si="94"/>
        <v>995419.8</v>
      </c>
      <c r="O101" s="71">
        <f t="shared" si="92"/>
        <v>995419.8</v>
      </c>
      <c r="P101" s="72" t="s">
        <v>104</v>
      </c>
      <c r="Q101" s="72" t="s">
        <v>104</v>
      </c>
      <c r="R101" s="100">
        <f t="shared" si="95"/>
        <v>995419.8</v>
      </c>
      <c r="S101" s="100">
        <f t="shared" si="96"/>
        <v>995419.8</v>
      </c>
    </row>
    <row r="102" spans="1:22" x14ac:dyDescent="0.25">
      <c r="A102" s="172"/>
      <c r="B102" s="175"/>
      <c r="C102" s="15" t="s">
        <v>167</v>
      </c>
      <c r="D102" s="64"/>
      <c r="E102" s="126">
        <v>3</v>
      </c>
      <c r="F102" s="126"/>
      <c r="G102" s="126"/>
      <c r="H102" s="126">
        <v>3</v>
      </c>
      <c r="I102" s="126">
        <v>3</v>
      </c>
      <c r="J102" s="71">
        <f t="shared" si="93"/>
        <v>174890.83</v>
      </c>
      <c r="K102" s="75">
        <v>174890.83</v>
      </c>
      <c r="L102" s="72" t="s">
        <v>104</v>
      </c>
      <c r="M102" s="72" t="s">
        <v>104</v>
      </c>
      <c r="N102" s="152">
        <f t="shared" si="94"/>
        <v>524672.49</v>
      </c>
      <c r="O102" s="71">
        <f t="shared" si="92"/>
        <v>524672.49</v>
      </c>
      <c r="P102" s="72" t="s">
        <v>104</v>
      </c>
      <c r="Q102" s="72" t="s">
        <v>104</v>
      </c>
      <c r="R102" s="100">
        <f t="shared" si="95"/>
        <v>524672.49</v>
      </c>
      <c r="S102" s="100">
        <f t="shared" si="96"/>
        <v>524672.49</v>
      </c>
    </row>
    <row r="103" spans="1:22" x14ac:dyDescent="0.25">
      <c r="A103" s="172"/>
      <c r="B103" s="175"/>
      <c r="C103" s="15" t="s">
        <v>170</v>
      </c>
      <c r="D103" s="64"/>
      <c r="E103" s="126">
        <v>1</v>
      </c>
      <c r="F103" s="126"/>
      <c r="G103" s="126"/>
      <c r="H103" s="126">
        <v>1</v>
      </c>
      <c r="I103" s="126">
        <v>1</v>
      </c>
      <c r="J103" s="71">
        <f t="shared" si="93"/>
        <v>99648.29</v>
      </c>
      <c r="K103" s="75">
        <v>99648.29</v>
      </c>
      <c r="L103" s="72" t="s">
        <v>104</v>
      </c>
      <c r="M103" s="72" t="s">
        <v>104</v>
      </c>
      <c r="N103" s="152">
        <f t="shared" si="94"/>
        <v>99648.29</v>
      </c>
      <c r="O103" s="71">
        <f t="shared" si="92"/>
        <v>99648.29</v>
      </c>
      <c r="P103" s="72" t="s">
        <v>104</v>
      </c>
      <c r="Q103" s="72" t="s">
        <v>104</v>
      </c>
      <c r="R103" s="100">
        <f t="shared" si="95"/>
        <v>99648.29</v>
      </c>
      <c r="S103" s="100">
        <f t="shared" si="96"/>
        <v>99648.29</v>
      </c>
    </row>
    <row r="104" spans="1:22" x14ac:dyDescent="0.25">
      <c r="A104" s="172"/>
      <c r="B104" s="175"/>
      <c r="C104" s="63" t="s">
        <v>168</v>
      </c>
      <c r="D104" s="64"/>
      <c r="E104" s="59">
        <v>0</v>
      </c>
      <c r="F104" s="59"/>
      <c r="G104" s="59"/>
      <c r="H104" s="59">
        <v>0</v>
      </c>
      <c r="I104" s="59">
        <v>0</v>
      </c>
      <c r="J104" s="71">
        <f t="shared" si="93"/>
        <v>23553.439999999999</v>
      </c>
      <c r="K104" s="75">
        <v>23553.439999999999</v>
      </c>
      <c r="L104" s="72" t="s">
        <v>104</v>
      </c>
      <c r="M104" s="72" t="s">
        <v>104</v>
      </c>
      <c r="N104" s="152">
        <f t="shared" si="94"/>
        <v>0</v>
      </c>
      <c r="O104" s="71">
        <f t="shared" si="92"/>
        <v>0</v>
      </c>
      <c r="P104" s="72" t="s">
        <v>104</v>
      </c>
      <c r="Q104" s="72" t="s">
        <v>104</v>
      </c>
      <c r="R104" s="100">
        <f t="shared" si="95"/>
        <v>0</v>
      </c>
      <c r="S104" s="100">
        <f t="shared" si="96"/>
        <v>0</v>
      </c>
    </row>
    <row r="105" spans="1:22" ht="120" x14ac:dyDescent="0.25">
      <c r="A105" s="172"/>
      <c r="B105" s="175"/>
      <c r="C105" s="61" t="s">
        <v>105</v>
      </c>
      <c r="D105" s="64" t="s">
        <v>101</v>
      </c>
      <c r="E105" s="59">
        <v>3</v>
      </c>
      <c r="F105" s="126"/>
      <c r="G105" s="126"/>
      <c r="H105" s="126">
        <v>3</v>
      </c>
      <c r="I105" s="126">
        <v>3</v>
      </c>
      <c r="J105" s="75">
        <f>SUM(K105:M105)</f>
        <v>137398.09</v>
      </c>
      <c r="K105" s="75">
        <f>121412.92+941.28</f>
        <v>122354.2</v>
      </c>
      <c r="L105" s="72">
        <v>4001.99</v>
      </c>
      <c r="M105" s="70">
        <v>11041.9</v>
      </c>
      <c r="N105" s="71">
        <f>SUM(O105:Q105)</f>
        <v>412194.26999999996</v>
      </c>
      <c r="O105" s="71">
        <f>E105*K105</f>
        <v>367062.6</v>
      </c>
      <c r="P105" s="71">
        <f>E105*L105</f>
        <v>12005.97</v>
      </c>
      <c r="Q105" s="75">
        <f>E105*M105</f>
        <v>33125.699999999997</v>
      </c>
      <c r="R105" s="100">
        <f t="shared" ref="R105:R193" si="97">H105*J105</f>
        <v>412194.27</v>
      </c>
      <c r="S105" s="100">
        <f t="shared" ref="S105:S193" si="98">I105*J105</f>
        <v>412194.27</v>
      </c>
    </row>
    <row r="106" spans="1:22" x14ac:dyDescent="0.25">
      <c r="A106" s="172"/>
      <c r="B106" s="176"/>
      <c r="C106" s="66" t="s">
        <v>106</v>
      </c>
      <c r="D106" s="67"/>
      <c r="E106" s="59">
        <f>E96+E105</f>
        <v>262</v>
      </c>
      <c r="F106" s="126">
        <f>F96+F105</f>
        <v>0</v>
      </c>
      <c r="G106" s="126"/>
      <c r="H106" s="126">
        <f t="shared" ref="H106:I106" si="99">H96+H105</f>
        <v>262</v>
      </c>
      <c r="I106" s="126">
        <f t="shared" si="99"/>
        <v>262</v>
      </c>
      <c r="J106" s="71" t="s">
        <v>104</v>
      </c>
      <c r="K106" s="71" t="s">
        <v>104</v>
      </c>
      <c r="L106" s="71" t="s">
        <v>104</v>
      </c>
      <c r="M106" s="71" t="s">
        <v>104</v>
      </c>
      <c r="N106" s="71">
        <f>SUM(N96:N105)</f>
        <v>12717285.48</v>
      </c>
      <c r="O106" s="71">
        <f t="shared" ref="O106:Q106" si="100">SUM(O96:O105)</f>
        <v>8775786.2999999989</v>
      </c>
      <c r="P106" s="71">
        <f t="shared" si="100"/>
        <v>1048521.3799999999</v>
      </c>
      <c r="Q106" s="71">
        <f t="shared" si="100"/>
        <v>2892977.8000000003</v>
      </c>
      <c r="R106" s="75">
        <f>SUM(R96:R105)</f>
        <v>12717285.48</v>
      </c>
      <c r="S106" s="75">
        <f>SUM(S96:S105)</f>
        <v>12717285.48</v>
      </c>
    </row>
    <row r="107" spans="1:22" ht="90" x14ac:dyDescent="0.25">
      <c r="A107" s="172"/>
      <c r="B107" s="173" t="s">
        <v>107</v>
      </c>
      <c r="C107" s="61" t="s">
        <v>100</v>
      </c>
      <c r="D107" s="62" t="s">
        <v>101</v>
      </c>
      <c r="E107" s="126">
        <v>213</v>
      </c>
      <c r="F107" s="126"/>
      <c r="G107" s="126"/>
      <c r="H107" s="126">
        <v>213</v>
      </c>
      <c r="I107" s="126">
        <v>213</v>
      </c>
      <c r="J107" s="109">
        <f>SUM(K107:M107)</f>
        <v>50538.76</v>
      </c>
      <c r="K107" s="109">
        <f>34346.05+1148.82</f>
        <v>35494.870000000003</v>
      </c>
      <c r="L107" s="70">
        <v>4001.99</v>
      </c>
      <c r="M107" s="70">
        <v>11041.9</v>
      </c>
      <c r="N107" s="71">
        <f>SUM(O107:Q107)</f>
        <v>10764755.879999999</v>
      </c>
      <c r="O107" s="71">
        <f>E107*K107</f>
        <v>7560407.3100000005</v>
      </c>
      <c r="P107" s="73">
        <f>E107*L107</f>
        <v>852423.87</v>
      </c>
      <c r="Q107" s="71">
        <f>E107*M107</f>
        <v>2351924.6999999997</v>
      </c>
      <c r="R107" s="75">
        <f t="shared" si="97"/>
        <v>10764755.880000001</v>
      </c>
      <c r="S107" s="75">
        <f t="shared" si="98"/>
        <v>10764755.880000001</v>
      </c>
      <c r="V107" s="85"/>
    </row>
    <row r="108" spans="1:22" ht="111.75" customHeight="1" x14ac:dyDescent="0.25">
      <c r="A108" s="172"/>
      <c r="B108" s="173"/>
      <c r="C108" s="63" t="s">
        <v>102</v>
      </c>
      <c r="D108" s="64" t="s">
        <v>101</v>
      </c>
      <c r="E108" s="59" t="s">
        <v>104</v>
      </c>
      <c r="F108" s="59" t="s">
        <v>104</v>
      </c>
      <c r="G108" s="59" t="s">
        <v>104</v>
      </c>
      <c r="H108" s="59" t="s">
        <v>104</v>
      </c>
      <c r="I108" s="59" t="s">
        <v>104</v>
      </c>
      <c r="J108" s="59" t="s">
        <v>104</v>
      </c>
      <c r="K108" s="59" t="s">
        <v>104</v>
      </c>
      <c r="L108" s="59" t="s">
        <v>104</v>
      </c>
      <c r="M108" s="59" t="s">
        <v>104</v>
      </c>
      <c r="N108" s="71"/>
      <c r="O108" s="71"/>
      <c r="P108" s="59" t="s">
        <v>104</v>
      </c>
      <c r="Q108" s="59" t="s">
        <v>104</v>
      </c>
      <c r="R108" s="75"/>
      <c r="S108" s="75"/>
    </row>
    <row r="109" spans="1:22" ht="20.25" customHeight="1" x14ac:dyDescent="0.25">
      <c r="A109" s="172"/>
      <c r="B109" s="173"/>
      <c r="C109" s="63" t="s">
        <v>165</v>
      </c>
      <c r="D109" s="64" t="s">
        <v>101</v>
      </c>
      <c r="E109" s="125">
        <v>2</v>
      </c>
      <c r="F109" s="125"/>
      <c r="G109" s="126"/>
      <c r="H109" s="125">
        <v>2</v>
      </c>
      <c r="I109" s="125">
        <v>2</v>
      </c>
      <c r="J109" s="71">
        <f>K109</f>
        <v>92468.25</v>
      </c>
      <c r="K109" s="75">
        <v>92468.25</v>
      </c>
      <c r="L109" s="59" t="s">
        <v>104</v>
      </c>
      <c r="M109" s="59" t="s">
        <v>104</v>
      </c>
      <c r="N109" s="71">
        <f>O109</f>
        <v>184936.5</v>
      </c>
      <c r="O109" s="71">
        <f>E109*K109</f>
        <v>184936.5</v>
      </c>
      <c r="P109" s="59" t="s">
        <v>104</v>
      </c>
      <c r="Q109" s="59" t="s">
        <v>104</v>
      </c>
      <c r="R109" s="75">
        <f>H109*K109</f>
        <v>184936.5</v>
      </c>
      <c r="S109" s="75">
        <f>I109*K109</f>
        <v>184936.5</v>
      </c>
    </row>
    <row r="110" spans="1:22" ht="21" customHeight="1" x14ac:dyDescent="0.25">
      <c r="A110" s="172"/>
      <c r="B110" s="173"/>
      <c r="C110" s="63" t="s">
        <v>167</v>
      </c>
      <c r="D110" s="64" t="s">
        <v>101</v>
      </c>
      <c r="E110" s="125">
        <v>0</v>
      </c>
      <c r="F110" s="125"/>
      <c r="G110" s="126"/>
      <c r="H110" s="125">
        <v>0</v>
      </c>
      <c r="I110" s="125">
        <v>0</v>
      </c>
      <c r="J110" s="71">
        <f t="shared" ref="J110:J111" si="101">K110</f>
        <v>266106.15000000002</v>
      </c>
      <c r="K110" s="75">
        <v>266106.15000000002</v>
      </c>
      <c r="L110" s="59" t="s">
        <v>104</v>
      </c>
      <c r="M110" s="59" t="s">
        <v>104</v>
      </c>
      <c r="N110" s="71">
        <f t="shared" ref="N110:N111" si="102">O110</f>
        <v>0</v>
      </c>
      <c r="O110" s="71">
        <f t="shared" ref="O110:O111" si="103">E110*K110</f>
        <v>0</v>
      </c>
      <c r="P110" s="59" t="s">
        <v>104</v>
      </c>
      <c r="Q110" s="59" t="s">
        <v>104</v>
      </c>
      <c r="R110" s="75">
        <f t="shared" ref="R110:R111" si="104">H110*K110</f>
        <v>0</v>
      </c>
      <c r="S110" s="75">
        <f t="shared" ref="S110:S111" si="105">I110*K110</f>
        <v>0</v>
      </c>
    </row>
    <row r="111" spans="1:22" ht="21" customHeight="1" x14ac:dyDescent="0.25">
      <c r="A111" s="172"/>
      <c r="B111" s="173"/>
      <c r="C111" s="63" t="s">
        <v>168</v>
      </c>
      <c r="D111" s="64" t="s">
        <v>101</v>
      </c>
      <c r="E111" s="125">
        <v>8</v>
      </c>
      <c r="F111" s="125"/>
      <c r="G111" s="126"/>
      <c r="H111" s="125">
        <v>8</v>
      </c>
      <c r="I111" s="125">
        <v>8</v>
      </c>
      <c r="J111" s="71">
        <f t="shared" si="101"/>
        <v>23553.439999999999</v>
      </c>
      <c r="K111" s="75">
        <v>23553.439999999999</v>
      </c>
      <c r="L111" s="59" t="s">
        <v>104</v>
      </c>
      <c r="M111" s="59" t="s">
        <v>104</v>
      </c>
      <c r="N111" s="71">
        <f t="shared" si="102"/>
        <v>188427.51999999999</v>
      </c>
      <c r="O111" s="71">
        <f t="shared" si="103"/>
        <v>188427.51999999999</v>
      </c>
      <c r="P111" s="59" t="s">
        <v>104</v>
      </c>
      <c r="Q111" s="59" t="s">
        <v>104</v>
      </c>
      <c r="R111" s="75">
        <f t="shared" si="104"/>
        <v>188427.51999999999</v>
      </c>
      <c r="S111" s="75">
        <f t="shared" si="105"/>
        <v>188427.51999999999</v>
      </c>
    </row>
    <row r="112" spans="1:22" ht="120" x14ac:dyDescent="0.25">
      <c r="A112" s="172"/>
      <c r="B112" s="173"/>
      <c r="C112" s="61" t="s">
        <v>105</v>
      </c>
      <c r="D112" s="64" t="s">
        <v>101</v>
      </c>
      <c r="E112" s="60">
        <v>2</v>
      </c>
      <c r="F112" s="125"/>
      <c r="G112" s="126"/>
      <c r="H112" s="125">
        <v>2</v>
      </c>
      <c r="I112" s="125">
        <v>2</v>
      </c>
      <c r="J112" s="71">
        <f>K112</f>
        <v>152556.45000000001</v>
      </c>
      <c r="K112" s="73">
        <f>151407.63+1148.82</f>
        <v>152556.45000000001</v>
      </c>
      <c r="L112" s="70">
        <v>4001.99</v>
      </c>
      <c r="M112" s="70">
        <v>11041.9</v>
      </c>
      <c r="N112" s="71">
        <f>SUM(O112:Q112)</f>
        <v>335200.68</v>
      </c>
      <c r="O112" s="71">
        <f>E112*K112</f>
        <v>305112.90000000002</v>
      </c>
      <c r="P112" s="73">
        <f>E112*L112</f>
        <v>8003.98</v>
      </c>
      <c r="Q112" s="71">
        <f>E112*M112</f>
        <v>22083.8</v>
      </c>
      <c r="R112" s="75">
        <f>N112</f>
        <v>335200.68</v>
      </c>
      <c r="S112" s="75">
        <f>R112</f>
        <v>335200.68</v>
      </c>
    </row>
    <row r="113" spans="1:19" x14ac:dyDescent="0.25">
      <c r="A113" s="172"/>
      <c r="B113" s="112"/>
      <c r="C113" s="66" t="s">
        <v>106</v>
      </c>
      <c r="D113" s="64"/>
      <c r="E113" s="60">
        <f>E107+E112</f>
        <v>215</v>
      </c>
      <c r="F113" s="125">
        <f>F107+F112</f>
        <v>0</v>
      </c>
      <c r="G113" s="126"/>
      <c r="H113" s="125">
        <f t="shared" ref="H113:I113" si="106">H107+H112</f>
        <v>215</v>
      </c>
      <c r="I113" s="125">
        <f t="shared" si="106"/>
        <v>215</v>
      </c>
      <c r="J113" s="59" t="s">
        <v>104</v>
      </c>
      <c r="K113" s="59" t="s">
        <v>104</v>
      </c>
      <c r="L113" s="59" t="s">
        <v>104</v>
      </c>
      <c r="M113" s="59" t="s">
        <v>104</v>
      </c>
      <c r="N113" s="74">
        <f>SUM(N107:N112)</f>
        <v>11473320.579999998</v>
      </c>
      <c r="O113" s="74">
        <f t="shared" ref="O113:S113" si="107">SUM(O107:O112)</f>
        <v>8238884.2300000004</v>
      </c>
      <c r="P113" s="74">
        <f t="shared" si="107"/>
        <v>860427.85</v>
      </c>
      <c r="Q113" s="74">
        <f t="shared" si="107"/>
        <v>2374008.4999999995</v>
      </c>
      <c r="R113" s="74">
        <f t="shared" si="107"/>
        <v>11473320.58</v>
      </c>
      <c r="S113" s="74">
        <f t="shared" si="107"/>
        <v>11473320.58</v>
      </c>
    </row>
    <row r="114" spans="1:19" ht="90" x14ac:dyDescent="0.25">
      <c r="A114" s="172"/>
      <c r="B114" s="173" t="s">
        <v>108</v>
      </c>
      <c r="C114" s="61" t="s">
        <v>100</v>
      </c>
      <c r="D114" s="62" t="s">
        <v>101</v>
      </c>
      <c r="E114" s="125">
        <v>49</v>
      </c>
      <c r="F114" s="125"/>
      <c r="G114" s="126"/>
      <c r="H114" s="125">
        <v>49</v>
      </c>
      <c r="I114" s="125">
        <v>49</v>
      </c>
      <c r="J114" s="109">
        <f>SUM(K114:M114)</f>
        <v>57540.959999999999</v>
      </c>
      <c r="K114" s="109">
        <f>41105.12+1391.95</f>
        <v>42497.07</v>
      </c>
      <c r="L114" s="70">
        <v>4001.99</v>
      </c>
      <c r="M114" s="70">
        <v>11041.9</v>
      </c>
      <c r="N114" s="73">
        <f>SUM(O114:Q114)</f>
        <v>2819507.04</v>
      </c>
      <c r="O114" s="73">
        <f>E114*K114</f>
        <v>2082356.43</v>
      </c>
      <c r="P114" s="73">
        <f>E114*L114</f>
        <v>196097.50999999998</v>
      </c>
      <c r="Q114" s="73">
        <f>E114*M114</f>
        <v>541053.1</v>
      </c>
      <c r="R114" s="75">
        <f t="shared" si="97"/>
        <v>2819507.04</v>
      </c>
      <c r="S114" s="75">
        <f t="shared" si="98"/>
        <v>2819507.04</v>
      </c>
    </row>
    <row r="115" spans="1:19" ht="120" x14ac:dyDescent="0.25">
      <c r="A115" s="172"/>
      <c r="B115" s="173"/>
      <c r="C115" s="63" t="s">
        <v>102</v>
      </c>
      <c r="D115" s="64" t="s">
        <v>101</v>
      </c>
      <c r="E115" s="59" t="s">
        <v>104</v>
      </c>
      <c r="F115" s="59" t="s">
        <v>104</v>
      </c>
      <c r="G115" s="59" t="s">
        <v>104</v>
      </c>
      <c r="H115" s="59" t="s">
        <v>104</v>
      </c>
      <c r="I115" s="59" t="s">
        <v>104</v>
      </c>
      <c r="J115" s="59" t="s">
        <v>104</v>
      </c>
      <c r="K115" s="59" t="s">
        <v>104</v>
      </c>
      <c r="L115" s="59" t="s">
        <v>104</v>
      </c>
      <c r="M115" s="59" t="s">
        <v>104</v>
      </c>
      <c r="N115" s="71"/>
      <c r="O115" s="71"/>
      <c r="P115" s="59" t="s">
        <v>104</v>
      </c>
      <c r="Q115" s="59" t="s">
        <v>104</v>
      </c>
      <c r="R115" s="75"/>
      <c r="S115" s="75"/>
    </row>
    <row r="116" spans="1:19" x14ac:dyDescent="0.25">
      <c r="A116" s="172"/>
      <c r="B116" s="173"/>
      <c r="C116" s="63" t="s">
        <v>168</v>
      </c>
      <c r="D116" s="64" t="s">
        <v>101</v>
      </c>
      <c r="E116" s="126">
        <v>1</v>
      </c>
      <c r="F116" s="126"/>
      <c r="G116" s="126"/>
      <c r="H116" s="126">
        <v>1</v>
      </c>
      <c r="I116" s="126">
        <v>1</v>
      </c>
      <c r="J116" s="71">
        <f t="shared" ref="J116" si="108">K116</f>
        <v>23553.439999999999</v>
      </c>
      <c r="K116" s="75">
        <v>23553.439999999999</v>
      </c>
      <c r="L116" s="59" t="s">
        <v>104</v>
      </c>
      <c r="M116" s="59" t="s">
        <v>104</v>
      </c>
      <c r="N116" s="71">
        <f t="shared" ref="N116" si="109">O116</f>
        <v>23553.439999999999</v>
      </c>
      <c r="O116" s="71">
        <f>E116*K116</f>
        <v>23553.439999999999</v>
      </c>
      <c r="P116" s="59" t="s">
        <v>104</v>
      </c>
      <c r="Q116" s="59" t="s">
        <v>104</v>
      </c>
      <c r="R116" s="75">
        <f t="shared" ref="R116" si="110">H116*K116</f>
        <v>23553.439999999999</v>
      </c>
      <c r="S116" s="75">
        <f t="shared" ref="S116" si="111">I116*K116</f>
        <v>23553.439999999999</v>
      </c>
    </row>
    <row r="117" spans="1:19" ht="120" x14ac:dyDescent="0.25">
      <c r="A117" s="172"/>
      <c r="B117" s="173"/>
      <c r="C117" s="61" t="s">
        <v>105</v>
      </c>
      <c r="D117" s="64" t="s">
        <v>101</v>
      </c>
      <c r="E117" s="60"/>
      <c r="F117" s="60"/>
      <c r="G117" s="60"/>
      <c r="H117" s="60"/>
      <c r="I117" s="60"/>
      <c r="J117" s="73"/>
      <c r="K117" s="73"/>
      <c r="L117" s="74"/>
      <c r="M117" s="73"/>
      <c r="N117" s="73"/>
      <c r="O117" s="73"/>
      <c r="P117" s="73"/>
      <c r="Q117" s="73"/>
      <c r="R117" s="75">
        <f t="shared" si="97"/>
        <v>0</v>
      </c>
      <c r="S117" s="75">
        <f t="shared" si="98"/>
        <v>0</v>
      </c>
    </row>
    <row r="118" spans="1:19" x14ac:dyDescent="0.25">
      <c r="A118" s="172"/>
      <c r="B118" s="112"/>
      <c r="C118" s="66" t="s">
        <v>106</v>
      </c>
      <c r="D118" s="64"/>
      <c r="E118" s="60">
        <f>SUM(E114:E117)</f>
        <v>50</v>
      </c>
      <c r="F118" s="60">
        <f>SUM(F114:F117)</f>
        <v>0</v>
      </c>
      <c r="G118" s="59">
        <f t="shared" ref="G118" si="112">((E118*8)+(F118*4))/12</f>
        <v>33.333333333333336</v>
      </c>
      <c r="H118" s="60">
        <f t="shared" ref="H118:S118" si="113">SUM(H114:H117)</f>
        <v>50</v>
      </c>
      <c r="I118" s="60">
        <f t="shared" si="113"/>
        <v>50</v>
      </c>
      <c r="J118" s="73" t="s">
        <v>104</v>
      </c>
      <c r="K118" s="73" t="s">
        <v>104</v>
      </c>
      <c r="L118" s="73" t="s">
        <v>104</v>
      </c>
      <c r="M118" s="73" t="s">
        <v>104</v>
      </c>
      <c r="N118" s="74">
        <f t="shared" si="113"/>
        <v>2843060.48</v>
      </c>
      <c r="O118" s="74">
        <f t="shared" si="113"/>
        <v>2105909.87</v>
      </c>
      <c r="P118" s="74">
        <f t="shared" si="113"/>
        <v>196097.50999999998</v>
      </c>
      <c r="Q118" s="74">
        <f t="shared" si="113"/>
        <v>541053.1</v>
      </c>
      <c r="R118" s="74">
        <f t="shared" si="113"/>
        <v>2843060.48</v>
      </c>
      <c r="S118" s="74">
        <f t="shared" si="113"/>
        <v>2843060.48</v>
      </c>
    </row>
    <row r="119" spans="1:19" ht="105" x14ac:dyDescent="0.25">
      <c r="A119" s="172"/>
      <c r="B119" s="148" t="s">
        <v>109</v>
      </c>
      <c r="C119" s="61" t="s">
        <v>206</v>
      </c>
      <c r="D119" s="64" t="s">
        <v>101</v>
      </c>
      <c r="E119" s="125">
        <v>0</v>
      </c>
      <c r="F119" s="125"/>
      <c r="G119" s="126"/>
      <c r="H119" s="125">
        <v>0</v>
      </c>
      <c r="I119" s="125">
        <v>0</v>
      </c>
      <c r="J119" s="75">
        <f>K119</f>
        <v>3978.76</v>
      </c>
      <c r="K119" s="75">
        <v>3978.76</v>
      </c>
      <c r="L119" s="73" t="s">
        <v>104</v>
      </c>
      <c r="M119" s="73" t="s">
        <v>104</v>
      </c>
      <c r="N119" s="73">
        <f>SUM(O119:Q119)</f>
        <v>0</v>
      </c>
      <c r="O119" s="73">
        <f>J119*E119</f>
        <v>0</v>
      </c>
      <c r="P119" s="73" t="s">
        <v>104</v>
      </c>
      <c r="Q119" s="73" t="s">
        <v>104</v>
      </c>
      <c r="R119" s="75">
        <f t="shared" si="97"/>
        <v>0</v>
      </c>
      <c r="S119" s="75">
        <f t="shared" si="98"/>
        <v>0</v>
      </c>
    </row>
    <row r="120" spans="1:19" x14ac:dyDescent="0.25">
      <c r="A120" s="172"/>
      <c r="B120" s="69"/>
      <c r="C120" s="66" t="s">
        <v>106</v>
      </c>
      <c r="D120" s="69"/>
      <c r="E120" s="60">
        <f>SUM(E119:E119)</f>
        <v>0</v>
      </c>
      <c r="F120" s="60">
        <f>SUM(F119:F119)</f>
        <v>0</v>
      </c>
      <c r="G120" s="59"/>
      <c r="H120" s="60">
        <f>SUM(H119:H119)</f>
        <v>0</v>
      </c>
      <c r="I120" s="60">
        <f>SUM(I119:I119)</f>
        <v>0</v>
      </c>
      <c r="J120" s="73" t="s">
        <v>104</v>
      </c>
      <c r="K120" s="73" t="s">
        <v>104</v>
      </c>
      <c r="L120" s="73" t="s">
        <v>104</v>
      </c>
      <c r="M120" s="74">
        <f t="shared" ref="M120:S120" si="114">SUM(M119:M119)</f>
        <v>0</v>
      </c>
      <c r="N120" s="74">
        <f t="shared" si="114"/>
        <v>0</v>
      </c>
      <c r="O120" s="74">
        <f t="shared" si="114"/>
        <v>0</v>
      </c>
      <c r="P120" s="74">
        <f t="shared" si="114"/>
        <v>0</v>
      </c>
      <c r="Q120" s="74">
        <f t="shared" si="114"/>
        <v>0</v>
      </c>
      <c r="R120" s="74">
        <f t="shared" si="114"/>
        <v>0</v>
      </c>
      <c r="S120" s="74">
        <f t="shared" si="114"/>
        <v>0</v>
      </c>
    </row>
    <row r="121" spans="1:19" x14ac:dyDescent="0.25">
      <c r="A121" s="172"/>
      <c r="B121" s="102" t="s">
        <v>112</v>
      </c>
      <c r="C121" s="102"/>
      <c r="D121" s="69"/>
      <c r="E121" s="103"/>
      <c r="F121" s="103"/>
      <c r="G121" s="103"/>
      <c r="H121" s="103"/>
      <c r="I121" s="103"/>
      <c r="J121" s="105"/>
      <c r="K121" s="105"/>
      <c r="L121" s="104"/>
      <c r="M121" s="104"/>
      <c r="N121" s="104">
        <f>SUM(O121:Q121)</f>
        <v>27033666.539999999</v>
      </c>
      <c r="O121" s="104">
        <f>O106+O113+O118+O120</f>
        <v>19120580.400000002</v>
      </c>
      <c r="P121" s="104">
        <f>P106+P113+P118+P120</f>
        <v>2105046.7399999998</v>
      </c>
      <c r="Q121" s="104">
        <f>Q106+Q113+Q118+Q120</f>
        <v>5808039.3999999994</v>
      </c>
      <c r="R121" s="104">
        <f>R106+R113+R118+R120</f>
        <v>27033666.540000003</v>
      </c>
      <c r="S121" s="104">
        <f>S106+S113+S118+S120</f>
        <v>27033666.540000003</v>
      </c>
    </row>
    <row r="122" spans="1:19" ht="90" x14ac:dyDescent="0.25">
      <c r="A122" s="172" t="s">
        <v>113</v>
      </c>
      <c r="B122" s="173" t="s">
        <v>99</v>
      </c>
      <c r="C122" s="61" t="s">
        <v>100</v>
      </c>
      <c r="D122" s="62" t="s">
        <v>101</v>
      </c>
      <c r="E122" s="59">
        <v>230</v>
      </c>
      <c r="F122" s="126"/>
      <c r="G122" s="126"/>
      <c r="H122" s="126">
        <v>230</v>
      </c>
      <c r="I122" s="126">
        <v>230</v>
      </c>
      <c r="J122" s="109">
        <f>SUM(K122:M122)</f>
        <v>39104.29</v>
      </c>
      <c r="K122" s="109">
        <f>23119.12+941.28</f>
        <v>24060.399999999998</v>
      </c>
      <c r="L122" s="70">
        <v>4001.99</v>
      </c>
      <c r="M122" s="70">
        <v>11041.9</v>
      </c>
      <c r="N122" s="71">
        <f>SUM(O122:Q122)</f>
        <v>8993986.6999999993</v>
      </c>
      <c r="O122" s="71">
        <f>E122*K122</f>
        <v>5533891.9999999991</v>
      </c>
      <c r="P122" s="71">
        <f>E122*L122</f>
        <v>920457.7</v>
      </c>
      <c r="Q122" s="75">
        <f>E122*M122</f>
        <v>2539637</v>
      </c>
      <c r="R122" s="75">
        <f t="shared" si="97"/>
        <v>8993986.7000000011</v>
      </c>
      <c r="S122" s="75">
        <f t="shared" si="98"/>
        <v>8993986.7000000011</v>
      </c>
    </row>
    <row r="123" spans="1:19" ht="135" x14ac:dyDescent="0.25">
      <c r="A123" s="172"/>
      <c r="B123" s="173"/>
      <c r="C123" s="63" t="s">
        <v>163</v>
      </c>
      <c r="D123" s="64" t="s">
        <v>101</v>
      </c>
      <c r="E123" s="59" t="s">
        <v>104</v>
      </c>
      <c r="F123" s="126" t="s">
        <v>104</v>
      </c>
      <c r="G123" s="126" t="s">
        <v>104</v>
      </c>
      <c r="H123" s="126" t="s">
        <v>104</v>
      </c>
      <c r="I123" s="126" t="s">
        <v>104</v>
      </c>
      <c r="J123" s="59" t="s">
        <v>104</v>
      </c>
      <c r="K123" s="59" t="s">
        <v>104</v>
      </c>
      <c r="L123" s="59" t="s">
        <v>104</v>
      </c>
      <c r="M123" s="59" t="s">
        <v>104</v>
      </c>
      <c r="N123" s="71"/>
      <c r="O123" s="71"/>
      <c r="P123" s="59" t="s">
        <v>104</v>
      </c>
      <c r="Q123" s="59" t="s">
        <v>104</v>
      </c>
      <c r="R123" s="75"/>
      <c r="S123" s="75"/>
    </row>
    <row r="124" spans="1:19" x14ac:dyDescent="0.25">
      <c r="A124" s="172"/>
      <c r="B124" s="173"/>
      <c r="C124" s="63" t="s">
        <v>166</v>
      </c>
      <c r="D124" s="64" t="s">
        <v>101</v>
      </c>
      <c r="E124" s="126">
        <v>6</v>
      </c>
      <c r="F124" s="126"/>
      <c r="G124" s="126"/>
      <c r="H124" s="126">
        <v>6</v>
      </c>
      <c r="I124" s="126">
        <v>6</v>
      </c>
      <c r="J124" s="75">
        <f t="shared" ref="J124:J126" si="115">K124</f>
        <v>66361.320000000007</v>
      </c>
      <c r="K124" s="75">
        <v>66361.320000000007</v>
      </c>
      <c r="L124" s="59" t="s">
        <v>104</v>
      </c>
      <c r="M124" s="59" t="s">
        <v>104</v>
      </c>
      <c r="N124" s="71">
        <f t="shared" ref="N124:N126" si="116">O124</f>
        <v>398167.92000000004</v>
      </c>
      <c r="O124" s="71">
        <f>E124*K124</f>
        <v>398167.92000000004</v>
      </c>
      <c r="P124" s="59" t="s">
        <v>104</v>
      </c>
      <c r="Q124" s="59" t="s">
        <v>104</v>
      </c>
      <c r="R124" s="75">
        <f t="shared" ref="R124:R126" si="117">H124*K124</f>
        <v>398167.92000000004</v>
      </c>
      <c r="S124" s="75">
        <f t="shared" ref="S124:S126" si="118">I124*K124</f>
        <v>398167.92000000004</v>
      </c>
    </row>
    <row r="125" spans="1:19" x14ac:dyDescent="0.25">
      <c r="A125" s="172"/>
      <c r="B125" s="173"/>
      <c r="C125" s="63" t="s">
        <v>167</v>
      </c>
      <c r="D125" s="64" t="s">
        <v>101</v>
      </c>
      <c r="E125" s="126">
        <v>4</v>
      </c>
      <c r="F125" s="126"/>
      <c r="G125" s="126"/>
      <c r="H125" s="126">
        <v>4</v>
      </c>
      <c r="I125" s="126">
        <v>4</v>
      </c>
      <c r="J125" s="75">
        <f t="shared" si="115"/>
        <v>174890.83</v>
      </c>
      <c r="K125" s="75">
        <v>174890.83</v>
      </c>
      <c r="L125" s="59" t="s">
        <v>104</v>
      </c>
      <c r="M125" s="59" t="s">
        <v>104</v>
      </c>
      <c r="N125" s="71">
        <f t="shared" si="116"/>
        <v>699563.32</v>
      </c>
      <c r="O125" s="71">
        <f t="shared" ref="O125:O126" si="119">E125*K125</f>
        <v>699563.32</v>
      </c>
      <c r="P125" s="59" t="s">
        <v>104</v>
      </c>
      <c r="Q125" s="59" t="s">
        <v>104</v>
      </c>
      <c r="R125" s="75">
        <f t="shared" si="117"/>
        <v>699563.32</v>
      </c>
      <c r="S125" s="75">
        <f t="shared" si="118"/>
        <v>699563.32</v>
      </c>
    </row>
    <row r="126" spans="1:19" x14ac:dyDescent="0.25">
      <c r="A126" s="172"/>
      <c r="B126" s="173"/>
      <c r="C126" s="63" t="s">
        <v>168</v>
      </c>
      <c r="D126" s="64" t="s">
        <v>101</v>
      </c>
      <c r="E126" s="126">
        <v>2</v>
      </c>
      <c r="F126" s="126"/>
      <c r="G126" s="126"/>
      <c r="H126" s="126">
        <v>2</v>
      </c>
      <c r="I126" s="126">
        <v>2</v>
      </c>
      <c r="J126" s="75">
        <f t="shared" si="115"/>
        <v>23553.439999999999</v>
      </c>
      <c r="K126" s="75">
        <v>23553.439999999999</v>
      </c>
      <c r="L126" s="59" t="s">
        <v>104</v>
      </c>
      <c r="M126" s="59" t="s">
        <v>104</v>
      </c>
      <c r="N126" s="71">
        <f t="shared" si="116"/>
        <v>47106.879999999997</v>
      </c>
      <c r="O126" s="71">
        <f t="shared" si="119"/>
        <v>47106.879999999997</v>
      </c>
      <c r="P126" s="59" t="s">
        <v>104</v>
      </c>
      <c r="Q126" s="59" t="s">
        <v>104</v>
      </c>
      <c r="R126" s="75">
        <f t="shared" si="117"/>
        <v>47106.879999999997</v>
      </c>
      <c r="S126" s="75">
        <f t="shared" si="118"/>
        <v>47106.879999999997</v>
      </c>
    </row>
    <row r="127" spans="1:19" ht="120" x14ac:dyDescent="0.25">
      <c r="A127" s="172"/>
      <c r="B127" s="173"/>
      <c r="C127" s="61" t="s">
        <v>105</v>
      </c>
      <c r="D127" s="64" t="s">
        <v>101</v>
      </c>
      <c r="E127" s="59"/>
      <c r="F127" s="126"/>
      <c r="G127" s="126"/>
      <c r="H127" s="126"/>
      <c r="I127" s="126"/>
      <c r="J127" s="75">
        <f>SUM(K127:M127)</f>
        <v>137398.09</v>
      </c>
      <c r="K127" s="75">
        <f>121412.92+941.28</f>
        <v>122354.2</v>
      </c>
      <c r="L127" s="72">
        <v>4001.99</v>
      </c>
      <c r="M127" s="72">
        <v>11041.9</v>
      </c>
      <c r="N127" s="71">
        <f>SUM(O127:Q127)</f>
        <v>0</v>
      </c>
      <c r="O127" s="71">
        <f>E127*K127</f>
        <v>0</v>
      </c>
      <c r="P127" s="71">
        <f>E127*L127</f>
        <v>0</v>
      </c>
      <c r="Q127" s="75">
        <f>E127*M127</f>
        <v>0</v>
      </c>
      <c r="R127" s="75">
        <f t="shared" si="97"/>
        <v>0</v>
      </c>
      <c r="S127" s="75">
        <f t="shared" si="98"/>
        <v>0</v>
      </c>
    </row>
    <row r="128" spans="1:19" x14ac:dyDescent="0.25">
      <c r="A128" s="172"/>
      <c r="B128" s="173"/>
      <c r="C128" s="66" t="s">
        <v>106</v>
      </c>
      <c r="D128" s="67"/>
      <c r="E128" s="59">
        <f>E122+E127</f>
        <v>230</v>
      </c>
      <c r="F128" s="126">
        <f>F122+F127</f>
        <v>0</v>
      </c>
      <c r="G128" s="126">
        <f>G122+G127</f>
        <v>0</v>
      </c>
      <c r="H128" s="126">
        <f>H122+H127</f>
        <v>230</v>
      </c>
      <c r="I128" s="126">
        <f>I122+I127</f>
        <v>230</v>
      </c>
      <c r="J128" s="71" t="s">
        <v>104</v>
      </c>
      <c r="K128" s="71" t="s">
        <v>104</v>
      </c>
      <c r="L128" s="71" t="s">
        <v>104</v>
      </c>
      <c r="M128" s="71" t="s">
        <v>104</v>
      </c>
      <c r="N128" s="71">
        <f t="shared" ref="N128:Q128" si="120">SUM(N122:N127)</f>
        <v>10138824.82</v>
      </c>
      <c r="O128" s="71">
        <f t="shared" si="120"/>
        <v>6678730.1199999992</v>
      </c>
      <c r="P128" s="71">
        <f>SUM(P122:P127)</f>
        <v>920457.7</v>
      </c>
      <c r="Q128" s="71">
        <f t="shared" si="120"/>
        <v>2539637</v>
      </c>
      <c r="R128" s="75">
        <f>SUM(R122:R127)</f>
        <v>10138824.820000002</v>
      </c>
      <c r="S128" s="75">
        <f>SUM(S122:S127)</f>
        <v>10138824.820000002</v>
      </c>
    </row>
    <row r="129" spans="1:21" ht="90" x14ac:dyDescent="0.25">
      <c r="A129" s="172"/>
      <c r="B129" s="173" t="s">
        <v>107</v>
      </c>
      <c r="C129" s="61" t="s">
        <v>100</v>
      </c>
      <c r="D129" s="62" t="s">
        <v>101</v>
      </c>
      <c r="E129" s="59">
        <v>237</v>
      </c>
      <c r="F129" s="126"/>
      <c r="G129" s="126"/>
      <c r="H129" s="126">
        <v>237</v>
      </c>
      <c r="I129" s="126">
        <v>237</v>
      </c>
      <c r="J129" s="109">
        <f>SUM(K129:M129)</f>
        <v>50538.76</v>
      </c>
      <c r="K129" s="109">
        <f>34346.05+1148.82</f>
        <v>35494.870000000003</v>
      </c>
      <c r="L129" s="70">
        <v>4001.99</v>
      </c>
      <c r="M129" s="72">
        <v>11041.9</v>
      </c>
      <c r="N129" s="71">
        <f>SUM(O129:Q129)</f>
        <v>11977686.120000001</v>
      </c>
      <c r="O129" s="71">
        <f>E129*K129</f>
        <v>8412284.1900000013</v>
      </c>
      <c r="P129" s="71">
        <f>E129*L129</f>
        <v>948471.63</v>
      </c>
      <c r="Q129" s="71">
        <f>E129*M129</f>
        <v>2616930.2999999998</v>
      </c>
      <c r="R129" s="75">
        <f t="shared" si="97"/>
        <v>11977686.120000001</v>
      </c>
      <c r="S129" s="75">
        <f t="shared" si="98"/>
        <v>11977686.120000001</v>
      </c>
    </row>
    <row r="130" spans="1:21" ht="120" x14ac:dyDescent="0.25">
      <c r="A130" s="172"/>
      <c r="B130" s="173"/>
      <c r="C130" s="63" t="s">
        <v>102</v>
      </c>
      <c r="D130" s="64" t="s">
        <v>101</v>
      </c>
      <c r="E130" s="59" t="s">
        <v>104</v>
      </c>
      <c r="F130" s="126" t="s">
        <v>104</v>
      </c>
      <c r="G130" s="126" t="s">
        <v>104</v>
      </c>
      <c r="H130" s="126" t="s">
        <v>104</v>
      </c>
      <c r="I130" s="126" t="s">
        <v>104</v>
      </c>
      <c r="J130" s="59" t="s">
        <v>104</v>
      </c>
      <c r="K130" s="59" t="s">
        <v>104</v>
      </c>
      <c r="L130" s="59" t="s">
        <v>104</v>
      </c>
      <c r="M130" s="59" t="s">
        <v>104</v>
      </c>
      <c r="N130" s="71"/>
      <c r="O130" s="71"/>
      <c r="P130" s="59" t="s">
        <v>104</v>
      </c>
      <c r="Q130" s="59" t="s">
        <v>104</v>
      </c>
      <c r="R130" s="75"/>
      <c r="S130" s="75"/>
    </row>
    <row r="131" spans="1:21" x14ac:dyDescent="0.25">
      <c r="A131" s="172"/>
      <c r="B131" s="173"/>
      <c r="C131" s="63" t="s">
        <v>167</v>
      </c>
      <c r="D131" s="64" t="s">
        <v>101</v>
      </c>
      <c r="E131" s="125">
        <v>1</v>
      </c>
      <c r="F131" s="125"/>
      <c r="G131" s="126"/>
      <c r="H131" s="125">
        <v>1</v>
      </c>
      <c r="I131" s="125">
        <v>1</v>
      </c>
      <c r="J131" s="75">
        <f t="shared" ref="J131:J133" si="121">K131</f>
        <v>266106.15000000002</v>
      </c>
      <c r="K131" s="75">
        <v>266106.15000000002</v>
      </c>
      <c r="L131" s="59" t="s">
        <v>104</v>
      </c>
      <c r="M131" s="59" t="s">
        <v>104</v>
      </c>
      <c r="N131" s="71">
        <f t="shared" ref="N131:N133" si="122">O131</f>
        <v>266106.15000000002</v>
      </c>
      <c r="O131" s="71">
        <f>E131*K131</f>
        <v>266106.15000000002</v>
      </c>
      <c r="P131" s="59" t="s">
        <v>104</v>
      </c>
      <c r="Q131" s="59" t="s">
        <v>104</v>
      </c>
      <c r="R131" s="75">
        <f t="shared" ref="R131:R133" si="123">H131*K131</f>
        <v>266106.15000000002</v>
      </c>
      <c r="S131" s="75">
        <f t="shared" ref="S131:S133" si="124">I131*K131</f>
        <v>266106.15000000002</v>
      </c>
    </row>
    <row r="132" spans="1:21" x14ac:dyDescent="0.25">
      <c r="A132" s="172"/>
      <c r="B132" s="173"/>
      <c r="C132" s="63" t="s">
        <v>170</v>
      </c>
      <c r="D132" s="64" t="s">
        <v>101</v>
      </c>
      <c r="E132" s="125">
        <v>1</v>
      </c>
      <c r="F132" s="125"/>
      <c r="G132" s="126"/>
      <c r="H132" s="125">
        <v>1</v>
      </c>
      <c r="I132" s="125">
        <v>1</v>
      </c>
      <c r="J132" s="75">
        <f t="shared" si="121"/>
        <v>32769.75</v>
      </c>
      <c r="K132" s="75">
        <v>32769.75</v>
      </c>
      <c r="L132" s="59" t="s">
        <v>104</v>
      </c>
      <c r="M132" s="59" t="s">
        <v>104</v>
      </c>
      <c r="N132" s="71">
        <f t="shared" si="122"/>
        <v>32769.75</v>
      </c>
      <c r="O132" s="71">
        <f t="shared" ref="O132:O133" si="125">E132*K132</f>
        <v>32769.75</v>
      </c>
      <c r="P132" s="59" t="s">
        <v>104</v>
      </c>
      <c r="Q132" s="59" t="s">
        <v>104</v>
      </c>
      <c r="R132" s="75">
        <f t="shared" si="123"/>
        <v>32769.75</v>
      </c>
      <c r="S132" s="75">
        <f t="shared" si="124"/>
        <v>32769.75</v>
      </c>
    </row>
    <row r="133" spans="1:21" x14ac:dyDescent="0.25">
      <c r="A133" s="172"/>
      <c r="B133" s="173"/>
      <c r="C133" s="63" t="s">
        <v>168</v>
      </c>
      <c r="D133" s="64" t="s">
        <v>101</v>
      </c>
      <c r="E133" s="125">
        <v>10</v>
      </c>
      <c r="F133" s="125"/>
      <c r="G133" s="126"/>
      <c r="H133" s="125">
        <v>10</v>
      </c>
      <c r="I133" s="125">
        <v>10</v>
      </c>
      <c r="J133" s="75">
        <f t="shared" si="121"/>
        <v>23553.439999999999</v>
      </c>
      <c r="K133" s="75">
        <v>23553.439999999999</v>
      </c>
      <c r="L133" s="59" t="s">
        <v>104</v>
      </c>
      <c r="M133" s="59" t="s">
        <v>104</v>
      </c>
      <c r="N133" s="71">
        <f t="shared" si="122"/>
        <v>235534.4</v>
      </c>
      <c r="O133" s="71">
        <f t="shared" si="125"/>
        <v>235534.4</v>
      </c>
      <c r="P133" s="59" t="s">
        <v>104</v>
      </c>
      <c r="Q133" s="59" t="s">
        <v>104</v>
      </c>
      <c r="R133" s="75">
        <f t="shared" si="123"/>
        <v>235534.4</v>
      </c>
      <c r="S133" s="75">
        <f t="shared" si="124"/>
        <v>235534.4</v>
      </c>
    </row>
    <row r="134" spans="1:21" ht="120" x14ac:dyDescent="0.25">
      <c r="A134" s="172"/>
      <c r="B134" s="173"/>
      <c r="C134" s="61" t="s">
        <v>105</v>
      </c>
      <c r="D134" s="64" t="s">
        <v>101</v>
      </c>
      <c r="E134" s="60">
        <v>2</v>
      </c>
      <c r="F134" s="125"/>
      <c r="G134" s="125"/>
      <c r="H134" s="125">
        <v>2</v>
      </c>
      <c r="I134" s="125">
        <v>2</v>
      </c>
      <c r="J134" s="75">
        <f>SUM(K134:M134)</f>
        <v>167600.34</v>
      </c>
      <c r="K134" s="75">
        <f>151407.63+1148.82</f>
        <v>152556.45000000001</v>
      </c>
      <c r="L134" s="72">
        <v>4001.99</v>
      </c>
      <c r="M134" s="70">
        <v>11041.9</v>
      </c>
      <c r="N134" s="71">
        <f>SUM(O134:Q134)</f>
        <v>335200.68</v>
      </c>
      <c r="O134" s="71">
        <f>E134*K134</f>
        <v>305112.90000000002</v>
      </c>
      <c r="P134" s="73">
        <f>E134*L134</f>
        <v>8003.98</v>
      </c>
      <c r="Q134" s="73">
        <f>E134*M134</f>
        <v>22083.8</v>
      </c>
      <c r="R134" s="75">
        <f t="shared" si="97"/>
        <v>335200.68</v>
      </c>
      <c r="S134" s="75">
        <f t="shared" si="98"/>
        <v>335200.68</v>
      </c>
    </row>
    <row r="135" spans="1:21" x14ac:dyDescent="0.25">
      <c r="A135" s="172"/>
      <c r="B135" s="112"/>
      <c r="C135" s="66" t="s">
        <v>106</v>
      </c>
      <c r="D135" s="64"/>
      <c r="E135" s="60">
        <f>E129+E134</f>
        <v>239</v>
      </c>
      <c r="F135" s="125">
        <f>F129+F134</f>
        <v>0</v>
      </c>
      <c r="G135" s="125">
        <f>G129+G134</f>
        <v>0</v>
      </c>
      <c r="H135" s="125">
        <f>H129+H134</f>
        <v>239</v>
      </c>
      <c r="I135" s="125">
        <f>I129+I134</f>
        <v>239</v>
      </c>
      <c r="J135" s="73" t="s">
        <v>104</v>
      </c>
      <c r="K135" s="73" t="s">
        <v>104</v>
      </c>
      <c r="L135" s="74" t="s">
        <v>104</v>
      </c>
      <c r="M135" s="74" t="s">
        <v>104</v>
      </c>
      <c r="N135" s="74">
        <f t="shared" ref="N135:S135" si="126">SUM(N129:N134)</f>
        <v>12847297.100000001</v>
      </c>
      <c r="O135" s="74">
        <f t="shared" si="126"/>
        <v>9251807.3900000025</v>
      </c>
      <c r="P135" s="74">
        <f t="shared" si="126"/>
        <v>956475.61</v>
      </c>
      <c r="Q135" s="74">
        <f t="shared" si="126"/>
        <v>2639014.0999999996</v>
      </c>
      <c r="R135" s="75">
        <f t="shared" si="126"/>
        <v>12847297.100000001</v>
      </c>
      <c r="S135" s="75">
        <f t="shared" si="126"/>
        <v>12847297.100000001</v>
      </c>
    </row>
    <row r="136" spans="1:21" ht="90" x14ac:dyDescent="0.25">
      <c r="A136" s="172"/>
      <c r="B136" s="173" t="s">
        <v>108</v>
      </c>
      <c r="C136" s="61" t="s">
        <v>100</v>
      </c>
      <c r="D136" s="62" t="s">
        <v>101</v>
      </c>
      <c r="E136" s="60">
        <v>43</v>
      </c>
      <c r="F136" s="125"/>
      <c r="G136" s="125"/>
      <c r="H136" s="125">
        <v>43</v>
      </c>
      <c r="I136" s="125">
        <v>43</v>
      </c>
      <c r="J136" s="109">
        <f>SUM(K136:M136)</f>
        <v>57540.959999999999</v>
      </c>
      <c r="K136" s="109">
        <f>41105.12+1391.95</f>
        <v>42497.07</v>
      </c>
      <c r="L136" s="70">
        <v>4001.99</v>
      </c>
      <c r="M136" s="70">
        <v>11041.9</v>
      </c>
      <c r="N136" s="73">
        <f>SUM(O136:Q136)</f>
        <v>2474261.2800000003</v>
      </c>
      <c r="O136" s="73">
        <f>E136*K136</f>
        <v>1827374.01</v>
      </c>
      <c r="P136" s="73">
        <f>E136*L136</f>
        <v>172085.56999999998</v>
      </c>
      <c r="Q136" s="73">
        <f>E136*M136</f>
        <v>474801.7</v>
      </c>
      <c r="R136" s="75">
        <f t="shared" si="97"/>
        <v>2474261.2799999998</v>
      </c>
      <c r="S136" s="75">
        <f t="shared" si="98"/>
        <v>2474261.2799999998</v>
      </c>
    </row>
    <row r="137" spans="1:21" ht="120" x14ac:dyDescent="0.25">
      <c r="A137" s="172"/>
      <c r="B137" s="173"/>
      <c r="C137" s="63" t="s">
        <v>102</v>
      </c>
      <c r="D137" s="64" t="s">
        <v>101</v>
      </c>
      <c r="E137" s="59" t="s">
        <v>104</v>
      </c>
      <c r="F137" s="59" t="s">
        <v>104</v>
      </c>
      <c r="G137" s="59" t="s">
        <v>104</v>
      </c>
      <c r="H137" s="59" t="s">
        <v>104</v>
      </c>
      <c r="I137" s="59" t="s">
        <v>104</v>
      </c>
      <c r="J137" s="59" t="s">
        <v>104</v>
      </c>
      <c r="K137" s="59" t="s">
        <v>104</v>
      </c>
      <c r="L137" s="59" t="s">
        <v>104</v>
      </c>
      <c r="M137" s="59" t="s">
        <v>104</v>
      </c>
      <c r="N137" s="71"/>
      <c r="O137" s="71"/>
      <c r="P137" s="59" t="s">
        <v>104</v>
      </c>
      <c r="Q137" s="59" t="s">
        <v>104</v>
      </c>
      <c r="R137" s="75"/>
      <c r="S137" s="75"/>
    </row>
    <row r="138" spans="1:21" x14ac:dyDescent="0.25">
      <c r="A138" s="172"/>
      <c r="B138" s="173"/>
      <c r="C138" s="63" t="s">
        <v>168</v>
      </c>
      <c r="D138" s="64" t="s">
        <v>101</v>
      </c>
      <c r="E138" s="60">
        <v>2</v>
      </c>
      <c r="F138" s="60"/>
      <c r="G138" s="60"/>
      <c r="H138" s="60">
        <v>2</v>
      </c>
      <c r="I138" s="60">
        <v>2</v>
      </c>
      <c r="J138" s="75">
        <f>K138</f>
        <v>23553.439999999999</v>
      </c>
      <c r="K138" s="75">
        <v>23553.439999999999</v>
      </c>
      <c r="L138" s="59" t="s">
        <v>104</v>
      </c>
      <c r="M138" s="59" t="s">
        <v>104</v>
      </c>
      <c r="N138" s="71">
        <f>O138</f>
        <v>47106.879999999997</v>
      </c>
      <c r="O138" s="71">
        <f>E138*K138</f>
        <v>47106.879999999997</v>
      </c>
      <c r="P138" s="59" t="s">
        <v>104</v>
      </c>
      <c r="Q138" s="59" t="s">
        <v>104</v>
      </c>
      <c r="R138" s="75">
        <f>H138*K138</f>
        <v>47106.879999999997</v>
      </c>
      <c r="S138" s="75">
        <f>I138*K138</f>
        <v>47106.879999999997</v>
      </c>
    </row>
    <row r="139" spans="1:21" ht="120" x14ac:dyDescent="0.25">
      <c r="A139" s="172"/>
      <c r="B139" s="173"/>
      <c r="C139" s="61" t="s">
        <v>105</v>
      </c>
      <c r="D139" s="64" t="s">
        <v>101</v>
      </c>
      <c r="E139" s="60">
        <v>0</v>
      </c>
      <c r="F139" s="125"/>
      <c r="G139" s="125"/>
      <c r="H139" s="125">
        <v>0</v>
      </c>
      <c r="I139" s="125">
        <v>0</v>
      </c>
      <c r="J139" s="73">
        <f>K139</f>
        <v>182794.30000000002</v>
      </c>
      <c r="K139" s="73">
        <f>181402.35+1391.95</f>
        <v>182794.30000000002</v>
      </c>
      <c r="L139" s="70">
        <v>4001.99</v>
      </c>
      <c r="M139" s="70">
        <v>11041.9</v>
      </c>
      <c r="N139" s="71">
        <f>SUM(O139:Q139)</f>
        <v>0</v>
      </c>
      <c r="O139" s="73">
        <f>E139*K139</f>
        <v>0</v>
      </c>
      <c r="P139" s="73">
        <f>E139*L139</f>
        <v>0</v>
      </c>
      <c r="Q139" s="73">
        <f>E139*M139</f>
        <v>0</v>
      </c>
      <c r="R139" s="75">
        <f>H139*K139</f>
        <v>0</v>
      </c>
      <c r="S139" s="75">
        <f>I139*K139</f>
        <v>0</v>
      </c>
    </row>
    <row r="140" spans="1:21" x14ac:dyDescent="0.25">
      <c r="A140" s="172"/>
      <c r="B140" s="112"/>
      <c r="C140" s="66" t="s">
        <v>106</v>
      </c>
      <c r="D140" s="64"/>
      <c r="E140" s="60">
        <f>E136+E139</f>
        <v>43</v>
      </c>
      <c r="F140" s="60">
        <f>F136+F139</f>
        <v>0</v>
      </c>
      <c r="G140" s="60">
        <f>G136+G139</f>
        <v>0</v>
      </c>
      <c r="H140" s="60">
        <f>H136+H139</f>
        <v>43</v>
      </c>
      <c r="I140" s="60">
        <f>I136+I139</f>
        <v>43</v>
      </c>
      <c r="J140" s="73" t="s">
        <v>104</v>
      </c>
      <c r="K140" s="73" t="s">
        <v>104</v>
      </c>
      <c r="L140" s="74" t="s">
        <v>104</v>
      </c>
      <c r="M140" s="74" t="s">
        <v>104</v>
      </c>
      <c r="N140" s="74">
        <f t="shared" ref="N140:Q140" si="127">SUM(N136:N139)</f>
        <v>2521368.16</v>
      </c>
      <c r="O140" s="74">
        <f t="shared" si="127"/>
        <v>1874480.89</v>
      </c>
      <c r="P140" s="74">
        <f t="shared" si="127"/>
        <v>172085.56999999998</v>
      </c>
      <c r="Q140" s="74">
        <f t="shared" si="127"/>
        <v>474801.7</v>
      </c>
      <c r="R140" s="75">
        <f>SUM(R136:R139)</f>
        <v>2521368.1599999997</v>
      </c>
      <c r="S140" s="75">
        <f>SUM(S136:S139)</f>
        <v>2521368.1599999997</v>
      </c>
    </row>
    <row r="141" spans="1:21" ht="105" x14ac:dyDescent="0.25">
      <c r="A141" s="172"/>
      <c r="B141" s="148" t="s">
        <v>109</v>
      </c>
      <c r="C141" s="61" t="s">
        <v>206</v>
      </c>
      <c r="D141" s="64" t="s">
        <v>101</v>
      </c>
      <c r="E141" s="60">
        <v>664</v>
      </c>
      <c r="F141" s="125"/>
      <c r="G141" s="125"/>
      <c r="H141" s="125">
        <v>664</v>
      </c>
      <c r="I141" s="125">
        <v>664</v>
      </c>
      <c r="J141" s="75">
        <f>K141</f>
        <v>3978.76</v>
      </c>
      <c r="K141" s="75">
        <v>3978.76</v>
      </c>
      <c r="L141" s="72" t="s">
        <v>104</v>
      </c>
      <c r="M141" s="72" t="s">
        <v>104</v>
      </c>
      <c r="N141" s="73">
        <f>SUM(O141:Q141)</f>
        <v>2641896.64</v>
      </c>
      <c r="O141" s="73">
        <f>K141*E141</f>
        <v>2641896.64</v>
      </c>
      <c r="P141" s="73" t="s">
        <v>104</v>
      </c>
      <c r="Q141" s="73" t="s">
        <v>104</v>
      </c>
      <c r="R141" s="75">
        <f t="shared" si="97"/>
        <v>2641896.64</v>
      </c>
      <c r="S141" s="75">
        <f t="shared" si="98"/>
        <v>2641896.64</v>
      </c>
    </row>
    <row r="142" spans="1:21" x14ac:dyDescent="0.25">
      <c r="A142" s="172"/>
      <c r="B142" s="69"/>
      <c r="C142" s="66" t="s">
        <v>106</v>
      </c>
      <c r="D142" s="69"/>
      <c r="E142" s="60">
        <f>SUM(E141:E141)</f>
        <v>664</v>
      </c>
      <c r="F142" s="60">
        <f>SUM(F141:F141)</f>
        <v>0</v>
      </c>
      <c r="G142" s="60">
        <f>SUM(G141:G141)</f>
        <v>0</v>
      </c>
      <c r="H142" s="60">
        <f>SUM(H141:H141)</f>
        <v>664</v>
      </c>
      <c r="I142" s="60">
        <f>SUM(I141:I141)</f>
        <v>664</v>
      </c>
      <c r="J142" s="73" t="s">
        <v>104</v>
      </c>
      <c r="K142" s="73" t="s">
        <v>104</v>
      </c>
      <c r="L142" s="74" t="s">
        <v>104</v>
      </c>
      <c r="M142" s="74">
        <f t="shared" ref="M142:S142" si="128">SUM(M141:M141)</f>
        <v>0</v>
      </c>
      <c r="N142" s="74">
        <f t="shared" si="128"/>
        <v>2641896.64</v>
      </c>
      <c r="O142" s="74">
        <f t="shared" si="128"/>
        <v>2641896.64</v>
      </c>
      <c r="P142" s="74">
        <f t="shared" si="128"/>
        <v>0</v>
      </c>
      <c r="Q142" s="74">
        <f t="shared" si="128"/>
        <v>0</v>
      </c>
      <c r="R142" s="75">
        <f t="shared" si="128"/>
        <v>2641896.64</v>
      </c>
      <c r="S142" s="75">
        <f t="shared" si="128"/>
        <v>2641896.64</v>
      </c>
    </row>
    <row r="143" spans="1:21" x14ac:dyDescent="0.25">
      <c r="A143" s="172"/>
      <c r="B143" s="102" t="s">
        <v>112</v>
      </c>
      <c r="C143" s="102"/>
      <c r="D143" s="69"/>
      <c r="E143" s="103"/>
      <c r="F143" s="103"/>
      <c r="G143" s="103"/>
      <c r="H143" s="103"/>
      <c r="I143" s="103"/>
      <c r="J143" s="105"/>
      <c r="K143" s="105"/>
      <c r="L143" s="104"/>
      <c r="M143" s="104"/>
      <c r="N143" s="104">
        <f>SUM(O143:Q143)</f>
        <v>28149386.720000003</v>
      </c>
      <c r="O143" s="149">
        <f>O128+O135+O140+O142</f>
        <v>20446915.040000003</v>
      </c>
      <c r="P143" s="104">
        <f>P128+P135+P140+P142</f>
        <v>2049018.8800000001</v>
      </c>
      <c r="Q143" s="104">
        <f>Q128+Q135+Q140+Q142</f>
        <v>5653452.7999999998</v>
      </c>
      <c r="R143" s="104">
        <f>R128+R135+R140+R142</f>
        <v>28149386.720000003</v>
      </c>
      <c r="S143" s="104">
        <f>S128+S135+S140+S142</f>
        <v>28149386.720000003</v>
      </c>
      <c r="U143" s="85"/>
    </row>
    <row r="144" spans="1:21" ht="90" x14ac:dyDescent="0.25">
      <c r="A144" s="172" t="s">
        <v>114</v>
      </c>
      <c r="B144" s="173" t="s">
        <v>99</v>
      </c>
      <c r="C144" s="61" t="s">
        <v>100</v>
      </c>
      <c r="D144" s="62" t="s">
        <v>101</v>
      </c>
      <c r="E144" s="59">
        <v>213</v>
      </c>
      <c r="F144" s="59"/>
      <c r="G144" s="60"/>
      <c r="H144" s="59">
        <v>213</v>
      </c>
      <c r="I144" s="59">
        <v>213</v>
      </c>
      <c r="J144" s="109">
        <f>SUM(K144:M144)</f>
        <v>39104.29</v>
      </c>
      <c r="K144" s="109">
        <f>23119.12+941.28</f>
        <v>24060.399999999998</v>
      </c>
      <c r="L144" s="70">
        <v>4001.99</v>
      </c>
      <c r="M144" s="70">
        <v>11041.9</v>
      </c>
      <c r="N144" s="71">
        <f>SUM(O144:Q144)</f>
        <v>8329213.7699999996</v>
      </c>
      <c r="O144" s="71">
        <f>E144*K144</f>
        <v>5124865.1999999993</v>
      </c>
      <c r="P144" s="71">
        <f>E144*L144</f>
        <v>852423.87</v>
      </c>
      <c r="Q144" s="75">
        <f>E144*M144</f>
        <v>2351924.6999999997</v>
      </c>
      <c r="R144" s="75">
        <f t="shared" si="97"/>
        <v>8329213.7700000005</v>
      </c>
      <c r="S144" s="75">
        <f t="shared" si="98"/>
        <v>8329213.7700000005</v>
      </c>
    </row>
    <row r="145" spans="1:19" ht="135" x14ac:dyDescent="0.25">
      <c r="A145" s="172"/>
      <c r="B145" s="173"/>
      <c r="C145" s="63" t="s">
        <v>163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59" t="s">
        <v>104</v>
      </c>
      <c r="I145" s="59" t="s">
        <v>104</v>
      </c>
      <c r="J145" s="59" t="s">
        <v>104</v>
      </c>
      <c r="K145" s="59" t="s">
        <v>104</v>
      </c>
      <c r="L145" s="59" t="s">
        <v>104</v>
      </c>
      <c r="M145" s="59" t="s">
        <v>104</v>
      </c>
      <c r="N145" s="71"/>
      <c r="O145" s="71"/>
      <c r="P145" s="59" t="s">
        <v>104</v>
      </c>
      <c r="Q145" s="59" t="s">
        <v>104</v>
      </c>
      <c r="R145" s="75"/>
      <c r="S145" s="75"/>
    </row>
    <row r="146" spans="1:19" x14ac:dyDescent="0.25">
      <c r="A146" s="172"/>
      <c r="B146" s="173"/>
      <c r="C146" s="63" t="s">
        <v>171</v>
      </c>
      <c r="D146" s="64" t="s">
        <v>101</v>
      </c>
      <c r="E146" s="59">
        <v>1</v>
      </c>
      <c r="F146" s="59"/>
      <c r="G146" s="119"/>
      <c r="H146" s="59">
        <v>1</v>
      </c>
      <c r="I146" s="59">
        <v>1</v>
      </c>
      <c r="J146" s="75">
        <f t="shared" ref="J146:J150" si="129">K146</f>
        <v>69362.66</v>
      </c>
      <c r="K146" s="75">
        <v>69362.66</v>
      </c>
      <c r="L146" s="59" t="s">
        <v>104</v>
      </c>
      <c r="M146" s="59" t="s">
        <v>104</v>
      </c>
      <c r="N146" s="71">
        <f>O146</f>
        <v>69362.66</v>
      </c>
      <c r="O146" s="71">
        <f>E146*K146</f>
        <v>69362.66</v>
      </c>
      <c r="P146" s="59" t="s">
        <v>104</v>
      </c>
      <c r="Q146" s="59" t="s">
        <v>104</v>
      </c>
      <c r="R146" s="75">
        <f>H146*K146</f>
        <v>69362.66</v>
      </c>
      <c r="S146" s="75">
        <f>I146*K146</f>
        <v>69362.66</v>
      </c>
    </row>
    <row r="147" spans="1:19" x14ac:dyDescent="0.25">
      <c r="A147" s="172"/>
      <c r="B147" s="173"/>
      <c r="C147" s="63" t="s">
        <v>164</v>
      </c>
      <c r="D147" s="64" t="s">
        <v>101</v>
      </c>
      <c r="E147" s="59">
        <v>1</v>
      </c>
      <c r="F147" s="59"/>
      <c r="G147" s="119"/>
      <c r="H147" s="59">
        <v>1</v>
      </c>
      <c r="I147" s="59">
        <v>1</v>
      </c>
      <c r="J147" s="75">
        <f t="shared" si="129"/>
        <v>25589.72</v>
      </c>
      <c r="K147" s="75">
        <v>25589.72</v>
      </c>
      <c r="L147" s="59" t="s">
        <v>104</v>
      </c>
      <c r="M147" s="59" t="s">
        <v>104</v>
      </c>
      <c r="N147" s="71">
        <f>O147</f>
        <v>25589.72</v>
      </c>
      <c r="O147" s="71">
        <f t="shared" ref="O147:O150" si="130">E147*K147</f>
        <v>25589.72</v>
      </c>
      <c r="P147" s="59" t="s">
        <v>104</v>
      </c>
      <c r="Q147" s="59" t="s">
        <v>104</v>
      </c>
      <c r="R147" s="75">
        <f>H147*K147</f>
        <v>25589.72</v>
      </c>
      <c r="S147" s="75">
        <f>I147*K147</f>
        <v>25589.72</v>
      </c>
    </row>
    <row r="148" spans="1:19" x14ac:dyDescent="0.25">
      <c r="A148" s="172"/>
      <c r="B148" s="173"/>
      <c r="C148" s="63" t="s">
        <v>169</v>
      </c>
      <c r="D148" s="64" t="s">
        <v>101</v>
      </c>
      <c r="E148" s="59">
        <v>3</v>
      </c>
      <c r="F148" s="59"/>
      <c r="G148" s="119"/>
      <c r="H148" s="59">
        <v>3</v>
      </c>
      <c r="I148" s="59">
        <v>3</v>
      </c>
      <c r="J148" s="75">
        <f t="shared" si="129"/>
        <v>69362.66</v>
      </c>
      <c r="K148" s="75">
        <v>69362.66</v>
      </c>
      <c r="L148" s="59" t="s">
        <v>104</v>
      </c>
      <c r="M148" s="59" t="s">
        <v>104</v>
      </c>
      <c r="N148" s="71">
        <f t="shared" ref="N148:N150" si="131">O148</f>
        <v>208087.98</v>
      </c>
      <c r="O148" s="71">
        <f t="shared" si="130"/>
        <v>208087.98</v>
      </c>
      <c r="P148" s="59" t="s">
        <v>104</v>
      </c>
      <c r="Q148" s="59" t="s">
        <v>104</v>
      </c>
      <c r="R148" s="75">
        <f t="shared" ref="R148:R150" si="132">H148*K148</f>
        <v>208087.98</v>
      </c>
      <c r="S148" s="75">
        <f t="shared" ref="S148:S150" si="133">I148*K148</f>
        <v>208087.98</v>
      </c>
    </row>
    <row r="149" spans="1:19" x14ac:dyDescent="0.25">
      <c r="A149" s="172"/>
      <c r="B149" s="173"/>
      <c r="C149" s="63" t="s">
        <v>166</v>
      </c>
      <c r="D149" s="64" t="s">
        <v>101</v>
      </c>
      <c r="E149" s="59">
        <v>2</v>
      </c>
      <c r="F149" s="59"/>
      <c r="G149" s="119"/>
      <c r="H149" s="59">
        <v>2</v>
      </c>
      <c r="I149" s="59">
        <v>2</v>
      </c>
      <c r="J149" s="75">
        <f t="shared" si="129"/>
        <v>66361.320000000007</v>
      </c>
      <c r="K149" s="75">
        <v>66361.320000000007</v>
      </c>
      <c r="L149" s="59" t="s">
        <v>104</v>
      </c>
      <c r="M149" s="59" t="s">
        <v>104</v>
      </c>
      <c r="N149" s="71">
        <f t="shared" si="131"/>
        <v>132722.64000000001</v>
      </c>
      <c r="O149" s="71">
        <f t="shared" si="130"/>
        <v>132722.64000000001</v>
      </c>
      <c r="P149" s="59" t="s">
        <v>104</v>
      </c>
      <c r="Q149" s="59" t="s">
        <v>104</v>
      </c>
      <c r="R149" s="75">
        <f t="shared" si="132"/>
        <v>132722.64000000001</v>
      </c>
      <c r="S149" s="75">
        <f t="shared" si="133"/>
        <v>132722.64000000001</v>
      </c>
    </row>
    <row r="150" spans="1:19" x14ac:dyDescent="0.25">
      <c r="A150" s="172"/>
      <c r="B150" s="173"/>
      <c r="C150" s="63" t="s">
        <v>168</v>
      </c>
      <c r="D150" s="64" t="s">
        <v>101</v>
      </c>
      <c r="E150" s="59">
        <v>1</v>
      </c>
      <c r="F150" s="59"/>
      <c r="G150" s="119"/>
      <c r="H150" s="59">
        <v>1</v>
      </c>
      <c r="I150" s="59">
        <v>1</v>
      </c>
      <c r="J150" s="75">
        <f t="shared" si="129"/>
        <v>23553.439999999999</v>
      </c>
      <c r="K150" s="75">
        <v>23553.439999999999</v>
      </c>
      <c r="L150" s="59" t="s">
        <v>104</v>
      </c>
      <c r="M150" s="59" t="s">
        <v>104</v>
      </c>
      <c r="N150" s="71">
        <f t="shared" si="131"/>
        <v>23553.439999999999</v>
      </c>
      <c r="O150" s="71">
        <f t="shared" si="130"/>
        <v>23553.439999999999</v>
      </c>
      <c r="P150" s="59" t="s">
        <v>104</v>
      </c>
      <c r="Q150" s="59" t="s">
        <v>104</v>
      </c>
      <c r="R150" s="75">
        <f t="shared" si="132"/>
        <v>23553.439999999999</v>
      </c>
      <c r="S150" s="75">
        <f t="shared" si="133"/>
        <v>23553.439999999999</v>
      </c>
    </row>
    <row r="151" spans="1:19" ht="120" x14ac:dyDescent="0.25">
      <c r="A151" s="172"/>
      <c r="B151" s="173"/>
      <c r="C151" s="61" t="s">
        <v>105</v>
      </c>
      <c r="D151" s="64" t="s">
        <v>101</v>
      </c>
      <c r="E151" s="59">
        <v>1</v>
      </c>
      <c r="F151" s="59"/>
      <c r="G151" s="101"/>
      <c r="H151" s="59">
        <v>1</v>
      </c>
      <c r="I151" s="59">
        <v>1</v>
      </c>
      <c r="J151" s="75">
        <f>SUM(K151:M151)</f>
        <v>137398.09</v>
      </c>
      <c r="K151" s="75">
        <f>121412.92+941.28</f>
        <v>122354.2</v>
      </c>
      <c r="L151" s="72">
        <v>4001.99</v>
      </c>
      <c r="M151" s="70">
        <v>11041.9</v>
      </c>
      <c r="N151" s="71">
        <f>SUM(O151:Q151)</f>
        <v>137398.09</v>
      </c>
      <c r="O151" s="71">
        <f>E151*K151</f>
        <v>122354.2</v>
      </c>
      <c r="P151" s="71">
        <f>E151*L151</f>
        <v>4001.99</v>
      </c>
      <c r="Q151" s="75">
        <f>E151*M151</f>
        <v>11041.9</v>
      </c>
      <c r="R151" s="75">
        <f t="shared" si="97"/>
        <v>137398.09</v>
      </c>
      <c r="S151" s="75">
        <f t="shared" si="98"/>
        <v>137398.09</v>
      </c>
    </row>
    <row r="152" spans="1:19" x14ac:dyDescent="0.25">
      <c r="A152" s="172"/>
      <c r="B152" s="173"/>
      <c r="C152" s="66" t="s">
        <v>106</v>
      </c>
      <c r="D152" s="67"/>
      <c r="E152" s="59">
        <f>E144+E151</f>
        <v>214</v>
      </c>
      <c r="F152" s="59">
        <f t="shared" ref="F152:I152" si="134">F144+F151</f>
        <v>0</v>
      </c>
      <c r="G152" s="59">
        <f>G144+G151</f>
        <v>0</v>
      </c>
      <c r="H152" s="59">
        <f t="shared" si="134"/>
        <v>214</v>
      </c>
      <c r="I152" s="59">
        <f t="shared" si="134"/>
        <v>214</v>
      </c>
      <c r="J152" s="71" t="s">
        <v>104</v>
      </c>
      <c r="K152" s="71" t="s">
        <v>104</v>
      </c>
      <c r="L152" s="71" t="s">
        <v>104</v>
      </c>
      <c r="M152" s="71" t="s">
        <v>104</v>
      </c>
      <c r="N152" s="71">
        <f t="shared" ref="N152:S152" si="135">SUM(N144:N151)</f>
        <v>8925928.3000000007</v>
      </c>
      <c r="O152" s="71">
        <f t="shared" si="135"/>
        <v>5706535.8399999999</v>
      </c>
      <c r="P152" s="71">
        <f t="shared" si="135"/>
        <v>856425.86</v>
      </c>
      <c r="Q152" s="71">
        <f t="shared" si="135"/>
        <v>2362966.5999999996</v>
      </c>
      <c r="R152" s="71">
        <f t="shared" si="135"/>
        <v>8925928.3000000007</v>
      </c>
      <c r="S152" s="71">
        <f t="shared" si="135"/>
        <v>8925928.3000000007</v>
      </c>
    </row>
    <row r="153" spans="1:19" ht="90" x14ac:dyDescent="0.25">
      <c r="A153" s="172"/>
      <c r="B153" s="173" t="s">
        <v>107</v>
      </c>
      <c r="C153" s="61" t="s">
        <v>100</v>
      </c>
      <c r="D153" s="62" t="s">
        <v>101</v>
      </c>
      <c r="E153" s="59">
        <v>233</v>
      </c>
      <c r="F153" s="59"/>
      <c r="G153" s="60"/>
      <c r="H153" s="59">
        <v>233</v>
      </c>
      <c r="I153" s="59">
        <v>233</v>
      </c>
      <c r="J153" s="109">
        <f>SUM(K153:M153)</f>
        <v>50538.76</v>
      </c>
      <c r="K153" s="109">
        <f>34346.05+1148.82</f>
        <v>35494.870000000003</v>
      </c>
      <c r="L153" s="70">
        <v>4001.99</v>
      </c>
      <c r="M153" s="70">
        <v>11041.9</v>
      </c>
      <c r="N153" s="71">
        <f>SUM(O153:Q153)</f>
        <v>11775531.08</v>
      </c>
      <c r="O153" s="71">
        <f>E153*K153</f>
        <v>8270304.7100000009</v>
      </c>
      <c r="P153" s="71">
        <f>E153*L153</f>
        <v>932463.66999999993</v>
      </c>
      <c r="Q153" s="71">
        <f>E153*M153</f>
        <v>2572762.6999999997</v>
      </c>
      <c r="R153" s="75">
        <f t="shared" si="97"/>
        <v>11775531.08</v>
      </c>
      <c r="S153" s="75">
        <f t="shared" si="98"/>
        <v>11775531.08</v>
      </c>
    </row>
    <row r="154" spans="1:19" ht="135" x14ac:dyDescent="0.25">
      <c r="A154" s="172"/>
      <c r="B154" s="173"/>
      <c r="C154" s="63" t="s">
        <v>163</v>
      </c>
      <c r="D154" s="64" t="s">
        <v>101</v>
      </c>
      <c r="E154" s="59" t="s">
        <v>104</v>
      </c>
      <c r="F154" s="59" t="s">
        <v>104</v>
      </c>
      <c r="G154" s="59" t="s">
        <v>104</v>
      </c>
      <c r="H154" s="59" t="s">
        <v>104</v>
      </c>
      <c r="I154" s="59" t="s">
        <v>104</v>
      </c>
      <c r="J154" s="59" t="s">
        <v>104</v>
      </c>
      <c r="K154" s="59" t="s">
        <v>104</v>
      </c>
      <c r="L154" s="59" t="s">
        <v>104</v>
      </c>
      <c r="M154" s="59" t="s">
        <v>104</v>
      </c>
      <c r="N154" s="71"/>
      <c r="O154" s="71"/>
      <c r="P154" s="59" t="s">
        <v>104</v>
      </c>
      <c r="Q154" s="59" t="s">
        <v>104</v>
      </c>
      <c r="R154" s="75"/>
      <c r="S154" s="75"/>
    </row>
    <row r="155" spans="1:19" x14ac:dyDescent="0.25">
      <c r="A155" s="172"/>
      <c r="B155" s="173"/>
      <c r="C155" s="63" t="s">
        <v>171</v>
      </c>
      <c r="D155" s="64" t="s">
        <v>101</v>
      </c>
      <c r="E155" s="60">
        <v>1</v>
      </c>
      <c r="F155" s="60"/>
      <c r="G155" s="60"/>
      <c r="H155" s="60">
        <v>1</v>
      </c>
      <c r="I155" s="60">
        <v>1</v>
      </c>
      <c r="J155" s="75">
        <f t="shared" ref="J155:J156" si="136">K155</f>
        <v>69362.66</v>
      </c>
      <c r="K155" s="75">
        <v>69362.66</v>
      </c>
      <c r="L155" s="59" t="s">
        <v>104</v>
      </c>
      <c r="M155" s="59" t="s">
        <v>104</v>
      </c>
      <c r="N155" s="71">
        <f t="shared" ref="N155:N156" si="137">O155</f>
        <v>69362.66</v>
      </c>
      <c r="O155" s="71">
        <f>E155*K155</f>
        <v>69362.66</v>
      </c>
      <c r="P155" s="59" t="s">
        <v>104</v>
      </c>
      <c r="Q155" s="59" t="s">
        <v>104</v>
      </c>
      <c r="R155" s="75">
        <f>H155*K155</f>
        <v>69362.66</v>
      </c>
      <c r="S155" s="75">
        <f>I155*K155</f>
        <v>69362.66</v>
      </c>
    </row>
    <row r="156" spans="1:19" x14ac:dyDescent="0.25">
      <c r="A156" s="172"/>
      <c r="B156" s="173"/>
      <c r="C156" s="63" t="s">
        <v>165</v>
      </c>
      <c r="D156" s="64" t="s">
        <v>101</v>
      </c>
      <c r="E156" s="60">
        <v>1</v>
      </c>
      <c r="F156" s="60"/>
      <c r="G156" s="60"/>
      <c r="H156" s="60">
        <v>1</v>
      </c>
      <c r="I156" s="60">
        <v>1</v>
      </c>
      <c r="J156" s="75">
        <f t="shared" si="136"/>
        <v>92468.25</v>
      </c>
      <c r="K156" s="75">
        <v>92468.25</v>
      </c>
      <c r="L156" s="59" t="s">
        <v>104</v>
      </c>
      <c r="M156" s="59" t="s">
        <v>104</v>
      </c>
      <c r="N156" s="71">
        <f t="shared" si="137"/>
        <v>92468.25</v>
      </c>
      <c r="O156" s="71">
        <f t="shared" ref="O156:O157" si="138">E156*K156</f>
        <v>92468.25</v>
      </c>
      <c r="P156" s="59" t="s">
        <v>104</v>
      </c>
      <c r="Q156" s="59" t="s">
        <v>104</v>
      </c>
      <c r="R156" s="75">
        <f t="shared" ref="R156:R157" si="139">H156*K156</f>
        <v>92468.25</v>
      </c>
      <c r="S156" s="75">
        <f t="shared" ref="S156:S157" si="140">I156*K156</f>
        <v>92468.25</v>
      </c>
    </row>
    <row r="157" spans="1:19" x14ac:dyDescent="0.25">
      <c r="A157" s="172"/>
      <c r="B157" s="173"/>
      <c r="C157" s="63" t="s">
        <v>168</v>
      </c>
      <c r="D157" s="64" t="s">
        <v>101</v>
      </c>
      <c r="E157" s="60">
        <v>5</v>
      </c>
      <c r="F157" s="60"/>
      <c r="G157" s="60"/>
      <c r="H157" s="60">
        <v>5</v>
      </c>
      <c r="I157" s="60">
        <v>5</v>
      </c>
      <c r="J157" s="75">
        <f>K157</f>
        <v>23553.439999999999</v>
      </c>
      <c r="K157" s="75">
        <v>23553.439999999999</v>
      </c>
      <c r="L157" s="59" t="s">
        <v>104</v>
      </c>
      <c r="M157" s="59" t="s">
        <v>104</v>
      </c>
      <c r="N157" s="71">
        <f>O157</f>
        <v>117767.2</v>
      </c>
      <c r="O157" s="71">
        <f t="shared" si="138"/>
        <v>117767.2</v>
      </c>
      <c r="P157" s="59" t="s">
        <v>104</v>
      </c>
      <c r="Q157" s="59" t="s">
        <v>104</v>
      </c>
      <c r="R157" s="75">
        <f t="shared" si="139"/>
        <v>117767.2</v>
      </c>
      <c r="S157" s="75">
        <f t="shared" si="140"/>
        <v>117767.2</v>
      </c>
    </row>
    <row r="158" spans="1:19" ht="120" x14ac:dyDescent="0.25">
      <c r="A158" s="172"/>
      <c r="B158" s="173"/>
      <c r="C158" s="61" t="s">
        <v>105</v>
      </c>
      <c r="D158" s="64" t="s">
        <v>101</v>
      </c>
      <c r="E158" s="60">
        <v>3</v>
      </c>
      <c r="F158" s="60"/>
      <c r="G158" s="60"/>
      <c r="H158" s="60">
        <v>3</v>
      </c>
      <c r="I158" s="60">
        <v>3</v>
      </c>
      <c r="J158" s="75">
        <f>SUM(K158:M158)</f>
        <v>167600.34</v>
      </c>
      <c r="K158" s="75">
        <f>151407.63+1148.82</f>
        <v>152556.45000000001</v>
      </c>
      <c r="L158" s="72">
        <v>4001.99</v>
      </c>
      <c r="M158" s="70">
        <v>11041.9</v>
      </c>
      <c r="N158" s="73">
        <f>SUM(O158:Q158)</f>
        <v>502801.02</v>
      </c>
      <c r="O158" s="73">
        <f>E158*K158</f>
        <v>457669.35000000003</v>
      </c>
      <c r="P158" s="73">
        <f>E158*L158</f>
        <v>12005.97</v>
      </c>
      <c r="Q158" s="73">
        <f>E158*M158</f>
        <v>33125.699999999997</v>
      </c>
      <c r="R158" s="75">
        <f t="shared" si="97"/>
        <v>502801.02</v>
      </c>
      <c r="S158" s="75">
        <f t="shared" si="98"/>
        <v>502801.02</v>
      </c>
    </row>
    <row r="159" spans="1:19" x14ac:dyDescent="0.25">
      <c r="A159" s="172"/>
      <c r="B159" s="112"/>
      <c r="C159" s="66" t="s">
        <v>106</v>
      </c>
      <c r="D159" s="64"/>
      <c r="E159" s="60">
        <f>E153+E158</f>
        <v>236</v>
      </c>
      <c r="F159" s="60">
        <f t="shared" ref="F159:I159" si="141">F153+F158</f>
        <v>0</v>
      </c>
      <c r="G159" s="60">
        <f t="shared" si="141"/>
        <v>0</v>
      </c>
      <c r="H159" s="60">
        <f t="shared" si="141"/>
        <v>236</v>
      </c>
      <c r="I159" s="60">
        <f t="shared" si="141"/>
        <v>236</v>
      </c>
      <c r="J159" s="73" t="s">
        <v>104</v>
      </c>
      <c r="K159" s="73" t="s">
        <v>104</v>
      </c>
      <c r="L159" s="74" t="s">
        <v>104</v>
      </c>
      <c r="M159" s="74" t="s">
        <v>104</v>
      </c>
      <c r="N159" s="74">
        <f t="shared" ref="N159:S159" si="142">SUM(N153:N158)</f>
        <v>12557930.209999999</v>
      </c>
      <c r="O159" s="74">
        <f t="shared" si="142"/>
        <v>9007572.1699999999</v>
      </c>
      <c r="P159" s="74">
        <f t="shared" si="142"/>
        <v>944469.6399999999</v>
      </c>
      <c r="Q159" s="74">
        <f t="shared" si="142"/>
        <v>2605888.4</v>
      </c>
      <c r="R159" s="74">
        <f t="shared" si="142"/>
        <v>12557930.209999999</v>
      </c>
      <c r="S159" s="74">
        <f t="shared" si="142"/>
        <v>12557930.209999999</v>
      </c>
    </row>
    <row r="160" spans="1:19" ht="90" x14ac:dyDescent="0.25">
      <c r="A160" s="172"/>
      <c r="B160" s="173" t="s">
        <v>108</v>
      </c>
      <c r="C160" s="61" t="s">
        <v>100</v>
      </c>
      <c r="D160" s="62" t="s">
        <v>101</v>
      </c>
      <c r="E160" s="60">
        <v>55</v>
      </c>
      <c r="F160" s="60"/>
      <c r="G160" s="60"/>
      <c r="H160" s="60">
        <v>55</v>
      </c>
      <c r="I160" s="60">
        <v>55</v>
      </c>
      <c r="J160" s="109">
        <f>SUM(K160:M160)</f>
        <v>57540.959999999999</v>
      </c>
      <c r="K160" s="109">
        <f>41105.12+1391.95</f>
        <v>42497.07</v>
      </c>
      <c r="L160" s="70">
        <v>4001.99</v>
      </c>
      <c r="M160" s="70">
        <v>11041.9</v>
      </c>
      <c r="N160" s="73">
        <f>SUM(O160:Q160)</f>
        <v>3164752.8000000003</v>
      </c>
      <c r="O160" s="73">
        <f>E160*K160</f>
        <v>2337338.85</v>
      </c>
      <c r="P160" s="73">
        <f>E160*L160</f>
        <v>220109.44999999998</v>
      </c>
      <c r="Q160" s="73">
        <f>E160*M160</f>
        <v>607304.5</v>
      </c>
      <c r="R160" s="75">
        <f t="shared" si="97"/>
        <v>3164752.8</v>
      </c>
      <c r="S160" s="75">
        <f t="shared" si="98"/>
        <v>3164752.8</v>
      </c>
    </row>
    <row r="161" spans="1:19" ht="135" x14ac:dyDescent="0.25">
      <c r="A161" s="172"/>
      <c r="B161" s="173"/>
      <c r="C161" s="63" t="s">
        <v>163</v>
      </c>
      <c r="D161" s="64" t="s">
        <v>101</v>
      </c>
      <c r="E161" s="59" t="s">
        <v>104</v>
      </c>
      <c r="F161" s="59" t="s">
        <v>104</v>
      </c>
      <c r="G161" s="59" t="s">
        <v>104</v>
      </c>
      <c r="H161" s="59" t="s">
        <v>104</v>
      </c>
      <c r="I161" s="59" t="s">
        <v>104</v>
      </c>
      <c r="J161" s="59" t="s">
        <v>104</v>
      </c>
      <c r="K161" s="59" t="s">
        <v>104</v>
      </c>
      <c r="L161" s="59" t="s">
        <v>104</v>
      </c>
      <c r="M161" s="59" t="s">
        <v>104</v>
      </c>
      <c r="N161" s="71"/>
      <c r="O161" s="71"/>
      <c r="P161" s="59" t="s">
        <v>104</v>
      </c>
      <c r="Q161" s="59" t="s">
        <v>104</v>
      </c>
      <c r="R161" s="75"/>
      <c r="S161" s="75"/>
    </row>
    <row r="162" spans="1:19" x14ac:dyDescent="0.25">
      <c r="A162" s="172"/>
      <c r="B162" s="173"/>
      <c r="C162" s="63" t="s">
        <v>165</v>
      </c>
      <c r="D162" s="64" t="s">
        <v>101</v>
      </c>
      <c r="E162" s="60">
        <v>0</v>
      </c>
      <c r="F162" s="60"/>
      <c r="G162" s="60"/>
      <c r="H162" s="60">
        <v>0</v>
      </c>
      <c r="I162" s="60">
        <v>0</v>
      </c>
      <c r="J162" s="75">
        <f>K162</f>
        <v>92468.25</v>
      </c>
      <c r="K162" s="75">
        <v>92468.25</v>
      </c>
      <c r="L162" s="59" t="s">
        <v>104</v>
      </c>
      <c r="M162" s="59" t="s">
        <v>104</v>
      </c>
      <c r="N162" s="71">
        <f>O162</f>
        <v>0</v>
      </c>
      <c r="O162" s="71">
        <f>E162*K162</f>
        <v>0</v>
      </c>
      <c r="P162" s="59" t="s">
        <v>104</v>
      </c>
      <c r="Q162" s="59" t="s">
        <v>104</v>
      </c>
      <c r="R162" s="75">
        <f>H162*K162</f>
        <v>0</v>
      </c>
      <c r="S162" s="75">
        <f>I162*K162</f>
        <v>0</v>
      </c>
    </row>
    <row r="163" spans="1:19" x14ac:dyDescent="0.25">
      <c r="A163" s="172"/>
      <c r="B163" s="173"/>
      <c r="C163" s="63" t="s">
        <v>168</v>
      </c>
      <c r="D163" s="64" t="s">
        <v>101</v>
      </c>
      <c r="E163" s="60">
        <v>1</v>
      </c>
      <c r="F163" s="60"/>
      <c r="G163" s="60"/>
      <c r="H163" s="60">
        <v>1</v>
      </c>
      <c r="I163" s="60">
        <v>1</v>
      </c>
      <c r="J163" s="75">
        <f>K163</f>
        <v>23553.439999999999</v>
      </c>
      <c r="K163" s="75">
        <v>23553.439999999999</v>
      </c>
      <c r="L163" s="59" t="s">
        <v>104</v>
      </c>
      <c r="M163" s="59" t="s">
        <v>104</v>
      </c>
      <c r="N163" s="71">
        <f>O163</f>
        <v>23553.439999999999</v>
      </c>
      <c r="O163" s="71">
        <f>E163*K163</f>
        <v>23553.439999999999</v>
      </c>
      <c r="P163" s="59" t="s">
        <v>104</v>
      </c>
      <c r="Q163" s="59" t="s">
        <v>104</v>
      </c>
      <c r="R163" s="75">
        <f>H163*K163</f>
        <v>23553.439999999999</v>
      </c>
      <c r="S163" s="75">
        <f>I163*K163</f>
        <v>23553.439999999999</v>
      </c>
    </row>
    <row r="164" spans="1:19" ht="120" x14ac:dyDescent="0.25">
      <c r="A164" s="172"/>
      <c r="B164" s="173"/>
      <c r="C164" s="61" t="s">
        <v>105</v>
      </c>
      <c r="D164" s="64" t="s">
        <v>101</v>
      </c>
      <c r="E164" s="60"/>
      <c r="F164" s="60"/>
      <c r="G164" s="60"/>
      <c r="H164" s="60"/>
      <c r="I164" s="60"/>
      <c r="J164" s="75">
        <f>SUM(K164:M164)</f>
        <v>197838.19</v>
      </c>
      <c r="K164" s="75">
        <f>181402.35+1391.95</f>
        <v>182794.30000000002</v>
      </c>
      <c r="L164" s="72">
        <v>4001.99</v>
      </c>
      <c r="M164" s="70">
        <v>11041.9</v>
      </c>
      <c r="N164" s="73"/>
      <c r="O164" s="71">
        <f t="shared" ref="O164" si="143">E164*K164</f>
        <v>0</v>
      </c>
      <c r="P164" s="73"/>
      <c r="Q164" s="73"/>
      <c r="R164" s="75">
        <f t="shared" si="97"/>
        <v>0</v>
      </c>
      <c r="S164" s="75">
        <f t="shared" si="98"/>
        <v>0</v>
      </c>
    </row>
    <row r="165" spans="1:19" x14ac:dyDescent="0.25">
      <c r="A165" s="172"/>
      <c r="B165" s="112"/>
      <c r="C165" s="66" t="s">
        <v>106</v>
      </c>
      <c r="D165" s="64"/>
      <c r="E165" s="60">
        <f>E160+E164</f>
        <v>55</v>
      </c>
      <c r="F165" s="60">
        <f t="shared" ref="F165:I165" si="144">F160+F164</f>
        <v>0</v>
      </c>
      <c r="G165" s="60">
        <f t="shared" si="144"/>
        <v>0</v>
      </c>
      <c r="H165" s="60">
        <f t="shared" si="144"/>
        <v>55</v>
      </c>
      <c r="I165" s="60">
        <f t="shared" si="144"/>
        <v>55</v>
      </c>
      <c r="J165" s="73" t="s">
        <v>104</v>
      </c>
      <c r="K165" s="73" t="s">
        <v>104</v>
      </c>
      <c r="L165" s="74" t="s">
        <v>104</v>
      </c>
      <c r="M165" s="74" t="s">
        <v>104</v>
      </c>
      <c r="N165" s="74">
        <f t="shared" ref="N165:S165" si="145">SUM(N160:N164)</f>
        <v>3188306.24</v>
      </c>
      <c r="O165" s="74">
        <f t="shared" si="145"/>
        <v>2360892.29</v>
      </c>
      <c r="P165" s="74">
        <f t="shared" si="145"/>
        <v>220109.44999999998</v>
      </c>
      <c r="Q165" s="74">
        <f t="shared" si="145"/>
        <v>607304.5</v>
      </c>
      <c r="R165" s="74">
        <f t="shared" si="145"/>
        <v>3188306.2399999998</v>
      </c>
      <c r="S165" s="74">
        <f t="shared" si="145"/>
        <v>3188306.2399999998</v>
      </c>
    </row>
    <row r="166" spans="1:19" ht="105" x14ac:dyDescent="0.25">
      <c r="A166" s="172"/>
      <c r="B166" s="148" t="s">
        <v>109</v>
      </c>
      <c r="C166" s="61" t="s">
        <v>206</v>
      </c>
      <c r="D166" s="64" t="s">
        <v>101</v>
      </c>
      <c r="E166" s="60">
        <v>0</v>
      </c>
      <c r="F166" s="60"/>
      <c r="G166" s="60"/>
      <c r="H166" s="60">
        <v>0</v>
      </c>
      <c r="I166" s="60">
        <v>0</v>
      </c>
      <c r="J166" s="75">
        <f>K166</f>
        <v>3978.76</v>
      </c>
      <c r="K166" s="75">
        <v>3978.76</v>
      </c>
      <c r="L166" s="72" t="s">
        <v>104</v>
      </c>
      <c r="M166" s="72" t="s">
        <v>104</v>
      </c>
      <c r="N166" s="73">
        <f>SUM(O166:Q166)</f>
        <v>0</v>
      </c>
      <c r="O166" s="73">
        <f>K166*E166</f>
        <v>0</v>
      </c>
      <c r="P166" s="73" t="s">
        <v>104</v>
      </c>
      <c r="Q166" s="73" t="s">
        <v>104</v>
      </c>
      <c r="R166" s="75">
        <f t="shared" si="97"/>
        <v>0</v>
      </c>
      <c r="S166" s="75">
        <f t="shared" si="98"/>
        <v>0</v>
      </c>
    </row>
    <row r="167" spans="1:19" x14ac:dyDescent="0.25">
      <c r="A167" s="172"/>
      <c r="B167" s="69"/>
      <c r="C167" s="66" t="s">
        <v>106</v>
      </c>
      <c r="D167" s="69"/>
      <c r="E167" s="60">
        <f>SUM(E166:E166)</f>
        <v>0</v>
      </c>
      <c r="F167" s="60">
        <f>SUM(F166:F166)</f>
        <v>0</v>
      </c>
      <c r="G167" s="60">
        <f>SUM(G166:G166)</f>
        <v>0</v>
      </c>
      <c r="H167" s="60">
        <f>SUM(H166:H166)</f>
        <v>0</v>
      </c>
      <c r="I167" s="60">
        <f>SUM(I166:I166)</f>
        <v>0</v>
      </c>
      <c r="J167" s="73" t="s">
        <v>104</v>
      </c>
      <c r="K167" s="73" t="s">
        <v>104</v>
      </c>
      <c r="L167" s="74" t="s">
        <v>104</v>
      </c>
      <c r="M167" s="74">
        <f t="shared" ref="M167:S167" si="146">SUM(M166:M166)</f>
        <v>0</v>
      </c>
      <c r="N167" s="74">
        <f t="shared" si="146"/>
        <v>0</v>
      </c>
      <c r="O167" s="74">
        <f t="shared" si="146"/>
        <v>0</v>
      </c>
      <c r="P167" s="74">
        <f t="shared" si="146"/>
        <v>0</v>
      </c>
      <c r="Q167" s="74">
        <f t="shared" si="146"/>
        <v>0</v>
      </c>
      <c r="R167" s="75">
        <f t="shared" si="146"/>
        <v>0</v>
      </c>
      <c r="S167" s="75">
        <f t="shared" si="146"/>
        <v>0</v>
      </c>
    </row>
    <row r="168" spans="1:19" x14ac:dyDescent="0.25">
      <c r="A168" s="172"/>
      <c r="B168" s="102" t="s">
        <v>112</v>
      </c>
      <c r="C168" s="102"/>
      <c r="D168" s="69"/>
      <c r="E168" s="103"/>
      <c r="F168" s="103"/>
      <c r="G168" s="103"/>
      <c r="H168" s="103"/>
      <c r="I168" s="103"/>
      <c r="J168" s="105"/>
      <c r="K168" s="105"/>
      <c r="L168" s="104"/>
      <c r="M168" s="104"/>
      <c r="N168" s="104">
        <f>SUM(O168:Q168)</f>
        <v>24672164.75</v>
      </c>
      <c r="O168" s="104">
        <f>O152+O159+O165+O167</f>
        <v>17075000.300000001</v>
      </c>
      <c r="P168" s="104">
        <f>P152+P159+P165+P167</f>
        <v>2021004.95</v>
      </c>
      <c r="Q168" s="104">
        <f>Q152+Q159+Q165+Q167</f>
        <v>5576159.5</v>
      </c>
      <c r="R168" s="104">
        <f>R152+R159+R165+R167</f>
        <v>24672164.749999996</v>
      </c>
      <c r="S168" s="104">
        <f>S152+S159+S165+S167</f>
        <v>24672164.749999996</v>
      </c>
    </row>
    <row r="169" spans="1:19" ht="90" x14ac:dyDescent="0.25">
      <c r="A169" s="172" t="s">
        <v>115</v>
      </c>
      <c r="B169" s="173" t="s">
        <v>99</v>
      </c>
      <c r="C169" s="61" t="s">
        <v>100</v>
      </c>
      <c r="D169" s="62" t="s">
        <v>101</v>
      </c>
      <c r="E169" s="59">
        <v>215</v>
      </c>
      <c r="F169" s="59"/>
      <c r="G169" s="60"/>
      <c r="H169" s="59">
        <v>215</v>
      </c>
      <c r="I169" s="59">
        <v>215</v>
      </c>
      <c r="J169" s="109">
        <f>SUM(K169:M169)</f>
        <v>39104.29</v>
      </c>
      <c r="K169" s="109">
        <f>23119.12+941.28</f>
        <v>24060.399999999998</v>
      </c>
      <c r="L169" s="70">
        <v>4001.99</v>
      </c>
      <c r="M169" s="70">
        <v>11041.9</v>
      </c>
      <c r="N169" s="71">
        <f>SUM(O169:Q169)</f>
        <v>8407422.3499999978</v>
      </c>
      <c r="O169" s="71">
        <f>E169*K169</f>
        <v>5172985.9999999991</v>
      </c>
      <c r="P169" s="71">
        <f>E169*L169</f>
        <v>860427.85</v>
      </c>
      <c r="Q169" s="75">
        <f>E169*M169</f>
        <v>2374008.5</v>
      </c>
      <c r="R169" s="75">
        <f t="shared" si="97"/>
        <v>8407422.3499999996</v>
      </c>
      <c r="S169" s="75">
        <f t="shared" si="98"/>
        <v>8407422.3499999996</v>
      </c>
    </row>
    <row r="170" spans="1:19" ht="135" x14ac:dyDescent="0.25">
      <c r="A170" s="172"/>
      <c r="B170" s="173"/>
      <c r="C170" s="63" t="s">
        <v>163</v>
      </c>
      <c r="D170" s="64" t="s">
        <v>101</v>
      </c>
      <c r="E170" s="59" t="s">
        <v>104</v>
      </c>
      <c r="F170" s="59" t="s">
        <v>104</v>
      </c>
      <c r="G170" s="59" t="s">
        <v>104</v>
      </c>
      <c r="H170" s="59" t="s">
        <v>104</v>
      </c>
      <c r="I170" s="59" t="s">
        <v>104</v>
      </c>
      <c r="J170" s="59" t="s">
        <v>104</v>
      </c>
      <c r="K170" s="59" t="s">
        <v>104</v>
      </c>
      <c r="L170" s="59" t="s">
        <v>104</v>
      </c>
      <c r="M170" s="59" t="s">
        <v>104</v>
      </c>
      <c r="N170" s="71"/>
      <c r="O170" s="71"/>
      <c r="P170" s="59" t="s">
        <v>104</v>
      </c>
      <c r="Q170" s="59" t="s">
        <v>104</v>
      </c>
      <c r="R170" s="75"/>
      <c r="S170" s="75"/>
    </row>
    <row r="171" spans="1:19" x14ac:dyDescent="0.25">
      <c r="A171" s="172"/>
      <c r="B171" s="173"/>
      <c r="C171" s="63" t="s">
        <v>164</v>
      </c>
      <c r="D171" s="64" t="s">
        <v>101</v>
      </c>
      <c r="E171" s="59">
        <v>2</v>
      </c>
      <c r="F171" s="59"/>
      <c r="G171" s="60"/>
      <c r="H171" s="59">
        <v>2</v>
      </c>
      <c r="I171" s="59">
        <v>2</v>
      </c>
      <c r="J171" s="75">
        <f>K171</f>
        <v>25589.72</v>
      </c>
      <c r="K171" s="71">
        <v>25589.72</v>
      </c>
      <c r="L171" s="59" t="s">
        <v>104</v>
      </c>
      <c r="M171" s="59" t="s">
        <v>104</v>
      </c>
      <c r="N171" s="71">
        <f t="shared" ref="N171:N172" si="147">O171</f>
        <v>51179.44</v>
      </c>
      <c r="O171" s="71">
        <f>E171*K171</f>
        <v>51179.44</v>
      </c>
      <c r="P171" s="59" t="s">
        <v>104</v>
      </c>
      <c r="Q171" s="59" t="s">
        <v>104</v>
      </c>
      <c r="R171" s="75">
        <f t="shared" ref="R171:R172" si="148">H171*K171</f>
        <v>51179.44</v>
      </c>
      <c r="S171" s="75">
        <f t="shared" ref="S171:S172" si="149">I171*K171</f>
        <v>51179.44</v>
      </c>
    </row>
    <row r="172" spans="1:19" x14ac:dyDescent="0.25">
      <c r="A172" s="172"/>
      <c r="B172" s="173"/>
      <c r="C172" s="63" t="s">
        <v>169</v>
      </c>
      <c r="D172" s="64" t="s">
        <v>101</v>
      </c>
      <c r="E172" s="59">
        <v>8</v>
      </c>
      <c r="F172" s="59"/>
      <c r="G172" s="60"/>
      <c r="H172" s="59">
        <v>8</v>
      </c>
      <c r="I172" s="59">
        <v>8</v>
      </c>
      <c r="J172" s="75">
        <f>K172</f>
        <v>69362.66</v>
      </c>
      <c r="K172" s="71">
        <v>69362.66</v>
      </c>
      <c r="L172" s="59" t="s">
        <v>104</v>
      </c>
      <c r="M172" s="59" t="s">
        <v>104</v>
      </c>
      <c r="N172" s="71">
        <f t="shared" si="147"/>
        <v>554901.28</v>
      </c>
      <c r="O172" s="71">
        <f t="shared" ref="O172:O175" si="150">E172*K172</f>
        <v>554901.28</v>
      </c>
      <c r="P172" s="59" t="s">
        <v>104</v>
      </c>
      <c r="Q172" s="59" t="s">
        <v>104</v>
      </c>
      <c r="R172" s="75">
        <f t="shared" si="148"/>
        <v>554901.28</v>
      </c>
      <c r="S172" s="75">
        <f t="shared" si="149"/>
        <v>554901.28</v>
      </c>
    </row>
    <row r="173" spans="1:19" x14ac:dyDescent="0.25">
      <c r="A173" s="172"/>
      <c r="B173" s="173"/>
      <c r="C173" s="63" t="s">
        <v>166</v>
      </c>
      <c r="D173" s="64" t="s">
        <v>101</v>
      </c>
      <c r="E173" s="59">
        <v>18</v>
      </c>
      <c r="F173" s="59"/>
      <c r="G173" s="60"/>
      <c r="H173" s="59">
        <v>18</v>
      </c>
      <c r="I173" s="59">
        <v>18</v>
      </c>
      <c r="J173" s="75">
        <f>K173</f>
        <v>66361.320000000007</v>
      </c>
      <c r="K173" s="75">
        <v>66361.320000000007</v>
      </c>
      <c r="L173" s="59" t="s">
        <v>104</v>
      </c>
      <c r="M173" s="59" t="s">
        <v>104</v>
      </c>
      <c r="N173" s="71">
        <f>O173</f>
        <v>1194503.7600000002</v>
      </c>
      <c r="O173" s="71">
        <f t="shared" si="150"/>
        <v>1194503.7600000002</v>
      </c>
      <c r="P173" s="59" t="s">
        <v>104</v>
      </c>
      <c r="Q173" s="59" t="s">
        <v>104</v>
      </c>
      <c r="R173" s="75">
        <f>H173*K173</f>
        <v>1194503.7600000002</v>
      </c>
      <c r="S173" s="75">
        <f>I173*K173</f>
        <v>1194503.7600000002</v>
      </c>
    </row>
    <row r="174" spans="1:19" x14ac:dyDescent="0.25">
      <c r="A174" s="172"/>
      <c r="B174" s="173"/>
      <c r="C174" s="63" t="s">
        <v>170</v>
      </c>
      <c r="D174" s="64" t="s">
        <v>101</v>
      </c>
      <c r="E174" s="59">
        <v>2</v>
      </c>
      <c r="F174" s="59"/>
      <c r="G174" s="60"/>
      <c r="H174" s="59">
        <v>2</v>
      </c>
      <c r="I174" s="59">
        <v>2</v>
      </c>
      <c r="J174" s="75">
        <f t="shared" ref="J174:J175" si="151">K174</f>
        <v>99648.29</v>
      </c>
      <c r="K174" s="75">
        <v>99648.29</v>
      </c>
      <c r="L174" s="59" t="s">
        <v>104</v>
      </c>
      <c r="M174" s="59" t="s">
        <v>104</v>
      </c>
      <c r="N174" s="71">
        <f t="shared" ref="N174:N175" si="152">O174</f>
        <v>199296.58</v>
      </c>
      <c r="O174" s="71">
        <f t="shared" si="150"/>
        <v>199296.58</v>
      </c>
      <c r="P174" s="59" t="s">
        <v>104</v>
      </c>
      <c r="Q174" s="59" t="s">
        <v>104</v>
      </c>
      <c r="R174" s="75">
        <f t="shared" ref="R174:R175" si="153">H174*K174</f>
        <v>199296.58</v>
      </c>
      <c r="S174" s="75">
        <f t="shared" ref="S174:S175" si="154">I174*K174</f>
        <v>199296.58</v>
      </c>
    </row>
    <row r="175" spans="1:19" x14ac:dyDescent="0.25">
      <c r="A175" s="172"/>
      <c r="B175" s="173"/>
      <c r="C175" s="63" t="s">
        <v>168</v>
      </c>
      <c r="D175" s="64" t="s">
        <v>101</v>
      </c>
      <c r="E175" s="59">
        <v>3</v>
      </c>
      <c r="F175" s="59"/>
      <c r="G175" s="60"/>
      <c r="H175" s="59">
        <v>3</v>
      </c>
      <c r="I175" s="59">
        <v>3</v>
      </c>
      <c r="J175" s="75">
        <f t="shared" si="151"/>
        <v>23553.439999999999</v>
      </c>
      <c r="K175" s="75">
        <v>23553.439999999999</v>
      </c>
      <c r="L175" s="59" t="s">
        <v>104</v>
      </c>
      <c r="M175" s="59" t="s">
        <v>104</v>
      </c>
      <c r="N175" s="71">
        <f t="shared" si="152"/>
        <v>70660.319999999992</v>
      </c>
      <c r="O175" s="71">
        <f t="shared" si="150"/>
        <v>70660.319999999992</v>
      </c>
      <c r="P175" s="59" t="s">
        <v>104</v>
      </c>
      <c r="Q175" s="59" t="s">
        <v>104</v>
      </c>
      <c r="R175" s="75">
        <f t="shared" si="153"/>
        <v>70660.319999999992</v>
      </c>
      <c r="S175" s="75">
        <f t="shared" si="154"/>
        <v>70660.319999999992</v>
      </c>
    </row>
    <row r="176" spans="1:19" ht="120" x14ac:dyDescent="0.25">
      <c r="A176" s="172"/>
      <c r="B176" s="173"/>
      <c r="C176" s="61" t="s">
        <v>105</v>
      </c>
      <c r="D176" s="64" t="s">
        <v>101</v>
      </c>
      <c r="E176" s="59">
        <v>4</v>
      </c>
      <c r="F176" s="59"/>
      <c r="G176" s="59"/>
      <c r="H176" s="59">
        <v>4</v>
      </c>
      <c r="I176" s="59">
        <v>4</v>
      </c>
      <c r="J176" s="75">
        <f>SUM(K176:M176)</f>
        <v>137398.09</v>
      </c>
      <c r="K176" s="75">
        <f>121412.92+941.28</f>
        <v>122354.2</v>
      </c>
      <c r="L176" s="72">
        <v>4001.99</v>
      </c>
      <c r="M176" s="70">
        <v>11041.9</v>
      </c>
      <c r="N176" s="71">
        <f>SUM(O176:Q176)</f>
        <v>549592.36</v>
      </c>
      <c r="O176" s="71">
        <f>E176*K176</f>
        <v>489416.8</v>
      </c>
      <c r="P176" s="71">
        <f>E176*L176</f>
        <v>16007.96</v>
      </c>
      <c r="Q176" s="75">
        <f>E176*M176</f>
        <v>44167.6</v>
      </c>
      <c r="R176" s="75">
        <f t="shared" si="97"/>
        <v>549592.36</v>
      </c>
      <c r="S176" s="75">
        <f t="shared" si="98"/>
        <v>549592.36</v>
      </c>
    </row>
    <row r="177" spans="1:19" x14ac:dyDescent="0.25">
      <c r="A177" s="172"/>
      <c r="B177" s="173"/>
      <c r="C177" s="66" t="s">
        <v>106</v>
      </c>
      <c r="D177" s="67"/>
      <c r="E177" s="59">
        <f>E169+E176</f>
        <v>219</v>
      </c>
      <c r="F177" s="59">
        <f t="shared" ref="F177:I177" si="155">F169+F176</f>
        <v>0</v>
      </c>
      <c r="G177" s="59">
        <f t="shared" si="155"/>
        <v>0</v>
      </c>
      <c r="H177" s="59">
        <f t="shared" si="155"/>
        <v>219</v>
      </c>
      <c r="I177" s="59">
        <f t="shared" si="155"/>
        <v>219</v>
      </c>
      <c r="J177" s="71" t="s">
        <v>104</v>
      </c>
      <c r="K177" s="71" t="s">
        <v>104</v>
      </c>
      <c r="L177" s="71" t="s">
        <v>104</v>
      </c>
      <c r="M177" s="71" t="s">
        <v>104</v>
      </c>
      <c r="N177" s="71">
        <f>SUM(N169:N176)</f>
        <v>11027556.089999996</v>
      </c>
      <c r="O177" s="71">
        <f>SUM(O169:O176)</f>
        <v>7732944.1800000006</v>
      </c>
      <c r="P177" s="71">
        <f>SUM(P169:P176)</f>
        <v>876435.80999999994</v>
      </c>
      <c r="Q177" s="71">
        <f t="shared" ref="Q177:S177" si="156">SUM(Q169:Q176)</f>
        <v>2418176.1</v>
      </c>
      <c r="R177" s="71">
        <f t="shared" si="156"/>
        <v>11027556.089999998</v>
      </c>
      <c r="S177" s="71">
        <f t="shared" si="156"/>
        <v>11027556.089999998</v>
      </c>
    </row>
    <row r="178" spans="1:19" ht="90" x14ac:dyDescent="0.25">
      <c r="A178" s="172"/>
      <c r="B178" s="173" t="s">
        <v>107</v>
      </c>
      <c r="C178" s="61" t="s">
        <v>100</v>
      </c>
      <c r="D178" s="62" t="s">
        <v>101</v>
      </c>
      <c r="E178" s="59">
        <v>215</v>
      </c>
      <c r="F178" s="59"/>
      <c r="G178" s="59"/>
      <c r="H178" s="59">
        <v>215</v>
      </c>
      <c r="I178" s="59">
        <v>215</v>
      </c>
      <c r="J178" s="109">
        <f>SUM(K178:M178)</f>
        <v>50538.76</v>
      </c>
      <c r="K178" s="109">
        <f>34346.05+1148.82</f>
        <v>35494.870000000003</v>
      </c>
      <c r="L178" s="70">
        <v>4001.99</v>
      </c>
      <c r="M178" s="70">
        <v>11041.9</v>
      </c>
      <c r="N178" s="71">
        <f>SUM(O178:Q178)</f>
        <v>10865833.4</v>
      </c>
      <c r="O178" s="71">
        <f>E178*K178</f>
        <v>7631397.0500000007</v>
      </c>
      <c r="P178" s="71">
        <f>E178*L178</f>
        <v>860427.85</v>
      </c>
      <c r="Q178" s="71">
        <f>E178*M178</f>
        <v>2374008.5</v>
      </c>
      <c r="R178" s="75">
        <f t="shared" si="97"/>
        <v>10865833.4</v>
      </c>
      <c r="S178" s="75">
        <f t="shared" si="98"/>
        <v>10865833.4</v>
      </c>
    </row>
    <row r="179" spans="1:19" ht="135" x14ac:dyDescent="0.25">
      <c r="A179" s="172"/>
      <c r="B179" s="173"/>
      <c r="C179" s="63" t="s">
        <v>163</v>
      </c>
      <c r="D179" s="64" t="s">
        <v>101</v>
      </c>
      <c r="E179" s="59" t="s">
        <v>104</v>
      </c>
      <c r="F179" s="59" t="s">
        <v>104</v>
      </c>
      <c r="G179" s="59" t="s">
        <v>104</v>
      </c>
      <c r="H179" s="59" t="s">
        <v>104</v>
      </c>
      <c r="I179" s="59" t="s">
        <v>104</v>
      </c>
      <c r="J179" s="59" t="s">
        <v>104</v>
      </c>
      <c r="K179" s="59" t="s">
        <v>104</v>
      </c>
      <c r="L179" s="59" t="s">
        <v>104</v>
      </c>
      <c r="M179" s="59" t="s">
        <v>104</v>
      </c>
      <c r="N179" s="71"/>
      <c r="O179" s="71"/>
      <c r="P179" s="59" t="s">
        <v>104</v>
      </c>
      <c r="Q179" s="59" t="s">
        <v>104</v>
      </c>
      <c r="R179" s="75"/>
      <c r="S179" s="75"/>
    </row>
    <row r="180" spans="1:19" x14ac:dyDescent="0.25">
      <c r="A180" s="172"/>
      <c r="B180" s="173"/>
      <c r="C180" s="63" t="s">
        <v>164</v>
      </c>
      <c r="D180" s="64" t="s">
        <v>101</v>
      </c>
      <c r="E180" s="60">
        <v>2</v>
      </c>
      <c r="F180" s="60"/>
      <c r="G180" s="59"/>
      <c r="H180" s="60">
        <v>2</v>
      </c>
      <c r="I180" s="60">
        <v>2</v>
      </c>
      <c r="J180" s="75">
        <f>K180</f>
        <v>25589.72</v>
      </c>
      <c r="K180" s="75">
        <v>25589.72</v>
      </c>
      <c r="L180" s="59" t="s">
        <v>104</v>
      </c>
      <c r="M180" s="59" t="s">
        <v>104</v>
      </c>
      <c r="N180" s="71">
        <f>O180</f>
        <v>51179.44</v>
      </c>
      <c r="O180" s="71">
        <f>E180*K180</f>
        <v>51179.44</v>
      </c>
      <c r="P180" s="59" t="s">
        <v>104</v>
      </c>
      <c r="Q180" s="59" t="s">
        <v>104</v>
      </c>
      <c r="R180" s="75">
        <f>H180*K180</f>
        <v>51179.44</v>
      </c>
      <c r="S180" s="75">
        <f t="shared" ref="S180:S182" si="157">I180*K180</f>
        <v>51179.44</v>
      </c>
    </row>
    <row r="181" spans="1:19" x14ac:dyDescent="0.25">
      <c r="A181" s="172"/>
      <c r="B181" s="173"/>
      <c r="C181" s="63" t="s">
        <v>165</v>
      </c>
      <c r="D181" s="64" t="s">
        <v>101</v>
      </c>
      <c r="E181" s="60">
        <v>1</v>
      </c>
      <c r="F181" s="60"/>
      <c r="G181" s="59"/>
      <c r="H181" s="60">
        <v>1</v>
      </c>
      <c r="I181" s="60">
        <v>1</v>
      </c>
      <c r="J181" s="75">
        <f t="shared" ref="J181:J182" si="158">K181</f>
        <v>92468.25</v>
      </c>
      <c r="K181" s="75">
        <v>92468.25</v>
      </c>
      <c r="L181" s="59" t="s">
        <v>104</v>
      </c>
      <c r="M181" s="59" t="s">
        <v>104</v>
      </c>
      <c r="N181" s="71">
        <f t="shared" ref="N181:N182" si="159">O181</f>
        <v>92468.25</v>
      </c>
      <c r="O181" s="71">
        <f t="shared" ref="O181:O182" si="160">E181*K181</f>
        <v>92468.25</v>
      </c>
      <c r="P181" s="59" t="s">
        <v>104</v>
      </c>
      <c r="Q181" s="59" t="s">
        <v>104</v>
      </c>
      <c r="R181" s="75">
        <f t="shared" ref="R181:R182" si="161">H181*K181</f>
        <v>92468.25</v>
      </c>
      <c r="S181" s="75">
        <f t="shared" si="157"/>
        <v>92468.25</v>
      </c>
    </row>
    <row r="182" spans="1:19" x14ac:dyDescent="0.25">
      <c r="A182" s="172"/>
      <c r="B182" s="173"/>
      <c r="C182" s="63" t="s">
        <v>168</v>
      </c>
      <c r="D182" s="64" t="s">
        <v>101</v>
      </c>
      <c r="E182" s="60">
        <v>8</v>
      </c>
      <c r="F182" s="60"/>
      <c r="G182" s="59"/>
      <c r="H182" s="60">
        <v>8</v>
      </c>
      <c r="I182" s="60">
        <v>8</v>
      </c>
      <c r="J182" s="75">
        <f t="shared" si="158"/>
        <v>23553.439999999999</v>
      </c>
      <c r="K182" s="75">
        <v>23553.439999999999</v>
      </c>
      <c r="L182" s="59" t="s">
        <v>104</v>
      </c>
      <c r="M182" s="59" t="s">
        <v>104</v>
      </c>
      <c r="N182" s="71">
        <f t="shared" si="159"/>
        <v>188427.51999999999</v>
      </c>
      <c r="O182" s="71">
        <f t="shared" si="160"/>
        <v>188427.51999999999</v>
      </c>
      <c r="P182" s="59" t="s">
        <v>104</v>
      </c>
      <c r="Q182" s="59" t="s">
        <v>104</v>
      </c>
      <c r="R182" s="75">
        <f t="shared" si="161"/>
        <v>188427.51999999999</v>
      </c>
      <c r="S182" s="75">
        <f t="shared" si="157"/>
        <v>188427.51999999999</v>
      </c>
    </row>
    <row r="183" spans="1:19" ht="120" x14ac:dyDescent="0.25">
      <c r="A183" s="172"/>
      <c r="B183" s="173"/>
      <c r="C183" s="61" t="s">
        <v>105</v>
      </c>
      <c r="D183" s="64" t="s">
        <v>101</v>
      </c>
      <c r="E183" s="60">
        <v>4</v>
      </c>
      <c r="F183" s="60"/>
      <c r="G183" s="59"/>
      <c r="H183" s="60">
        <v>4</v>
      </c>
      <c r="I183" s="60">
        <v>4</v>
      </c>
      <c r="J183" s="75">
        <f>SUM(K183:M183)</f>
        <v>167600.34</v>
      </c>
      <c r="K183" s="75">
        <f>151407.63+1148.82</f>
        <v>152556.45000000001</v>
      </c>
      <c r="L183" s="72">
        <v>4001.99</v>
      </c>
      <c r="M183" s="70">
        <v>11041.9</v>
      </c>
      <c r="N183" s="73">
        <f>SUM(O183:Q183)</f>
        <v>670401.36</v>
      </c>
      <c r="O183" s="73">
        <f>E183*K183</f>
        <v>610225.80000000005</v>
      </c>
      <c r="P183" s="73">
        <f>E183*L183</f>
        <v>16007.96</v>
      </c>
      <c r="Q183" s="73">
        <f>E183*M183</f>
        <v>44167.6</v>
      </c>
      <c r="R183" s="75">
        <f t="shared" si="97"/>
        <v>670401.36</v>
      </c>
      <c r="S183" s="75">
        <f t="shared" si="98"/>
        <v>670401.36</v>
      </c>
    </row>
    <row r="184" spans="1:19" x14ac:dyDescent="0.25">
      <c r="A184" s="172"/>
      <c r="B184" s="112"/>
      <c r="C184" s="66" t="s">
        <v>106</v>
      </c>
      <c r="D184" s="64"/>
      <c r="E184" s="60">
        <f>E178+E183</f>
        <v>219</v>
      </c>
      <c r="F184" s="60">
        <f t="shared" ref="F184:I184" si="162">F178+F183</f>
        <v>0</v>
      </c>
      <c r="G184" s="60">
        <f t="shared" si="162"/>
        <v>0</v>
      </c>
      <c r="H184" s="60">
        <f t="shared" si="162"/>
        <v>219</v>
      </c>
      <c r="I184" s="60">
        <f t="shared" si="162"/>
        <v>219</v>
      </c>
      <c r="J184" s="73" t="s">
        <v>104</v>
      </c>
      <c r="K184" s="73" t="s">
        <v>104</v>
      </c>
      <c r="L184" s="73" t="s">
        <v>104</v>
      </c>
      <c r="M184" s="73" t="s">
        <v>104</v>
      </c>
      <c r="N184" s="74">
        <f>SUM(N178:N183)</f>
        <v>11868309.969999999</v>
      </c>
      <c r="O184" s="74">
        <f>SUM(O178:O183)</f>
        <v>8573698.0600000005</v>
      </c>
      <c r="P184" s="74">
        <f>SUM(P178:P183)</f>
        <v>876435.80999999994</v>
      </c>
      <c r="Q184" s="74">
        <f t="shared" ref="Q184:S184" si="163">SUM(Q178:Q183)</f>
        <v>2418176.1</v>
      </c>
      <c r="R184" s="74">
        <f t="shared" si="163"/>
        <v>11868309.969999999</v>
      </c>
      <c r="S184" s="74">
        <f t="shared" si="163"/>
        <v>11868309.969999999</v>
      </c>
    </row>
    <row r="185" spans="1:19" ht="90" x14ac:dyDescent="0.25">
      <c r="A185" s="172"/>
      <c r="B185" s="173" t="s">
        <v>108</v>
      </c>
      <c r="C185" s="61" t="s">
        <v>100</v>
      </c>
      <c r="D185" s="62" t="s">
        <v>101</v>
      </c>
      <c r="E185" s="60">
        <v>34</v>
      </c>
      <c r="F185" s="60"/>
      <c r="G185" s="59"/>
      <c r="H185" s="60">
        <v>34</v>
      </c>
      <c r="I185" s="60">
        <v>34</v>
      </c>
      <c r="J185" s="109">
        <f>SUM(K185:M185)</f>
        <v>57540.959999999999</v>
      </c>
      <c r="K185" s="109">
        <f>41105.12+1391.95</f>
        <v>42497.07</v>
      </c>
      <c r="L185" s="70">
        <v>4001.99</v>
      </c>
      <c r="M185" s="70">
        <v>11041.9</v>
      </c>
      <c r="N185" s="73">
        <f>SUM(O185:Q185)</f>
        <v>1956392.6399999997</v>
      </c>
      <c r="O185" s="73">
        <f>E185*K185</f>
        <v>1444900.38</v>
      </c>
      <c r="P185" s="73">
        <f>E185*L185</f>
        <v>136067.66</v>
      </c>
      <c r="Q185" s="73">
        <f>E185*M185</f>
        <v>375424.6</v>
      </c>
      <c r="R185" s="75">
        <f t="shared" si="97"/>
        <v>1956392.64</v>
      </c>
      <c r="S185" s="75">
        <f t="shared" si="98"/>
        <v>1956392.64</v>
      </c>
    </row>
    <row r="186" spans="1:19" ht="135" x14ac:dyDescent="0.25">
      <c r="A186" s="172"/>
      <c r="B186" s="173"/>
      <c r="C186" s="63" t="s">
        <v>163</v>
      </c>
      <c r="D186" s="64" t="s">
        <v>101</v>
      </c>
      <c r="E186" s="59" t="s">
        <v>104</v>
      </c>
      <c r="F186" s="59" t="s">
        <v>104</v>
      </c>
      <c r="G186" s="59" t="s">
        <v>104</v>
      </c>
      <c r="H186" s="59" t="s">
        <v>104</v>
      </c>
      <c r="I186" s="59" t="s">
        <v>104</v>
      </c>
      <c r="J186" s="59" t="s">
        <v>104</v>
      </c>
      <c r="K186" s="59" t="s">
        <v>104</v>
      </c>
      <c r="L186" s="59" t="s">
        <v>104</v>
      </c>
      <c r="M186" s="59" t="s">
        <v>104</v>
      </c>
      <c r="N186" s="71"/>
      <c r="O186" s="71"/>
      <c r="P186" s="59" t="s">
        <v>104</v>
      </c>
      <c r="Q186" s="59" t="s">
        <v>104</v>
      </c>
      <c r="R186" s="75"/>
      <c r="S186" s="75"/>
    </row>
    <row r="187" spans="1:19" x14ac:dyDescent="0.25">
      <c r="A187" s="172"/>
      <c r="B187" s="173"/>
      <c r="C187" s="63" t="s">
        <v>165</v>
      </c>
      <c r="D187" s="64" t="s">
        <v>101</v>
      </c>
      <c r="E187" s="60">
        <v>0</v>
      </c>
      <c r="F187" s="60"/>
      <c r="G187" s="59"/>
      <c r="H187" s="60">
        <v>0</v>
      </c>
      <c r="I187" s="60">
        <v>0</v>
      </c>
      <c r="J187" s="75">
        <f>K187</f>
        <v>92468.25</v>
      </c>
      <c r="K187" s="75">
        <v>92468.25</v>
      </c>
      <c r="L187" s="59" t="s">
        <v>104</v>
      </c>
      <c r="M187" s="59" t="s">
        <v>104</v>
      </c>
      <c r="N187" s="71">
        <f>O187</f>
        <v>0</v>
      </c>
      <c r="O187" s="71">
        <f>E187*K187</f>
        <v>0</v>
      </c>
      <c r="P187" s="59" t="s">
        <v>104</v>
      </c>
      <c r="Q187" s="59" t="s">
        <v>104</v>
      </c>
      <c r="R187" s="75">
        <f>H187*K187</f>
        <v>0</v>
      </c>
      <c r="S187" s="75">
        <f>I187*K187</f>
        <v>0</v>
      </c>
    </row>
    <row r="188" spans="1:19" ht="120" x14ac:dyDescent="0.25">
      <c r="A188" s="172"/>
      <c r="B188" s="173"/>
      <c r="C188" s="61" t="s">
        <v>105</v>
      </c>
      <c r="D188" s="64" t="s">
        <v>101</v>
      </c>
      <c r="E188" s="60"/>
      <c r="F188" s="60">
        <v>0</v>
      </c>
      <c r="G188" s="101">
        <f t="shared" ref="G188" si="164">((E188*8)+(F188*4))/12</f>
        <v>0</v>
      </c>
      <c r="H188" s="60">
        <v>0</v>
      </c>
      <c r="I188" s="60">
        <v>0</v>
      </c>
      <c r="J188" s="75">
        <f>SUM(K188:M188)</f>
        <v>197838.19</v>
      </c>
      <c r="K188" s="75">
        <f>181402.35+1391.95</f>
        <v>182794.30000000002</v>
      </c>
      <c r="L188" s="72">
        <v>4001.99</v>
      </c>
      <c r="M188" s="70">
        <v>11041.9</v>
      </c>
      <c r="N188" s="73"/>
      <c r="O188" s="73">
        <f>K188*E188</f>
        <v>0</v>
      </c>
      <c r="P188" s="73">
        <f>L188*E188</f>
        <v>0</v>
      </c>
      <c r="Q188" s="73"/>
      <c r="R188" s="75">
        <f t="shared" si="97"/>
        <v>0</v>
      </c>
      <c r="S188" s="75">
        <f t="shared" si="98"/>
        <v>0</v>
      </c>
    </row>
    <row r="189" spans="1:19" x14ac:dyDescent="0.25">
      <c r="A189" s="172"/>
      <c r="B189" s="112"/>
      <c r="C189" s="66" t="s">
        <v>106</v>
      </c>
      <c r="D189" s="64"/>
      <c r="E189" s="60">
        <f>E185+E188</f>
        <v>34</v>
      </c>
      <c r="F189" s="60">
        <f t="shared" ref="F189:I189" si="165">F185+F188</f>
        <v>0</v>
      </c>
      <c r="G189" s="60">
        <f t="shared" si="165"/>
        <v>0</v>
      </c>
      <c r="H189" s="60">
        <f t="shared" si="165"/>
        <v>34</v>
      </c>
      <c r="I189" s="60">
        <f t="shared" si="165"/>
        <v>34</v>
      </c>
      <c r="J189" s="73" t="s">
        <v>104</v>
      </c>
      <c r="K189" s="73" t="s">
        <v>104</v>
      </c>
      <c r="L189" s="73" t="s">
        <v>104</v>
      </c>
      <c r="M189" s="73" t="s">
        <v>104</v>
      </c>
      <c r="N189" s="74">
        <f>SUM(N185:N188)</f>
        <v>1956392.6399999997</v>
      </c>
      <c r="O189" s="74">
        <f>SUM(O185:O188)</f>
        <v>1444900.38</v>
      </c>
      <c r="P189" s="74">
        <f>SUM(P185:P188)</f>
        <v>136067.66</v>
      </c>
      <c r="Q189" s="74">
        <f t="shared" ref="Q189:S189" si="166">SUM(Q185:Q188)</f>
        <v>375424.6</v>
      </c>
      <c r="R189" s="74">
        <f t="shared" si="166"/>
        <v>1956392.64</v>
      </c>
      <c r="S189" s="74">
        <f t="shared" si="166"/>
        <v>1956392.64</v>
      </c>
    </row>
    <row r="190" spans="1:19" ht="105" x14ac:dyDescent="0.25">
      <c r="A190" s="172"/>
      <c r="B190" s="148" t="s">
        <v>109</v>
      </c>
      <c r="C190" s="61" t="s">
        <v>206</v>
      </c>
      <c r="D190" s="64" t="s">
        <v>101</v>
      </c>
      <c r="E190" s="60">
        <v>438</v>
      </c>
      <c r="F190" s="60"/>
      <c r="G190" s="59"/>
      <c r="H190" s="60">
        <v>438</v>
      </c>
      <c r="I190" s="60">
        <v>438</v>
      </c>
      <c r="J190" s="75">
        <f>K190</f>
        <v>3978.76</v>
      </c>
      <c r="K190" s="75">
        <v>3978.76</v>
      </c>
      <c r="L190" s="73" t="s">
        <v>104</v>
      </c>
      <c r="M190" s="73" t="s">
        <v>104</v>
      </c>
      <c r="N190" s="73">
        <f>SUM(O190:Q190)</f>
        <v>1742696.8800000001</v>
      </c>
      <c r="O190" s="73">
        <f>E190*K190</f>
        <v>1742696.8800000001</v>
      </c>
      <c r="P190" s="73" t="s">
        <v>104</v>
      </c>
      <c r="Q190" s="73" t="s">
        <v>104</v>
      </c>
      <c r="R190" s="75">
        <f t="shared" si="97"/>
        <v>1742696.8800000001</v>
      </c>
      <c r="S190" s="75">
        <f t="shared" si="98"/>
        <v>1742696.8800000001</v>
      </c>
    </row>
    <row r="191" spans="1:19" x14ac:dyDescent="0.25">
      <c r="A191" s="172"/>
      <c r="B191" s="69"/>
      <c r="C191" s="66" t="s">
        <v>106</v>
      </c>
      <c r="D191" s="69"/>
      <c r="E191" s="60">
        <f>SUM(E190:E190)</f>
        <v>438</v>
      </c>
      <c r="F191" s="60">
        <f>SUM(F190:F190)</f>
        <v>0</v>
      </c>
      <c r="G191" s="60">
        <f>SUM(G190:G190)</f>
        <v>0</v>
      </c>
      <c r="H191" s="60">
        <f>SUM(H190:H190)</f>
        <v>438</v>
      </c>
      <c r="I191" s="60">
        <f>SUM(I190:I190)</f>
        <v>438</v>
      </c>
      <c r="J191" s="73" t="s">
        <v>104</v>
      </c>
      <c r="K191" s="73" t="s">
        <v>104</v>
      </c>
      <c r="L191" s="73" t="s">
        <v>104</v>
      </c>
      <c r="M191" s="74">
        <f t="shared" ref="M191:S191" si="167">SUM(M190:M190)</f>
        <v>0</v>
      </c>
      <c r="N191" s="74">
        <f t="shared" si="167"/>
        <v>1742696.8800000001</v>
      </c>
      <c r="O191" s="74">
        <f t="shared" si="167"/>
        <v>1742696.8800000001</v>
      </c>
      <c r="P191" s="74">
        <f t="shared" si="167"/>
        <v>0</v>
      </c>
      <c r="Q191" s="74">
        <f t="shared" si="167"/>
        <v>0</v>
      </c>
      <c r="R191" s="75">
        <f t="shared" si="167"/>
        <v>1742696.8800000001</v>
      </c>
      <c r="S191" s="75">
        <f t="shared" si="167"/>
        <v>1742696.8800000001</v>
      </c>
    </row>
    <row r="192" spans="1:19" x14ac:dyDescent="0.25">
      <c r="A192" s="172"/>
      <c r="B192" s="102" t="s">
        <v>112</v>
      </c>
      <c r="C192" s="102"/>
      <c r="D192" s="69"/>
      <c r="E192" s="103"/>
      <c r="F192" s="103"/>
      <c r="G192" s="103"/>
      <c r="H192" s="103"/>
      <c r="I192" s="103"/>
      <c r="J192" s="105"/>
      <c r="K192" s="105"/>
      <c r="L192" s="104"/>
      <c r="M192" s="104"/>
      <c r="N192" s="104">
        <f>SUM(O192:Q192)</f>
        <v>26594955.580000002</v>
      </c>
      <c r="O192" s="147">
        <f>O177+O184+O189+O191</f>
        <v>19494239.5</v>
      </c>
      <c r="P192" s="104">
        <f>P177+P184+P189+P191</f>
        <v>1888939.2799999998</v>
      </c>
      <c r="Q192" s="104">
        <f>Q177+Q184+Q189+Q191</f>
        <v>5211776.8</v>
      </c>
      <c r="R192" s="104">
        <f>R177+R184+R189+R191</f>
        <v>26594955.579999994</v>
      </c>
      <c r="S192" s="104">
        <f>S177+S184+S189+S191</f>
        <v>26594955.579999994</v>
      </c>
    </row>
    <row r="193" spans="1:19" ht="90" x14ac:dyDescent="0.25">
      <c r="A193" s="172" t="s">
        <v>116</v>
      </c>
      <c r="B193" s="174" t="s">
        <v>99</v>
      </c>
      <c r="C193" s="61" t="s">
        <v>100</v>
      </c>
      <c r="D193" s="62" t="s">
        <v>101</v>
      </c>
      <c r="E193" s="59">
        <v>328</v>
      </c>
      <c r="F193" s="59"/>
      <c r="G193" s="59"/>
      <c r="H193" s="59">
        <v>328</v>
      </c>
      <c r="I193" s="59">
        <v>328</v>
      </c>
      <c r="J193" s="109">
        <f>SUM(K193:M193)</f>
        <v>39104.29</v>
      </c>
      <c r="K193" s="109">
        <f>23119.12+941.28</f>
        <v>24060.399999999998</v>
      </c>
      <c r="L193" s="70">
        <v>4001.99</v>
      </c>
      <c r="M193" s="70">
        <v>11041.9</v>
      </c>
      <c r="N193" s="71">
        <f>SUM(O193:Q193)</f>
        <v>12826207.119999999</v>
      </c>
      <c r="O193" s="71">
        <f>E193*K193</f>
        <v>7891811.1999999993</v>
      </c>
      <c r="P193" s="71">
        <f>E193*L193</f>
        <v>1312652.72</v>
      </c>
      <c r="Q193" s="75">
        <f>E193*M193</f>
        <v>3621743.1999999997</v>
      </c>
      <c r="R193" s="75">
        <f t="shared" si="97"/>
        <v>12826207.120000001</v>
      </c>
      <c r="S193" s="75">
        <f t="shared" si="98"/>
        <v>12826207.120000001</v>
      </c>
    </row>
    <row r="194" spans="1:19" ht="135" x14ac:dyDescent="0.25">
      <c r="A194" s="172"/>
      <c r="B194" s="175"/>
      <c r="C194" s="63" t="s">
        <v>163</v>
      </c>
      <c r="D194" s="64" t="s">
        <v>101</v>
      </c>
      <c r="E194" s="59" t="s">
        <v>104</v>
      </c>
      <c r="F194" s="59" t="s">
        <v>104</v>
      </c>
      <c r="G194" s="59" t="s">
        <v>104</v>
      </c>
      <c r="H194" s="59" t="s">
        <v>104</v>
      </c>
      <c r="I194" s="59" t="s">
        <v>104</v>
      </c>
      <c r="J194" s="59" t="s">
        <v>104</v>
      </c>
      <c r="K194" s="59" t="s">
        <v>104</v>
      </c>
      <c r="L194" s="59" t="s">
        <v>104</v>
      </c>
      <c r="M194" s="59" t="s">
        <v>104</v>
      </c>
      <c r="N194" s="71"/>
      <c r="O194" s="71"/>
      <c r="P194" s="59" t="s">
        <v>104</v>
      </c>
      <c r="Q194" s="59" t="s">
        <v>104</v>
      </c>
      <c r="R194" s="75"/>
      <c r="S194" s="75"/>
    </row>
    <row r="195" spans="1:19" x14ac:dyDescent="0.25">
      <c r="A195" s="172"/>
      <c r="B195" s="175"/>
      <c r="C195" s="63" t="s">
        <v>169</v>
      </c>
      <c r="D195" s="64" t="s">
        <v>101</v>
      </c>
      <c r="E195" s="59">
        <v>3</v>
      </c>
      <c r="F195" s="59"/>
      <c r="G195" s="59"/>
      <c r="H195" s="59">
        <v>3</v>
      </c>
      <c r="I195" s="59">
        <v>3</v>
      </c>
      <c r="J195" s="75">
        <f t="shared" ref="J195:J199" si="168">K195</f>
        <v>69362.66</v>
      </c>
      <c r="K195" s="71">
        <v>69362.66</v>
      </c>
      <c r="L195" s="59" t="s">
        <v>104</v>
      </c>
      <c r="M195" s="59" t="s">
        <v>104</v>
      </c>
      <c r="N195" s="71">
        <f t="shared" ref="N195" si="169">O195</f>
        <v>208087.98</v>
      </c>
      <c r="O195" s="71">
        <f>E195*K195</f>
        <v>208087.98</v>
      </c>
      <c r="P195" s="59" t="s">
        <v>104</v>
      </c>
      <c r="Q195" s="59" t="s">
        <v>104</v>
      </c>
      <c r="R195" s="75">
        <f t="shared" ref="R195:R199" si="170">H195*K195</f>
        <v>208087.98</v>
      </c>
      <c r="S195" s="75">
        <f t="shared" ref="S195" si="171">I195*K195</f>
        <v>208087.98</v>
      </c>
    </row>
    <row r="196" spans="1:19" x14ac:dyDescent="0.25">
      <c r="A196" s="172"/>
      <c r="B196" s="175"/>
      <c r="C196" s="63" t="s">
        <v>166</v>
      </c>
      <c r="D196" s="64" t="s">
        <v>101</v>
      </c>
      <c r="E196" s="59">
        <v>1</v>
      </c>
      <c r="F196" s="59"/>
      <c r="G196" s="59"/>
      <c r="H196" s="59">
        <v>1</v>
      </c>
      <c r="I196" s="59">
        <v>1</v>
      </c>
      <c r="J196" s="75">
        <f t="shared" si="168"/>
        <v>66361.320000000007</v>
      </c>
      <c r="K196" s="75">
        <v>66361.320000000007</v>
      </c>
      <c r="L196" s="59" t="s">
        <v>104</v>
      </c>
      <c r="M196" s="59" t="s">
        <v>104</v>
      </c>
      <c r="N196" s="71">
        <f>O196</f>
        <v>66361.320000000007</v>
      </c>
      <c r="O196" s="71">
        <f t="shared" ref="O196:O199" si="172">E196*K196</f>
        <v>66361.320000000007</v>
      </c>
      <c r="P196" s="59" t="s">
        <v>104</v>
      </c>
      <c r="Q196" s="59" t="s">
        <v>104</v>
      </c>
      <c r="R196" s="75">
        <f t="shared" si="170"/>
        <v>66361.320000000007</v>
      </c>
      <c r="S196" s="75">
        <f>I196*K196</f>
        <v>66361.320000000007</v>
      </c>
    </row>
    <row r="197" spans="1:19" x14ac:dyDescent="0.25">
      <c r="A197" s="172"/>
      <c r="B197" s="175"/>
      <c r="C197" s="63" t="s">
        <v>167</v>
      </c>
      <c r="D197" s="64" t="s">
        <v>101</v>
      </c>
      <c r="E197" s="59">
        <v>0</v>
      </c>
      <c r="F197" s="59"/>
      <c r="G197" s="59"/>
      <c r="H197" s="59">
        <v>0</v>
      </c>
      <c r="I197" s="59">
        <v>0</v>
      </c>
      <c r="J197" s="75">
        <f t="shared" si="168"/>
        <v>174890.83</v>
      </c>
      <c r="K197" s="75">
        <v>174890.83</v>
      </c>
      <c r="L197" s="59" t="s">
        <v>104</v>
      </c>
      <c r="M197" s="59" t="s">
        <v>104</v>
      </c>
      <c r="N197" s="71">
        <f>O197</f>
        <v>0</v>
      </c>
      <c r="O197" s="71">
        <f t="shared" si="172"/>
        <v>0</v>
      </c>
      <c r="P197" s="59" t="s">
        <v>104</v>
      </c>
      <c r="Q197" s="59" t="s">
        <v>104</v>
      </c>
      <c r="R197" s="75">
        <f t="shared" si="170"/>
        <v>0</v>
      </c>
      <c r="S197" s="75">
        <f>I197*K197</f>
        <v>0</v>
      </c>
    </row>
    <row r="198" spans="1:19" x14ac:dyDescent="0.25">
      <c r="A198" s="172"/>
      <c r="B198" s="175"/>
      <c r="C198" s="63" t="s">
        <v>170</v>
      </c>
      <c r="D198" s="64" t="s">
        <v>101</v>
      </c>
      <c r="E198" s="59">
        <v>1</v>
      </c>
      <c r="F198" s="59"/>
      <c r="G198" s="59"/>
      <c r="H198" s="59">
        <v>1</v>
      </c>
      <c r="I198" s="59">
        <v>1</v>
      </c>
      <c r="J198" s="75">
        <f t="shared" si="168"/>
        <v>99648.29</v>
      </c>
      <c r="K198" s="75">
        <v>99648.29</v>
      </c>
      <c r="L198" s="59" t="s">
        <v>104</v>
      </c>
      <c r="M198" s="59" t="s">
        <v>104</v>
      </c>
      <c r="N198" s="71">
        <f>O198</f>
        <v>99648.29</v>
      </c>
      <c r="O198" s="71">
        <f t="shared" si="172"/>
        <v>99648.29</v>
      </c>
      <c r="P198" s="59" t="s">
        <v>104</v>
      </c>
      <c r="Q198" s="59" t="s">
        <v>104</v>
      </c>
      <c r="R198" s="75">
        <f t="shared" si="170"/>
        <v>99648.29</v>
      </c>
      <c r="S198" s="75">
        <f>I198*K198</f>
        <v>99648.29</v>
      </c>
    </row>
    <row r="199" spans="1:19" x14ac:dyDescent="0.25">
      <c r="A199" s="172"/>
      <c r="B199" s="175"/>
      <c r="C199" s="63" t="s">
        <v>168</v>
      </c>
      <c r="D199" s="64" t="s">
        <v>101</v>
      </c>
      <c r="E199" s="59">
        <v>5</v>
      </c>
      <c r="F199" s="59"/>
      <c r="G199" s="59"/>
      <c r="H199" s="59">
        <v>5</v>
      </c>
      <c r="I199" s="59">
        <v>5</v>
      </c>
      <c r="J199" s="75">
        <f t="shared" si="168"/>
        <v>23553.439999999999</v>
      </c>
      <c r="K199" s="75">
        <v>23553.439999999999</v>
      </c>
      <c r="L199" s="59" t="s">
        <v>104</v>
      </c>
      <c r="M199" s="59" t="s">
        <v>104</v>
      </c>
      <c r="N199" s="71">
        <f>O199</f>
        <v>117767.2</v>
      </c>
      <c r="O199" s="71">
        <f t="shared" si="172"/>
        <v>117767.2</v>
      </c>
      <c r="P199" s="59" t="s">
        <v>104</v>
      </c>
      <c r="Q199" s="59" t="s">
        <v>104</v>
      </c>
      <c r="R199" s="75">
        <f t="shared" si="170"/>
        <v>117767.2</v>
      </c>
      <c r="S199" s="75">
        <f>I199*K199</f>
        <v>117767.2</v>
      </c>
    </row>
    <row r="200" spans="1:19" ht="120" x14ac:dyDescent="0.25">
      <c r="A200" s="172"/>
      <c r="B200" s="175"/>
      <c r="C200" s="61" t="s">
        <v>105</v>
      </c>
      <c r="D200" s="64" t="s">
        <v>101</v>
      </c>
      <c r="E200" s="59">
        <v>2</v>
      </c>
      <c r="F200" s="59"/>
      <c r="G200" s="59"/>
      <c r="H200" s="59">
        <v>2</v>
      </c>
      <c r="I200" s="59">
        <v>2</v>
      </c>
      <c r="J200" s="75">
        <f>SUM(K200:M200)</f>
        <v>137398.09</v>
      </c>
      <c r="K200" s="75">
        <f>121412.92+941.28</f>
        <v>122354.2</v>
      </c>
      <c r="L200" s="72">
        <v>4001.99</v>
      </c>
      <c r="M200" s="70">
        <v>11041.9</v>
      </c>
      <c r="N200" s="71">
        <f>SUM(O200:Q200)</f>
        <v>274796.18</v>
      </c>
      <c r="O200" s="71">
        <f>E200*K200</f>
        <v>244708.4</v>
      </c>
      <c r="P200" s="71">
        <f>E200*L200</f>
        <v>8003.98</v>
      </c>
      <c r="Q200" s="75">
        <f>E200*M200</f>
        <v>22083.8</v>
      </c>
      <c r="R200" s="75">
        <f t="shared" ref="R200:R218" si="173">H200*J200</f>
        <v>274796.18</v>
      </c>
      <c r="S200" s="75">
        <f t="shared" ref="S200:S218" si="174">I200*J200</f>
        <v>274796.18</v>
      </c>
    </row>
    <row r="201" spans="1:19" ht="105" x14ac:dyDescent="0.25">
      <c r="A201" s="172"/>
      <c r="B201" s="175"/>
      <c r="C201" s="61" t="s">
        <v>117</v>
      </c>
      <c r="D201" s="64" t="s">
        <v>101</v>
      </c>
      <c r="E201" s="59">
        <v>0</v>
      </c>
      <c r="F201" s="59">
        <v>0</v>
      </c>
      <c r="G201" s="59">
        <f t="shared" ref="G201" si="175">((E201*8)+(F201*4))/12</f>
        <v>0</v>
      </c>
      <c r="H201" s="59">
        <v>0</v>
      </c>
      <c r="I201" s="59">
        <v>0</v>
      </c>
      <c r="J201" s="75">
        <f>K201</f>
        <v>21480.1</v>
      </c>
      <c r="K201" s="75">
        <v>21480.1</v>
      </c>
      <c r="L201" s="72" t="s">
        <v>104</v>
      </c>
      <c r="M201" s="72" t="s">
        <v>104</v>
      </c>
      <c r="N201" s="71">
        <f>SUM(O201:Q201)</f>
        <v>0</v>
      </c>
      <c r="O201" s="71">
        <f>E201*K201</f>
        <v>0</v>
      </c>
      <c r="P201" s="71"/>
      <c r="Q201" s="71"/>
      <c r="R201" s="75">
        <f t="shared" si="173"/>
        <v>0</v>
      </c>
      <c r="S201" s="75">
        <f t="shared" si="174"/>
        <v>0</v>
      </c>
    </row>
    <row r="202" spans="1:19" x14ac:dyDescent="0.25">
      <c r="A202" s="172"/>
      <c r="B202" s="176"/>
      <c r="C202" s="66" t="s">
        <v>106</v>
      </c>
      <c r="D202" s="67"/>
      <c r="E202" s="59">
        <f>E193+E200</f>
        <v>330</v>
      </c>
      <c r="F202" s="59">
        <f>F193+F200</f>
        <v>0</v>
      </c>
      <c r="G202" s="59">
        <f>G193+G200</f>
        <v>0</v>
      </c>
      <c r="H202" s="59">
        <f>H193+H200</f>
        <v>330</v>
      </c>
      <c r="I202" s="59">
        <f>I193+I200</f>
        <v>330</v>
      </c>
      <c r="J202" s="71" t="s">
        <v>104</v>
      </c>
      <c r="K202" s="71" t="s">
        <v>104</v>
      </c>
      <c r="L202" s="71" t="s">
        <v>104</v>
      </c>
      <c r="M202" s="71" t="s">
        <v>104</v>
      </c>
      <c r="N202" s="71">
        <f>SUM(N193:N201)</f>
        <v>13592868.089999998</v>
      </c>
      <c r="O202" s="71">
        <f t="shared" ref="O202:S202" si="176">SUM(O193:O201)</f>
        <v>8628384.3900000006</v>
      </c>
      <c r="P202" s="71">
        <f t="shared" si="176"/>
        <v>1320656.7</v>
      </c>
      <c r="Q202" s="71">
        <f t="shared" si="176"/>
        <v>3643826.9999999995</v>
      </c>
      <c r="R202" s="71">
        <f t="shared" si="176"/>
        <v>13592868.09</v>
      </c>
      <c r="S202" s="71">
        <f t="shared" si="176"/>
        <v>13592868.09</v>
      </c>
    </row>
    <row r="203" spans="1:19" ht="90" x14ac:dyDescent="0.25">
      <c r="A203" s="172"/>
      <c r="B203" s="174" t="s">
        <v>107</v>
      </c>
      <c r="C203" s="61" t="s">
        <v>100</v>
      </c>
      <c r="D203" s="62" t="s">
        <v>101</v>
      </c>
      <c r="E203" s="59">
        <v>91</v>
      </c>
      <c r="F203" s="59"/>
      <c r="G203" s="59"/>
      <c r="H203" s="59">
        <v>91</v>
      </c>
      <c r="I203" s="59">
        <v>91</v>
      </c>
      <c r="J203" s="109">
        <f>SUM(K203:M203)</f>
        <v>50538.76</v>
      </c>
      <c r="K203" s="109">
        <f>34346.05+1148.82</f>
        <v>35494.870000000003</v>
      </c>
      <c r="L203" s="70">
        <v>4001.99</v>
      </c>
      <c r="M203" s="70">
        <v>11041.9</v>
      </c>
      <c r="N203" s="71">
        <f>SUM(O203:Q203)</f>
        <v>4599027.16</v>
      </c>
      <c r="O203" s="71">
        <f>E203*K203</f>
        <v>3230033.1700000004</v>
      </c>
      <c r="P203" s="71">
        <f>E203*L203</f>
        <v>364181.08999999997</v>
      </c>
      <c r="Q203" s="71">
        <f>E203*M203</f>
        <v>1004812.9</v>
      </c>
      <c r="R203" s="75">
        <f t="shared" si="173"/>
        <v>4599027.16</v>
      </c>
      <c r="S203" s="75">
        <f t="shared" si="174"/>
        <v>4599027.16</v>
      </c>
    </row>
    <row r="204" spans="1:19" ht="120" x14ac:dyDescent="0.25">
      <c r="A204" s="172"/>
      <c r="B204" s="175"/>
      <c r="C204" s="61" t="s">
        <v>118</v>
      </c>
      <c r="D204" s="62" t="s">
        <v>101</v>
      </c>
      <c r="E204" s="59">
        <v>299</v>
      </c>
      <c r="F204" s="59"/>
      <c r="G204" s="59"/>
      <c r="H204" s="59">
        <v>299</v>
      </c>
      <c r="I204" s="59">
        <v>299</v>
      </c>
      <c r="J204" s="109">
        <f>SUM(K204:M204)</f>
        <v>53975.57</v>
      </c>
      <c r="K204" s="109">
        <f>37782.86+1148.82</f>
        <v>38931.68</v>
      </c>
      <c r="L204" s="70">
        <v>4001.99</v>
      </c>
      <c r="M204" s="70">
        <v>11041.9</v>
      </c>
      <c r="N204" s="71">
        <f>SUM(O204:Q204)</f>
        <v>16138695.43</v>
      </c>
      <c r="O204" s="71">
        <f>E204*K204</f>
        <v>11640572.32</v>
      </c>
      <c r="P204" s="71">
        <f>E204*L204</f>
        <v>1196595.01</v>
      </c>
      <c r="Q204" s="71">
        <f>E204*M204</f>
        <v>3301528.1</v>
      </c>
      <c r="R204" s="75">
        <f t="shared" si="173"/>
        <v>16138695.43</v>
      </c>
      <c r="S204" s="75">
        <f t="shared" si="174"/>
        <v>16138695.43</v>
      </c>
    </row>
    <row r="205" spans="1:19" ht="120" x14ac:dyDescent="0.25">
      <c r="A205" s="172"/>
      <c r="B205" s="175"/>
      <c r="C205" s="63" t="s">
        <v>102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59" t="s">
        <v>104</v>
      </c>
      <c r="Q205" s="59" t="s">
        <v>104</v>
      </c>
      <c r="R205" s="75"/>
      <c r="S205" s="75"/>
    </row>
    <row r="206" spans="1:19" x14ac:dyDescent="0.25">
      <c r="A206" s="172"/>
      <c r="B206" s="175"/>
      <c r="C206" s="63" t="s">
        <v>171</v>
      </c>
      <c r="D206" s="64" t="s">
        <v>101</v>
      </c>
      <c r="E206" s="60">
        <v>1</v>
      </c>
      <c r="F206" s="60"/>
      <c r="G206" s="59"/>
      <c r="H206" s="60">
        <v>1</v>
      </c>
      <c r="I206" s="60">
        <v>1</v>
      </c>
      <c r="J206" s="75">
        <f>K206</f>
        <v>69362.66</v>
      </c>
      <c r="K206" s="75">
        <v>69362.66</v>
      </c>
      <c r="L206" s="59" t="s">
        <v>104</v>
      </c>
      <c r="M206" s="59" t="s">
        <v>104</v>
      </c>
      <c r="N206" s="71">
        <f>O206</f>
        <v>69362.66</v>
      </c>
      <c r="O206" s="71">
        <f>E206*K206</f>
        <v>69362.66</v>
      </c>
      <c r="P206" s="59" t="s">
        <v>104</v>
      </c>
      <c r="Q206" s="59" t="s">
        <v>104</v>
      </c>
      <c r="R206" s="75">
        <f>H206*K206</f>
        <v>69362.66</v>
      </c>
      <c r="S206" s="75">
        <f>I206*K206</f>
        <v>69362.66</v>
      </c>
    </row>
    <row r="207" spans="1:19" x14ac:dyDescent="0.25">
      <c r="A207" s="172"/>
      <c r="B207" s="175"/>
      <c r="C207" s="63" t="s">
        <v>164</v>
      </c>
      <c r="D207" s="64" t="s">
        <v>101</v>
      </c>
      <c r="E207" s="60">
        <v>1</v>
      </c>
      <c r="F207" s="60"/>
      <c r="G207" s="59"/>
      <c r="H207" s="60">
        <v>1</v>
      </c>
      <c r="I207" s="60">
        <v>1</v>
      </c>
      <c r="J207" s="75">
        <f>K207</f>
        <v>25589.72</v>
      </c>
      <c r="K207" s="75">
        <v>25589.72</v>
      </c>
      <c r="L207" s="59" t="s">
        <v>104</v>
      </c>
      <c r="M207" s="59" t="s">
        <v>104</v>
      </c>
      <c r="N207" s="71">
        <f>O207</f>
        <v>25589.72</v>
      </c>
      <c r="O207" s="71">
        <f t="shared" ref="O207:O208" si="177">E207*K207</f>
        <v>25589.72</v>
      </c>
      <c r="P207" s="59" t="s">
        <v>104</v>
      </c>
      <c r="Q207" s="59" t="s">
        <v>104</v>
      </c>
      <c r="R207" s="75">
        <f>H207*K207</f>
        <v>25589.72</v>
      </c>
      <c r="S207" s="75">
        <f>I207*K207</f>
        <v>25589.72</v>
      </c>
    </row>
    <row r="208" spans="1:19" x14ac:dyDescent="0.25">
      <c r="A208" s="172"/>
      <c r="B208" s="175"/>
      <c r="C208" s="63" t="s">
        <v>168</v>
      </c>
      <c r="D208" s="64" t="s">
        <v>101</v>
      </c>
      <c r="E208" s="60">
        <v>6</v>
      </c>
      <c r="F208" s="60"/>
      <c r="G208" s="59"/>
      <c r="H208" s="60">
        <v>6</v>
      </c>
      <c r="I208" s="60">
        <v>6</v>
      </c>
      <c r="J208" s="75">
        <f>K208</f>
        <v>23553.439999999999</v>
      </c>
      <c r="K208" s="75">
        <v>23553.439999999999</v>
      </c>
      <c r="L208" s="59" t="s">
        <v>104</v>
      </c>
      <c r="M208" s="59" t="s">
        <v>104</v>
      </c>
      <c r="N208" s="71">
        <f>O208</f>
        <v>141320.63999999998</v>
      </c>
      <c r="O208" s="71">
        <f t="shared" si="177"/>
        <v>141320.63999999998</v>
      </c>
      <c r="P208" s="59" t="s">
        <v>104</v>
      </c>
      <c r="Q208" s="59" t="s">
        <v>104</v>
      </c>
      <c r="R208" s="75">
        <f>H208*K208</f>
        <v>141320.63999999998</v>
      </c>
      <c r="S208" s="75">
        <f>I208*K208</f>
        <v>141320.63999999998</v>
      </c>
    </row>
    <row r="209" spans="1:19" ht="120" x14ac:dyDescent="0.25">
      <c r="A209" s="172"/>
      <c r="B209" s="175"/>
      <c r="C209" s="61" t="s">
        <v>105</v>
      </c>
      <c r="D209" s="64" t="s">
        <v>101</v>
      </c>
      <c r="E209" s="60"/>
      <c r="F209" s="60"/>
      <c r="G209" s="60"/>
      <c r="H209" s="60"/>
      <c r="I209" s="60"/>
      <c r="J209" s="75">
        <f>SUM(K209:M209)</f>
        <v>167600.34</v>
      </c>
      <c r="K209" s="75">
        <f>151407.63+1148.82</f>
        <v>152556.45000000001</v>
      </c>
      <c r="L209" s="72">
        <v>4001.99</v>
      </c>
      <c r="M209" s="70">
        <v>11041.9</v>
      </c>
      <c r="N209" s="73">
        <f>SUM(O209:Q209)</f>
        <v>0</v>
      </c>
      <c r="O209" s="73">
        <f>E209*K209</f>
        <v>0</v>
      </c>
      <c r="P209" s="73">
        <f>E209*L209</f>
        <v>0</v>
      </c>
      <c r="Q209" s="73">
        <f>E209*M209</f>
        <v>0</v>
      </c>
      <c r="R209" s="75">
        <f t="shared" si="173"/>
        <v>0</v>
      </c>
      <c r="S209" s="75">
        <f t="shared" si="174"/>
        <v>0</v>
      </c>
    </row>
    <row r="210" spans="1:19" ht="105" x14ac:dyDescent="0.25">
      <c r="A210" s="172"/>
      <c r="B210" s="175"/>
      <c r="C210" s="61" t="s">
        <v>117</v>
      </c>
      <c r="D210" s="64" t="s">
        <v>101</v>
      </c>
      <c r="E210" s="60">
        <v>0</v>
      </c>
      <c r="F210" s="60">
        <v>0</v>
      </c>
      <c r="G210" s="101">
        <v>0</v>
      </c>
      <c r="H210" s="60">
        <v>0</v>
      </c>
      <c r="I210" s="60">
        <v>0</v>
      </c>
      <c r="J210" s="75">
        <f>K210</f>
        <v>34010.129999999997</v>
      </c>
      <c r="K210" s="75">
        <v>34010.129999999997</v>
      </c>
      <c r="L210" s="72" t="s">
        <v>104</v>
      </c>
      <c r="M210" s="72" t="s">
        <v>104</v>
      </c>
      <c r="N210" s="73">
        <f>SUM(O210:Q210)</f>
        <v>0</v>
      </c>
      <c r="O210" s="73">
        <f>G210*K210</f>
        <v>0</v>
      </c>
      <c r="P210" s="73"/>
      <c r="Q210" s="73"/>
      <c r="R210" s="75">
        <f t="shared" si="173"/>
        <v>0</v>
      </c>
      <c r="S210" s="75">
        <f t="shared" si="174"/>
        <v>0</v>
      </c>
    </row>
    <row r="211" spans="1:19" x14ac:dyDescent="0.25">
      <c r="A211" s="172"/>
      <c r="B211" s="176"/>
      <c r="C211" s="66" t="s">
        <v>106</v>
      </c>
      <c r="D211" s="64"/>
      <c r="E211" s="60">
        <f>E203++E204+E209</f>
        <v>390</v>
      </c>
      <c r="F211" s="60">
        <f>F203++F204+F209</f>
        <v>0</v>
      </c>
      <c r="G211" s="60">
        <f>G203++G204+G209</f>
        <v>0</v>
      </c>
      <c r="H211" s="60">
        <f>H203++H204+H209</f>
        <v>390</v>
      </c>
      <c r="I211" s="60">
        <f>I203++I204+I209</f>
        <v>390</v>
      </c>
      <c r="J211" s="73" t="s">
        <v>104</v>
      </c>
      <c r="K211" s="73" t="s">
        <v>104</v>
      </c>
      <c r="L211" s="74" t="s">
        <v>104</v>
      </c>
      <c r="M211" s="74" t="s">
        <v>104</v>
      </c>
      <c r="N211" s="74">
        <f>SUM(N203:N210)</f>
        <v>20973995.609999999</v>
      </c>
      <c r="O211" s="74">
        <f t="shared" ref="O211:S211" si="178">SUM(O203:O210)</f>
        <v>15106878.510000002</v>
      </c>
      <c r="P211" s="74">
        <f t="shared" si="178"/>
        <v>1560776.1</v>
      </c>
      <c r="Q211" s="74">
        <f t="shared" si="178"/>
        <v>4306341</v>
      </c>
      <c r="R211" s="74">
        <f t="shared" si="178"/>
        <v>20973995.609999999</v>
      </c>
      <c r="S211" s="74">
        <f t="shared" si="178"/>
        <v>20973995.609999999</v>
      </c>
    </row>
    <row r="212" spans="1:19" ht="90" x14ac:dyDescent="0.25">
      <c r="A212" s="172"/>
      <c r="B212" s="174" t="s">
        <v>108</v>
      </c>
      <c r="C212" s="61" t="s">
        <v>100</v>
      </c>
      <c r="D212" s="62" t="s">
        <v>101</v>
      </c>
      <c r="E212" s="60">
        <v>62</v>
      </c>
      <c r="F212" s="60"/>
      <c r="G212" s="59"/>
      <c r="H212" s="60">
        <v>62</v>
      </c>
      <c r="I212" s="60">
        <v>62</v>
      </c>
      <c r="J212" s="109">
        <f>SUM(K212:M212)</f>
        <v>57540.959999999999</v>
      </c>
      <c r="K212" s="109">
        <f>41105.12+1391.95</f>
        <v>42497.07</v>
      </c>
      <c r="L212" s="70">
        <v>4001.99</v>
      </c>
      <c r="M212" s="70">
        <v>11041.9</v>
      </c>
      <c r="N212" s="73">
        <f>SUM(O212:Q212)</f>
        <v>3567539.5199999996</v>
      </c>
      <c r="O212" s="73">
        <f>E212*K212</f>
        <v>2634818.34</v>
      </c>
      <c r="P212" s="73">
        <f>E212*L212</f>
        <v>248123.37999999998</v>
      </c>
      <c r="Q212" s="73">
        <f>E212*M212</f>
        <v>684597.79999999993</v>
      </c>
      <c r="R212" s="75">
        <f t="shared" si="173"/>
        <v>3567539.52</v>
      </c>
      <c r="S212" s="75">
        <f t="shared" si="174"/>
        <v>3567539.52</v>
      </c>
    </row>
    <row r="213" spans="1:19" ht="119.25" x14ac:dyDescent="0.25">
      <c r="A213" s="172"/>
      <c r="B213" s="175"/>
      <c r="C213" s="61" t="s">
        <v>172</v>
      </c>
      <c r="D213" s="62" t="s">
        <v>101</v>
      </c>
      <c r="E213" s="60">
        <v>50</v>
      </c>
      <c r="F213" s="60"/>
      <c r="G213" s="59"/>
      <c r="H213" s="60">
        <v>50</v>
      </c>
      <c r="I213" s="60">
        <v>50</v>
      </c>
      <c r="J213" s="109">
        <f>SUM(K213:M213)</f>
        <v>99836.41</v>
      </c>
      <c r="K213" s="109">
        <f>83400.57+1391.95</f>
        <v>84792.52</v>
      </c>
      <c r="L213" s="70">
        <v>4001.99</v>
      </c>
      <c r="M213" s="70">
        <v>11041.9</v>
      </c>
      <c r="N213" s="73">
        <f>SUM(O213:Q213)</f>
        <v>4991820.5</v>
      </c>
      <c r="O213" s="73">
        <f>E213*K213</f>
        <v>4239626</v>
      </c>
      <c r="P213" s="73">
        <f>E213*L213</f>
        <v>200099.5</v>
      </c>
      <c r="Q213" s="73">
        <f>E213*M213</f>
        <v>552095</v>
      </c>
      <c r="R213" s="75">
        <f t="shared" si="173"/>
        <v>4991820.5</v>
      </c>
      <c r="S213" s="75">
        <f t="shared" si="174"/>
        <v>4991820.5</v>
      </c>
    </row>
    <row r="214" spans="1:19" ht="120" x14ac:dyDescent="0.25">
      <c r="A214" s="172"/>
      <c r="B214" s="175"/>
      <c r="C214" s="63" t="s">
        <v>102</v>
      </c>
      <c r="D214" s="64" t="s">
        <v>101</v>
      </c>
      <c r="E214" s="59" t="s">
        <v>104</v>
      </c>
      <c r="F214" s="59" t="s">
        <v>104</v>
      </c>
      <c r="G214" s="59" t="s">
        <v>104</v>
      </c>
      <c r="H214" s="59" t="s">
        <v>104</v>
      </c>
      <c r="I214" s="59" t="s">
        <v>104</v>
      </c>
      <c r="J214" s="59" t="s">
        <v>104</v>
      </c>
      <c r="K214" s="59" t="s">
        <v>104</v>
      </c>
      <c r="L214" s="59" t="s">
        <v>104</v>
      </c>
      <c r="M214" s="59" t="s">
        <v>104</v>
      </c>
      <c r="N214" s="71"/>
      <c r="O214" s="71"/>
      <c r="P214" s="59" t="s">
        <v>104</v>
      </c>
      <c r="Q214" s="59" t="s">
        <v>104</v>
      </c>
      <c r="R214" s="75"/>
      <c r="S214" s="75"/>
    </row>
    <row r="215" spans="1:19" x14ac:dyDescent="0.25">
      <c r="A215" s="172"/>
      <c r="B215" s="175"/>
      <c r="C215" s="63" t="s">
        <v>168</v>
      </c>
      <c r="D215" s="64" t="s">
        <v>101</v>
      </c>
      <c r="E215" s="60">
        <v>1</v>
      </c>
      <c r="F215" s="60"/>
      <c r="G215" s="59"/>
      <c r="H215" s="60">
        <v>1</v>
      </c>
      <c r="I215" s="60">
        <v>1</v>
      </c>
      <c r="J215" s="75">
        <f>K215</f>
        <v>23553.439999999999</v>
      </c>
      <c r="K215" s="75">
        <v>23553.439999999999</v>
      </c>
      <c r="L215" s="59" t="s">
        <v>104</v>
      </c>
      <c r="M215" s="59" t="s">
        <v>104</v>
      </c>
      <c r="N215" s="71">
        <f>O215</f>
        <v>23553.439999999999</v>
      </c>
      <c r="O215" s="71">
        <f>E215*K215</f>
        <v>23553.439999999999</v>
      </c>
      <c r="P215" s="59" t="s">
        <v>104</v>
      </c>
      <c r="Q215" s="59" t="s">
        <v>104</v>
      </c>
      <c r="R215" s="75">
        <f>H215*K215</f>
        <v>23553.439999999999</v>
      </c>
      <c r="S215" s="75">
        <f>I215*K215</f>
        <v>23553.439999999999</v>
      </c>
    </row>
    <row r="216" spans="1:19" ht="120" x14ac:dyDescent="0.25">
      <c r="A216" s="172"/>
      <c r="B216" s="175"/>
      <c r="C216" s="61" t="s">
        <v>105</v>
      </c>
      <c r="D216" s="64" t="s">
        <v>101</v>
      </c>
      <c r="E216" s="60"/>
      <c r="F216" s="60"/>
      <c r="G216" s="60"/>
      <c r="H216" s="60"/>
      <c r="I216" s="60"/>
      <c r="J216" s="75">
        <f>SUM(K216:M216)</f>
        <v>197838.19</v>
      </c>
      <c r="K216" s="75">
        <f>181402.35+1391.95</f>
        <v>182794.30000000002</v>
      </c>
      <c r="L216" s="72">
        <v>4001.99</v>
      </c>
      <c r="M216" s="70">
        <v>11041.9</v>
      </c>
      <c r="N216" s="73"/>
      <c r="O216" s="73"/>
      <c r="P216" s="73"/>
      <c r="Q216" s="73"/>
      <c r="R216" s="75">
        <f t="shared" si="173"/>
        <v>0</v>
      </c>
      <c r="S216" s="75">
        <f t="shared" si="174"/>
        <v>0</v>
      </c>
    </row>
    <row r="217" spans="1:19" x14ac:dyDescent="0.25">
      <c r="A217" s="172"/>
      <c r="B217" s="176"/>
      <c r="C217" s="66" t="s">
        <v>106</v>
      </c>
      <c r="D217" s="64"/>
      <c r="E217" s="60">
        <f>E212+E216</f>
        <v>62</v>
      </c>
      <c r="F217" s="60">
        <f t="shared" ref="F217:I217" si="179">F212+F216</f>
        <v>0</v>
      </c>
      <c r="G217" s="60">
        <f t="shared" si="179"/>
        <v>0</v>
      </c>
      <c r="H217" s="60">
        <f t="shared" si="179"/>
        <v>62</v>
      </c>
      <c r="I217" s="60">
        <f t="shared" si="179"/>
        <v>62</v>
      </c>
      <c r="J217" s="73" t="s">
        <v>104</v>
      </c>
      <c r="K217" s="73" t="s">
        <v>104</v>
      </c>
      <c r="L217" s="74" t="s">
        <v>104</v>
      </c>
      <c r="M217" s="74" t="s">
        <v>104</v>
      </c>
      <c r="N217" s="74">
        <f>SUM(N212:N216)</f>
        <v>8582913.459999999</v>
      </c>
      <c r="O217" s="74">
        <f t="shared" ref="O217:S217" si="180">SUM(O212:O216)</f>
        <v>6897997.7800000003</v>
      </c>
      <c r="P217" s="74">
        <f t="shared" si="180"/>
        <v>448222.88</v>
      </c>
      <c r="Q217" s="74">
        <f t="shared" si="180"/>
        <v>1236692.7999999998</v>
      </c>
      <c r="R217" s="74">
        <f t="shared" si="180"/>
        <v>8582913.459999999</v>
      </c>
      <c r="S217" s="74">
        <f t="shared" si="180"/>
        <v>8582913.459999999</v>
      </c>
    </row>
    <row r="218" spans="1:19" ht="105" x14ac:dyDescent="0.25">
      <c r="A218" s="172"/>
      <c r="B218" s="148" t="s">
        <v>109</v>
      </c>
      <c r="C218" s="61" t="s">
        <v>206</v>
      </c>
      <c r="D218" s="64" t="s">
        <v>101</v>
      </c>
      <c r="E218" s="60">
        <v>1164</v>
      </c>
      <c r="F218" s="60"/>
      <c r="G218" s="59"/>
      <c r="H218" s="60">
        <v>1164</v>
      </c>
      <c r="I218" s="60">
        <v>1164</v>
      </c>
      <c r="J218" s="75">
        <f>K218</f>
        <v>3978.76</v>
      </c>
      <c r="K218" s="75">
        <v>3978.76</v>
      </c>
      <c r="L218" s="72" t="s">
        <v>104</v>
      </c>
      <c r="M218" s="72" t="s">
        <v>104</v>
      </c>
      <c r="N218" s="73">
        <f>SUM(O218:Q218)</f>
        <v>4631276.6400000006</v>
      </c>
      <c r="O218" s="73">
        <f>E218*K218</f>
        <v>4631276.6400000006</v>
      </c>
      <c r="P218" s="73" t="s">
        <v>104</v>
      </c>
      <c r="Q218" s="73" t="s">
        <v>104</v>
      </c>
      <c r="R218" s="75">
        <f t="shared" si="173"/>
        <v>4631276.6400000006</v>
      </c>
      <c r="S218" s="75">
        <f t="shared" si="174"/>
        <v>4631276.6400000006</v>
      </c>
    </row>
    <row r="219" spans="1:19" x14ac:dyDescent="0.25">
      <c r="A219" s="172"/>
      <c r="B219" s="69"/>
      <c r="C219" s="66" t="s">
        <v>106</v>
      </c>
      <c r="D219" s="69"/>
      <c r="E219" s="60">
        <f>SUM(E218:E218)</f>
        <v>1164</v>
      </c>
      <c r="F219" s="60">
        <f>SUM(F218:F218)</f>
        <v>0</v>
      </c>
      <c r="G219" s="60">
        <f>SUM(G218:G218)</f>
        <v>0</v>
      </c>
      <c r="H219" s="60">
        <f>SUM(H218:H218)</f>
        <v>1164</v>
      </c>
      <c r="I219" s="60">
        <f>SUM(I218:I218)</f>
        <v>1164</v>
      </c>
      <c r="J219" s="73" t="s">
        <v>104</v>
      </c>
      <c r="K219" s="73" t="s">
        <v>104</v>
      </c>
      <c r="L219" s="74" t="s">
        <v>104</v>
      </c>
      <c r="M219" s="74">
        <f t="shared" ref="M219:S219" si="181">SUM(M218:M218)</f>
        <v>0</v>
      </c>
      <c r="N219" s="74">
        <f t="shared" si="181"/>
        <v>4631276.6400000006</v>
      </c>
      <c r="O219" s="74">
        <f t="shared" si="181"/>
        <v>4631276.6400000006</v>
      </c>
      <c r="P219" s="74">
        <f t="shared" si="181"/>
        <v>0</v>
      </c>
      <c r="Q219" s="74">
        <f t="shared" si="181"/>
        <v>0</v>
      </c>
      <c r="R219" s="75">
        <f t="shared" si="181"/>
        <v>4631276.6400000006</v>
      </c>
      <c r="S219" s="75">
        <f t="shared" si="181"/>
        <v>4631276.6400000006</v>
      </c>
    </row>
    <row r="220" spans="1:19" x14ac:dyDescent="0.25">
      <c r="A220" s="172"/>
      <c r="B220" s="102" t="s">
        <v>112</v>
      </c>
      <c r="C220" s="102"/>
      <c r="D220" s="69"/>
      <c r="E220" s="103"/>
      <c r="F220" s="103"/>
      <c r="G220" s="103"/>
      <c r="H220" s="103"/>
      <c r="I220" s="103"/>
      <c r="J220" s="105"/>
      <c r="K220" s="105"/>
      <c r="L220" s="104"/>
      <c r="M220" s="104"/>
      <c r="N220" s="104">
        <f t="shared" ref="N220:S220" si="182">N202+N211+N217+N219</f>
        <v>47781053.799999997</v>
      </c>
      <c r="O220" s="104">
        <f t="shared" si="182"/>
        <v>35264537.320000008</v>
      </c>
      <c r="P220" s="104">
        <f t="shared" si="182"/>
        <v>3329655.6799999997</v>
      </c>
      <c r="Q220" s="104">
        <f t="shared" si="182"/>
        <v>9186860.8000000007</v>
      </c>
      <c r="R220" s="104">
        <f t="shared" si="182"/>
        <v>47781053.800000004</v>
      </c>
      <c r="S220" s="104">
        <f t="shared" si="182"/>
        <v>47781053.800000004</v>
      </c>
    </row>
    <row r="221" spans="1:19" ht="187.15" customHeight="1" x14ac:dyDescent="0.25">
      <c r="A221" s="172" t="s">
        <v>119</v>
      </c>
      <c r="B221" s="173" t="s">
        <v>99</v>
      </c>
      <c r="C221" s="61" t="s">
        <v>120</v>
      </c>
      <c r="D221" s="62" t="s">
        <v>121</v>
      </c>
      <c r="E221" s="124" t="s">
        <v>136</v>
      </c>
      <c r="F221" s="124"/>
      <c r="G221" s="124"/>
      <c r="H221" s="124" t="s">
        <v>136</v>
      </c>
      <c r="I221" s="124" t="s">
        <v>136</v>
      </c>
      <c r="J221" s="109" t="s">
        <v>211</v>
      </c>
      <c r="K221" s="109" t="s">
        <v>199</v>
      </c>
      <c r="L221" s="70" t="s">
        <v>204</v>
      </c>
      <c r="M221" s="70" t="s">
        <v>198</v>
      </c>
      <c r="N221" s="71">
        <f>SUM(O221:Q221)</f>
        <v>3060747.9299999997</v>
      </c>
      <c r="O221" s="71">
        <f>(668575.57*3)+(941.28*66)</f>
        <v>2067851.19</v>
      </c>
      <c r="P221" s="71">
        <f>4001.99*66</f>
        <v>264131.33999999997</v>
      </c>
      <c r="Q221" s="75">
        <f>11041.9*66</f>
        <v>728765.4</v>
      </c>
      <c r="R221" s="46">
        <f>668575.57*3+15985.17*66</f>
        <v>3060747.9299999997</v>
      </c>
      <c r="S221" s="75">
        <f>R221</f>
        <v>3060747.9299999997</v>
      </c>
    </row>
    <row r="222" spans="1:19" ht="202.15" customHeight="1" x14ac:dyDescent="0.25">
      <c r="A222" s="172"/>
      <c r="B222" s="173"/>
      <c r="C222" s="61" t="s">
        <v>128</v>
      </c>
      <c r="D222" s="62" t="s">
        <v>121</v>
      </c>
      <c r="E222" s="124" t="s">
        <v>179</v>
      </c>
      <c r="F222" s="124"/>
      <c r="G222" s="124"/>
      <c r="H222" s="124" t="s">
        <v>179</v>
      </c>
      <c r="I222" s="124" t="s">
        <v>179</v>
      </c>
      <c r="J222" s="109" t="s">
        <v>210</v>
      </c>
      <c r="K222" s="109" t="s">
        <v>200</v>
      </c>
      <c r="L222" s="70" t="s">
        <v>204</v>
      </c>
      <c r="M222" s="70" t="s">
        <v>198</v>
      </c>
      <c r="N222" s="71">
        <f t="shared" ref="N222:N227" si="183">SUM(O222:Q222)</f>
        <v>1719460.64</v>
      </c>
      <c r="O222" s="71">
        <f>(619952.77*2)+(941.28*30)</f>
        <v>1268143.94</v>
      </c>
      <c r="P222" s="71">
        <f>4001.99*30</f>
        <v>120059.7</v>
      </c>
      <c r="Q222" s="75">
        <f>11041.9*30</f>
        <v>331257</v>
      </c>
      <c r="R222" s="46">
        <f>619952.77*2+15985.17*30</f>
        <v>1719460.6400000001</v>
      </c>
      <c r="S222" s="75">
        <f>R222</f>
        <v>1719460.6400000001</v>
      </c>
    </row>
    <row r="223" spans="1:19" ht="120" x14ac:dyDescent="0.25">
      <c r="A223" s="172"/>
      <c r="B223" s="173"/>
      <c r="C223" s="63" t="s">
        <v>102</v>
      </c>
      <c r="D223" s="64" t="s">
        <v>101</v>
      </c>
      <c r="E223" s="65"/>
      <c r="F223" s="65"/>
      <c r="G223" s="65"/>
      <c r="H223" s="65"/>
      <c r="I223" s="65"/>
      <c r="J223" s="75">
        <f>K223</f>
        <v>28342.92</v>
      </c>
      <c r="K223" s="75">
        <v>28342.92</v>
      </c>
      <c r="L223" s="72" t="s">
        <v>103</v>
      </c>
      <c r="M223" s="72" t="s">
        <v>103</v>
      </c>
      <c r="N223" s="71">
        <f t="shared" si="183"/>
        <v>0</v>
      </c>
      <c r="O223" s="71">
        <f>E223*K223</f>
        <v>0</v>
      </c>
      <c r="P223" s="71" t="s">
        <v>104</v>
      </c>
      <c r="Q223" s="121" t="s">
        <v>104</v>
      </c>
      <c r="R223" s="75">
        <f t="shared" ref="R223:R236" si="184">H223*J223</f>
        <v>0</v>
      </c>
      <c r="S223" s="75">
        <f t="shared" ref="S223:S236" si="185">I223*J223</f>
        <v>0</v>
      </c>
    </row>
    <row r="224" spans="1:19" ht="105" x14ac:dyDescent="0.25">
      <c r="A224" s="172"/>
      <c r="B224" s="173"/>
      <c r="C224" s="61" t="s">
        <v>174</v>
      </c>
      <c r="D224" s="64" t="s">
        <v>101</v>
      </c>
      <c r="E224" s="59">
        <v>1</v>
      </c>
      <c r="F224" s="59"/>
      <c r="G224" s="59"/>
      <c r="H224" s="59">
        <v>1</v>
      </c>
      <c r="I224" s="59">
        <v>1</v>
      </c>
      <c r="J224" s="75">
        <f>K224</f>
        <v>25930.91</v>
      </c>
      <c r="K224" s="75">
        <v>25930.91</v>
      </c>
      <c r="L224" s="71" t="s">
        <v>104</v>
      </c>
      <c r="M224" s="71" t="s">
        <v>104</v>
      </c>
      <c r="N224" s="71">
        <f>O224</f>
        <v>25930.91</v>
      </c>
      <c r="O224" s="71">
        <f>E224*K224</f>
        <v>25930.91</v>
      </c>
      <c r="P224" s="71" t="s">
        <v>104</v>
      </c>
      <c r="Q224" s="121" t="s">
        <v>104</v>
      </c>
      <c r="R224" s="75">
        <f>H224*K224</f>
        <v>25930.91</v>
      </c>
      <c r="S224" s="75">
        <f>I224*K224</f>
        <v>25930.91</v>
      </c>
    </row>
    <row r="225" spans="1:21" x14ac:dyDescent="0.25">
      <c r="A225" s="172"/>
      <c r="B225" s="173"/>
      <c r="C225" s="66" t="s">
        <v>106</v>
      </c>
      <c r="D225" s="67"/>
      <c r="E225" s="124" t="s">
        <v>183</v>
      </c>
      <c r="F225" s="124"/>
      <c r="G225" s="124"/>
      <c r="H225" s="124" t="s">
        <v>183</v>
      </c>
      <c r="I225" s="124" t="s">
        <v>183</v>
      </c>
      <c r="J225" s="71" t="s">
        <v>104</v>
      </c>
      <c r="K225" s="71" t="s">
        <v>104</v>
      </c>
      <c r="L225" s="71" t="s">
        <v>104</v>
      </c>
      <c r="M225" s="71" t="s">
        <v>104</v>
      </c>
      <c r="N225" s="71">
        <f>SUM(O225:Q225)</f>
        <v>4806139.4800000004</v>
      </c>
      <c r="O225" s="71">
        <f>SUM(O221:O224)</f>
        <v>3361926.04</v>
      </c>
      <c r="P225" s="71">
        <f>SUM(P221:P224)</f>
        <v>384191.04</v>
      </c>
      <c r="Q225" s="71">
        <f t="shared" ref="Q225:S225" si="186">SUM(Q221:Q224)</f>
        <v>1060022.3999999999</v>
      </c>
      <c r="R225" s="71">
        <f t="shared" si="186"/>
        <v>4806139.4800000004</v>
      </c>
      <c r="S225" s="71">
        <f t="shared" si="186"/>
        <v>4806139.4800000004</v>
      </c>
    </row>
    <row r="226" spans="1:21" ht="225" x14ac:dyDescent="0.25">
      <c r="A226" s="172"/>
      <c r="B226" s="173" t="s">
        <v>107</v>
      </c>
      <c r="C226" s="61" t="s">
        <v>120</v>
      </c>
      <c r="D226" s="62" t="s">
        <v>121</v>
      </c>
      <c r="E226" s="124" t="s">
        <v>182</v>
      </c>
      <c r="F226" s="124"/>
      <c r="G226" s="124"/>
      <c r="H226" s="124" t="s">
        <v>182</v>
      </c>
      <c r="I226" s="124" t="s">
        <v>182</v>
      </c>
      <c r="J226" s="109" t="s">
        <v>208</v>
      </c>
      <c r="K226" s="109" t="s">
        <v>201</v>
      </c>
      <c r="L226" s="70" t="s">
        <v>204</v>
      </c>
      <c r="M226" s="70" t="s">
        <v>198</v>
      </c>
      <c r="N226" s="71">
        <f t="shared" si="183"/>
        <v>4032264.4499999997</v>
      </c>
      <c r="O226" s="71">
        <f>(993246.1*3)+(1148.82*65)</f>
        <v>3054411.5999999996</v>
      </c>
      <c r="P226" s="71">
        <f>4001.99*65</f>
        <v>260129.34999999998</v>
      </c>
      <c r="Q226" s="71">
        <f>11041.9*65</f>
        <v>717723.5</v>
      </c>
      <c r="R226" s="46">
        <f>3*993246.1+65*16192.71</f>
        <v>4032264.4499999997</v>
      </c>
      <c r="S226" s="75">
        <f>R226</f>
        <v>4032264.4499999997</v>
      </c>
      <c r="T226" s="127"/>
    </row>
    <row r="227" spans="1:21" ht="240" x14ac:dyDescent="0.25">
      <c r="A227" s="172"/>
      <c r="B227" s="173"/>
      <c r="C227" s="61" t="s">
        <v>128</v>
      </c>
      <c r="D227" s="62" t="s">
        <v>121</v>
      </c>
      <c r="E227" s="79" t="s">
        <v>180</v>
      </c>
      <c r="F227" s="79"/>
      <c r="G227" s="79"/>
      <c r="H227" s="79" t="s">
        <v>180</v>
      </c>
      <c r="I227" s="79" t="s">
        <v>180</v>
      </c>
      <c r="J227" s="109" t="s">
        <v>209</v>
      </c>
      <c r="K227" s="109" t="s">
        <v>202</v>
      </c>
      <c r="L227" s="70" t="s">
        <v>204</v>
      </c>
      <c r="M227" s="70" t="s">
        <v>198</v>
      </c>
      <c r="N227" s="71">
        <f t="shared" si="183"/>
        <v>3984483.34</v>
      </c>
      <c r="O227" s="71">
        <f>(777519.25*4)+(1148.82*54)</f>
        <v>3172113.28</v>
      </c>
      <c r="P227" s="71">
        <f>4001.99*54</f>
        <v>216107.46</v>
      </c>
      <c r="Q227" s="71">
        <f>11041.9*54</f>
        <v>596262.6</v>
      </c>
      <c r="R227" s="46">
        <f>4*777519.25+16192.71*54</f>
        <v>3984483.34</v>
      </c>
      <c r="S227" s="75">
        <f>R227</f>
        <v>3984483.34</v>
      </c>
    </row>
    <row r="228" spans="1:21" ht="135" x14ac:dyDescent="0.25">
      <c r="A228" s="172"/>
      <c r="B228" s="173"/>
      <c r="C228" s="63" t="s">
        <v>163</v>
      </c>
      <c r="D228" s="64" t="s">
        <v>101</v>
      </c>
      <c r="E228" s="59" t="s">
        <v>104</v>
      </c>
      <c r="F228" s="59" t="s">
        <v>104</v>
      </c>
      <c r="G228" s="59" t="s">
        <v>104</v>
      </c>
      <c r="H228" s="59" t="s">
        <v>104</v>
      </c>
      <c r="I228" s="59" t="s">
        <v>104</v>
      </c>
      <c r="J228" s="59" t="s">
        <v>104</v>
      </c>
      <c r="K228" s="59" t="s">
        <v>104</v>
      </c>
      <c r="L228" s="59" t="s">
        <v>104</v>
      </c>
      <c r="M228" s="59" t="s">
        <v>104</v>
      </c>
      <c r="N228" s="71"/>
      <c r="O228" s="71"/>
      <c r="P228" s="59" t="s">
        <v>104</v>
      </c>
      <c r="Q228" s="59" t="s">
        <v>104</v>
      </c>
      <c r="R228" s="75"/>
      <c r="S228" s="75"/>
    </row>
    <row r="229" spans="1:21" x14ac:dyDescent="0.25">
      <c r="A229" s="172"/>
      <c r="B229" s="112"/>
      <c r="C229" s="63" t="s">
        <v>165</v>
      </c>
      <c r="D229" s="64"/>
      <c r="E229" s="60">
        <v>2</v>
      </c>
      <c r="F229" s="60"/>
      <c r="G229" s="59"/>
      <c r="H229" s="60">
        <v>2</v>
      </c>
      <c r="I229" s="60">
        <v>2</v>
      </c>
      <c r="J229" s="75">
        <f>K229</f>
        <v>112063.65</v>
      </c>
      <c r="K229" s="75">
        <v>112063.65</v>
      </c>
      <c r="L229" s="59" t="s">
        <v>104</v>
      </c>
      <c r="M229" s="59" t="s">
        <v>104</v>
      </c>
      <c r="N229" s="71">
        <f>O229</f>
        <v>224127.3</v>
      </c>
      <c r="O229" s="73">
        <f>E229*K229</f>
        <v>224127.3</v>
      </c>
      <c r="P229" s="59" t="s">
        <v>104</v>
      </c>
      <c r="Q229" s="59" t="s">
        <v>104</v>
      </c>
      <c r="R229" s="75">
        <f>H229*K229</f>
        <v>224127.3</v>
      </c>
      <c r="S229" s="75">
        <f>I229*K229</f>
        <v>224127.3</v>
      </c>
    </row>
    <row r="230" spans="1:21" x14ac:dyDescent="0.25">
      <c r="A230" s="172"/>
      <c r="B230" s="112"/>
      <c r="C230" s="63" t="s">
        <v>168</v>
      </c>
      <c r="D230" s="64"/>
      <c r="E230" s="60">
        <v>2</v>
      </c>
      <c r="F230" s="60"/>
      <c r="G230" s="59"/>
      <c r="H230" s="60">
        <v>2</v>
      </c>
      <c r="I230" s="60">
        <v>2</v>
      </c>
      <c r="J230" s="75">
        <f>K230</f>
        <v>28342.92</v>
      </c>
      <c r="K230" s="75">
        <v>28342.92</v>
      </c>
      <c r="L230" s="106" t="s">
        <v>104</v>
      </c>
      <c r="M230" s="59" t="s">
        <v>104</v>
      </c>
      <c r="N230" s="71">
        <f>O230</f>
        <v>56685.84</v>
      </c>
      <c r="O230" s="73">
        <f>E230*K230</f>
        <v>56685.84</v>
      </c>
      <c r="P230" s="59" t="s">
        <v>104</v>
      </c>
      <c r="Q230" s="59" t="s">
        <v>104</v>
      </c>
      <c r="R230" s="75">
        <f>H230*K230</f>
        <v>56685.84</v>
      </c>
      <c r="S230" s="75">
        <f>I230*K230</f>
        <v>56685.84</v>
      </c>
    </row>
    <row r="231" spans="1:21" ht="120" x14ac:dyDescent="0.25">
      <c r="A231" s="172"/>
      <c r="B231" s="112"/>
      <c r="C231" s="76" t="s">
        <v>173</v>
      </c>
      <c r="D231" s="64" t="s">
        <v>101</v>
      </c>
      <c r="E231" s="79">
        <v>1</v>
      </c>
      <c r="F231" s="79"/>
      <c r="G231" s="59"/>
      <c r="H231" s="79">
        <v>1</v>
      </c>
      <c r="I231" s="79">
        <v>1</v>
      </c>
      <c r="J231" s="75">
        <f>SUM(K231:M231)</f>
        <v>227059.44</v>
      </c>
      <c r="K231" s="75">
        <f>225910.62+1148.82</f>
        <v>227059.44</v>
      </c>
      <c r="L231" s="70" t="s">
        <v>204</v>
      </c>
      <c r="M231" s="70" t="s">
        <v>198</v>
      </c>
      <c r="N231" s="73">
        <f>SUM(O231:Q231)</f>
        <v>242103.33</v>
      </c>
      <c r="O231" s="73">
        <f>E231*K231</f>
        <v>227059.44</v>
      </c>
      <c r="P231" s="73">
        <f>E231*4001.99</f>
        <v>4001.99</v>
      </c>
      <c r="Q231" s="73">
        <f>E231*11041.9</f>
        <v>11041.9</v>
      </c>
      <c r="R231" s="75">
        <f>N231</f>
        <v>242103.33</v>
      </c>
      <c r="S231" s="75">
        <f>R231</f>
        <v>242103.33</v>
      </c>
    </row>
    <row r="232" spans="1:21" ht="105" x14ac:dyDescent="0.25">
      <c r="A232" s="172"/>
      <c r="B232" s="112"/>
      <c r="C232" s="61" t="s">
        <v>174</v>
      </c>
      <c r="D232" s="64" t="s">
        <v>101</v>
      </c>
      <c r="E232" s="79">
        <v>5</v>
      </c>
      <c r="F232" s="79"/>
      <c r="G232" s="59"/>
      <c r="H232" s="79">
        <v>5</v>
      </c>
      <c r="I232" s="79">
        <v>5</v>
      </c>
      <c r="J232" s="75">
        <f>K232</f>
        <v>41057.29</v>
      </c>
      <c r="K232" s="75">
        <v>41057.29</v>
      </c>
      <c r="L232" s="74"/>
      <c r="M232" s="74"/>
      <c r="N232" s="73">
        <f>O232</f>
        <v>205286.45</v>
      </c>
      <c r="O232" s="73">
        <f>E232*K232</f>
        <v>205286.45</v>
      </c>
      <c r="P232" s="73"/>
      <c r="Q232" s="73"/>
      <c r="R232" s="75">
        <f>H232*K232</f>
        <v>205286.45</v>
      </c>
      <c r="S232" s="75">
        <f>I232*K232</f>
        <v>205286.45</v>
      </c>
    </row>
    <row r="233" spans="1:21" x14ac:dyDescent="0.25">
      <c r="A233" s="172"/>
      <c r="B233" s="112"/>
      <c r="C233" s="66" t="s">
        <v>106</v>
      </c>
      <c r="D233" s="64"/>
      <c r="E233" s="77" t="s">
        <v>184</v>
      </c>
      <c r="F233" s="77"/>
      <c r="G233" s="77"/>
      <c r="H233" s="77" t="s">
        <v>184</v>
      </c>
      <c r="I233" s="77" t="s">
        <v>184</v>
      </c>
      <c r="J233" s="73" t="s">
        <v>104</v>
      </c>
      <c r="K233" s="73" t="s">
        <v>104</v>
      </c>
      <c r="L233" s="74" t="s">
        <v>104</v>
      </c>
      <c r="M233" s="74" t="s">
        <v>104</v>
      </c>
      <c r="N233" s="74">
        <f>SUM(O233:Q233)</f>
        <v>8744950.709999999</v>
      </c>
      <c r="O233" s="74">
        <f>SUM(O226:O232)</f>
        <v>6939683.9099999992</v>
      </c>
      <c r="P233" s="74">
        <f>SUM(P226:P232)</f>
        <v>480238.79999999993</v>
      </c>
      <c r="Q233" s="74">
        <f t="shared" ref="Q233:S233" si="187">SUM(Q226:Q232)</f>
        <v>1325028</v>
      </c>
      <c r="R233" s="74">
        <f t="shared" si="187"/>
        <v>8744950.7099999972</v>
      </c>
      <c r="S233" s="74">
        <f t="shared" si="187"/>
        <v>8744950.7099999972</v>
      </c>
    </row>
    <row r="234" spans="1:21" ht="205.9" customHeight="1" x14ac:dyDescent="0.25">
      <c r="A234" s="172"/>
      <c r="B234" s="112" t="s">
        <v>108</v>
      </c>
      <c r="C234" s="61" t="s">
        <v>128</v>
      </c>
      <c r="D234" s="62" t="s">
        <v>121</v>
      </c>
      <c r="E234" s="124" t="s">
        <v>181</v>
      </c>
      <c r="F234" s="124"/>
      <c r="G234" s="124"/>
      <c r="H234" s="124" t="s">
        <v>181</v>
      </c>
      <c r="I234" s="124" t="s">
        <v>181</v>
      </c>
      <c r="J234" s="109" t="s">
        <v>207</v>
      </c>
      <c r="K234" s="109" t="s">
        <v>203</v>
      </c>
      <c r="L234" s="70" t="s">
        <v>204</v>
      </c>
      <c r="M234" s="70" t="s">
        <v>198</v>
      </c>
      <c r="N234" s="73">
        <f>SUM(O234:Q234)</f>
        <v>1974423.5000000002</v>
      </c>
      <c r="O234" s="71">
        <f>(831071.27*2)+(1391.95*19)</f>
        <v>1688589.59</v>
      </c>
      <c r="P234" s="73">
        <f>19*4001.99</f>
        <v>76037.81</v>
      </c>
      <c r="Q234" s="46">
        <f>19*11041.9</f>
        <v>209796.1</v>
      </c>
      <c r="R234" s="46">
        <f>831071.27*2+19*16435.84</f>
        <v>1974423.5</v>
      </c>
      <c r="S234" s="75">
        <f>R234</f>
        <v>1974423.5</v>
      </c>
    </row>
    <row r="235" spans="1:21" x14ac:dyDescent="0.25">
      <c r="A235" s="172"/>
      <c r="B235" s="112"/>
      <c r="C235" s="66" t="s">
        <v>106</v>
      </c>
      <c r="D235" s="64"/>
      <c r="E235" s="124" t="str">
        <f>E234</f>
        <v>2\19</v>
      </c>
      <c r="F235" s="124">
        <f>F234</f>
        <v>0</v>
      </c>
      <c r="G235" s="124">
        <f>G234</f>
        <v>0</v>
      </c>
      <c r="H235" s="124" t="str">
        <f>H234</f>
        <v>2\19</v>
      </c>
      <c r="I235" s="124" t="str">
        <f>I234</f>
        <v>2\19</v>
      </c>
      <c r="J235" s="73" t="s">
        <v>104</v>
      </c>
      <c r="K235" s="73" t="s">
        <v>104</v>
      </c>
      <c r="L235" s="74" t="s">
        <v>104</v>
      </c>
      <c r="M235" s="74" t="s">
        <v>104</v>
      </c>
      <c r="N235" s="74">
        <f>SUM(N234:N234)</f>
        <v>1974423.5000000002</v>
      </c>
      <c r="O235" s="74">
        <f>SUM(O234:O234)</f>
        <v>1688589.59</v>
      </c>
      <c r="P235" s="74">
        <f>SUM(P234:P234)</f>
        <v>76037.81</v>
      </c>
      <c r="Q235" s="74">
        <f>SUM(Q234:Q234)</f>
        <v>209796.1</v>
      </c>
      <c r="R235" s="75">
        <f>SUM(R234)</f>
        <v>1974423.5</v>
      </c>
      <c r="S235" s="75">
        <f>SUM(S234)</f>
        <v>1974423.5</v>
      </c>
    </row>
    <row r="236" spans="1:21" ht="105" x14ac:dyDescent="0.25">
      <c r="A236" s="172"/>
      <c r="B236" s="148" t="s">
        <v>109</v>
      </c>
      <c r="C236" s="61" t="s">
        <v>205</v>
      </c>
      <c r="D236" s="64" t="s">
        <v>101</v>
      </c>
      <c r="E236" s="60">
        <v>0</v>
      </c>
      <c r="F236" s="60"/>
      <c r="G236" s="59"/>
      <c r="H236" s="60">
        <v>0</v>
      </c>
      <c r="I236" s="60">
        <v>0</v>
      </c>
      <c r="J236" s="75">
        <f>K236</f>
        <v>4982.75</v>
      </c>
      <c r="K236" s="75">
        <v>4982.75</v>
      </c>
      <c r="L236" s="72" t="s">
        <v>104</v>
      </c>
      <c r="M236" s="72" t="s">
        <v>104</v>
      </c>
      <c r="N236" s="73">
        <f>SUM(O236:Q236)</f>
        <v>0</v>
      </c>
      <c r="O236" s="73">
        <f>K236*E236</f>
        <v>0</v>
      </c>
      <c r="P236" s="73" t="s">
        <v>104</v>
      </c>
      <c r="Q236" s="73" t="s">
        <v>104</v>
      </c>
      <c r="R236" s="75">
        <f t="shared" si="184"/>
        <v>0</v>
      </c>
      <c r="S236" s="75">
        <f t="shared" si="185"/>
        <v>0</v>
      </c>
    </row>
    <row r="237" spans="1:21" x14ac:dyDescent="0.25">
      <c r="A237" s="172"/>
      <c r="B237" s="69"/>
      <c r="C237" s="66" t="s">
        <v>106</v>
      </c>
      <c r="D237" s="69"/>
      <c r="E237" s="60">
        <f>SUM(E236:E236)</f>
        <v>0</v>
      </c>
      <c r="F237" s="60">
        <f>SUM(F236:F236)</f>
        <v>0</v>
      </c>
      <c r="G237" s="60">
        <f>SUM(G236:G236)</f>
        <v>0</v>
      </c>
      <c r="H237" s="60">
        <f>SUM(H236:H236)</f>
        <v>0</v>
      </c>
      <c r="I237" s="60">
        <f>SUM(I236:I236)</f>
        <v>0</v>
      </c>
      <c r="J237" s="74" t="s">
        <v>104</v>
      </c>
      <c r="K237" s="74" t="s">
        <v>104</v>
      </c>
      <c r="L237" s="74" t="s">
        <v>104</v>
      </c>
      <c r="M237" s="74">
        <f t="shared" ref="M237:S237" si="188">SUM(M236:M236)</f>
        <v>0</v>
      </c>
      <c r="N237" s="74">
        <f t="shared" si="188"/>
        <v>0</v>
      </c>
      <c r="O237" s="74">
        <f t="shared" si="188"/>
        <v>0</v>
      </c>
      <c r="P237" s="74">
        <f t="shared" si="188"/>
        <v>0</v>
      </c>
      <c r="Q237" s="74">
        <f t="shared" si="188"/>
        <v>0</v>
      </c>
      <c r="R237" s="74">
        <f t="shared" si="188"/>
        <v>0</v>
      </c>
      <c r="S237" s="74">
        <f t="shared" si="188"/>
        <v>0</v>
      </c>
    </row>
    <row r="238" spans="1:21" x14ac:dyDescent="0.25">
      <c r="A238" s="172"/>
      <c r="B238" s="102" t="s">
        <v>112</v>
      </c>
      <c r="C238" s="102"/>
      <c r="D238" s="69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>
        <f t="shared" ref="N238:S238" si="189">N225+N233+N235+N237</f>
        <v>15525513.689999999</v>
      </c>
      <c r="O238" s="104">
        <f t="shared" si="189"/>
        <v>11990199.539999999</v>
      </c>
      <c r="P238" s="104">
        <f t="shared" si="189"/>
        <v>940467.64999999991</v>
      </c>
      <c r="Q238" s="104">
        <f t="shared" si="189"/>
        <v>2594846.5</v>
      </c>
      <c r="R238" s="104">
        <f t="shared" si="189"/>
        <v>15525513.689999998</v>
      </c>
      <c r="S238" s="104">
        <f t="shared" si="189"/>
        <v>15525513.689999998</v>
      </c>
      <c r="U238" s="85"/>
    </row>
    <row r="239" spans="1:21" x14ac:dyDescent="0.25">
      <c r="A239" s="96" t="s">
        <v>156</v>
      </c>
    </row>
    <row r="240" spans="1:21" ht="30" x14ac:dyDescent="0.25">
      <c r="A240" s="111" t="s">
        <v>3</v>
      </c>
      <c r="B240" s="111" t="s">
        <v>81</v>
      </c>
      <c r="C240" s="111" t="s">
        <v>4</v>
      </c>
      <c r="D240" s="170" t="s">
        <v>5</v>
      </c>
      <c r="E240" s="170"/>
      <c r="F240" s="170"/>
      <c r="G240" s="170"/>
      <c r="H240" s="170"/>
      <c r="I240" s="171" t="s">
        <v>6</v>
      </c>
      <c r="J240" s="171" t="s">
        <v>7</v>
      </c>
      <c r="K240" s="171"/>
      <c r="L240" s="171"/>
    </row>
    <row r="241" spans="1:13" ht="30" x14ac:dyDescent="0.25">
      <c r="A241" s="82"/>
      <c r="B241" s="82"/>
      <c r="C241" s="82"/>
      <c r="D241" s="136" t="s">
        <v>10</v>
      </c>
      <c r="E241" s="141" t="s">
        <v>176</v>
      </c>
      <c r="F241" s="135" t="s">
        <v>192</v>
      </c>
      <c r="G241" s="136" t="s">
        <v>176</v>
      </c>
      <c r="H241" s="136" t="s">
        <v>196</v>
      </c>
      <c r="I241" s="171"/>
      <c r="J241" s="151" t="s">
        <v>10</v>
      </c>
      <c r="K241" s="151" t="s">
        <v>176</v>
      </c>
      <c r="L241" s="151" t="s">
        <v>193</v>
      </c>
    </row>
    <row r="242" spans="1:13" ht="94.5" customHeight="1" x14ac:dyDescent="0.25">
      <c r="A242" s="83" t="s">
        <v>13</v>
      </c>
      <c r="B242" s="83" t="s">
        <v>14</v>
      </c>
      <c r="C242" s="111" t="s">
        <v>15</v>
      </c>
      <c r="D242" s="83" t="s">
        <v>16</v>
      </c>
      <c r="E242" s="83" t="s">
        <v>16</v>
      </c>
      <c r="F242" s="83" t="s">
        <v>16</v>
      </c>
      <c r="G242" s="83" t="s">
        <v>16</v>
      </c>
      <c r="H242" s="83" t="s">
        <v>16</v>
      </c>
      <c r="I242" s="111" t="s">
        <v>17</v>
      </c>
      <c r="J242" s="111" t="s">
        <v>17</v>
      </c>
      <c r="K242" s="143" t="s">
        <v>17</v>
      </c>
      <c r="L242" s="111" t="s">
        <v>17</v>
      </c>
    </row>
    <row r="243" spans="1:13" ht="105" x14ac:dyDescent="0.25">
      <c r="A243" s="107" t="s">
        <v>157</v>
      </c>
      <c r="B243" s="111" t="s">
        <v>158</v>
      </c>
      <c r="C243" s="82" t="s">
        <v>177</v>
      </c>
      <c r="D243" s="108">
        <v>208080</v>
      </c>
      <c r="E243" s="108">
        <v>208080</v>
      </c>
      <c r="F243" s="108"/>
      <c r="G243" s="108">
        <v>208080</v>
      </c>
      <c r="H243" s="108">
        <v>208080</v>
      </c>
      <c r="I243" s="75">
        <v>116.85</v>
      </c>
      <c r="J243" s="75">
        <f>I243*D243</f>
        <v>24314148</v>
      </c>
      <c r="K243" s="75">
        <f>I243*G243</f>
        <v>24314148</v>
      </c>
      <c r="L243" s="75">
        <f>K243</f>
        <v>24314148</v>
      </c>
      <c r="M243" s="85"/>
    </row>
    <row r="244" spans="1:13" ht="105" x14ac:dyDescent="0.25">
      <c r="A244" s="114" t="s">
        <v>160</v>
      </c>
      <c r="B244" s="111" t="s">
        <v>158</v>
      </c>
      <c r="C244" s="82" t="s">
        <v>177</v>
      </c>
      <c r="D244" s="108">
        <v>41976</v>
      </c>
      <c r="E244" s="108">
        <v>41976</v>
      </c>
      <c r="F244" s="108"/>
      <c r="G244" s="108">
        <v>41976</v>
      </c>
      <c r="H244" s="108">
        <v>41976</v>
      </c>
      <c r="I244" s="75">
        <v>116.85</v>
      </c>
      <c r="J244" s="75">
        <f>I244*D244</f>
        <v>4904895.5999999996</v>
      </c>
      <c r="K244" s="75">
        <f>I244*G244</f>
        <v>4904895.5999999996</v>
      </c>
      <c r="L244" s="75">
        <f t="shared" ref="L244" si="190">K244</f>
        <v>4904895.5999999996</v>
      </c>
      <c r="M244" s="85"/>
    </row>
    <row r="247" spans="1:13" x14ac:dyDescent="0.25">
      <c r="A247" s="80" t="s">
        <v>185</v>
      </c>
    </row>
  </sheetData>
  <mergeCells count="42">
    <mergeCell ref="Q2:S2"/>
    <mergeCell ref="N93:S93"/>
    <mergeCell ref="A5:S5"/>
    <mergeCell ref="J8:M8"/>
    <mergeCell ref="N8:S8"/>
    <mergeCell ref="N10:Q10"/>
    <mergeCell ref="A92:C92"/>
    <mergeCell ref="E9:G9"/>
    <mergeCell ref="A93:A94"/>
    <mergeCell ref="B93:B94"/>
    <mergeCell ref="D93:D94"/>
    <mergeCell ref="E93:I93"/>
    <mergeCell ref="J93:M93"/>
    <mergeCell ref="N9:Q9"/>
    <mergeCell ref="C61:C62"/>
    <mergeCell ref="D61:D62"/>
    <mergeCell ref="A122:A143"/>
    <mergeCell ref="B122:B128"/>
    <mergeCell ref="B129:B134"/>
    <mergeCell ref="B136:B139"/>
    <mergeCell ref="A96:A121"/>
    <mergeCell ref="B96:B106"/>
    <mergeCell ref="B107:B112"/>
    <mergeCell ref="B114:B117"/>
    <mergeCell ref="A169:A192"/>
    <mergeCell ref="B169:B177"/>
    <mergeCell ref="B178:B183"/>
    <mergeCell ref="B185:B188"/>
    <mergeCell ref="A144:A168"/>
    <mergeCell ref="B144:B152"/>
    <mergeCell ref="B153:B158"/>
    <mergeCell ref="B160:B164"/>
    <mergeCell ref="D240:H240"/>
    <mergeCell ref="I240:I241"/>
    <mergeCell ref="J240:L240"/>
    <mergeCell ref="A193:A220"/>
    <mergeCell ref="A221:A238"/>
    <mergeCell ref="B221:B225"/>
    <mergeCell ref="B226:B228"/>
    <mergeCell ref="B212:B217"/>
    <mergeCell ref="B203:B211"/>
    <mergeCell ref="B193:B20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01.01.2016</vt:lpstr>
      <vt:lpstr>04.01.2018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Отдел</cp:lastModifiedBy>
  <cp:lastPrinted>2018-04-12T02:03:54Z</cp:lastPrinted>
  <dcterms:modified xsi:type="dcterms:W3CDTF">2018-04-19T02:46:27Z</dcterms:modified>
</cp:coreProperties>
</file>