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9320" windowHeight="11760" firstSheet="1" activeTab="1"/>
  </bookViews>
  <sheets>
    <sheet name="01.01.2016" sheetId="1" state="hidden" r:id="rId1"/>
    <sheet name="04.01.2018" sheetId="3" r:id="rId2"/>
  </sheets>
  <calcPr calcId="145621"/>
</workbook>
</file>

<file path=xl/calcChain.xml><?xml version="1.0" encoding="utf-8"?>
<calcChain xmlns="http://schemas.openxmlformats.org/spreadsheetml/2006/main">
  <c r="R240" i="3" l="1"/>
  <c r="R233" i="3"/>
  <c r="R232" i="3"/>
  <c r="R228" i="3"/>
  <c r="K113" i="3"/>
  <c r="R33" i="3"/>
  <c r="H33" i="3"/>
  <c r="R227" i="3"/>
  <c r="Q113" i="3"/>
  <c r="Q180" i="3"/>
  <c r="Q240" i="3"/>
  <c r="Q237" i="3"/>
  <c r="Q233" i="3"/>
  <c r="Q232" i="3"/>
  <c r="Q228" i="3"/>
  <c r="Q227" i="3"/>
  <c r="J250" i="3"/>
  <c r="P19" i="3" l="1"/>
  <c r="O19" i="3"/>
  <c r="N19" i="3"/>
  <c r="I92" i="3"/>
  <c r="I86" i="3"/>
  <c r="I80" i="3"/>
  <c r="I74" i="3"/>
  <c r="I63" i="3"/>
  <c r="I53" i="3"/>
  <c r="I47" i="3"/>
  <c r="I40" i="3"/>
  <c r="I33" i="3"/>
  <c r="I27" i="3"/>
  <c r="I16" i="3"/>
  <c r="H92" i="3"/>
  <c r="H86" i="3"/>
  <c r="H80" i="3"/>
  <c r="H74" i="3"/>
  <c r="H63" i="3"/>
  <c r="H53" i="3"/>
  <c r="H47" i="3"/>
  <c r="H40" i="3"/>
  <c r="H27" i="3"/>
  <c r="H16" i="3"/>
  <c r="M13" i="3"/>
  <c r="M12" i="3"/>
  <c r="R12" i="3" s="1"/>
  <c r="O18" i="3"/>
  <c r="M14" i="3"/>
  <c r="R14" i="3" s="1"/>
  <c r="M16" i="3"/>
  <c r="G20" i="3"/>
  <c r="G12" i="3"/>
  <c r="P12" i="3" s="1"/>
  <c r="E92" i="3"/>
  <c r="E86" i="3"/>
  <c r="E80" i="3"/>
  <c r="E74" i="3"/>
  <c r="E63" i="3"/>
  <c r="E53" i="3"/>
  <c r="E47" i="3"/>
  <c r="E40" i="3"/>
  <c r="E33" i="3"/>
  <c r="P33" i="3" s="1"/>
  <c r="E27" i="3"/>
  <c r="E16" i="3"/>
  <c r="F16" i="3"/>
  <c r="G14" i="3"/>
  <c r="Q97" i="3"/>
  <c r="P97" i="3"/>
  <c r="Q19" i="3" l="1"/>
  <c r="R19" i="3" s="1"/>
  <c r="J251" i="3"/>
  <c r="Q218" i="3"/>
  <c r="Q217" i="3"/>
  <c r="Q209" i="3"/>
  <c r="Q208" i="3"/>
  <c r="Q205" i="3"/>
  <c r="Q198" i="3"/>
  <c r="Q189" i="3"/>
  <c r="Q187" i="3"/>
  <c r="Q182" i="3"/>
  <c r="Q173" i="3"/>
  <c r="Q163" i="3"/>
  <c r="Q161" i="3"/>
  <c r="Q156" i="3"/>
  <c r="Q147" i="3"/>
  <c r="Q141" i="3"/>
  <c r="Q138" i="3"/>
  <c r="Q136" i="3"/>
  <c r="Q131" i="3"/>
  <c r="Q129" i="3"/>
  <c r="Q124" i="3"/>
  <c r="Q115" i="3"/>
  <c r="Q108" i="3"/>
  <c r="Q106" i="3"/>
  <c r="P237" i="3"/>
  <c r="S233" i="3"/>
  <c r="S232" i="3"/>
  <c r="S227" i="3"/>
  <c r="S240" i="3"/>
  <c r="P240" i="3"/>
  <c r="P233" i="3"/>
  <c r="P232" i="3"/>
  <c r="O242" i="3"/>
  <c r="N242" i="3" s="1"/>
  <c r="O240" i="3"/>
  <c r="O238" i="3"/>
  <c r="O236" i="3"/>
  <c r="O235" i="3"/>
  <c r="O233" i="3"/>
  <c r="O232" i="3"/>
  <c r="O230" i="3"/>
  <c r="P228" i="3"/>
  <c r="P227" i="3"/>
  <c r="O228" i="3"/>
  <c r="O227" i="3"/>
  <c r="K237" i="3"/>
  <c r="O237" i="3" s="1"/>
  <c r="O220" i="3"/>
  <c r="O223" i="3"/>
  <c r="P218" i="3"/>
  <c r="P217" i="3"/>
  <c r="K221" i="3"/>
  <c r="K218" i="3"/>
  <c r="O218" i="3" s="1"/>
  <c r="K217" i="3"/>
  <c r="O217" i="3" s="1"/>
  <c r="O212" i="3"/>
  <c r="O213" i="3"/>
  <c r="O211" i="3"/>
  <c r="P209" i="3"/>
  <c r="P208" i="3"/>
  <c r="K214" i="3"/>
  <c r="K209" i="3"/>
  <c r="O209" i="3" s="1"/>
  <c r="K208" i="3"/>
  <c r="O208" i="3" s="1"/>
  <c r="P205" i="3"/>
  <c r="P198" i="3"/>
  <c r="O206" i="3"/>
  <c r="O201" i="3"/>
  <c r="O202" i="3"/>
  <c r="O203" i="3"/>
  <c r="O204" i="3"/>
  <c r="O200" i="3"/>
  <c r="K205" i="3"/>
  <c r="O205" i="3" s="1"/>
  <c r="K198" i="3"/>
  <c r="O198" i="3" s="1"/>
  <c r="O194" i="3"/>
  <c r="K192" i="3"/>
  <c r="O192" i="3" s="1"/>
  <c r="K189" i="3"/>
  <c r="O189" i="3" s="1"/>
  <c r="P192" i="3"/>
  <c r="O191" i="3"/>
  <c r="P189" i="3"/>
  <c r="P187" i="3"/>
  <c r="O185" i="3"/>
  <c r="O186" i="3"/>
  <c r="O184" i="3"/>
  <c r="P182" i="3"/>
  <c r="K187" i="3"/>
  <c r="O187" i="3" s="1"/>
  <c r="K182" i="3"/>
  <c r="O182" i="3" s="1"/>
  <c r="P180" i="3"/>
  <c r="P173" i="3"/>
  <c r="K180" i="3"/>
  <c r="O180" i="3" s="1"/>
  <c r="O176" i="3"/>
  <c r="O177" i="3"/>
  <c r="O178" i="3"/>
  <c r="O179" i="3"/>
  <c r="O175" i="3"/>
  <c r="O173" i="3"/>
  <c r="K173" i="3"/>
  <c r="P163" i="3"/>
  <c r="P161" i="3"/>
  <c r="P156" i="3"/>
  <c r="P154" i="3"/>
  <c r="P147" i="3"/>
  <c r="P141" i="3"/>
  <c r="P138" i="3"/>
  <c r="P136" i="3"/>
  <c r="P131" i="3"/>
  <c r="P129" i="3"/>
  <c r="P124" i="3"/>
  <c r="P115" i="3"/>
  <c r="P113" i="3"/>
  <c r="P108" i="3"/>
  <c r="P106" i="3"/>
  <c r="O169" i="3"/>
  <c r="O170" i="3"/>
  <c r="O166" i="3"/>
  <c r="O165" i="3"/>
  <c r="K167" i="3"/>
  <c r="K163" i="3"/>
  <c r="O163" i="3" s="1"/>
  <c r="O159" i="3"/>
  <c r="O160" i="3"/>
  <c r="O158" i="3"/>
  <c r="K161" i="3"/>
  <c r="O161" i="3" s="1"/>
  <c r="K156" i="3"/>
  <c r="O156" i="3" s="1"/>
  <c r="G155" i="3"/>
  <c r="O150" i="3"/>
  <c r="O151" i="3"/>
  <c r="O152" i="3"/>
  <c r="O153" i="3"/>
  <c r="O149" i="3"/>
  <c r="K154" i="3"/>
  <c r="O154" i="3" s="1"/>
  <c r="K147" i="3"/>
  <c r="O147" i="3" s="1"/>
  <c r="O140" i="3"/>
  <c r="O143" i="3"/>
  <c r="K141" i="3"/>
  <c r="O141" i="3" s="1"/>
  <c r="K138" i="3"/>
  <c r="O138" i="3" s="1"/>
  <c r="G137" i="3"/>
  <c r="O134" i="3"/>
  <c r="O135" i="3"/>
  <c r="O133" i="3"/>
  <c r="O127" i="3"/>
  <c r="O128" i="3"/>
  <c r="O126" i="3"/>
  <c r="K136" i="3"/>
  <c r="O136" i="3" s="1"/>
  <c r="K131" i="3"/>
  <c r="O131" i="3" s="1"/>
  <c r="K129" i="3"/>
  <c r="O129" i="3" s="1"/>
  <c r="K124" i="3"/>
  <c r="O124" i="3" s="1"/>
  <c r="O117" i="3"/>
  <c r="O115" i="3"/>
  <c r="K115" i="3"/>
  <c r="O111" i="3"/>
  <c r="O112" i="3"/>
  <c r="O110" i="3"/>
  <c r="K108" i="3"/>
  <c r="O108" i="3" s="1"/>
  <c r="K106" i="3"/>
  <c r="O106" i="3" s="1"/>
  <c r="O100" i="3"/>
  <c r="O101" i="3"/>
  <c r="O102" i="3"/>
  <c r="O103" i="3"/>
  <c r="O104" i="3"/>
  <c r="O105" i="3"/>
  <c r="O99" i="3"/>
  <c r="K97" i="3"/>
  <c r="O97" i="3" s="1"/>
  <c r="N97" i="3" s="1"/>
  <c r="R18" i="3" l="1"/>
  <c r="S19" i="3"/>
  <c r="O113" i="3"/>
  <c r="N113" i="3" s="1"/>
  <c r="R113" i="3" s="1"/>
  <c r="S113" i="3" s="1"/>
  <c r="J113" i="3"/>
  <c r="T227" i="3"/>
  <c r="F92" i="3" l="1"/>
  <c r="F86" i="3"/>
  <c r="F80" i="3"/>
  <c r="F74" i="3"/>
  <c r="G68" i="3"/>
  <c r="N68" i="3" s="1"/>
  <c r="M68" i="3"/>
  <c r="R68" i="3" s="1"/>
  <c r="M67" i="3"/>
  <c r="O68" i="3" l="1"/>
  <c r="P68" i="3"/>
  <c r="S68" i="3"/>
  <c r="G73" i="3"/>
  <c r="O73" i="3" s="1"/>
  <c r="G72" i="3"/>
  <c r="O72" i="3" s="1"/>
  <c r="G71" i="3"/>
  <c r="O71" i="3" s="1"/>
  <c r="M71" i="3"/>
  <c r="R71" i="3" s="1"/>
  <c r="N71" i="3"/>
  <c r="S71" i="3"/>
  <c r="M72" i="3"/>
  <c r="R72" i="3" s="1"/>
  <c r="N72" i="3"/>
  <c r="S72" i="3"/>
  <c r="M73" i="3"/>
  <c r="R73" i="3" s="1"/>
  <c r="N73" i="3"/>
  <c r="M65" i="3"/>
  <c r="F63" i="3"/>
  <c r="G61" i="3"/>
  <c r="P61" i="3" s="1"/>
  <c r="G60" i="3"/>
  <c r="O60" i="3" s="1"/>
  <c r="M60" i="3"/>
  <c r="R60" i="3" s="1"/>
  <c r="N60" i="3"/>
  <c r="S60" i="3"/>
  <c r="M61" i="3"/>
  <c r="R61" i="3" s="1"/>
  <c r="M58" i="3"/>
  <c r="S58" i="3" s="1"/>
  <c r="G58" i="3"/>
  <c r="P58" i="3" s="1"/>
  <c r="M59" i="3"/>
  <c r="S59" i="3" s="1"/>
  <c r="G59" i="3"/>
  <c r="P59" i="3" s="1"/>
  <c r="F53" i="3"/>
  <c r="F47" i="3"/>
  <c r="G45" i="3"/>
  <c r="P45" i="3" s="1"/>
  <c r="G44" i="3"/>
  <c r="O44" i="3" s="1"/>
  <c r="M45" i="3"/>
  <c r="R45" i="3" s="1"/>
  <c r="F40" i="3"/>
  <c r="F33" i="3"/>
  <c r="F27" i="3"/>
  <c r="G13" i="3"/>
  <c r="G15" i="3"/>
  <c r="J15" i="3"/>
  <c r="M15" i="3" s="1"/>
  <c r="S14" i="3"/>
  <c r="S13" i="3"/>
  <c r="Q68" i="3" l="1"/>
  <c r="O12" i="3"/>
  <c r="N12" i="3"/>
  <c r="P72" i="3"/>
  <c r="G27" i="3"/>
  <c r="P73" i="3"/>
  <c r="Q73" i="3" s="1"/>
  <c r="P71" i="3"/>
  <c r="Q71" i="3" s="1"/>
  <c r="N61" i="3"/>
  <c r="O14" i="3"/>
  <c r="N14" i="3"/>
  <c r="P13" i="3"/>
  <c r="O13" i="3"/>
  <c r="Q13" i="3" s="1"/>
  <c r="N13" i="3"/>
  <c r="N15" i="3"/>
  <c r="O15" i="3"/>
  <c r="Q72" i="3"/>
  <c r="G16" i="3"/>
  <c r="N44" i="3"/>
  <c r="O61" i="3"/>
  <c r="P60" i="3"/>
  <c r="G63" i="3"/>
  <c r="N63" i="3" s="1"/>
  <c r="S73" i="3"/>
  <c r="G47" i="3"/>
  <c r="Q60" i="3"/>
  <c r="P14" i="3"/>
  <c r="O58" i="3"/>
  <c r="P44" i="3"/>
  <c r="S45" i="3"/>
  <c r="N58" i="3"/>
  <c r="R58" i="3"/>
  <c r="S61" i="3"/>
  <c r="N59" i="3"/>
  <c r="R59" i="3"/>
  <c r="R13" i="3"/>
  <c r="N45" i="3"/>
  <c r="O45" i="3"/>
  <c r="O59" i="3"/>
  <c r="R16" i="3"/>
  <c r="K251" i="3"/>
  <c r="K250" i="3"/>
  <c r="I241" i="3"/>
  <c r="H241" i="3"/>
  <c r="G33" i="3"/>
  <c r="T240" i="3"/>
  <c r="Q44" i="3" l="1"/>
  <c r="Q14" i="3"/>
  <c r="N11" i="3"/>
  <c r="Q61" i="3"/>
  <c r="O11" i="3"/>
  <c r="Q45" i="3"/>
  <c r="Q58" i="3"/>
  <c r="S16" i="3"/>
  <c r="Q59" i="3"/>
  <c r="Q12" i="3"/>
  <c r="G241" i="3"/>
  <c r="F241" i="3"/>
  <c r="E241" i="3"/>
  <c r="S203" i="3"/>
  <c r="R203" i="3"/>
  <c r="J203" i="3"/>
  <c r="N203" i="3"/>
  <c r="S202" i="3"/>
  <c r="R202" i="3"/>
  <c r="J202" i="3"/>
  <c r="N202" i="3"/>
  <c r="S175" i="3"/>
  <c r="S176" i="3"/>
  <c r="R175" i="3"/>
  <c r="R176" i="3"/>
  <c r="J175" i="3"/>
  <c r="N175" i="3"/>
  <c r="J176" i="3"/>
  <c r="N176" i="3"/>
  <c r="S150" i="3"/>
  <c r="R150" i="3"/>
  <c r="J150" i="3"/>
  <c r="N150" i="3"/>
  <c r="E142" i="3"/>
  <c r="J131" i="3"/>
  <c r="J129" i="3"/>
  <c r="S117" i="3"/>
  <c r="R117" i="3"/>
  <c r="J117" i="3"/>
  <c r="N117" i="3"/>
  <c r="S104" i="3"/>
  <c r="R104" i="3"/>
  <c r="J104" i="3"/>
  <c r="N104" i="3"/>
  <c r="S100" i="3"/>
  <c r="R100" i="3"/>
  <c r="J100" i="3"/>
  <c r="N100" i="3"/>
  <c r="G74" i="3"/>
  <c r="G26" i="3"/>
  <c r="P20" i="3"/>
  <c r="P16" i="3"/>
  <c r="N240" i="3"/>
  <c r="S212" i="3"/>
  <c r="R212" i="3"/>
  <c r="J212" i="3"/>
  <c r="N212" i="3"/>
  <c r="E122" i="3"/>
  <c r="J121" i="3"/>
  <c r="G70" i="3"/>
  <c r="G67" i="3"/>
  <c r="N67" i="3" s="1"/>
  <c r="G69" i="3"/>
  <c r="G46" i="3"/>
  <c r="P46" i="3" s="1"/>
  <c r="S238" i="3" l="1"/>
  <c r="R238" i="3"/>
  <c r="J238" i="3"/>
  <c r="N238" i="3"/>
  <c r="S230" i="3"/>
  <c r="R230" i="3"/>
  <c r="N230" i="3"/>
  <c r="J230" i="3"/>
  <c r="V240" i="3"/>
  <c r="J229" i="3"/>
  <c r="S200" i="3" l="1"/>
  <c r="R200" i="3"/>
  <c r="R201" i="3"/>
  <c r="R204" i="3"/>
  <c r="J200" i="3"/>
  <c r="N200" i="3"/>
  <c r="G90" i="3"/>
  <c r="G91" i="3"/>
  <c r="P91" i="3" s="1"/>
  <c r="G92" i="3"/>
  <c r="P92" i="3" s="1"/>
  <c r="G89" i="3"/>
  <c r="G84" i="3"/>
  <c r="G85" i="3"/>
  <c r="G86" i="3"/>
  <c r="P86" i="3" s="1"/>
  <c r="G83" i="3"/>
  <c r="M79" i="3"/>
  <c r="R79" i="3" s="1"/>
  <c r="G79" i="3"/>
  <c r="P79" i="3" s="1"/>
  <c r="G78" i="3"/>
  <c r="P78" i="3" s="1"/>
  <c r="G80" i="3"/>
  <c r="P80" i="3" s="1"/>
  <c r="G77" i="3"/>
  <c r="O77" i="3" s="1"/>
  <c r="P67" i="3"/>
  <c r="P70" i="3"/>
  <c r="N70" i="3"/>
  <c r="O67" i="3"/>
  <c r="P69" i="3"/>
  <c r="O70" i="3"/>
  <c r="G66" i="3"/>
  <c r="G62" i="3"/>
  <c r="M62" i="3"/>
  <c r="R62" i="3" s="1"/>
  <c r="G57" i="3"/>
  <c r="P63" i="3"/>
  <c r="G56" i="3"/>
  <c r="G52" i="3"/>
  <c r="P52" i="3" s="1"/>
  <c r="G51" i="3"/>
  <c r="N51" i="3" s="1"/>
  <c r="G50" i="3"/>
  <c r="N50" i="3" s="1"/>
  <c r="J46" i="3"/>
  <c r="N46" i="3" s="1"/>
  <c r="O46" i="3"/>
  <c r="G43" i="3"/>
  <c r="G39" i="3"/>
  <c r="O39" i="3" s="1"/>
  <c r="G38" i="3"/>
  <c r="P38" i="3" s="1"/>
  <c r="G37" i="3"/>
  <c r="O37" i="3" s="1"/>
  <c r="G36" i="3"/>
  <c r="O36" i="3" s="1"/>
  <c r="G32" i="3"/>
  <c r="O32" i="3" s="1"/>
  <c r="G31" i="3"/>
  <c r="P31" i="3" s="1"/>
  <c r="G30" i="3"/>
  <c r="P30" i="3" s="1"/>
  <c r="P26" i="3"/>
  <c r="G25" i="3"/>
  <c r="P25" i="3" s="1"/>
  <c r="G24" i="3"/>
  <c r="P24" i="3" s="1"/>
  <c r="G23" i="3"/>
  <c r="P23" i="3" s="1"/>
  <c r="N16" i="3"/>
  <c r="P74" i="3"/>
  <c r="G53" i="3"/>
  <c r="P53" i="3" s="1"/>
  <c r="P47" i="3"/>
  <c r="G40" i="3"/>
  <c r="P40" i="3" s="1"/>
  <c r="P27" i="3"/>
  <c r="P84" i="3" l="1"/>
  <c r="O84" i="3"/>
  <c r="P83" i="3"/>
  <c r="O83" i="3"/>
  <c r="P85" i="3"/>
  <c r="O85" i="3"/>
  <c r="P90" i="3"/>
  <c r="N90" i="3"/>
  <c r="P89" i="3"/>
  <c r="P88" i="3" s="1"/>
  <c r="N89" i="3"/>
  <c r="O66" i="3"/>
  <c r="N66" i="3"/>
  <c r="O62" i="3"/>
  <c r="N62" i="3"/>
  <c r="O57" i="3"/>
  <c r="N57" i="3"/>
  <c r="O56" i="3"/>
  <c r="O55" i="3" s="1"/>
  <c r="N56" i="3"/>
  <c r="N55" i="3" s="1"/>
  <c r="N54" i="3" s="1"/>
  <c r="P22" i="3"/>
  <c r="P21" i="3" s="1"/>
  <c r="O23" i="3"/>
  <c r="P82" i="3"/>
  <c r="P81" i="3" s="1"/>
  <c r="M46" i="3"/>
  <c r="S46" i="3" s="1"/>
  <c r="N30" i="3"/>
  <c r="O30" i="3"/>
  <c r="N39" i="3"/>
  <c r="P39" i="3"/>
  <c r="O50" i="3"/>
  <c r="O63" i="3"/>
  <c r="P57" i="3"/>
  <c r="N77" i="3"/>
  <c r="P77" i="3"/>
  <c r="P76" i="3" s="1"/>
  <c r="P75" i="3" s="1"/>
  <c r="O43" i="3"/>
  <c r="O42" i="3" s="1"/>
  <c r="P43" i="3"/>
  <c r="P42" i="3" s="1"/>
  <c r="P41" i="3" s="1"/>
  <c r="R46" i="3"/>
  <c r="N33" i="3"/>
  <c r="Q33" i="3" s="1"/>
  <c r="O33" i="3"/>
  <c r="P32" i="3"/>
  <c r="P29" i="3" s="1"/>
  <c r="N37" i="3"/>
  <c r="P37" i="3"/>
  <c r="O52" i="3"/>
  <c r="P62" i="3"/>
  <c r="Q46" i="3"/>
  <c r="N47" i="3"/>
  <c r="O47" i="3"/>
  <c r="O74" i="3"/>
  <c r="O69" i="3"/>
  <c r="P66" i="3"/>
  <c r="P65" i="3" s="1"/>
  <c r="N79" i="3"/>
  <c r="O79" i="3"/>
  <c r="N86" i="3"/>
  <c r="N84" i="3"/>
  <c r="O86" i="3"/>
  <c r="N92" i="3"/>
  <c r="O92" i="3"/>
  <c r="O90" i="3"/>
  <c r="N25" i="3"/>
  <c r="N36" i="3"/>
  <c r="O40" i="3"/>
  <c r="O38" i="3"/>
  <c r="O35" i="3" s="1"/>
  <c r="P36" i="3"/>
  <c r="N43" i="3"/>
  <c r="N42" i="3" s="1"/>
  <c r="S62" i="3"/>
  <c r="P56" i="3"/>
  <c r="P55" i="3" s="1"/>
  <c r="O25" i="3"/>
  <c r="N23" i="3"/>
  <c r="N31" i="3"/>
  <c r="N32" i="3"/>
  <c r="O31" i="3"/>
  <c r="N40" i="3"/>
  <c r="N38" i="3"/>
  <c r="O53" i="3"/>
  <c r="N74" i="3"/>
  <c r="N69" i="3"/>
  <c r="N80" i="3"/>
  <c r="N78" i="3"/>
  <c r="O80" i="3"/>
  <c r="O78" i="3"/>
  <c r="N83" i="3"/>
  <c r="N85" i="3"/>
  <c r="N91" i="3"/>
  <c r="O89" i="3"/>
  <c r="O91" i="3"/>
  <c r="S79" i="3"/>
  <c r="P50" i="3"/>
  <c r="N52" i="3"/>
  <c r="N49" i="3" s="1"/>
  <c r="O51" i="3"/>
  <c r="P51" i="3"/>
  <c r="O24" i="3"/>
  <c r="O26" i="3"/>
  <c r="N24" i="3"/>
  <c r="N26" i="3"/>
  <c r="O82" i="3" l="1"/>
  <c r="O81" i="3" s="1"/>
  <c r="O65" i="3"/>
  <c r="N65" i="3"/>
  <c r="N88" i="3"/>
  <c r="N87" i="3" s="1"/>
  <c r="O54" i="3"/>
  <c r="N41" i="3"/>
  <c r="Q57" i="3"/>
  <c r="P35" i="3"/>
  <c r="Q62" i="3"/>
  <c r="Q63" i="3"/>
  <c r="O76" i="3"/>
  <c r="O75" i="3" s="1"/>
  <c r="P54" i="3"/>
  <c r="O88" i="3"/>
  <c r="O22" i="3"/>
  <c r="N76" i="3"/>
  <c r="N75" i="3" s="1"/>
  <c r="O29" i="3"/>
  <c r="P49" i="3"/>
  <c r="Q79" i="3"/>
  <c r="O49" i="3"/>
  <c r="O41" i="3"/>
  <c r="R15" i="3"/>
  <c r="R11" i="3" s="1"/>
  <c r="S15" i="3"/>
  <c r="P15" i="3"/>
  <c r="O16" i="3"/>
  <c r="O10" i="3" s="1"/>
  <c r="S185" i="3"/>
  <c r="S186" i="3"/>
  <c r="R185" i="3"/>
  <c r="R186" i="3"/>
  <c r="R184" i="3"/>
  <c r="R177" i="3"/>
  <c r="P11" i="3" l="1"/>
  <c r="P10" i="3" s="1"/>
  <c r="Q16" i="3"/>
  <c r="N10" i="3"/>
  <c r="Q15" i="3"/>
  <c r="Q11" i="3" s="1"/>
  <c r="S236" i="3"/>
  <c r="S235" i="3"/>
  <c r="R236" i="3"/>
  <c r="R235" i="3"/>
  <c r="N236" i="3"/>
  <c r="J236" i="3"/>
  <c r="J235" i="3"/>
  <c r="F244" i="3"/>
  <c r="H244" i="3"/>
  <c r="I244" i="3"/>
  <c r="J243" i="3"/>
  <c r="R243" i="3" s="1"/>
  <c r="O243" i="3"/>
  <c r="N243" i="3" s="1"/>
  <c r="N244" i="3" s="1"/>
  <c r="F207" i="3"/>
  <c r="H207" i="3"/>
  <c r="I207" i="3"/>
  <c r="J218" i="3"/>
  <c r="R218" i="3" s="1"/>
  <c r="F225" i="3"/>
  <c r="H225" i="3"/>
  <c r="I225" i="3"/>
  <c r="F216" i="3"/>
  <c r="H216" i="3"/>
  <c r="I216" i="3"/>
  <c r="F222" i="3"/>
  <c r="H222" i="3"/>
  <c r="I222" i="3"/>
  <c r="S220" i="3"/>
  <c r="R220" i="3"/>
  <c r="N220" i="3"/>
  <c r="J220" i="3"/>
  <c r="G222" i="3"/>
  <c r="K215" i="3"/>
  <c r="S213" i="3"/>
  <c r="S211" i="3"/>
  <c r="R213" i="3"/>
  <c r="R211" i="3"/>
  <c r="N213" i="3"/>
  <c r="N211" i="3"/>
  <c r="J213" i="3"/>
  <c r="J211" i="3"/>
  <c r="G206" i="3"/>
  <c r="N206" i="3" s="1"/>
  <c r="S204" i="3"/>
  <c r="S201" i="3"/>
  <c r="N201" i="3"/>
  <c r="J201" i="3"/>
  <c r="J204" i="3"/>
  <c r="G192" i="3"/>
  <c r="J185" i="3"/>
  <c r="J186" i="3"/>
  <c r="N194" i="3"/>
  <c r="F196" i="3"/>
  <c r="H196" i="3"/>
  <c r="I196" i="3"/>
  <c r="F193" i="3"/>
  <c r="H193" i="3"/>
  <c r="I193" i="3"/>
  <c r="S191" i="3"/>
  <c r="R191" i="3"/>
  <c r="N191" i="3"/>
  <c r="J191" i="3"/>
  <c r="F188" i="3"/>
  <c r="H188" i="3"/>
  <c r="I188" i="3"/>
  <c r="S184" i="3"/>
  <c r="J184" i="3"/>
  <c r="F181" i="3"/>
  <c r="H181" i="3"/>
  <c r="I181" i="3"/>
  <c r="S178" i="3"/>
  <c r="S179" i="3"/>
  <c r="S177" i="3"/>
  <c r="R178" i="3"/>
  <c r="R179" i="3"/>
  <c r="J178" i="3"/>
  <c r="J179" i="3"/>
  <c r="J177" i="3"/>
  <c r="S141" i="3"/>
  <c r="F142" i="3"/>
  <c r="H142" i="3"/>
  <c r="I142" i="3"/>
  <c r="J111" i="3"/>
  <c r="J112" i="3"/>
  <c r="J110" i="3"/>
  <c r="F171" i="3"/>
  <c r="H171" i="3"/>
  <c r="I171" i="3"/>
  <c r="S166" i="3"/>
  <c r="S165" i="3"/>
  <c r="R166" i="3"/>
  <c r="R165" i="3"/>
  <c r="F168" i="3"/>
  <c r="H168" i="3"/>
  <c r="I168" i="3"/>
  <c r="N165" i="3"/>
  <c r="J166" i="3"/>
  <c r="N166" i="3"/>
  <c r="J165" i="3"/>
  <c r="F155" i="3"/>
  <c r="H155" i="3"/>
  <c r="I155" i="3"/>
  <c r="F162" i="3"/>
  <c r="H162" i="3"/>
  <c r="I162" i="3"/>
  <c r="J158" i="3"/>
  <c r="J159" i="3"/>
  <c r="S159" i="3"/>
  <c r="S160" i="3"/>
  <c r="S158" i="3"/>
  <c r="R159" i="3"/>
  <c r="R160" i="3"/>
  <c r="R158" i="3"/>
  <c r="J160" i="3"/>
  <c r="N159" i="3"/>
  <c r="N158" i="3"/>
  <c r="N160" i="3"/>
  <c r="S151" i="3"/>
  <c r="S152" i="3"/>
  <c r="S153" i="3"/>
  <c r="S149" i="3"/>
  <c r="R151" i="3"/>
  <c r="R152" i="3"/>
  <c r="R153" i="3"/>
  <c r="R149" i="3"/>
  <c r="N151" i="3"/>
  <c r="N152" i="3"/>
  <c r="N153" i="3"/>
  <c r="N149" i="3"/>
  <c r="J149" i="3"/>
  <c r="J151" i="3"/>
  <c r="J152" i="3"/>
  <c r="J153" i="3"/>
  <c r="F145" i="3"/>
  <c r="H145" i="3"/>
  <c r="I145" i="3"/>
  <c r="S140" i="3"/>
  <c r="R140" i="3"/>
  <c r="N140" i="3"/>
  <c r="J140" i="3"/>
  <c r="F137" i="3"/>
  <c r="H137" i="3"/>
  <c r="I137" i="3"/>
  <c r="E137" i="3"/>
  <c r="S133" i="3"/>
  <c r="S134" i="3"/>
  <c r="S135" i="3"/>
  <c r="R133" i="3"/>
  <c r="R134" i="3"/>
  <c r="R135" i="3"/>
  <c r="J133" i="3"/>
  <c r="J134" i="3"/>
  <c r="J135" i="3"/>
  <c r="N133" i="3"/>
  <c r="N134" i="3"/>
  <c r="N135" i="3"/>
  <c r="H130" i="3"/>
  <c r="I130" i="3"/>
  <c r="F130" i="3"/>
  <c r="S126" i="3"/>
  <c r="S127" i="3"/>
  <c r="S128" i="3"/>
  <c r="R126" i="3"/>
  <c r="R127" i="3"/>
  <c r="R128" i="3"/>
  <c r="J126" i="3"/>
  <c r="J127" i="3"/>
  <c r="J128" i="3"/>
  <c r="N126" i="3"/>
  <c r="N127" i="3"/>
  <c r="N128" i="3"/>
  <c r="N111" i="3"/>
  <c r="N112" i="3"/>
  <c r="N110" i="3"/>
  <c r="N101" i="3"/>
  <c r="N102" i="3"/>
  <c r="N103" i="3"/>
  <c r="N105" i="3"/>
  <c r="N99" i="3"/>
  <c r="P122" i="3"/>
  <c r="Q122" i="3"/>
  <c r="O121" i="3"/>
  <c r="F122" i="3"/>
  <c r="F119" i="3"/>
  <c r="Q119" i="3"/>
  <c r="F114" i="3"/>
  <c r="S111" i="3"/>
  <c r="S112" i="3"/>
  <c r="S110" i="3"/>
  <c r="R111" i="3"/>
  <c r="R112" i="3"/>
  <c r="R110" i="3"/>
  <c r="S101" i="3"/>
  <c r="S102" i="3"/>
  <c r="S103" i="3"/>
  <c r="S105" i="3"/>
  <c r="S99" i="3"/>
  <c r="R101" i="3"/>
  <c r="R102" i="3"/>
  <c r="R103" i="3"/>
  <c r="R105" i="3"/>
  <c r="R99" i="3"/>
  <c r="J101" i="3"/>
  <c r="J102" i="3"/>
  <c r="J103" i="3"/>
  <c r="J105" i="3"/>
  <c r="J99" i="3"/>
  <c r="F107" i="3"/>
  <c r="L251" i="3"/>
  <c r="L250" i="3"/>
  <c r="Q244" i="3"/>
  <c r="P244" i="3"/>
  <c r="M244" i="3"/>
  <c r="E244" i="3"/>
  <c r="S243" i="3"/>
  <c r="J242" i="3"/>
  <c r="S242" i="3" s="1"/>
  <c r="S241" i="3"/>
  <c r="R241" i="3"/>
  <c r="Q241" i="3"/>
  <c r="P241" i="3"/>
  <c r="O241" i="3"/>
  <c r="J237" i="3"/>
  <c r="S229" i="3"/>
  <c r="R229" i="3"/>
  <c r="O229" i="3"/>
  <c r="N229" i="3" s="1"/>
  <c r="S228" i="3"/>
  <c r="Q231" i="3"/>
  <c r="P231" i="3"/>
  <c r="Q225" i="3"/>
  <c r="P225" i="3"/>
  <c r="M225" i="3"/>
  <c r="E225" i="3"/>
  <c r="S224" i="3"/>
  <c r="R224" i="3"/>
  <c r="J223" i="3"/>
  <c r="S223" i="3" s="1"/>
  <c r="E222" i="3"/>
  <c r="J221" i="3"/>
  <c r="E216" i="3"/>
  <c r="Q214" i="3"/>
  <c r="P214" i="3"/>
  <c r="O214" i="3"/>
  <c r="E207" i="3"/>
  <c r="J206" i="3"/>
  <c r="S206" i="3" s="1"/>
  <c r="Q196" i="3"/>
  <c r="P196" i="3"/>
  <c r="M196" i="3"/>
  <c r="E196" i="3"/>
  <c r="J194" i="3"/>
  <c r="S194" i="3" s="1"/>
  <c r="E193" i="3"/>
  <c r="J192" i="3"/>
  <c r="R192" i="3" s="1"/>
  <c r="E188" i="3"/>
  <c r="J187" i="3"/>
  <c r="E181" i="3"/>
  <c r="Q171" i="3"/>
  <c r="P171" i="3"/>
  <c r="M171" i="3"/>
  <c r="E171" i="3"/>
  <c r="S170" i="3"/>
  <c r="R170" i="3"/>
  <c r="J169" i="3"/>
  <c r="S169" i="3" s="1"/>
  <c r="E168" i="3"/>
  <c r="J167" i="3"/>
  <c r="E162" i="3"/>
  <c r="E155" i="3"/>
  <c r="Q154" i="3"/>
  <c r="Q145" i="3"/>
  <c r="P145" i="3"/>
  <c r="M145" i="3"/>
  <c r="E145" i="3"/>
  <c r="S144" i="3"/>
  <c r="R144" i="3"/>
  <c r="K144" i="3"/>
  <c r="O144" i="3" s="1"/>
  <c r="N143" i="3"/>
  <c r="J143" i="3"/>
  <c r="S143" i="3" s="1"/>
  <c r="S145" i="3" s="1"/>
  <c r="J138" i="3"/>
  <c r="R138" i="3" s="1"/>
  <c r="E130" i="3"/>
  <c r="R129" i="3"/>
  <c r="M122" i="3"/>
  <c r="I122" i="3"/>
  <c r="H122" i="3"/>
  <c r="S121" i="3"/>
  <c r="R121" i="3"/>
  <c r="J120" i="3"/>
  <c r="I119" i="3"/>
  <c r="H119" i="3"/>
  <c r="E119" i="3"/>
  <c r="S118" i="3"/>
  <c r="R118" i="3"/>
  <c r="I114" i="3"/>
  <c r="H114" i="3"/>
  <c r="E114" i="3"/>
  <c r="I107" i="3"/>
  <c r="H107" i="3"/>
  <c r="E107" i="3"/>
  <c r="M92" i="3"/>
  <c r="S92" i="3" s="1"/>
  <c r="M91" i="3"/>
  <c r="S91" i="3" s="1"/>
  <c r="M90" i="3"/>
  <c r="S90" i="3" s="1"/>
  <c r="O87" i="3"/>
  <c r="M89" i="3"/>
  <c r="M88" i="3"/>
  <c r="M87" i="3"/>
  <c r="M86" i="3"/>
  <c r="S86" i="3" s="1"/>
  <c r="M85" i="3"/>
  <c r="S85" i="3" s="1"/>
  <c r="M84" i="3"/>
  <c r="S84" i="3" s="1"/>
  <c r="M83" i="3"/>
  <c r="S83" i="3" s="1"/>
  <c r="M82" i="3"/>
  <c r="M81" i="3"/>
  <c r="M80" i="3"/>
  <c r="S80" i="3" s="1"/>
  <c r="M78" i="3"/>
  <c r="S78" i="3" s="1"/>
  <c r="M77" i="3"/>
  <c r="S77" i="3" s="1"/>
  <c r="M76" i="3"/>
  <c r="M75" i="3"/>
  <c r="M74" i="3"/>
  <c r="S74" i="3" s="1"/>
  <c r="M70" i="3"/>
  <c r="S70" i="3" s="1"/>
  <c r="M69" i="3"/>
  <c r="S69" i="3" s="1"/>
  <c r="S67" i="3"/>
  <c r="P64" i="3"/>
  <c r="M66" i="3"/>
  <c r="S66" i="3" s="1"/>
  <c r="M64" i="3"/>
  <c r="M63" i="3"/>
  <c r="S63" i="3" s="1"/>
  <c r="M57" i="3"/>
  <c r="R57" i="3" s="1"/>
  <c r="M56" i="3"/>
  <c r="S56" i="3" s="1"/>
  <c r="M55" i="3"/>
  <c r="M54" i="3"/>
  <c r="N53" i="3"/>
  <c r="M53" i="3"/>
  <c r="R53" i="3" s="1"/>
  <c r="M52" i="3"/>
  <c r="S52" i="3" s="1"/>
  <c r="M51" i="3"/>
  <c r="R51" i="3" s="1"/>
  <c r="P48" i="3"/>
  <c r="O48" i="3"/>
  <c r="M50" i="3"/>
  <c r="S50" i="3" s="1"/>
  <c r="M49" i="3"/>
  <c r="M48" i="3"/>
  <c r="M47" i="3"/>
  <c r="S47" i="3" s="1"/>
  <c r="M44" i="3"/>
  <c r="M43" i="3"/>
  <c r="S43" i="3" s="1"/>
  <c r="M42" i="3"/>
  <c r="M41" i="3"/>
  <c r="M40" i="3"/>
  <c r="S40" i="3" s="1"/>
  <c r="M39" i="3"/>
  <c r="S39" i="3" s="1"/>
  <c r="M38" i="3"/>
  <c r="S38" i="3" s="1"/>
  <c r="M37" i="3"/>
  <c r="S37" i="3" s="1"/>
  <c r="P34" i="3"/>
  <c r="O34" i="3"/>
  <c r="M36" i="3"/>
  <c r="S36" i="3" s="1"/>
  <c r="M35" i="3"/>
  <c r="M34" i="3"/>
  <c r="M33" i="3"/>
  <c r="S33" i="3" s="1"/>
  <c r="M32" i="3"/>
  <c r="S32" i="3" s="1"/>
  <c r="M31" i="3"/>
  <c r="S31" i="3" s="1"/>
  <c r="O28" i="3"/>
  <c r="M30" i="3"/>
  <c r="S30" i="3" s="1"/>
  <c r="M29" i="3"/>
  <c r="M28" i="3"/>
  <c r="O27" i="3"/>
  <c r="O21" i="3" s="1"/>
  <c r="N27" i="3"/>
  <c r="M27" i="3"/>
  <c r="M26" i="3"/>
  <c r="S26" i="3" s="1"/>
  <c r="M25" i="3"/>
  <c r="S25" i="3" s="1"/>
  <c r="M24" i="3"/>
  <c r="S24" i="3" s="1"/>
  <c r="M23" i="3"/>
  <c r="M22" i="3"/>
  <c r="M21" i="3"/>
  <c r="O20" i="3"/>
  <c r="N20" i="3"/>
  <c r="M20" i="3"/>
  <c r="N18" i="3"/>
  <c r="M19" i="3"/>
  <c r="P18" i="3"/>
  <c r="P17" i="3" s="1"/>
  <c r="M18" i="3"/>
  <c r="M17" i="3"/>
  <c r="H205" i="1"/>
  <c r="I205" i="1" s="1"/>
  <c r="J205" i="1" s="1"/>
  <c r="H204" i="1"/>
  <c r="H203" i="1"/>
  <c r="I203" i="1" s="1"/>
  <c r="J203" i="1" s="1"/>
  <c r="F202" i="1"/>
  <c r="E202" i="1"/>
  <c r="D202" i="1"/>
  <c r="O196" i="1"/>
  <c r="N196" i="1"/>
  <c r="K196" i="1"/>
  <c r="G196" i="1"/>
  <c r="F196" i="1"/>
  <c r="E196" i="1"/>
  <c r="Q195" i="1"/>
  <c r="P195" i="1"/>
  <c r="M195" i="1"/>
  <c r="L195" i="1" s="1"/>
  <c r="M194" i="1"/>
  <c r="L194" i="1" s="1"/>
  <c r="H194" i="1"/>
  <c r="P194" i="1" s="1"/>
  <c r="Q192" i="1"/>
  <c r="Q193" i="1" s="1"/>
  <c r="P192" i="1"/>
  <c r="P193" i="1" s="1"/>
  <c r="O192" i="1"/>
  <c r="O193" i="1" s="1"/>
  <c r="N192" i="1"/>
  <c r="N193" i="1" s="1"/>
  <c r="M192" i="1"/>
  <c r="M193" i="1" s="1"/>
  <c r="O190" i="1"/>
  <c r="N190" i="1"/>
  <c r="M190" i="1"/>
  <c r="H190" i="1"/>
  <c r="Q190" i="1" s="1"/>
  <c r="M189" i="1"/>
  <c r="L189" i="1" s="1"/>
  <c r="H189" i="1"/>
  <c r="P189" i="1" s="1"/>
  <c r="Q188" i="1"/>
  <c r="P188" i="1"/>
  <c r="O188" i="1"/>
  <c r="N188" i="1"/>
  <c r="M188" i="1"/>
  <c r="Q187" i="1"/>
  <c r="P187" i="1"/>
  <c r="O187" i="1"/>
  <c r="N187" i="1"/>
  <c r="M187" i="1"/>
  <c r="Q185" i="1"/>
  <c r="P185" i="1"/>
  <c r="M185" i="1"/>
  <c r="L185" i="1" s="1"/>
  <c r="P184" i="1"/>
  <c r="Q184" i="1" s="1"/>
  <c r="O184" i="1"/>
  <c r="N184" i="1"/>
  <c r="M184" i="1"/>
  <c r="Q183" i="1"/>
  <c r="P183" i="1"/>
  <c r="O183" i="1"/>
  <c r="N183" i="1"/>
  <c r="M183" i="1"/>
  <c r="O181" i="1"/>
  <c r="N181" i="1"/>
  <c r="K181" i="1"/>
  <c r="G181" i="1"/>
  <c r="F181" i="1"/>
  <c r="E181" i="1"/>
  <c r="Q180" i="1"/>
  <c r="P180" i="1"/>
  <c r="I180" i="1"/>
  <c r="M180" i="1" s="1"/>
  <c r="L180" i="1" s="1"/>
  <c r="M179" i="1"/>
  <c r="H179" i="1"/>
  <c r="P179" i="1" s="1"/>
  <c r="G178" i="1"/>
  <c r="F178" i="1"/>
  <c r="E178" i="1"/>
  <c r="I177" i="1"/>
  <c r="H177" i="1" s="1"/>
  <c r="Q176" i="1"/>
  <c r="P176" i="1"/>
  <c r="M176" i="1"/>
  <c r="L176" i="1" s="1"/>
  <c r="O175" i="1"/>
  <c r="O178" i="1" s="1"/>
  <c r="N175" i="1"/>
  <c r="N178" i="1" s="1"/>
  <c r="I175" i="1"/>
  <c r="H175" i="1" s="1"/>
  <c r="G174" i="1"/>
  <c r="F174" i="1"/>
  <c r="E174" i="1"/>
  <c r="Q173" i="1"/>
  <c r="P173" i="1"/>
  <c r="I173" i="1"/>
  <c r="M173" i="1" s="1"/>
  <c r="L173" i="1" s="1"/>
  <c r="O172" i="1"/>
  <c r="N172" i="1"/>
  <c r="I172" i="1"/>
  <c r="H172" i="1" s="1"/>
  <c r="Q171" i="1"/>
  <c r="P171" i="1"/>
  <c r="M171" i="1"/>
  <c r="L171" i="1" s="1"/>
  <c r="O170" i="1"/>
  <c r="N170" i="1"/>
  <c r="I170" i="1"/>
  <c r="H170" i="1" s="1"/>
  <c r="O169" i="1"/>
  <c r="N169" i="1"/>
  <c r="I169" i="1"/>
  <c r="H169" i="1" s="1"/>
  <c r="G168" i="1"/>
  <c r="F168" i="1"/>
  <c r="E168" i="1"/>
  <c r="M167" i="1"/>
  <c r="L167" i="1" s="1"/>
  <c r="H167" i="1"/>
  <c r="Q167" i="1" s="1"/>
  <c r="O166" i="1"/>
  <c r="N166" i="1"/>
  <c r="I166" i="1"/>
  <c r="H166" i="1" s="1"/>
  <c r="Q165" i="1"/>
  <c r="P165" i="1"/>
  <c r="M165" i="1"/>
  <c r="L165" i="1" s="1"/>
  <c r="O164" i="1"/>
  <c r="N164" i="1"/>
  <c r="I164" i="1"/>
  <c r="H164" i="1" s="1"/>
  <c r="O162" i="1"/>
  <c r="N162" i="1"/>
  <c r="K162" i="1"/>
  <c r="G162" i="1"/>
  <c r="F162" i="1"/>
  <c r="E162" i="1"/>
  <c r="Q161" i="1"/>
  <c r="P161" i="1"/>
  <c r="I161" i="1"/>
  <c r="M161" i="1" s="1"/>
  <c r="M160" i="1"/>
  <c r="L160" i="1" s="1"/>
  <c r="H160" i="1"/>
  <c r="Q160" i="1" s="1"/>
  <c r="Q162" i="1" s="1"/>
  <c r="G159" i="1"/>
  <c r="F159" i="1"/>
  <c r="E159" i="1"/>
  <c r="I158" i="1"/>
  <c r="H158" i="1" s="1"/>
  <c r="Q158" i="1" s="1"/>
  <c r="Q157" i="1"/>
  <c r="P157" i="1"/>
  <c r="M157" i="1"/>
  <c r="L157" i="1" s="1"/>
  <c r="O156" i="1"/>
  <c r="O159" i="1" s="1"/>
  <c r="N156" i="1"/>
  <c r="N159" i="1" s="1"/>
  <c r="I156" i="1"/>
  <c r="M156" i="1" s="1"/>
  <c r="G155" i="1"/>
  <c r="F155" i="1"/>
  <c r="E155" i="1"/>
  <c r="O154" i="1"/>
  <c r="N154" i="1"/>
  <c r="I154" i="1"/>
  <c r="H154" i="1" s="1"/>
  <c r="Q153" i="1"/>
  <c r="P153" i="1"/>
  <c r="M153" i="1"/>
  <c r="L153" i="1" s="1"/>
  <c r="O152" i="1"/>
  <c r="N152" i="1"/>
  <c r="N155" i="1" s="1"/>
  <c r="I152" i="1"/>
  <c r="H152" i="1" s="1"/>
  <c r="G151" i="1"/>
  <c r="F151" i="1"/>
  <c r="E151" i="1"/>
  <c r="O150" i="1"/>
  <c r="N150" i="1"/>
  <c r="I150" i="1"/>
  <c r="M150" i="1" s="1"/>
  <c r="Q149" i="1"/>
  <c r="P149" i="1"/>
  <c r="M149" i="1"/>
  <c r="L149" i="1" s="1"/>
  <c r="O148" i="1"/>
  <c r="N148" i="1"/>
  <c r="N151" i="1" s="1"/>
  <c r="I148" i="1"/>
  <c r="M148" i="1" s="1"/>
  <c r="O146" i="1"/>
  <c r="N146" i="1"/>
  <c r="K146" i="1"/>
  <c r="G146" i="1"/>
  <c r="F146" i="1"/>
  <c r="E146" i="1"/>
  <c r="Q145" i="1"/>
  <c r="P145" i="1"/>
  <c r="I145" i="1"/>
  <c r="M145" i="1" s="1"/>
  <c r="L145" i="1" s="1"/>
  <c r="M144" i="1"/>
  <c r="H144" i="1"/>
  <c r="P144" i="1" s="1"/>
  <c r="G143" i="1"/>
  <c r="F143" i="1"/>
  <c r="E143" i="1"/>
  <c r="I142" i="1"/>
  <c r="H142" i="1" s="1"/>
  <c r="P142" i="1" s="1"/>
  <c r="Q141" i="1"/>
  <c r="P141" i="1"/>
  <c r="M141" i="1"/>
  <c r="L141" i="1" s="1"/>
  <c r="O140" i="1"/>
  <c r="O143" i="1" s="1"/>
  <c r="N140" i="1"/>
  <c r="N143" i="1" s="1"/>
  <c r="I140" i="1"/>
  <c r="H140" i="1" s="1"/>
  <c r="P140" i="1" s="1"/>
  <c r="G139" i="1"/>
  <c r="F139" i="1"/>
  <c r="E139" i="1"/>
  <c r="O138" i="1"/>
  <c r="N138" i="1"/>
  <c r="I138" i="1"/>
  <c r="M138" i="1" s="1"/>
  <c r="Q137" i="1"/>
  <c r="P137" i="1"/>
  <c r="M137" i="1"/>
  <c r="L137" i="1" s="1"/>
  <c r="O136" i="1"/>
  <c r="O139" i="1" s="1"/>
  <c r="N136" i="1"/>
  <c r="I136" i="1"/>
  <c r="M136" i="1" s="1"/>
  <c r="G135" i="1"/>
  <c r="F135" i="1"/>
  <c r="E135" i="1"/>
  <c r="O134" i="1"/>
  <c r="N134" i="1"/>
  <c r="I134" i="1"/>
  <c r="H134" i="1" s="1"/>
  <c r="P134" i="1" s="1"/>
  <c r="Q133" i="1"/>
  <c r="P133" i="1"/>
  <c r="M133" i="1"/>
  <c r="L133" i="1" s="1"/>
  <c r="O132" i="1"/>
  <c r="O135" i="1" s="1"/>
  <c r="N132" i="1"/>
  <c r="N135" i="1" s="1"/>
  <c r="I132" i="1"/>
  <c r="H132" i="1" s="1"/>
  <c r="P132" i="1" s="1"/>
  <c r="O130" i="1"/>
  <c r="N130" i="1"/>
  <c r="K130" i="1"/>
  <c r="G130" i="1"/>
  <c r="F130" i="1"/>
  <c r="E130" i="1"/>
  <c r="Q129" i="1"/>
  <c r="P129" i="1"/>
  <c r="I129" i="1"/>
  <c r="M129" i="1" s="1"/>
  <c r="M128" i="1"/>
  <c r="L128" i="1" s="1"/>
  <c r="H128" i="1"/>
  <c r="Q128" i="1" s="1"/>
  <c r="Q130" i="1" s="1"/>
  <c r="G127" i="1"/>
  <c r="F127" i="1"/>
  <c r="E127" i="1"/>
  <c r="Q126" i="1"/>
  <c r="P126" i="1"/>
  <c r="Q125" i="1"/>
  <c r="P125" i="1"/>
  <c r="M125" i="1"/>
  <c r="L125" i="1" s="1"/>
  <c r="O124" i="1"/>
  <c r="O127" i="1" s="1"/>
  <c r="N124" i="1"/>
  <c r="N127" i="1" s="1"/>
  <c r="I124" i="1"/>
  <c r="M124" i="1" s="1"/>
  <c r="G123" i="1"/>
  <c r="F123" i="1"/>
  <c r="E123" i="1"/>
  <c r="O122" i="1"/>
  <c r="N122" i="1"/>
  <c r="I122" i="1"/>
  <c r="H122" i="1" s="1"/>
  <c r="P122" i="1" s="1"/>
  <c r="Q121" i="1"/>
  <c r="P121" i="1"/>
  <c r="M121" i="1"/>
  <c r="L121" i="1" s="1"/>
  <c r="O120" i="1"/>
  <c r="N120" i="1"/>
  <c r="I120" i="1"/>
  <c r="H120" i="1" s="1"/>
  <c r="P120" i="1" s="1"/>
  <c r="P123" i="1" s="1"/>
  <c r="G119" i="1"/>
  <c r="F119" i="1"/>
  <c r="E119" i="1"/>
  <c r="O118" i="1"/>
  <c r="N118" i="1"/>
  <c r="I118" i="1"/>
  <c r="M118" i="1" s="1"/>
  <c r="Q117" i="1"/>
  <c r="P117" i="1"/>
  <c r="M117" i="1"/>
  <c r="L117" i="1" s="1"/>
  <c r="O116" i="1"/>
  <c r="N116" i="1"/>
  <c r="I116" i="1"/>
  <c r="M116" i="1" s="1"/>
  <c r="O114" i="1"/>
  <c r="N114" i="1"/>
  <c r="K114" i="1"/>
  <c r="G114" i="1"/>
  <c r="F114" i="1"/>
  <c r="E114" i="1"/>
  <c r="Q113" i="1"/>
  <c r="P113" i="1"/>
  <c r="I113" i="1"/>
  <c r="M113" i="1" s="1"/>
  <c r="L113" i="1" s="1"/>
  <c r="M112" i="1"/>
  <c r="H112" i="1"/>
  <c r="P112" i="1" s="1"/>
  <c r="G111" i="1"/>
  <c r="F111" i="1"/>
  <c r="E111" i="1"/>
  <c r="Q110" i="1"/>
  <c r="P110" i="1"/>
  <c r="Q109" i="1"/>
  <c r="P109" i="1"/>
  <c r="M109" i="1"/>
  <c r="L109" i="1" s="1"/>
  <c r="O108" i="1"/>
  <c r="O111" i="1" s="1"/>
  <c r="N108" i="1"/>
  <c r="N111" i="1" s="1"/>
  <c r="I108" i="1"/>
  <c r="H108" i="1" s="1"/>
  <c r="P108" i="1" s="1"/>
  <c r="G107" i="1"/>
  <c r="F107" i="1"/>
  <c r="E107" i="1"/>
  <c r="Q106" i="1"/>
  <c r="P106" i="1"/>
  <c r="Q105" i="1"/>
  <c r="P105" i="1"/>
  <c r="M105" i="1"/>
  <c r="L105" i="1" s="1"/>
  <c r="O104" i="1"/>
  <c r="O107" i="1" s="1"/>
  <c r="N104" i="1"/>
  <c r="N107" i="1" s="1"/>
  <c r="I104" i="1"/>
  <c r="M104" i="1" s="1"/>
  <c r="G103" i="1"/>
  <c r="F103" i="1"/>
  <c r="E103" i="1"/>
  <c r="O102" i="1"/>
  <c r="N102" i="1"/>
  <c r="I102" i="1"/>
  <c r="H102" i="1" s="1"/>
  <c r="P102" i="1" s="1"/>
  <c r="Q101" i="1"/>
  <c r="P101" i="1"/>
  <c r="M101" i="1"/>
  <c r="L101" i="1" s="1"/>
  <c r="O100" i="1"/>
  <c r="N100" i="1"/>
  <c r="N103" i="1" s="1"/>
  <c r="I100" i="1"/>
  <c r="H100" i="1" s="1"/>
  <c r="P100" i="1" s="1"/>
  <c r="P103" i="1" s="1"/>
  <c r="S23" i="3" l="1"/>
  <c r="R23" i="3"/>
  <c r="S20" i="3"/>
  <c r="R20" i="3"/>
  <c r="S89" i="3"/>
  <c r="R89" i="3"/>
  <c r="S120" i="3"/>
  <c r="O120" i="3"/>
  <c r="O122" i="3" s="1"/>
  <c r="S65" i="3"/>
  <c r="Q27" i="3"/>
  <c r="N17" i="3"/>
  <c r="R10" i="3"/>
  <c r="S12" i="3"/>
  <c r="S11" i="3" s="1"/>
  <c r="R44" i="3"/>
  <c r="S44" i="3"/>
  <c r="S42" i="3" s="1"/>
  <c r="S41" i="3" s="1"/>
  <c r="N170" i="3"/>
  <c r="S27" i="3"/>
  <c r="R27" i="3"/>
  <c r="P239" i="3"/>
  <c r="N174" i="1"/>
  <c r="M186" i="1"/>
  <c r="O186" i="1"/>
  <c r="O215" i="3"/>
  <c r="S171" i="3"/>
  <c r="S122" i="3"/>
  <c r="S29" i="3"/>
  <c r="S28" i="3" s="1"/>
  <c r="S82" i="3"/>
  <c r="S81" i="3" s="1"/>
  <c r="S88" i="3"/>
  <c r="S225" i="3"/>
  <c r="O231" i="3"/>
  <c r="N231" i="3" s="1"/>
  <c r="S231" i="3"/>
  <c r="G207" i="3"/>
  <c r="Q114" i="3"/>
  <c r="P114" i="3"/>
  <c r="S22" i="3"/>
  <c r="S35" i="3"/>
  <c r="S34" i="3" s="1"/>
  <c r="S64" i="3"/>
  <c r="S76" i="3"/>
  <c r="S75" i="3" s="1"/>
  <c r="N235" i="3"/>
  <c r="R231" i="3"/>
  <c r="G244" i="3"/>
  <c r="N204" i="3"/>
  <c r="O224" i="3"/>
  <c r="N224" i="3" s="1"/>
  <c r="N185" i="3"/>
  <c r="N178" i="3"/>
  <c r="P207" i="3"/>
  <c r="Q239" i="3"/>
  <c r="Q245" i="3" s="1"/>
  <c r="N177" i="3"/>
  <c r="N186" i="3"/>
  <c r="N179" i="3"/>
  <c r="Q207" i="3"/>
  <c r="P222" i="3"/>
  <c r="G216" i="3"/>
  <c r="N184" i="3"/>
  <c r="S244" i="3"/>
  <c r="S218" i="3"/>
  <c r="G225" i="3"/>
  <c r="O64" i="3"/>
  <c r="P87" i="3"/>
  <c r="O244" i="3"/>
  <c r="O193" i="3"/>
  <c r="N228" i="3"/>
  <c r="N233" i="3"/>
  <c r="O167" i="3"/>
  <c r="G171" i="3"/>
  <c r="G145" i="3"/>
  <c r="Q181" i="3"/>
  <c r="G181" i="3"/>
  <c r="G188" i="3"/>
  <c r="G193" i="3"/>
  <c r="P193" i="3"/>
  <c r="Q193" i="3"/>
  <c r="G142" i="3"/>
  <c r="G162" i="3"/>
  <c r="G196" i="3"/>
  <c r="P155" i="3"/>
  <c r="R141" i="3"/>
  <c r="R142" i="3" s="1"/>
  <c r="J141" i="3"/>
  <c r="G130" i="3"/>
  <c r="N22" i="3"/>
  <c r="N21" i="3" s="1"/>
  <c r="O155" i="1"/>
  <c r="N168" i="1"/>
  <c r="L187" i="1"/>
  <c r="G168" i="3"/>
  <c r="O103" i="1"/>
  <c r="O151" i="1"/>
  <c r="Q43" i="3"/>
  <c r="Q42" i="3" s="1"/>
  <c r="O155" i="3"/>
  <c r="Q168" i="3"/>
  <c r="G119" i="3"/>
  <c r="Q155" i="3"/>
  <c r="P162" i="3"/>
  <c r="P168" i="3"/>
  <c r="P28" i="3"/>
  <c r="P111" i="1"/>
  <c r="O119" i="1"/>
  <c r="P143" i="1"/>
  <c r="O168" i="1"/>
  <c r="Q51" i="3"/>
  <c r="J189" i="3"/>
  <c r="R189" i="3" s="1"/>
  <c r="R193" i="3" s="1"/>
  <c r="Q216" i="3"/>
  <c r="P107" i="3"/>
  <c r="P137" i="3"/>
  <c r="N121" i="3"/>
  <c r="P119" i="3"/>
  <c r="Q25" i="3"/>
  <c r="Q30" i="3"/>
  <c r="Q32" i="3"/>
  <c r="Q70" i="3"/>
  <c r="Q80" i="3"/>
  <c r="Q83" i="3"/>
  <c r="Q85" i="3"/>
  <c r="Q91" i="3"/>
  <c r="J124" i="3"/>
  <c r="R124" i="3" s="1"/>
  <c r="R130" i="3" s="1"/>
  <c r="R143" i="3"/>
  <c r="R145" i="3" s="1"/>
  <c r="N154" i="3"/>
  <c r="N209" i="3"/>
  <c r="N214" i="3"/>
  <c r="Q90" i="3"/>
  <c r="Q18" i="3"/>
  <c r="Q24" i="3"/>
  <c r="Q31" i="3"/>
  <c r="Q36" i="3"/>
  <c r="Q38" i="3"/>
  <c r="Q40" i="3"/>
  <c r="Q52" i="3"/>
  <c r="Q66" i="3"/>
  <c r="Q69" i="3"/>
  <c r="Q74" i="3"/>
  <c r="Q78" i="3"/>
  <c r="Q86" i="3"/>
  <c r="Q89" i="3"/>
  <c r="Q20" i="3"/>
  <c r="Q23" i="3"/>
  <c r="R24" i="3"/>
  <c r="Q26" i="3"/>
  <c r="R32" i="3"/>
  <c r="R36" i="3"/>
  <c r="Q39" i="3"/>
  <c r="R40" i="3"/>
  <c r="Q47" i="3"/>
  <c r="Q50" i="3"/>
  <c r="Q53" i="3"/>
  <c r="S53" i="3"/>
  <c r="R56" i="3"/>
  <c r="R55" i="3" s="1"/>
  <c r="Q67" i="3"/>
  <c r="R69" i="3"/>
  <c r="Q77" i="3"/>
  <c r="R78" i="3"/>
  <c r="R83" i="3"/>
  <c r="R91" i="3"/>
  <c r="J108" i="3"/>
  <c r="R108" i="3" s="1"/>
  <c r="R114" i="3" s="1"/>
  <c r="J156" i="3"/>
  <c r="R156" i="3" s="1"/>
  <c r="J161" i="3"/>
  <c r="R161" i="3" s="1"/>
  <c r="J173" i="3"/>
  <c r="R173" i="3" s="1"/>
  <c r="J180" i="3"/>
  <c r="R180" i="3" s="1"/>
  <c r="R194" i="3"/>
  <c r="R206" i="3"/>
  <c r="N227" i="3"/>
  <c r="R26" i="3"/>
  <c r="R30" i="3"/>
  <c r="Q37" i="3"/>
  <c r="R38" i="3"/>
  <c r="R52" i="3"/>
  <c r="R66" i="3"/>
  <c r="R74" i="3"/>
  <c r="Q84" i="3"/>
  <c r="R85" i="3"/>
  <c r="S87" i="3"/>
  <c r="Q92" i="3"/>
  <c r="N232" i="3"/>
  <c r="N241" i="3"/>
  <c r="O145" i="3"/>
  <c r="N144" i="3"/>
  <c r="N145" i="3" s="1"/>
  <c r="S167" i="3"/>
  <c r="R167" i="3"/>
  <c r="S221" i="3"/>
  <c r="R221" i="3"/>
  <c r="O17" i="3"/>
  <c r="R25" i="3"/>
  <c r="N29" i="3"/>
  <c r="N28" i="3" s="1"/>
  <c r="R31" i="3"/>
  <c r="N35" i="3"/>
  <c r="N34" i="3" s="1"/>
  <c r="R37" i="3"/>
  <c r="R39" i="3"/>
  <c r="R43" i="3"/>
  <c r="R47" i="3"/>
  <c r="N48" i="3"/>
  <c r="R50" i="3"/>
  <c r="S51" i="3"/>
  <c r="S49" i="3" s="1"/>
  <c r="S57" i="3"/>
  <c r="S55" i="3" s="1"/>
  <c r="Q56" i="3"/>
  <c r="R63" i="3"/>
  <c r="N64" i="3"/>
  <c r="R67" i="3"/>
  <c r="R70" i="3"/>
  <c r="R77" i="3"/>
  <c r="R80" i="3"/>
  <c r="N82" i="3"/>
  <c r="N81" i="3" s="1"/>
  <c r="R84" i="3"/>
  <c r="R86" i="3"/>
  <c r="R90" i="3"/>
  <c r="R92" i="3"/>
  <c r="J97" i="3"/>
  <c r="J106" i="3"/>
  <c r="J115" i="3"/>
  <c r="R115" i="3" s="1"/>
  <c r="N120" i="3"/>
  <c r="R120" i="3"/>
  <c r="R122" i="3" s="1"/>
  <c r="S129" i="3"/>
  <c r="J136" i="3"/>
  <c r="S138" i="3"/>
  <c r="S142" i="3" s="1"/>
  <c r="J147" i="3"/>
  <c r="J154" i="3"/>
  <c r="J163" i="3"/>
  <c r="N169" i="3"/>
  <c r="R169" i="3"/>
  <c r="R171" i="3" s="1"/>
  <c r="J182" i="3"/>
  <c r="S192" i="3"/>
  <c r="J198" i="3"/>
  <c r="J205" i="3"/>
  <c r="J208" i="3"/>
  <c r="J209" i="3"/>
  <c r="R209" i="3" s="1"/>
  <c r="J214" i="3"/>
  <c r="J217" i="3"/>
  <c r="N223" i="3"/>
  <c r="R223" i="3"/>
  <c r="R225" i="3" s="1"/>
  <c r="R242" i="3"/>
  <c r="R244" i="3" s="1"/>
  <c r="H104" i="1"/>
  <c r="Q104" i="1" s="1"/>
  <c r="Q107" i="1" s="1"/>
  <c r="P114" i="1"/>
  <c r="H118" i="1"/>
  <c r="Q118" i="1" s="1"/>
  <c r="N123" i="1"/>
  <c r="M122" i="1"/>
  <c r="L122" i="1" s="1"/>
  <c r="M127" i="1"/>
  <c r="L136" i="1"/>
  <c r="P146" i="1"/>
  <c r="M132" i="1"/>
  <c r="L132" i="1" s="1"/>
  <c r="H136" i="1"/>
  <c r="Q136" i="1" s="1"/>
  <c r="L138" i="1"/>
  <c r="N191" i="1"/>
  <c r="L188" i="1"/>
  <c r="L190" i="1"/>
  <c r="H202" i="1"/>
  <c r="I204" i="1"/>
  <c r="J204" i="1" s="1"/>
  <c r="J202" i="1" s="1"/>
  <c r="L116" i="1"/>
  <c r="L150" i="1"/>
  <c r="H156" i="1"/>
  <c r="Q156" i="1" s="1"/>
  <c r="Q159" i="1" s="1"/>
  <c r="P181" i="1"/>
  <c r="N186" i="1"/>
  <c r="L186" i="1" s="1"/>
  <c r="L184" i="1"/>
  <c r="L192" i="1"/>
  <c r="L193" i="1" s="1"/>
  <c r="P196" i="1"/>
  <c r="N115" i="1"/>
  <c r="L104" i="1"/>
  <c r="L107" i="1" s="1"/>
  <c r="M108" i="1"/>
  <c r="M111" i="1" s="1"/>
  <c r="H116" i="1"/>
  <c r="N119" i="1"/>
  <c r="N131" i="1" s="1"/>
  <c r="L118" i="1"/>
  <c r="M120" i="1"/>
  <c r="M123" i="1" s="1"/>
  <c r="O123" i="1"/>
  <c r="H124" i="1"/>
  <c r="Q124" i="1" s="1"/>
  <c r="Q127" i="1" s="1"/>
  <c r="L124" i="1"/>
  <c r="L127" i="1" s="1"/>
  <c r="P128" i="1"/>
  <c r="P130" i="1" s="1"/>
  <c r="P135" i="1"/>
  <c r="M134" i="1"/>
  <c r="L134" i="1" s="1"/>
  <c r="M139" i="1"/>
  <c r="N139" i="1"/>
  <c r="N147" i="1" s="1"/>
  <c r="H138" i="1"/>
  <c r="Q138" i="1" s="1"/>
  <c r="H148" i="1"/>
  <c r="Q148" i="1" s="1"/>
  <c r="N163" i="1"/>
  <c r="H150" i="1"/>
  <c r="Q150" i="1" s="1"/>
  <c r="P160" i="1"/>
  <c r="P162" i="1" s="1"/>
  <c r="P167" i="1"/>
  <c r="O174" i="1"/>
  <c r="O182" i="1" s="1"/>
  <c r="M181" i="1"/>
  <c r="L183" i="1"/>
  <c r="N197" i="1"/>
  <c r="P186" i="1"/>
  <c r="M191" i="1"/>
  <c r="O191" i="1"/>
  <c r="O197" i="1" s="1"/>
  <c r="P190" i="1"/>
  <c r="P191" i="1" s="1"/>
  <c r="L196" i="1"/>
  <c r="P104" i="1"/>
  <c r="P107" i="1" s="1"/>
  <c r="P115" i="1" s="1"/>
  <c r="O147" i="1"/>
  <c r="L139" i="1"/>
  <c r="N182" i="1"/>
  <c r="L129" i="1"/>
  <c r="L130" i="1" s="1"/>
  <c r="M130" i="1"/>
  <c r="L108" i="1"/>
  <c r="L111" i="1" s="1"/>
  <c r="M114" i="1"/>
  <c r="L112" i="1"/>
  <c r="L114" i="1" s="1"/>
  <c r="P152" i="1"/>
  <c r="Q152" i="1"/>
  <c r="P154" i="1"/>
  <c r="Q154" i="1"/>
  <c r="M159" i="1"/>
  <c r="L156" i="1"/>
  <c r="L159" i="1" s="1"/>
  <c r="P164" i="1"/>
  <c r="Q164" i="1"/>
  <c r="P166" i="1"/>
  <c r="Q166" i="1"/>
  <c r="P169" i="1"/>
  <c r="Q169" i="1"/>
  <c r="P175" i="1"/>
  <c r="Q175" i="1"/>
  <c r="P177" i="1"/>
  <c r="Q177" i="1"/>
  <c r="M146" i="1"/>
  <c r="L144" i="1"/>
  <c r="L146" i="1" s="1"/>
  <c r="M151" i="1"/>
  <c r="L148" i="1"/>
  <c r="L161" i="1"/>
  <c r="L162" i="1" s="1"/>
  <c r="M162" i="1"/>
  <c r="P170" i="1"/>
  <c r="Q170" i="1"/>
  <c r="P172" i="1"/>
  <c r="Q172" i="1"/>
  <c r="Q102" i="1"/>
  <c r="M107" i="1"/>
  <c r="M119" i="1"/>
  <c r="Q140" i="1"/>
  <c r="Q144" i="1"/>
  <c r="Q146" i="1" s="1"/>
  <c r="M100" i="1"/>
  <c r="O115" i="1"/>
  <c r="M102" i="1"/>
  <c r="L102" i="1" s="1"/>
  <c r="Q108" i="1"/>
  <c r="Q111" i="1" s="1"/>
  <c r="Q112" i="1"/>
  <c r="Q114" i="1" s="1"/>
  <c r="Q120" i="1"/>
  <c r="Q123" i="1" s="1"/>
  <c r="Q122" i="1"/>
  <c r="P124" i="1"/>
  <c r="P127" i="1" s="1"/>
  <c r="Q132" i="1"/>
  <c r="Q134" i="1"/>
  <c r="P138" i="1"/>
  <c r="M140" i="1"/>
  <c r="Q142" i="1"/>
  <c r="O163" i="1"/>
  <c r="Q186" i="1"/>
  <c r="Q100" i="1"/>
  <c r="M152" i="1"/>
  <c r="M154" i="1"/>
  <c r="L154" i="1" s="1"/>
  <c r="P158" i="1"/>
  <c r="M164" i="1"/>
  <c r="M166" i="1"/>
  <c r="L166" i="1" s="1"/>
  <c r="M169" i="1"/>
  <c r="M170" i="1"/>
  <c r="L170" i="1" s="1"/>
  <c r="M172" i="1"/>
  <c r="L172" i="1" s="1"/>
  <c r="M175" i="1"/>
  <c r="Q179" i="1"/>
  <c r="Q181" i="1" s="1"/>
  <c r="Q189" i="1"/>
  <c r="Q191" i="1" s="1"/>
  <c r="Q194" i="1"/>
  <c r="Q196" i="1" s="1"/>
  <c r="M196" i="1"/>
  <c r="M197" i="1" s="1"/>
  <c r="L179" i="1"/>
  <c r="L181" i="1" s="1"/>
  <c r="P148" i="1" l="1"/>
  <c r="Q88" i="3"/>
  <c r="R97" i="3"/>
  <c r="S97" i="3"/>
  <c r="R65" i="3"/>
  <c r="R64" i="3" s="1"/>
  <c r="Q65" i="3"/>
  <c r="Q64" i="3" s="1"/>
  <c r="Q55" i="3"/>
  <c r="Q54" i="3" s="1"/>
  <c r="N205" i="3"/>
  <c r="N208" i="3"/>
  <c r="S54" i="3"/>
  <c r="R49" i="3"/>
  <c r="R48" i="3" s="1"/>
  <c r="S189" i="3"/>
  <c r="S193" i="3" s="1"/>
  <c r="O171" i="3"/>
  <c r="R42" i="3"/>
  <c r="R41" i="3" s="1"/>
  <c r="N171" i="3"/>
  <c r="S21" i="3"/>
  <c r="Q10" i="3"/>
  <c r="N198" i="3"/>
  <c r="Q41" i="3"/>
  <c r="Q142" i="3"/>
  <c r="P216" i="3"/>
  <c r="P226" i="3" s="1"/>
  <c r="S10" i="3"/>
  <c r="O207" i="3"/>
  <c r="N218" i="3"/>
  <c r="O222" i="3"/>
  <c r="N217" i="3"/>
  <c r="N222" i="3" s="1"/>
  <c r="O225" i="3"/>
  <c r="N141" i="3"/>
  <c r="R76" i="3"/>
  <c r="R75" i="3" s="1"/>
  <c r="Q76" i="3"/>
  <c r="Q222" i="3"/>
  <c r="Q226" i="3" s="1"/>
  <c r="Q75" i="3"/>
  <c r="R22" i="3"/>
  <c r="R21" i="3" s="1"/>
  <c r="Q87" i="3"/>
  <c r="N106" i="3"/>
  <c r="N107" i="3" s="1"/>
  <c r="N108" i="3"/>
  <c r="O114" i="3"/>
  <c r="R88" i="3"/>
  <c r="R29" i="3"/>
  <c r="R28" i="3" s="1"/>
  <c r="R54" i="3"/>
  <c r="R35" i="3"/>
  <c r="R34" i="3" s="1"/>
  <c r="P123" i="3"/>
  <c r="P142" i="3"/>
  <c r="L135" i="1"/>
  <c r="R82" i="3"/>
  <c r="R81" i="3" s="1"/>
  <c r="Q49" i="3"/>
  <c r="Q48" i="3" s="1"/>
  <c r="Q22" i="3"/>
  <c r="Q21" i="3" s="1"/>
  <c r="Q35" i="3"/>
  <c r="Q34" i="3" s="1"/>
  <c r="Q82" i="3"/>
  <c r="Q81" i="3" s="1"/>
  <c r="Q29" i="3"/>
  <c r="Q28" i="3" s="1"/>
  <c r="N237" i="3"/>
  <c r="R237" i="3" s="1"/>
  <c r="O239" i="3"/>
  <c r="N239" i="3" s="1"/>
  <c r="N245" i="3" s="1"/>
  <c r="P245" i="3"/>
  <c r="O168" i="3"/>
  <c r="O188" i="3"/>
  <c r="O181" i="3"/>
  <c r="P181" i="3"/>
  <c r="P188" i="3"/>
  <c r="Q188" i="3"/>
  <c r="Q197" i="3" s="1"/>
  <c r="N225" i="3"/>
  <c r="R181" i="3"/>
  <c r="N180" i="3"/>
  <c r="R17" i="3"/>
  <c r="N182" i="3"/>
  <c r="N131" i="3"/>
  <c r="N173" i="3"/>
  <c r="Q162" i="3"/>
  <c r="Q172" i="3" s="1"/>
  <c r="S108" i="3"/>
  <c r="S114" i="3" s="1"/>
  <c r="N189" i="3"/>
  <c r="N193" i="3" s="1"/>
  <c r="N187" i="3"/>
  <c r="N136" i="3"/>
  <c r="N156" i="3"/>
  <c r="S156" i="3"/>
  <c r="N124" i="3"/>
  <c r="S124" i="3"/>
  <c r="S130" i="3" s="1"/>
  <c r="N122" i="3"/>
  <c r="O162" i="3"/>
  <c r="N163" i="3"/>
  <c r="N168" i="3" s="1"/>
  <c r="S173" i="3"/>
  <c r="O130" i="3"/>
  <c r="P172" i="3"/>
  <c r="N161" i="3"/>
  <c r="N147" i="3"/>
  <c r="N155" i="3" s="1"/>
  <c r="P130" i="3"/>
  <c r="Q137" i="3"/>
  <c r="N129" i="3"/>
  <c r="O107" i="3"/>
  <c r="N138" i="3"/>
  <c r="N115" i="3"/>
  <c r="N119" i="3" s="1"/>
  <c r="Q130" i="3"/>
  <c r="L151" i="1"/>
  <c r="O137" i="3"/>
  <c r="S161" i="3"/>
  <c r="R87" i="3"/>
  <c r="O142" i="3"/>
  <c r="P118" i="1"/>
  <c r="O131" i="1"/>
  <c r="Q17" i="3"/>
  <c r="O119" i="3"/>
  <c r="Q107" i="3"/>
  <c r="Q123" i="3" s="1"/>
  <c r="S180" i="3"/>
  <c r="S48" i="3"/>
  <c r="R162" i="3"/>
  <c r="S217" i="3"/>
  <c r="S222" i="3" s="1"/>
  <c r="R217" i="3"/>
  <c r="R222" i="3" s="1"/>
  <c r="S209" i="3"/>
  <c r="S205" i="3"/>
  <c r="R205" i="3"/>
  <c r="S187" i="3"/>
  <c r="R187" i="3"/>
  <c r="S163" i="3"/>
  <c r="S168" i="3" s="1"/>
  <c r="R163" i="3"/>
  <c r="R168" i="3" s="1"/>
  <c r="S147" i="3"/>
  <c r="R147" i="3"/>
  <c r="S136" i="3"/>
  <c r="R136" i="3"/>
  <c r="S115" i="3"/>
  <c r="S119" i="3" s="1"/>
  <c r="R119" i="3"/>
  <c r="S106" i="3"/>
  <c r="R106" i="3"/>
  <c r="S214" i="3"/>
  <c r="R214" i="3"/>
  <c r="S208" i="3"/>
  <c r="R208" i="3"/>
  <c r="S198" i="3"/>
  <c r="R198" i="3"/>
  <c r="S182" i="3"/>
  <c r="S188" i="3" s="1"/>
  <c r="R182" i="3"/>
  <c r="R188" i="3" s="1"/>
  <c r="S154" i="3"/>
  <c r="R154" i="3"/>
  <c r="S131" i="3"/>
  <c r="R131" i="3"/>
  <c r="L119" i="1"/>
  <c r="I202" i="1"/>
  <c r="Q139" i="1"/>
  <c r="P156" i="1"/>
  <c r="P136" i="1"/>
  <c r="L120" i="1"/>
  <c r="L123" i="1" s="1"/>
  <c r="P197" i="1"/>
  <c r="P159" i="1"/>
  <c r="P139" i="1"/>
  <c r="P147" i="1" s="1"/>
  <c r="Q135" i="1"/>
  <c r="Q143" i="1"/>
  <c r="Q116" i="1"/>
  <c r="Q119" i="1" s="1"/>
  <c r="Q131" i="1" s="1"/>
  <c r="P116" i="1"/>
  <c r="P119" i="1" s="1"/>
  <c r="P131" i="1" s="1"/>
  <c r="P150" i="1"/>
  <c r="P151" i="1" s="1"/>
  <c r="M135" i="1"/>
  <c r="L191" i="1"/>
  <c r="L197" i="1" s="1"/>
  <c r="Q151" i="1"/>
  <c r="L169" i="1"/>
  <c r="L174" i="1" s="1"/>
  <c r="M174" i="1"/>
  <c r="M155" i="1"/>
  <c r="M163" i="1" s="1"/>
  <c r="L163" i="1" s="1"/>
  <c r="L152" i="1"/>
  <c r="L155" i="1" s="1"/>
  <c r="M178" i="1"/>
  <c r="L175" i="1"/>
  <c r="L178" i="1" s="1"/>
  <c r="M103" i="1"/>
  <c r="M115" i="1" s="1"/>
  <c r="L115" i="1" s="1"/>
  <c r="L100" i="1"/>
  <c r="L103" i="1" s="1"/>
  <c r="Q103" i="1"/>
  <c r="Q115" i="1" s="1"/>
  <c r="M131" i="1"/>
  <c r="Q178" i="1"/>
  <c r="Q174" i="1"/>
  <c r="Q168" i="1"/>
  <c r="Q155" i="1"/>
  <c r="Q163" i="1" s="1"/>
  <c r="L164" i="1"/>
  <c r="L168" i="1" s="1"/>
  <c r="M168" i="1"/>
  <c r="M143" i="1"/>
  <c r="L140" i="1"/>
  <c r="L143" i="1" s="1"/>
  <c r="Q197" i="1"/>
  <c r="P178" i="1"/>
  <c r="P174" i="1"/>
  <c r="P168" i="1"/>
  <c r="P155" i="1"/>
  <c r="T28" i="3" l="1"/>
  <c r="S237" i="3"/>
  <c r="S239" i="3" s="1"/>
  <c r="S245" i="3" s="1"/>
  <c r="R239" i="3"/>
  <c r="R245" i="3" s="1"/>
  <c r="N114" i="3"/>
  <c r="O123" i="3"/>
  <c r="N123" i="3" s="1"/>
  <c r="N207" i="3"/>
  <c r="M147" i="1"/>
  <c r="L147" i="1" s="1"/>
  <c r="P197" i="3"/>
  <c r="N142" i="3"/>
  <c r="P146" i="3"/>
  <c r="O172" i="3"/>
  <c r="N172" i="3" s="1"/>
  <c r="O245" i="3"/>
  <c r="N181" i="3"/>
  <c r="N188" i="3"/>
  <c r="S207" i="3"/>
  <c r="S18" i="3"/>
  <c r="S17" i="3" s="1"/>
  <c r="S181" i="3"/>
  <c r="O146" i="3"/>
  <c r="N137" i="3"/>
  <c r="N162" i="3"/>
  <c r="N130" i="3"/>
  <c r="S162" i="3"/>
  <c r="Q146" i="3"/>
  <c r="L131" i="1"/>
  <c r="S107" i="3"/>
  <c r="S123" i="3" s="1"/>
  <c r="S137" i="3"/>
  <c r="S146" i="3" s="1"/>
  <c r="R155" i="3"/>
  <c r="R172" i="3" s="1"/>
  <c r="R107" i="3"/>
  <c r="R123" i="3" s="1"/>
  <c r="R137" i="3"/>
  <c r="R146" i="3" s="1"/>
  <c r="R207" i="3"/>
  <c r="S155" i="3"/>
  <c r="Q147" i="1"/>
  <c r="P163" i="1"/>
  <c r="P182" i="1"/>
  <c r="L182" i="1"/>
  <c r="Q182" i="1"/>
  <c r="M182" i="1"/>
  <c r="N146" i="3" l="1"/>
  <c r="S172" i="3"/>
  <c r="L26" i="1"/>
  <c r="M41" i="1"/>
  <c r="M40" i="1"/>
  <c r="M39" i="1"/>
  <c r="M33" i="1"/>
  <c r="M32" i="1"/>
  <c r="M26" i="1"/>
  <c r="M25" i="1"/>
  <c r="M24" i="1"/>
  <c r="M18" i="1"/>
  <c r="N92" i="1"/>
  <c r="N91" i="1"/>
  <c r="M92" i="1"/>
  <c r="M91" i="1"/>
  <c r="L92" i="1"/>
  <c r="L91" i="1"/>
  <c r="N85" i="1"/>
  <c r="N86" i="1"/>
  <c r="N87" i="1"/>
  <c r="N84" i="1"/>
  <c r="M85" i="1"/>
  <c r="M84" i="1"/>
  <c r="L85" i="1"/>
  <c r="L84" i="1"/>
  <c r="N78" i="1"/>
  <c r="N76" i="1" s="1"/>
  <c r="N77" i="1"/>
  <c r="M78" i="1"/>
  <c r="M77" i="1"/>
  <c r="L78" i="1"/>
  <c r="L79" i="1"/>
  <c r="L80" i="1"/>
  <c r="L81" i="1"/>
  <c r="L77" i="1"/>
  <c r="N70" i="1"/>
  <c r="N71" i="1"/>
  <c r="N69" i="1"/>
  <c r="M70" i="1"/>
  <c r="M71" i="1"/>
  <c r="M69" i="1"/>
  <c r="L70" i="1"/>
  <c r="L71" i="1"/>
  <c r="L69" i="1"/>
  <c r="N62" i="1"/>
  <c r="N63" i="1"/>
  <c r="N61" i="1"/>
  <c r="M62" i="1"/>
  <c r="M63" i="1"/>
  <c r="M61" i="1"/>
  <c r="L62" i="1"/>
  <c r="L63" i="1"/>
  <c r="L61" i="1"/>
  <c r="N55" i="1"/>
  <c r="N54" i="1"/>
  <c r="M55" i="1"/>
  <c r="M54" i="1"/>
  <c r="L55" i="1"/>
  <c r="L54" i="1"/>
  <c r="N48" i="1"/>
  <c r="M48" i="1"/>
  <c r="L48" i="1"/>
  <c r="N47" i="1"/>
  <c r="M47" i="1"/>
  <c r="L47" i="1"/>
  <c r="N44" i="1"/>
  <c r="N40" i="1"/>
  <c r="N41" i="1"/>
  <c r="N39" i="1"/>
  <c r="L40" i="1"/>
  <c r="L41" i="1"/>
  <c r="L39" i="1"/>
  <c r="N36" i="1"/>
  <c r="N33" i="1"/>
  <c r="N32" i="1"/>
  <c r="L32" i="1"/>
  <c r="N25" i="1"/>
  <c r="N26" i="1"/>
  <c r="L25" i="1"/>
  <c r="L24" i="1"/>
  <c r="N46" i="1" l="1"/>
  <c r="N83" i="1"/>
  <c r="N53" i="1"/>
  <c r="M38" i="1"/>
  <c r="M23" i="1"/>
  <c r="M68" i="1"/>
  <c r="M31" i="1"/>
  <c r="M53" i="1"/>
  <c r="N38" i="1"/>
  <c r="N37" i="1" s="1"/>
  <c r="M60" i="1"/>
  <c r="N90" i="1"/>
  <c r="M46" i="1"/>
  <c r="N68" i="1"/>
  <c r="M76" i="1"/>
  <c r="M90" i="1"/>
  <c r="M83" i="1"/>
  <c r="N60" i="1"/>
  <c r="N31" i="1"/>
  <c r="N30" i="1" s="1"/>
  <c r="N24" i="1" l="1"/>
  <c r="N23" i="1" s="1"/>
  <c r="O25" i="1"/>
  <c r="P25" i="1" s="1"/>
  <c r="Q25" i="1" s="1"/>
  <c r="M17" i="1"/>
  <c r="L90" i="1"/>
  <c r="L83" i="1"/>
  <c r="O83" i="1" s="1"/>
  <c r="P83" i="1" s="1"/>
  <c r="Q83" i="1" s="1"/>
  <c r="L76" i="1"/>
  <c r="L75" i="1" s="1"/>
  <c r="N18" i="1"/>
  <c r="N17" i="1" s="1"/>
  <c r="O77" i="1"/>
  <c r="P77" i="1" s="1"/>
  <c r="Q77" i="1" s="1"/>
  <c r="O78" i="1"/>
  <c r="P78" i="1" s="1"/>
  <c r="Q78" i="1" s="1"/>
  <c r="O84" i="1"/>
  <c r="P84" i="1" s="1"/>
  <c r="Q84" i="1" s="1"/>
  <c r="O85" i="1"/>
  <c r="P85" i="1" s="1"/>
  <c r="Q85" i="1" s="1"/>
  <c r="O90" i="1"/>
  <c r="P90" i="1" s="1"/>
  <c r="Q90" i="1" s="1"/>
  <c r="O91" i="1"/>
  <c r="P91" i="1" s="1"/>
  <c r="Q91" i="1" s="1"/>
  <c r="O92" i="1"/>
  <c r="P92" i="1" s="1"/>
  <c r="Q92" i="1" s="1"/>
  <c r="N12" i="1"/>
  <c r="N13" i="1"/>
  <c r="N14" i="1"/>
  <c r="N15" i="1"/>
  <c r="N19" i="1"/>
  <c r="N20" i="1"/>
  <c r="N21" i="1"/>
  <c r="N27" i="1"/>
  <c r="N28" i="1"/>
  <c r="N29" i="1"/>
  <c r="N34" i="1"/>
  <c r="N35" i="1"/>
  <c r="N42" i="1"/>
  <c r="N43" i="1"/>
  <c r="N49" i="1"/>
  <c r="N50" i="1"/>
  <c r="N51" i="1"/>
  <c r="N45" i="1" s="1"/>
  <c r="N56" i="1"/>
  <c r="N57" i="1"/>
  <c r="N58" i="1"/>
  <c r="N52" i="1" s="1"/>
  <c r="N64" i="1"/>
  <c r="N65" i="1"/>
  <c r="N66" i="1"/>
  <c r="N59" i="1" s="1"/>
  <c r="N72" i="1"/>
  <c r="N73" i="1"/>
  <c r="N74" i="1"/>
  <c r="N67" i="1" s="1"/>
  <c r="N79" i="1"/>
  <c r="N80" i="1"/>
  <c r="N81" i="1"/>
  <c r="N75" i="1" s="1"/>
  <c r="N88" i="1"/>
  <c r="N82" i="1" s="1"/>
  <c r="N93" i="1"/>
  <c r="N94" i="1"/>
  <c r="N95" i="1"/>
  <c r="N89" i="1" s="1"/>
  <c r="N11" i="1"/>
  <c r="M12" i="1"/>
  <c r="M13" i="1"/>
  <c r="M14" i="1"/>
  <c r="M15" i="1"/>
  <c r="M19" i="1"/>
  <c r="M20" i="1"/>
  <c r="M21" i="1"/>
  <c r="M27" i="1"/>
  <c r="M28" i="1"/>
  <c r="M29" i="1"/>
  <c r="M34" i="1"/>
  <c r="M35" i="1"/>
  <c r="M36" i="1"/>
  <c r="M30" i="1" s="1"/>
  <c r="M42" i="1"/>
  <c r="M43" i="1"/>
  <c r="M44" i="1"/>
  <c r="M37" i="1" s="1"/>
  <c r="M49" i="1"/>
  <c r="M50" i="1"/>
  <c r="M51" i="1"/>
  <c r="M45" i="1" s="1"/>
  <c r="M56" i="1"/>
  <c r="M57" i="1"/>
  <c r="M58" i="1"/>
  <c r="M52" i="1" s="1"/>
  <c r="M64" i="1"/>
  <c r="M65" i="1"/>
  <c r="M66" i="1"/>
  <c r="M59" i="1" s="1"/>
  <c r="M72" i="1"/>
  <c r="M73" i="1"/>
  <c r="M74" i="1"/>
  <c r="M67" i="1" s="1"/>
  <c r="M79" i="1"/>
  <c r="O79" i="1" s="1"/>
  <c r="P79" i="1" s="1"/>
  <c r="Q79" i="1" s="1"/>
  <c r="M80" i="1"/>
  <c r="O80" i="1" s="1"/>
  <c r="P80" i="1" s="1"/>
  <c r="Q80" i="1" s="1"/>
  <c r="M81" i="1"/>
  <c r="M75" i="1" s="1"/>
  <c r="M86" i="1"/>
  <c r="M87" i="1"/>
  <c r="M88" i="1"/>
  <c r="M82" i="1" s="1"/>
  <c r="M93" i="1"/>
  <c r="M94" i="1"/>
  <c r="M95" i="1"/>
  <c r="M89" i="1" s="1"/>
  <c r="M11" i="1"/>
  <c r="L12" i="1"/>
  <c r="O12" i="1" s="1"/>
  <c r="P12" i="1" s="1"/>
  <c r="Q12" i="1" s="1"/>
  <c r="L13" i="1"/>
  <c r="O13" i="1" s="1"/>
  <c r="P13" i="1" s="1"/>
  <c r="Q13" i="1" s="1"/>
  <c r="L14" i="1"/>
  <c r="O14" i="1" s="1"/>
  <c r="P14" i="1" s="1"/>
  <c r="Q14" i="1" s="1"/>
  <c r="L15" i="1"/>
  <c r="L18" i="1"/>
  <c r="L17" i="1" s="1"/>
  <c r="L19" i="1"/>
  <c r="L20" i="1"/>
  <c r="L21" i="1"/>
  <c r="L27" i="1"/>
  <c r="L28" i="1"/>
  <c r="L29" i="1"/>
  <c r="L33" i="1"/>
  <c r="O33" i="1" s="1"/>
  <c r="P33" i="1" s="1"/>
  <c r="Q33" i="1" s="1"/>
  <c r="L34" i="1"/>
  <c r="O34" i="1" s="1"/>
  <c r="P34" i="1" s="1"/>
  <c r="Q34" i="1" s="1"/>
  <c r="L35" i="1"/>
  <c r="O35" i="1" s="1"/>
  <c r="P35" i="1" s="1"/>
  <c r="Q35" i="1" s="1"/>
  <c r="L36" i="1"/>
  <c r="O36" i="1" s="1"/>
  <c r="P36" i="1" s="1"/>
  <c r="Q36" i="1" s="1"/>
  <c r="L38" i="1"/>
  <c r="O40" i="1"/>
  <c r="P40" i="1" s="1"/>
  <c r="Q40" i="1" s="1"/>
  <c r="O41" i="1"/>
  <c r="P41" i="1" s="1"/>
  <c r="Q41" i="1" s="1"/>
  <c r="L42" i="1"/>
  <c r="O42" i="1" s="1"/>
  <c r="P42" i="1" s="1"/>
  <c r="Q42" i="1" s="1"/>
  <c r="L43" i="1"/>
  <c r="L44" i="1"/>
  <c r="L46" i="1"/>
  <c r="O48" i="1"/>
  <c r="P48" i="1" s="1"/>
  <c r="Q48" i="1" s="1"/>
  <c r="L49" i="1"/>
  <c r="L50" i="1"/>
  <c r="O50" i="1" s="1"/>
  <c r="P50" i="1" s="1"/>
  <c r="Q50" i="1" s="1"/>
  <c r="L51" i="1"/>
  <c r="L53" i="1"/>
  <c r="O55" i="1"/>
  <c r="P55" i="1" s="1"/>
  <c r="Q55" i="1" s="1"/>
  <c r="L56" i="1"/>
  <c r="L57" i="1"/>
  <c r="L58" i="1"/>
  <c r="O58" i="1" s="1"/>
  <c r="P58" i="1" s="1"/>
  <c r="Q58" i="1" s="1"/>
  <c r="O61" i="1"/>
  <c r="P61" i="1" s="1"/>
  <c r="Q61" i="1" s="1"/>
  <c r="O62" i="1"/>
  <c r="P62" i="1" s="1"/>
  <c r="Q62" i="1" s="1"/>
  <c r="O63" i="1"/>
  <c r="P63" i="1" s="1"/>
  <c r="Q63" i="1" s="1"/>
  <c r="L64" i="1"/>
  <c r="O64" i="1" s="1"/>
  <c r="P64" i="1" s="1"/>
  <c r="Q64" i="1" s="1"/>
  <c r="L65" i="1"/>
  <c r="L66" i="1"/>
  <c r="O66" i="1" s="1"/>
  <c r="P66" i="1" s="1"/>
  <c r="Q66" i="1" s="1"/>
  <c r="L68" i="1"/>
  <c r="O70" i="1"/>
  <c r="P70" i="1" s="1"/>
  <c r="Q70" i="1" s="1"/>
  <c r="O71" i="1"/>
  <c r="P71" i="1" s="1"/>
  <c r="Q71" i="1" s="1"/>
  <c r="L72" i="1"/>
  <c r="O72" i="1" s="1"/>
  <c r="P72" i="1" s="1"/>
  <c r="Q72" i="1" s="1"/>
  <c r="L73" i="1"/>
  <c r="L74" i="1"/>
  <c r="L86" i="1"/>
  <c r="L87" i="1"/>
  <c r="O87" i="1" s="1"/>
  <c r="P87" i="1" s="1"/>
  <c r="Q87" i="1" s="1"/>
  <c r="L88" i="1"/>
  <c r="O88" i="1" s="1"/>
  <c r="P88" i="1" s="1"/>
  <c r="Q88" i="1" s="1"/>
  <c r="L93" i="1"/>
  <c r="O93" i="1" s="1"/>
  <c r="P93" i="1" s="1"/>
  <c r="Q93" i="1" s="1"/>
  <c r="L94" i="1"/>
  <c r="L95" i="1"/>
  <c r="O95" i="1" s="1"/>
  <c r="P95" i="1" s="1"/>
  <c r="Q95" i="1" s="1"/>
  <c r="L11" i="1"/>
  <c r="O11" i="1" s="1"/>
  <c r="P11" i="1" s="1"/>
  <c r="Q11" i="1" s="1"/>
  <c r="O73" i="1" l="1"/>
  <c r="P73" i="1" s="1"/>
  <c r="Q73" i="1" s="1"/>
  <c r="O29" i="1"/>
  <c r="P29" i="1" s="1"/>
  <c r="Q29" i="1" s="1"/>
  <c r="O20" i="1"/>
  <c r="P20" i="1" s="1"/>
  <c r="Q20" i="1" s="1"/>
  <c r="O74" i="1"/>
  <c r="P74" i="1" s="1"/>
  <c r="Q74" i="1" s="1"/>
  <c r="O94" i="1"/>
  <c r="P94" i="1" s="1"/>
  <c r="Q94" i="1" s="1"/>
  <c r="O86" i="1"/>
  <c r="P86" i="1" s="1"/>
  <c r="Q86" i="1" s="1"/>
  <c r="O65" i="1"/>
  <c r="P65" i="1" s="1"/>
  <c r="Q65" i="1" s="1"/>
  <c r="O15" i="1"/>
  <c r="P15" i="1" s="1"/>
  <c r="Q15" i="1" s="1"/>
  <c r="O56" i="1"/>
  <c r="P56" i="1" s="1"/>
  <c r="Q56" i="1" s="1"/>
  <c r="O44" i="1"/>
  <c r="P44" i="1" s="1"/>
  <c r="Q44" i="1" s="1"/>
  <c r="O27" i="1"/>
  <c r="P27" i="1" s="1"/>
  <c r="Q27" i="1" s="1"/>
  <c r="L16" i="1"/>
  <c r="O57" i="1"/>
  <c r="P57" i="1" s="1"/>
  <c r="Q57" i="1" s="1"/>
  <c r="O51" i="1"/>
  <c r="P51" i="1" s="1"/>
  <c r="Q51" i="1" s="1"/>
  <c r="O49" i="1"/>
  <c r="P49" i="1" s="1"/>
  <c r="Q49" i="1" s="1"/>
  <c r="O43" i="1"/>
  <c r="P43" i="1" s="1"/>
  <c r="Q43" i="1" s="1"/>
  <c r="O28" i="1"/>
  <c r="P28" i="1" s="1"/>
  <c r="Q28" i="1" s="1"/>
  <c r="O21" i="1"/>
  <c r="P21" i="1" s="1"/>
  <c r="Q21" i="1" s="1"/>
  <c r="O19" i="1"/>
  <c r="P19" i="1" s="1"/>
  <c r="Q19" i="1" s="1"/>
  <c r="N16" i="1"/>
  <c r="M10" i="1"/>
  <c r="M9" i="1" s="1"/>
  <c r="N10" i="1"/>
  <c r="N9" i="1" s="1"/>
  <c r="O81" i="1"/>
  <c r="P81" i="1" s="1"/>
  <c r="Q81" i="1" s="1"/>
  <c r="O75" i="1"/>
  <c r="P75" i="1" s="1"/>
  <c r="Q75" i="1" s="1"/>
  <c r="L89" i="1"/>
  <c r="L31" i="1"/>
  <c r="L30" i="1" s="1"/>
  <c r="O30" i="1" s="1"/>
  <c r="P30" i="1" s="1"/>
  <c r="Q30" i="1" s="1"/>
  <c r="N22" i="1"/>
  <c r="O76" i="1"/>
  <c r="P76" i="1" s="1"/>
  <c r="Q76" i="1" s="1"/>
  <c r="L82" i="1"/>
  <c r="O82" i="1" s="1"/>
  <c r="P82" i="1" s="1"/>
  <c r="Q82" i="1" s="1"/>
  <c r="L67" i="1"/>
  <c r="O67" i="1" s="1"/>
  <c r="P67" i="1" s="1"/>
  <c r="Q67" i="1" s="1"/>
  <c r="O68" i="1"/>
  <c r="P68" i="1" s="1"/>
  <c r="Q68" i="1" s="1"/>
  <c r="L45" i="1"/>
  <c r="O45" i="1" s="1"/>
  <c r="P45" i="1" s="1"/>
  <c r="Q45" i="1" s="1"/>
  <c r="O46" i="1"/>
  <c r="P46" i="1" s="1"/>
  <c r="Q46" i="1" s="1"/>
  <c r="O38" i="1"/>
  <c r="O37" i="1" s="1"/>
  <c r="L37" i="1"/>
  <c r="L52" i="1"/>
  <c r="O52" i="1" s="1"/>
  <c r="P52" i="1" s="1"/>
  <c r="Q52" i="1" s="1"/>
  <c r="O53" i="1"/>
  <c r="P53" i="1" s="1"/>
  <c r="Q53" i="1" s="1"/>
  <c r="O31" i="1"/>
  <c r="P31" i="1" s="1"/>
  <c r="Q31" i="1" s="1"/>
  <c r="O69" i="1"/>
  <c r="P69" i="1" s="1"/>
  <c r="Q69" i="1" s="1"/>
  <c r="O39" i="1"/>
  <c r="P39" i="1" s="1"/>
  <c r="Q39" i="1" s="1"/>
  <c r="O32" i="1"/>
  <c r="P32" i="1" s="1"/>
  <c r="Q32" i="1" s="1"/>
  <c r="L10" i="1"/>
  <c r="L60" i="1"/>
  <c r="M16" i="1"/>
  <c r="O54" i="1"/>
  <c r="P54" i="1" s="1"/>
  <c r="Q54" i="1" s="1"/>
  <c r="O47" i="1"/>
  <c r="P47" i="1" s="1"/>
  <c r="Q47" i="1" s="1"/>
  <c r="M22" i="1"/>
  <c r="O24" i="1"/>
  <c r="P24" i="1" s="1"/>
  <c r="Q24" i="1" s="1"/>
  <c r="L23" i="1"/>
  <c r="L22" i="1" s="1"/>
  <c r="O26" i="1"/>
  <c r="P26" i="1" s="1"/>
  <c r="Q26" i="1" s="1"/>
  <c r="O23" i="1"/>
  <c r="P23" i="1" s="1"/>
  <c r="Q23" i="1" s="1"/>
  <c r="O17" i="1"/>
  <c r="P17" i="1" s="1"/>
  <c r="Q17" i="1" s="1"/>
  <c r="O89" i="1"/>
  <c r="P89" i="1" s="1"/>
  <c r="Q89" i="1" s="1"/>
  <c r="O18" i="1"/>
  <c r="P18" i="1" s="1"/>
  <c r="Q18" i="1" s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11" i="1"/>
  <c r="O16" i="1" l="1"/>
  <c r="P16" i="1" s="1"/>
  <c r="Q16" i="1" s="1"/>
  <c r="P38" i="1"/>
  <c r="P37" i="1" s="1"/>
  <c r="O22" i="1"/>
  <c r="P22" i="1" s="1"/>
  <c r="Q22" i="1" s="1"/>
  <c r="L59" i="1"/>
  <c r="O59" i="1" s="1"/>
  <c r="P59" i="1" s="1"/>
  <c r="Q59" i="1" s="1"/>
  <c r="O60" i="1"/>
  <c r="P60" i="1" s="1"/>
  <c r="Q60" i="1" s="1"/>
  <c r="O10" i="1"/>
  <c r="P10" i="1" s="1"/>
  <c r="Q10" i="1" s="1"/>
  <c r="L9" i="1"/>
  <c r="O9" i="1" s="1"/>
  <c r="K23" i="1"/>
  <c r="Q38" i="1" l="1"/>
  <c r="Q37" i="1" s="1"/>
  <c r="P9" i="1"/>
  <c r="Q9" i="1"/>
  <c r="J195" i="3"/>
  <c r="R195" i="3" s="1"/>
  <c r="R196" i="3" s="1"/>
  <c r="R197" i="3" s="1"/>
  <c r="O195" i="3"/>
  <c r="O196" i="3" s="1"/>
  <c r="O197" i="3" s="1"/>
  <c r="N197" i="3" l="1"/>
  <c r="N195" i="3"/>
  <c r="N196" i="3" s="1"/>
  <c r="S195" i="3"/>
  <c r="S196" i="3" s="1"/>
  <c r="S197" i="3" s="1"/>
  <c r="O216" i="3"/>
  <c r="O226" i="3" s="1"/>
  <c r="J215" i="3"/>
  <c r="R215" i="3" s="1"/>
  <c r="R216" i="3" s="1"/>
  <c r="R226" i="3" s="1"/>
  <c r="N215" i="3" l="1"/>
  <c r="S215" i="3"/>
  <c r="S216" i="3" s="1"/>
  <c r="S226" i="3" s="1"/>
  <c r="N216" i="3" l="1"/>
  <c r="N226" i="3" s="1"/>
</calcChain>
</file>

<file path=xl/sharedStrings.xml><?xml version="1.0" encoding="utf-8"?>
<sst xmlns="http://schemas.openxmlformats.org/spreadsheetml/2006/main" count="2077" uniqueCount="210">
  <si>
    <t>Группы общеразвивающей направленности (за исключением малокомплектных образовательных организаций)</t>
  </si>
  <si>
    <t>Нормативные затраты на оказание муниципальных услуг (работ) на 2016-2018 гг</t>
  </si>
  <si>
    <t>Приложение 3</t>
  </si>
  <si>
    <t>Наименование учреждения</t>
  </si>
  <si>
    <t>Ед. изм. объема услуги</t>
  </si>
  <si>
    <t>Значение объема муниципальной услуги (работы)</t>
  </si>
  <si>
    <t>Базовый норматив затрат на единицу объема</t>
  </si>
  <si>
    <t>Нормативные затраты на оказание муниципальной услуги (работы)</t>
  </si>
  <si>
    <t>2016 год</t>
  </si>
  <si>
    <t>2017 год</t>
  </si>
  <si>
    <t>2018 год</t>
  </si>
  <si>
    <t>в т.ч. Местный бюджет</t>
  </si>
  <si>
    <t>Итого:</t>
  </si>
  <si>
    <t>в соответствии с реестром</t>
  </si>
  <si>
    <t>в соответствии с перечнем</t>
  </si>
  <si>
    <t>по ОКЕИ</t>
  </si>
  <si>
    <t>в натуральных показателях</t>
  </si>
  <si>
    <t>в рублях</t>
  </si>
  <si>
    <t>МБДОУ д/с № 4</t>
  </si>
  <si>
    <t>до 3 лет</t>
  </si>
  <si>
    <t>чел.</t>
  </si>
  <si>
    <t>32</t>
  </si>
  <si>
    <t>0</t>
  </si>
  <si>
    <t>0,00</t>
  </si>
  <si>
    <t>от 3 до 7 лет</t>
  </si>
  <si>
    <t>88</t>
  </si>
  <si>
    <t>Мат. база</t>
  </si>
  <si>
    <t>120</t>
  </si>
  <si>
    <r>
      <rPr>
        <b/>
        <sz val="11"/>
        <rFont val="Times New Roman"/>
        <family val="1"/>
        <charset val="204"/>
      </rPr>
      <t>Присмотр и уход</t>
    </r>
  </si>
  <si>
    <t>МБДОУ д/с № 5</t>
  </si>
  <si>
    <t>Группы общеразвивающей направленности, созданные в малокомплектных образовательных организациях</t>
  </si>
  <si>
    <t>группы</t>
  </si>
  <si>
    <t>3</t>
  </si>
  <si>
    <t>Административноуправленческий и учебновспомогательный персонал</t>
  </si>
  <si>
    <t>37</t>
  </si>
  <si>
    <t>МБДОУ д/с № 7</t>
  </si>
  <si>
    <t>29</t>
  </si>
  <si>
    <t>43</t>
  </si>
  <si>
    <t>Группы компенсирующей направленности (за исключением малокомплектных образовательных организаций)</t>
  </si>
  <si>
    <t>48</t>
  </si>
  <si>
    <t>МБДОУ д/с № 8</t>
  </si>
  <si>
    <t>19</t>
  </si>
  <si>
    <t>87</t>
  </si>
  <si>
    <t>106</t>
  </si>
  <si>
    <t>МБДОУ д/с № 9</t>
  </si>
  <si>
    <t>52</t>
  </si>
  <si>
    <t>93</t>
  </si>
  <si>
    <t>72</t>
  </si>
  <si>
    <t>217</t>
  </si>
  <si>
    <t>МБДОУ д/с № 10</t>
  </si>
  <si>
    <t>21</t>
  </si>
  <si>
    <t>Мат.база</t>
  </si>
  <si>
    <t>108</t>
  </si>
  <si>
    <t>МБДОУ д/с № 12</t>
  </si>
  <si>
    <t>41</t>
  </si>
  <si>
    <t>109</t>
  </si>
  <si>
    <t>150</t>
  </si>
  <si>
    <t>МБДОУ д/с № 13</t>
  </si>
  <si>
    <t>18</t>
  </si>
  <si>
    <t>95</t>
  </si>
  <si>
    <t>113</t>
  </si>
  <si>
    <t>МБДОУ д/с № 14</t>
  </si>
  <si>
    <t>45</t>
  </si>
  <si>
    <t>190</t>
  </si>
  <si>
    <t>235</t>
  </si>
  <si>
    <t>МБДОУ д/с № 15</t>
  </si>
  <si>
    <t>31</t>
  </si>
  <si>
    <t>140</t>
  </si>
  <si>
    <t>МБДОУ д/с № 18</t>
  </si>
  <si>
    <t>28</t>
  </si>
  <si>
    <t>112</t>
  </si>
  <si>
    <t>МАДОУ д/с№ 17</t>
  </si>
  <si>
    <t>47</t>
  </si>
  <si>
    <t>198</t>
  </si>
  <si>
    <t>245</t>
  </si>
  <si>
    <r>
      <rPr>
        <b/>
        <sz val="11"/>
        <rFont val="Times New Roman"/>
        <family val="1"/>
        <charset val="204"/>
      </rPr>
      <t>Присмотр н уход</t>
    </r>
  </si>
  <si>
    <t>Реализация основных общеобразовательных программ дошкольного образования</t>
  </si>
  <si>
    <t>Административно-управленческий и учебно-вспомогательный персонал</t>
  </si>
  <si>
    <t>Группы общеразвивающей направленности, в которых воспитанники посещают бассейн</t>
  </si>
  <si>
    <t>в т.ч. Краевой бюджет пед.персонал</t>
  </si>
  <si>
    <t>в т.ч. Краевой бюджет адм-упр.и уч.-вспом.  персонал</t>
  </si>
  <si>
    <t>Наименование услуги</t>
  </si>
  <si>
    <t>27113,68</t>
  </si>
  <si>
    <t>в т.ч. Краевой бюджет адм-упр.и уч.-вспом. Персонал,руб.</t>
  </si>
  <si>
    <t>в т.ч. Местный бюджет, руб.</t>
  </si>
  <si>
    <t>в т.ч. Краевой бюджет пед.персонал, руб.</t>
  </si>
  <si>
    <t>Наименование услуги и уникальный номер реестровой записи</t>
  </si>
  <si>
    <t>Форма организации обучения детей</t>
  </si>
  <si>
    <t>Всего:</t>
  </si>
  <si>
    <t>краевой норматив на общеобразовательные программы</t>
  </si>
  <si>
    <t>краевой норматив на административно-управленч. и учебно-вспомогат.персонал</t>
  </si>
  <si>
    <t>норматив финансирования из местного бюджета</t>
  </si>
  <si>
    <t>Всего на 2016 год:</t>
  </si>
  <si>
    <t>в т.ч на  общеобразовательные программы</t>
  </si>
  <si>
    <t>на содержание административно-управленч. и учебно-вспомогат.персонал</t>
  </si>
  <si>
    <t>за счет финансирования из местного бюджета</t>
  </si>
  <si>
    <t>2017 год, всего</t>
  </si>
  <si>
    <t>2018 год, всего</t>
  </si>
  <si>
    <t>МБОУ Школа №2 им.Ю.А.Гагарина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</si>
  <si>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</si>
  <si>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</si>
  <si>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</si>
  <si>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>Инклюзивное обучение детей c ограниченными возможностями здоровья в общеобразовательных классах образовательных организаций (k = 9)</t>
  </si>
  <si>
    <t>Х</t>
  </si>
  <si>
    <t>х</t>
  </si>
  <si>
    <t>Индивидуальное обучение детей при наличии соответствующего медицинского заключения и детей-инвалидов на дому (k = 10) город</t>
  </si>
  <si>
    <t>итого по услуге: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</si>
  <si>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</si>
  <si>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</si>
  <si>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</si>
  <si>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</si>
  <si>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.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</si>
  <si>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Всего по учреждению:</t>
  </si>
  <si>
    <t>МБОУ СОШ №4</t>
  </si>
  <si>
    <t>МБОУ СОШ №5</t>
  </si>
  <si>
    <t>МБОУ СОШ № 9</t>
  </si>
  <si>
    <t>МАОУ гимназия №10</t>
  </si>
  <si>
    <t>Обучение детей, находящихся на длительном лечении в медицинских учреждениях (индивидуальное, групповое) (k = 11)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</si>
  <si>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</si>
  <si>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МБОУ СОШ № 7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</si>
  <si>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</si>
  <si>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</si>
  <si>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2\46</t>
  </si>
  <si>
    <t>2\49</t>
  </si>
  <si>
    <t>642642,05- на 1 класс+20730,64 на 1 человека</t>
  </si>
  <si>
    <t>642642,05- на 1 класс+ 952,08- на 1 человека</t>
  </si>
  <si>
    <t>3857,41- на 1 человека</t>
  </si>
  <si>
    <t>15921,15-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</si>
  <si>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</si>
  <si>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4\61</t>
  </si>
  <si>
    <t>4\63</t>
  </si>
  <si>
    <t>604145,69 на 1 класс+ 20730,64 на 1 человека</t>
  </si>
  <si>
    <t>604145,69- на 1 класс+ 952,08 на 1 человека</t>
  </si>
  <si>
    <t>6\107</t>
  </si>
  <si>
    <t>6\109</t>
  </si>
  <si>
    <t>6\112</t>
  </si>
  <si>
    <t>3\66</t>
  </si>
  <si>
    <t>5\112</t>
  </si>
  <si>
    <t>955112,98- на 1 класс+ 20947,76 на 1 человека</t>
  </si>
  <si>
    <t>955112,98- на 1 класс+ 1169,2 на 1 человека</t>
  </si>
  <si>
    <t>3\47</t>
  </si>
  <si>
    <t>6\99</t>
  </si>
  <si>
    <t>756594,85 на 1 класс+ 20947,76 на 1 человека</t>
  </si>
  <si>
    <t>756594,85- на 1 класс+1169,2 на 1 человека</t>
  </si>
  <si>
    <t>. Индивидуальное обучение детей при наличии соответствующего медицинского заключения и детей-инвалидов на дому (k = 10) село</t>
  </si>
  <si>
    <t>6\113</t>
  </si>
  <si>
    <t>8\146</t>
  </si>
  <si>
    <t>9\174</t>
  </si>
  <si>
    <t>1\7</t>
  </si>
  <si>
    <t>2\17</t>
  </si>
  <si>
    <t>808407,62 на 1 класс+ 21146,23 на 1 человека</t>
  </si>
  <si>
    <t>808407,62 на 1 класс+1367,67 на 1 человека</t>
  </si>
  <si>
    <t>Форма организации обучения. Направленность групп</t>
  </si>
  <si>
    <t>к Приказу от 31.12.2015_№ 317</t>
  </si>
  <si>
    <t>2. Общеобразовательные учреждения</t>
  </si>
  <si>
    <t>1. Дошкольные образовательные учреждения</t>
  </si>
  <si>
    <t>3. Учреждения дополнительного образования детей (местный бюджет)</t>
  </si>
  <si>
    <t>МБОУ ДО "ДДТ"</t>
  </si>
  <si>
    <t xml:space="preserve">Реализация дополнительных общеразвивающих программ (учреждения дополнительного образования детей) </t>
  </si>
  <si>
    <t>Психолого-медико-педагогическое обследование детей</t>
  </si>
  <si>
    <t>МБОУ ДО "ДЭБС"</t>
  </si>
  <si>
    <t>Кочанова Марина Александровна (39144)3-09-14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</si>
  <si>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</si>
  <si>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11 762,02</t>
  </si>
  <si>
    <t>Инклюзивное обучение детей c ограниченными возможностями здоровья в общеобразовательных классах образовательных организаций (k = 9) в т.ч.:</t>
  </si>
  <si>
    <t>t=4</t>
  </si>
  <si>
    <t>t=6</t>
  </si>
  <si>
    <t>t=7</t>
  </si>
  <si>
    <t>t=8</t>
  </si>
  <si>
    <t>t=12</t>
  </si>
  <si>
    <t xml:space="preserve"> 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</si>
  <si>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t=5</t>
  </si>
  <si>
    <t>t=10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</si>
  <si>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</si>
  <si>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t=2</t>
  </si>
  <si>
    <r>
      <t xml:space="preserve">Обучение детей  в образовательных организациях, реализующих программы общего образования </t>
    </r>
    <r>
      <rPr>
        <b/>
        <sz val="11"/>
        <color theme="1"/>
        <rFont val="Times New Roman"/>
        <family val="1"/>
        <charset val="204"/>
      </rPr>
      <t>математический класс</t>
    </r>
    <r>
      <rPr>
        <sz val="11"/>
        <color theme="1"/>
        <rFont val="Times New Roman"/>
        <family val="1"/>
        <charset val="204"/>
      </rPr>
      <t xml:space="preserve"> (k = 1)</t>
    </r>
  </si>
  <si>
    <t>Индивидуальное обучение детей при наличии соответствующего медицинского заключения и детей-инвалидов на дому (k = 10) село</t>
  </si>
  <si>
    <t>Обучение детей, находящихся на длительном лечении в медицинских учреждениях (индивидуальное, групповое) (k = 11) село</t>
  </si>
  <si>
    <t>Приложение № 3</t>
  </si>
  <si>
    <t>2019 год</t>
  </si>
  <si>
    <t>чел.-час.</t>
  </si>
  <si>
    <t>3\36</t>
  </si>
  <si>
    <t>2019 год, всего</t>
  </si>
  <si>
    <t>2\30</t>
  </si>
  <si>
    <t>4\54</t>
  </si>
  <si>
    <t>2\19</t>
  </si>
  <si>
    <t>3\65</t>
  </si>
  <si>
    <t>5\96</t>
  </si>
  <si>
    <t>7\120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</si>
  <si>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</si>
  <si>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</si>
  <si>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</si>
  <si>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</si>
  <si>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от 3 до 7 лет (b=13)</t>
  </si>
  <si>
    <t>Группы комбинированной направленности, в которых воспитанники посещают бассейн</t>
  </si>
  <si>
    <t>Нормативные затраты на оказание муниципальных услуг (работ) на 2018-2020 гг.</t>
  </si>
  <si>
    <t>2018 год c 01.09.2018</t>
  </si>
  <si>
    <t>2018 год срзнач.</t>
  </si>
  <si>
    <t>2020 год</t>
  </si>
  <si>
    <t>Всего на 2018 год:</t>
  </si>
  <si>
    <t>2020 год, всего</t>
  </si>
  <si>
    <t>642642,05- на 1 класс+ 672,3- на 1 человека</t>
  </si>
  <si>
    <t>604145,69- на 1 класс+ 672,3 на 1 человека</t>
  </si>
  <si>
    <t>955112,98- на 1 класс+ 820,54 на 1 человека</t>
  </si>
  <si>
    <t>756594,85- на 1 класс+820,54 на 1 человека</t>
  </si>
  <si>
    <t>808407,62 на 1 класс+994,19 на 1 человека</t>
  </si>
  <si>
    <t>2020год</t>
  </si>
  <si>
    <t>2018год</t>
  </si>
  <si>
    <t>11041,90- на 1 человека</t>
  </si>
  <si>
    <t xml:space="preserve">к Приказу от 27.12.2017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</si>
</sst>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0"/>
  </numFmts>
  <fonts count="16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3"/>
  </cellStyleXfs>
  <cellXfs count="197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4" fontId="0" fillId="0" borderId="0" xfId="0" applyNumberFormat="1"/>
    <xf numFmtId="0" fontId="12" fillId="0" borderId="0" xfId="0" applyFont="1"/>
    <xf numFmtId="0" fontId="13" fillId="0" borderId="3" xfId="0" applyFont="1" applyBorder="1" applyAlignment="1">
      <alignment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vertical="center" wrapText="1" readingOrder="1"/>
    </xf>
    <xf numFmtId="0" fontId="7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right" vertical="center" wrapText="1" readingOrder="1"/>
    </xf>
    <xf numFmtId="4" fontId="8" fillId="3" borderId="4" xfId="0" applyNumberFormat="1" applyFont="1" applyFill="1" applyBorder="1" applyAlignment="1">
      <alignment horizontal="center" vertical="center" wrapText="1" readingOrder="1"/>
    </xf>
    <xf numFmtId="4" fontId="4" fillId="3" borderId="4" xfId="0" applyNumberFormat="1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 readingOrder="1"/>
    </xf>
    <xf numFmtId="0" fontId="0" fillId="3" borderId="4" xfId="0" applyFont="1" applyFill="1" applyBorder="1" applyAlignment="1">
      <alignment horizontal="left" vertical="center"/>
    </xf>
    <xf numFmtId="2" fontId="9" fillId="3" borderId="4" xfId="0" applyNumberFormat="1" applyFont="1" applyFill="1" applyBorder="1" applyAlignment="1">
      <alignment horizontal="right" vertical="center" wrapText="1" readingOrder="1"/>
    </xf>
    <xf numFmtId="2" fontId="0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left" vertical="center" wrapText="1" readingOrder="1"/>
    </xf>
    <xf numFmtId="0" fontId="4" fillId="3" borderId="4" xfId="0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2" fontId="11" fillId="3" borderId="4" xfId="0" applyNumberFormat="1" applyFont="1" applyFill="1" applyBorder="1"/>
    <xf numFmtId="0" fontId="11" fillId="3" borderId="4" xfId="0" applyFont="1" applyFill="1" applyBorder="1"/>
    <xf numFmtId="0" fontId="11" fillId="3" borderId="4" xfId="0" applyFont="1" applyFill="1" applyBorder="1" applyAlignment="1"/>
    <xf numFmtId="4" fontId="11" fillId="3" borderId="4" xfId="0" applyNumberFormat="1" applyFont="1" applyFill="1" applyBorder="1"/>
    <xf numFmtId="17" fontId="4" fillId="3" borderId="4" xfId="0" applyNumberFormat="1" applyFont="1" applyFill="1" applyBorder="1" applyAlignment="1">
      <alignment horizontal="right" vertical="center" wrapText="1" readingOrder="1"/>
    </xf>
    <xf numFmtId="2" fontId="8" fillId="3" borderId="4" xfId="0" applyNumberFormat="1" applyFont="1" applyFill="1" applyBorder="1" applyAlignment="1">
      <alignment horizontal="center" vertical="center" wrapText="1" readingOrder="1"/>
    </xf>
    <xf numFmtId="4" fontId="0" fillId="3" borderId="4" xfId="0" applyNumberFormat="1" applyFont="1" applyFill="1" applyBorder="1" applyAlignment="1">
      <alignment horizontal="right" vertical="center"/>
    </xf>
    <xf numFmtId="17" fontId="4" fillId="3" borderId="4" xfId="0" applyNumberFormat="1" applyFont="1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/>
    </xf>
    <xf numFmtId="2" fontId="7" fillId="3" borderId="4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vertical="top" indent="2"/>
    </xf>
    <xf numFmtId="0" fontId="7" fillId="3" borderId="4" xfId="2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4" fontId="1" fillId="3" borderId="4" xfId="0" applyNumberFormat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/>
    <xf numFmtId="3" fontId="4" fillId="0" borderId="4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3" fontId="9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readingOrder="1"/>
    </xf>
    <xf numFmtId="3" fontId="1" fillId="0" borderId="4" xfId="0" applyNumberFormat="1" applyFont="1" applyFill="1" applyBorder="1" applyAlignment="1">
      <alignment horizontal="left"/>
    </xf>
    <xf numFmtId="0" fontId="11" fillId="0" borderId="4" xfId="0" applyFont="1" applyFill="1" applyBorder="1"/>
    <xf numFmtId="4" fontId="8" fillId="0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/>
    <xf numFmtId="4" fontId="1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vertical="top" wrapText="1"/>
    </xf>
    <xf numFmtId="3" fontId="7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top" indent="2"/>
    </xf>
    <xf numFmtId="0" fontId="1" fillId="0" borderId="4" xfId="0" applyFont="1" applyFill="1" applyBorder="1" applyAlignment="1">
      <alignment horizontal="left" vertical="top" indent="2"/>
    </xf>
    <xf numFmtId="0" fontId="2" fillId="0" borderId="0" xfId="0" applyFont="1" applyFill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vertical="center" wrapText="1" readingOrder="1"/>
    </xf>
    <xf numFmtId="3" fontId="4" fillId="0" borderId="4" xfId="0" applyNumberFormat="1" applyFont="1" applyFill="1" applyBorder="1" applyAlignment="1">
      <alignment wrapText="1"/>
    </xf>
    <xf numFmtId="4" fontId="1" fillId="0" borderId="4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/>
    <xf numFmtId="3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/>
    <xf numFmtId="4" fontId="11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/>
    <xf numFmtId="0" fontId="1" fillId="0" borderId="4" xfId="0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/>
    <xf numFmtId="0" fontId="1" fillId="0" borderId="3" xfId="0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center" wrapText="1"/>
    </xf>
    <xf numFmtId="3" fontId="7" fillId="3" borderId="4" xfId="0" applyNumberFormat="1" applyFont="1" applyFill="1" applyBorder="1" applyAlignment="1"/>
    <xf numFmtId="3" fontId="4" fillId="3" borderId="4" xfId="0" applyNumberFormat="1" applyFont="1" applyFill="1" applyBorder="1" applyAlignment="1">
      <alignment horizontal="right" wrapText="1"/>
    </xf>
    <xf numFmtId="4" fontId="8" fillId="3" borderId="4" xfId="0" applyNumberFormat="1" applyFont="1" applyFill="1" applyBorder="1" applyAlignment="1">
      <alignment horizontal="right" wrapText="1"/>
    </xf>
    <xf numFmtId="4" fontId="7" fillId="3" borderId="4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indent="2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/>
    <xf numFmtId="0" fontId="7" fillId="3" borderId="4" xfId="2" applyFont="1" applyFill="1" applyBorder="1" applyAlignment="1">
      <alignment horizontal="center" vertical="top" wrapText="1"/>
    </xf>
    <xf numFmtId="0" fontId="10" fillId="3" borderId="4" xfId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 readingOrder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top" wrapText="1"/>
    </xf>
    <xf numFmtId="0" fontId="7" fillId="0" borderId="4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 readingOrder="1"/>
    </xf>
    <xf numFmtId="3" fontId="4" fillId="0" borderId="4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zoomScale="80" zoomScaleNormal="80" workbookViewId="0">
      <pane xSplit="3" ySplit="8" topLeftCell="D18" activePane="bottomRight" state="frozen"/>
      <selection pane="topRight" activeCell="D1" sqref="D1"/>
      <selection pane="bottomLeft" activeCell="A9" sqref="A9"/>
      <selection pane="bottomRight" activeCell="N21" sqref="N21"/>
    </sheetView>
  </sheetViews>
  <sheetFormatPr defaultRowHeight="12.75" x14ac:dyDescent="0.2"/>
  <cols>
    <col min="1" max="1" width="19.42578125" customWidth="1"/>
    <col min="2" max="2" width="19.85546875" customWidth="1"/>
    <col min="3" max="3" width="23.7109375" customWidth="1"/>
    <col min="4" max="4" width="8.7109375" customWidth="1"/>
    <col min="5" max="5" width="12.42578125" customWidth="1"/>
    <col min="6" max="7" width="12.7109375" customWidth="1"/>
    <col min="8" max="8" width="14.140625" bestFit="1" customWidth="1"/>
    <col min="9" max="9" width="16" customWidth="1"/>
    <col min="10" max="10" width="13.85546875" customWidth="1"/>
    <col min="11" max="11" width="12.140625" bestFit="1" customWidth="1"/>
    <col min="12" max="12" width="16.7109375" customWidth="1"/>
    <col min="13" max="13" width="15.42578125" customWidth="1"/>
    <col min="14" max="14" width="13.28515625" customWidth="1"/>
    <col min="15" max="15" width="14.28515625" customWidth="1"/>
    <col min="16" max="16" width="13.140625" customWidth="1"/>
    <col min="17" max="17" width="14.85546875" bestFit="1" customWidth="1"/>
    <col min="19" max="19" width="13.5703125" bestFit="1" customWidth="1"/>
  </cols>
  <sheetData>
    <row r="1" spans="1:19" ht="15" x14ac:dyDescent="0.2">
      <c r="A1" s="1"/>
      <c r="O1" s="3" t="s">
        <v>2</v>
      </c>
    </row>
    <row r="2" spans="1:19" ht="15" x14ac:dyDescent="0.2">
      <c r="O2" s="3" t="s">
        <v>153</v>
      </c>
    </row>
    <row r="3" spans="1:19" ht="18.75" x14ac:dyDescent="0.2">
      <c r="A3" s="160" t="s">
        <v>1</v>
      </c>
      <c r="B3" s="160"/>
      <c r="C3" s="161"/>
      <c r="D3" s="160"/>
      <c r="E3" s="160"/>
      <c r="F3" s="160"/>
      <c r="G3" s="160"/>
      <c r="H3" s="160"/>
      <c r="I3" s="161"/>
      <c r="J3" s="160"/>
      <c r="K3" s="160"/>
      <c r="L3" s="160"/>
      <c r="M3" s="160"/>
      <c r="N3" s="161"/>
      <c r="O3" s="160"/>
      <c r="P3" s="160"/>
      <c r="Q3" s="160"/>
    </row>
    <row r="4" spans="1:19" ht="36.75" customHeight="1" x14ac:dyDescent="0.3">
      <c r="A4" s="6" t="s">
        <v>155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9" ht="15.75" hidden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ht="45" x14ac:dyDescent="0.2">
      <c r="A6" s="38" t="s">
        <v>3</v>
      </c>
      <c r="B6" s="38" t="s">
        <v>81</v>
      </c>
      <c r="C6" s="38" t="s">
        <v>152</v>
      </c>
      <c r="D6" s="38" t="s">
        <v>4</v>
      </c>
      <c r="E6" s="167" t="s">
        <v>5</v>
      </c>
      <c r="F6" s="167"/>
      <c r="G6" s="167"/>
      <c r="H6" s="158" t="s">
        <v>6</v>
      </c>
      <c r="I6" s="158"/>
      <c r="J6" s="158"/>
      <c r="K6" s="158"/>
      <c r="L6" s="158" t="s">
        <v>7</v>
      </c>
      <c r="M6" s="158"/>
      <c r="N6" s="158"/>
      <c r="O6" s="158"/>
      <c r="P6" s="158"/>
      <c r="Q6" s="158"/>
    </row>
    <row r="7" spans="1:19" ht="60" x14ac:dyDescent="0.25">
      <c r="A7" s="39"/>
      <c r="B7" s="39"/>
      <c r="C7" s="39"/>
      <c r="D7" s="39"/>
      <c r="E7" s="40" t="s">
        <v>8</v>
      </c>
      <c r="F7" s="40" t="s">
        <v>9</v>
      </c>
      <c r="G7" s="40" t="s">
        <v>10</v>
      </c>
      <c r="H7" s="41" t="s">
        <v>79</v>
      </c>
      <c r="I7" s="38" t="s">
        <v>80</v>
      </c>
      <c r="J7" s="41" t="s">
        <v>11</v>
      </c>
      <c r="K7" s="40" t="s">
        <v>12</v>
      </c>
      <c r="L7" s="159" t="s">
        <v>8</v>
      </c>
      <c r="M7" s="159"/>
      <c r="N7" s="159"/>
      <c r="O7" s="159"/>
      <c r="P7" s="40" t="s">
        <v>9</v>
      </c>
      <c r="Q7" s="40" t="s">
        <v>10</v>
      </c>
    </row>
    <row r="8" spans="1:19" ht="43.5" customHeight="1" x14ac:dyDescent="0.25">
      <c r="A8" s="42" t="s">
        <v>13</v>
      </c>
      <c r="B8" s="42" t="s">
        <v>14</v>
      </c>
      <c r="C8" s="42"/>
      <c r="D8" s="43" t="s">
        <v>15</v>
      </c>
      <c r="E8" s="42" t="s">
        <v>16</v>
      </c>
      <c r="F8" s="42" t="s">
        <v>16</v>
      </c>
      <c r="G8" s="42" t="s">
        <v>16</v>
      </c>
      <c r="H8" s="43" t="s">
        <v>17</v>
      </c>
      <c r="I8" s="43" t="s">
        <v>17</v>
      </c>
      <c r="J8" s="43" t="s">
        <v>17</v>
      </c>
      <c r="K8" s="43" t="s">
        <v>17</v>
      </c>
      <c r="L8" s="43" t="s">
        <v>85</v>
      </c>
      <c r="M8" s="43" t="s">
        <v>83</v>
      </c>
      <c r="N8" s="43" t="s">
        <v>84</v>
      </c>
      <c r="O8" s="43" t="s">
        <v>12</v>
      </c>
      <c r="P8" s="43" t="s">
        <v>17</v>
      </c>
      <c r="Q8" s="43" t="s">
        <v>17</v>
      </c>
    </row>
    <row r="9" spans="1:19" ht="15" x14ac:dyDescent="0.25">
      <c r="A9" s="44" t="s">
        <v>18</v>
      </c>
      <c r="B9" s="45"/>
      <c r="C9" s="45"/>
      <c r="D9" s="45"/>
      <c r="E9" s="45"/>
      <c r="F9" s="45"/>
      <c r="G9" s="45"/>
      <c r="H9" s="46"/>
      <c r="I9" s="46"/>
      <c r="J9" s="46"/>
      <c r="K9" s="46"/>
      <c r="L9" s="46">
        <f>L10+L15</f>
        <v>4839183.68</v>
      </c>
      <c r="M9" s="46">
        <f t="shared" ref="M9:N9" si="0">M10+M15</f>
        <v>1411442.4</v>
      </c>
      <c r="N9" s="46">
        <f t="shared" si="0"/>
        <v>6372720</v>
      </c>
      <c r="O9" s="46">
        <f>L9+M9+N9</f>
        <v>12623346.08</v>
      </c>
      <c r="P9" s="46">
        <f>L9</f>
        <v>4839183.68</v>
      </c>
      <c r="Q9" s="46">
        <f>L9</f>
        <v>4839183.68</v>
      </c>
    </row>
    <row r="10" spans="1:19" ht="85.5" x14ac:dyDescent="0.25">
      <c r="A10" s="47"/>
      <c r="B10" s="47" t="s">
        <v>76</v>
      </c>
      <c r="C10" s="47"/>
      <c r="D10" s="45"/>
      <c r="E10" s="48"/>
      <c r="F10" s="48"/>
      <c r="G10" s="48"/>
      <c r="H10" s="46"/>
      <c r="I10" s="46"/>
      <c r="J10" s="46"/>
      <c r="K10" s="46"/>
      <c r="L10" s="46">
        <f>L11+L12</f>
        <v>4839183.68</v>
      </c>
      <c r="M10" s="46">
        <f t="shared" ref="M10:N10" si="1">M11+M12</f>
        <v>1411442.4</v>
      </c>
      <c r="N10" s="46">
        <f t="shared" si="1"/>
        <v>3253642.8</v>
      </c>
      <c r="O10" s="46">
        <f>L10+M10+N10</f>
        <v>9504268.879999999</v>
      </c>
      <c r="P10" s="46">
        <f>O10</f>
        <v>9504268.879999999</v>
      </c>
      <c r="Q10" s="46">
        <f>P10</f>
        <v>9504268.879999999</v>
      </c>
      <c r="S10" s="4"/>
    </row>
    <row r="11" spans="1:19" ht="105" x14ac:dyDescent="0.25">
      <c r="A11" s="42"/>
      <c r="B11" s="44" t="s">
        <v>19</v>
      </c>
      <c r="C11" s="42" t="s">
        <v>0</v>
      </c>
      <c r="D11" s="44" t="s">
        <v>20</v>
      </c>
      <c r="E11" s="44" t="s">
        <v>21</v>
      </c>
      <c r="F11" s="44" t="s">
        <v>21</v>
      </c>
      <c r="G11" s="44" t="s">
        <v>21</v>
      </c>
      <c r="H11" s="46">
        <v>47587</v>
      </c>
      <c r="I11" s="46">
        <v>11762.02</v>
      </c>
      <c r="J11" s="46">
        <v>27113.69</v>
      </c>
      <c r="K11" s="46">
        <f>H11+I11+J11</f>
        <v>86462.71</v>
      </c>
      <c r="L11" s="46">
        <f>E11*H11</f>
        <v>1522784</v>
      </c>
      <c r="M11" s="46">
        <f>F11*I11</f>
        <v>376384.64</v>
      </c>
      <c r="N11" s="46">
        <f>G11*J11</f>
        <v>867638.08</v>
      </c>
      <c r="O11" s="46">
        <f>L11+M11+N11</f>
        <v>2766806.72</v>
      </c>
      <c r="P11" s="46">
        <f>O11</f>
        <v>2766806.72</v>
      </c>
      <c r="Q11" s="46">
        <f>P11</f>
        <v>2766806.72</v>
      </c>
      <c r="S11" s="4"/>
    </row>
    <row r="12" spans="1:19" ht="15" x14ac:dyDescent="0.25">
      <c r="A12" s="49"/>
      <c r="B12" s="50" t="s">
        <v>24</v>
      </c>
      <c r="C12" s="50"/>
      <c r="D12" s="50" t="s">
        <v>20</v>
      </c>
      <c r="E12" s="44" t="s">
        <v>25</v>
      </c>
      <c r="F12" s="44" t="s">
        <v>25</v>
      </c>
      <c r="G12" s="44" t="s">
        <v>25</v>
      </c>
      <c r="H12" s="46">
        <v>37686.36</v>
      </c>
      <c r="I12" s="46">
        <v>11762.02</v>
      </c>
      <c r="J12" s="46">
        <v>27113.69</v>
      </c>
      <c r="K12" s="46">
        <f t="shared" ref="K12:K75" si="2">H12+I12+J12</f>
        <v>76562.070000000007</v>
      </c>
      <c r="L12" s="46">
        <f t="shared" ref="L12:L74" si="3">E12*H12</f>
        <v>3316399.68</v>
      </c>
      <c r="M12" s="46">
        <f t="shared" ref="M12:M74" si="4">F12*I12</f>
        <v>1035057.76</v>
      </c>
      <c r="N12" s="46">
        <f t="shared" ref="N12:N74" si="5">G12*J12</f>
        <v>2386004.7199999997</v>
      </c>
      <c r="O12" s="46">
        <f t="shared" ref="O12:O75" si="6">L12+M12+N12</f>
        <v>6737462.1600000001</v>
      </c>
      <c r="P12" s="46">
        <f t="shared" ref="P12:Q75" si="7">O12</f>
        <v>6737462.1600000001</v>
      </c>
      <c r="Q12" s="46">
        <f t="shared" si="7"/>
        <v>6737462.1600000001</v>
      </c>
      <c r="S12" s="4"/>
    </row>
    <row r="13" spans="1:19" ht="75" hidden="1" x14ac:dyDescent="0.25">
      <c r="A13" s="42" t="s">
        <v>77</v>
      </c>
      <c r="B13" s="45"/>
      <c r="C13" s="45"/>
      <c r="D13" s="44" t="s">
        <v>20</v>
      </c>
      <c r="E13" s="44" t="s">
        <v>27</v>
      </c>
      <c r="F13" s="44" t="s">
        <v>27</v>
      </c>
      <c r="G13" s="44" t="s">
        <v>27</v>
      </c>
      <c r="H13" s="46"/>
      <c r="I13" s="46"/>
      <c r="J13" s="46"/>
      <c r="K13" s="46">
        <f t="shared" si="2"/>
        <v>0</v>
      </c>
      <c r="L13" s="46">
        <f t="shared" si="3"/>
        <v>0</v>
      </c>
      <c r="M13" s="46">
        <f t="shared" si="4"/>
        <v>0</v>
      </c>
      <c r="N13" s="46">
        <f t="shared" si="5"/>
        <v>0</v>
      </c>
      <c r="O13" s="46">
        <f t="shared" si="6"/>
        <v>0</v>
      </c>
      <c r="P13" s="46">
        <f t="shared" si="7"/>
        <v>0</v>
      </c>
      <c r="Q13" s="46">
        <f t="shared" si="7"/>
        <v>0</v>
      </c>
    </row>
    <row r="14" spans="1:19" ht="15" hidden="1" x14ac:dyDescent="0.25">
      <c r="A14" s="43"/>
      <c r="B14" s="45"/>
      <c r="C14" s="45"/>
      <c r="D14" s="45"/>
      <c r="E14" s="44" t="s">
        <v>27</v>
      </c>
      <c r="F14" s="44" t="s">
        <v>27</v>
      </c>
      <c r="G14" s="44" t="s">
        <v>27</v>
      </c>
      <c r="H14" s="46"/>
      <c r="I14" s="46"/>
      <c r="J14" s="46">
        <v>0</v>
      </c>
      <c r="K14" s="46">
        <f t="shared" si="2"/>
        <v>0</v>
      </c>
      <c r="L14" s="46">
        <f t="shared" si="3"/>
        <v>0</v>
      </c>
      <c r="M14" s="46">
        <f t="shared" si="4"/>
        <v>0</v>
      </c>
      <c r="N14" s="46">
        <f t="shared" si="5"/>
        <v>0</v>
      </c>
      <c r="O14" s="46">
        <f t="shared" si="6"/>
        <v>0</v>
      </c>
      <c r="P14" s="46">
        <f t="shared" si="7"/>
        <v>0</v>
      </c>
      <c r="Q14" s="46">
        <f t="shared" si="7"/>
        <v>0</v>
      </c>
    </row>
    <row r="15" spans="1:19" ht="15" x14ac:dyDescent="0.25">
      <c r="A15" s="50"/>
      <c r="B15" s="50" t="s">
        <v>28</v>
      </c>
      <c r="C15" s="50"/>
      <c r="D15" s="45"/>
      <c r="E15" s="44" t="s">
        <v>27</v>
      </c>
      <c r="F15" s="44" t="s">
        <v>27</v>
      </c>
      <c r="G15" s="44" t="s">
        <v>27</v>
      </c>
      <c r="H15" s="46" t="s">
        <v>23</v>
      </c>
      <c r="I15" s="46"/>
      <c r="J15" s="46">
        <v>25992.31</v>
      </c>
      <c r="K15" s="46">
        <f t="shared" si="2"/>
        <v>25992.31</v>
      </c>
      <c r="L15" s="46">
        <f t="shared" si="3"/>
        <v>0</v>
      </c>
      <c r="M15" s="46">
        <f t="shared" si="4"/>
        <v>0</v>
      </c>
      <c r="N15" s="46">
        <f t="shared" si="5"/>
        <v>3119077.2</v>
      </c>
      <c r="O15" s="46">
        <f t="shared" si="6"/>
        <v>3119077.2</v>
      </c>
      <c r="P15" s="46">
        <f t="shared" si="7"/>
        <v>3119077.2</v>
      </c>
      <c r="Q15" s="46">
        <f t="shared" si="7"/>
        <v>3119077.2</v>
      </c>
    </row>
    <row r="16" spans="1:19" ht="15" x14ac:dyDescent="0.25">
      <c r="A16" s="50" t="s">
        <v>29</v>
      </c>
      <c r="B16" s="50"/>
      <c r="C16" s="50"/>
      <c r="D16" s="45"/>
      <c r="E16" s="44"/>
      <c r="F16" s="44"/>
      <c r="G16" s="44"/>
      <c r="H16" s="46"/>
      <c r="I16" s="46"/>
      <c r="J16" s="46"/>
      <c r="K16" s="46">
        <f t="shared" si="2"/>
        <v>0</v>
      </c>
      <c r="L16" s="46">
        <f>L17+L21</f>
        <v>2191749.33</v>
      </c>
      <c r="M16" s="46">
        <f t="shared" ref="M16:N16" si="8">M17+M21</f>
        <v>435194.74</v>
      </c>
      <c r="N16" s="46">
        <f t="shared" si="8"/>
        <v>1964922</v>
      </c>
      <c r="O16" s="46">
        <f t="shared" si="6"/>
        <v>4591866.07</v>
      </c>
      <c r="P16" s="46">
        <f t="shared" si="7"/>
        <v>4591866.07</v>
      </c>
      <c r="Q16" s="46">
        <f t="shared" si="7"/>
        <v>4591866.07</v>
      </c>
    </row>
    <row r="17" spans="1:17" ht="85.5" x14ac:dyDescent="0.25">
      <c r="A17" s="51"/>
      <c r="B17" s="47" t="s">
        <v>76</v>
      </c>
      <c r="C17" s="47"/>
      <c r="D17" s="45"/>
      <c r="E17" s="48"/>
      <c r="F17" s="48"/>
      <c r="G17" s="48"/>
      <c r="H17" s="46"/>
      <c r="I17" s="46"/>
      <c r="J17" s="46"/>
      <c r="K17" s="46">
        <f t="shared" si="2"/>
        <v>0</v>
      </c>
      <c r="L17" s="46">
        <f>L18</f>
        <v>2191749.33</v>
      </c>
      <c r="M17" s="46">
        <f t="shared" ref="M17:N17" si="9">M18</f>
        <v>435194.74</v>
      </c>
      <c r="N17" s="46">
        <f t="shared" si="9"/>
        <v>1003206.5299999999</v>
      </c>
      <c r="O17" s="46">
        <f>L17+M17+N17</f>
        <v>3630150.6</v>
      </c>
      <c r="P17" s="46">
        <f t="shared" si="7"/>
        <v>3630150.6</v>
      </c>
      <c r="Q17" s="46">
        <f t="shared" si="7"/>
        <v>3630150.6</v>
      </c>
    </row>
    <row r="18" spans="1:17" ht="105" x14ac:dyDescent="0.25">
      <c r="A18" s="42"/>
      <c r="B18" s="45"/>
      <c r="C18" s="42" t="s">
        <v>30</v>
      </c>
      <c r="D18" s="50" t="s">
        <v>31</v>
      </c>
      <c r="E18" s="44" t="s">
        <v>32</v>
      </c>
      <c r="F18" s="44" t="s">
        <v>32</v>
      </c>
      <c r="G18" s="44">
        <v>3</v>
      </c>
      <c r="H18" s="46">
        <v>730583.11</v>
      </c>
      <c r="I18" s="46">
        <v>11762.02</v>
      </c>
      <c r="J18" s="46">
        <v>27113.69</v>
      </c>
      <c r="K18" s="46">
        <f t="shared" si="2"/>
        <v>769458.82</v>
      </c>
      <c r="L18" s="46">
        <f t="shared" si="3"/>
        <v>2191749.33</v>
      </c>
      <c r="M18" s="46">
        <f>E21*I18</f>
        <v>435194.74</v>
      </c>
      <c r="N18" s="46">
        <f>E21*J18</f>
        <v>1003206.5299999999</v>
      </c>
      <c r="O18" s="46">
        <f t="shared" si="6"/>
        <v>3630150.6</v>
      </c>
      <c r="P18" s="46">
        <f t="shared" si="7"/>
        <v>3630150.6</v>
      </c>
      <c r="Q18" s="46">
        <f t="shared" si="7"/>
        <v>3630150.6</v>
      </c>
    </row>
    <row r="19" spans="1:17" ht="15" hidden="1" x14ac:dyDescent="0.25">
      <c r="A19" s="50" t="s">
        <v>26</v>
      </c>
      <c r="B19" s="45"/>
      <c r="C19" s="45"/>
      <c r="D19" s="50" t="s">
        <v>31</v>
      </c>
      <c r="E19" s="44" t="s">
        <v>32</v>
      </c>
      <c r="F19" s="44" t="s">
        <v>32</v>
      </c>
      <c r="G19" s="44" t="s">
        <v>32</v>
      </c>
      <c r="H19" s="46"/>
      <c r="I19" s="46">
        <v>11762.02</v>
      </c>
      <c r="J19" s="46">
        <v>27113.69</v>
      </c>
      <c r="K19" s="46">
        <f t="shared" si="2"/>
        <v>38875.71</v>
      </c>
      <c r="L19" s="46">
        <f t="shared" si="3"/>
        <v>0</v>
      </c>
      <c r="M19" s="46">
        <f t="shared" si="4"/>
        <v>35286.06</v>
      </c>
      <c r="N19" s="46">
        <f t="shared" si="5"/>
        <v>81341.069999999992</v>
      </c>
      <c r="O19" s="46">
        <f t="shared" si="6"/>
        <v>116627.12999999999</v>
      </c>
      <c r="P19" s="46">
        <f t="shared" si="7"/>
        <v>116627.12999999999</v>
      </c>
      <c r="Q19" s="46">
        <f t="shared" si="7"/>
        <v>116627.12999999999</v>
      </c>
    </row>
    <row r="20" spans="1:17" ht="75" hidden="1" x14ac:dyDescent="0.25">
      <c r="A20" s="42" t="s">
        <v>77</v>
      </c>
      <c r="B20" s="45"/>
      <c r="C20" s="45"/>
      <c r="D20" s="50" t="s">
        <v>20</v>
      </c>
      <c r="E20" s="44" t="s">
        <v>34</v>
      </c>
      <c r="F20" s="44" t="s">
        <v>34</v>
      </c>
      <c r="G20" s="44" t="s">
        <v>34</v>
      </c>
      <c r="H20" s="46"/>
      <c r="I20" s="46"/>
      <c r="J20" s="46"/>
      <c r="K20" s="46">
        <f t="shared" si="2"/>
        <v>0</v>
      </c>
      <c r="L20" s="46">
        <f t="shared" si="3"/>
        <v>0</v>
      </c>
      <c r="M20" s="46">
        <f t="shared" si="4"/>
        <v>0</v>
      </c>
      <c r="N20" s="46">
        <f t="shared" si="5"/>
        <v>0</v>
      </c>
      <c r="O20" s="46">
        <f t="shared" si="6"/>
        <v>0</v>
      </c>
      <c r="P20" s="46">
        <f t="shared" si="7"/>
        <v>0</v>
      </c>
      <c r="Q20" s="46">
        <f t="shared" si="7"/>
        <v>0</v>
      </c>
    </row>
    <row r="21" spans="1:17" ht="15" x14ac:dyDescent="0.25">
      <c r="A21" s="50"/>
      <c r="B21" s="50" t="s">
        <v>28</v>
      </c>
      <c r="C21" s="50"/>
      <c r="D21" s="50" t="s">
        <v>20</v>
      </c>
      <c r="E21" s="44" t="s">
        <v>34</v>
      </c>
      <c r="F21" s="44" t="s">
        <v>34</v>
      </c>
      <c r="G21" s="44" t="s">
        <v>34</v>
      </c>
      <c r="H21" s="46" t="s">
        <v>23</v>
      </c>
      <c r="I21" s="46"/>
      <c r="J21" s="46">
        <v>25992.31</v>
      </c>
      <c r="K21" s="46">
        <f t="shared" si="2"/>
        <v>25992.31</v>
      </c>
      <c r="L21" s="46">
        <f t="shared" si="3"/>
        <v>0</v>
      </c>
      <c r="M21" s="46">
        <f t="shared" si="4"/>
        <v>0</v>
      </c>
      <c r="N21" s="46">
        <f t="shared" si="5"/>
        <v>961715.47000000009</v>
      </c>
      <c r="O21" s="46">
        <f t="shared" si="6"/>
        <v>961715.47000000009</v>
      </c>
      <c r="P21" s="46">
        <f t="shared" si="7"/>
        <v>961715.47000000009</v>
      </c>
      <c r="Q21" s="46">
        <f t="shared" si="7"/>
        <v>961715.47000000009</v>
      </c>
    </row>
    <row r="22" spans="1:17" ht="15" x14ac:dyDescent="0.25">
      <c r="A22" s="44" t="s">
        <v>35</v>
      </c>
      <c r="B22" s="45"/>
      <c r="C22" s="45"/>
      <c r="D22" s="45"/>
      <c r="E22" s="48"/>
      <c r="F22" s="48"/>
      <c r="G22" s="48"/>
      <c r="H22" s="46"/>
      <c r="I22" s="46"/>
      <c r="J22" s="46"/>
      <c r="K22" s="46">
        <f t="shared" si="2"/>
        <v>0</v>
      </c>
      <c r="L22" s="46">
        <f>L23+L29</f>
        <v>9194014.25</v>
      </c>
      <c r="M22" s="46">
        <f t="shared" ref="M22:N22" si="10">M23+M29</f>
        <v>1411442.4</v>
      </c>
      <c r="N22" s="46">
        <f t="shared" si="10"/>
        <v>6372720</v>
      </c>
      <c r="O22" s="46">
        <f>L22+M22+N22</f>
        <v>16978176.649999999</v>
      </c>
      <c r="P22" s="46">
        <f t="shared" si="7"/>
        <v>16978176.649999999</v>
      </c>
      <c r="Q22" s="46">
        <f t="shared" si="7"/>
        <v>16978176.649999999</v>
      </c>
    </row>
    <row r="23" spans="1:17" ht="85.5" x14ac:dyDescent="0.25">
      <c r="A23" s="42"/>
      <c r="B23" s="47" t="s">
        <v>76</v>
      </c>
      <c r="C23" s="47"/>
      <c r="D23" s="45"/>
      <c r="E23" s="48"/>
      <c r="F23" s="48"/>
      <c r="G23" s="48"/>
      <c r="H23" s="46"/>
      <c r="I23" s="46"/>
      <c r="J23" s="46"/>
      <c r="K23" s="46">
        <f t="shared" si="2"/>
        <v>0</v>
      </c>
      <c r="L23" s="46">
        <f>L24+L25+L26</f>
        <v>9194014.25</v>
      </c>
      <c r="M23" s="46">
        <f>M24+M25+M26</f>
        <v>1411442.4</v>
      </c>
      <c r="N23" s="46">
        <f t="shared" ref="N23" si="11">N24+N25+N26</f>
        <v>3253642.8</v>
      </c>
      <c r="O23" s="46">
        <f>L23+M23+N23</f>
        <v>13859099.449999999</v>
      </c>
      <c r="P23" s="46">
        <f t="shared" si="7"/>
        <v>13859099.449999999</v>
      </c>
      <c r="Q23" s="46">
        <f t="shared" si="7"/>
        <v>13859099.449999999</v>
      </c>
    </row>
    <row r="24" spans="1:17" ht="105" x14ac:dyDescent="0.25">
      <c r="A24" s="42"/>
      <c r="B24" s="44" t="s">
        <v>19</v>
      </c>
      <c r="C24" s="42" t="s">
        <v>0</v>
      </c>
      <c r="D24" s="50" t="s">
        <v>20</v>
      </c>
      <c r="E24" s="44" t="s">
        <v>36</v>
      </c>
      <c r="F24" s="44" t="s">
        <v>36</v>
      </c>
      <c r="G24" s="44" t="s">
        <v>36</v>
      </c>
      <c r="H24" s="46">
        <v>41608.51</v>
      </c>
      <c r="I24" s="46">
        <v>11762.02</v>
      </c>
      <c r="J24" s="46">
        <v>27113.69</v>
      </c>
      <c r="K24" s="46">
        <f t="shared" si="2"/>
        <v>80484.22</v>
      </c>
      <c r="L24" s="46">
        <f>E24*H24</f>
        <v>1206646.79</v>
      </c>
      <c r="M24" s="46">
        <f>E24*I24</f>
        <v>341098.58</v>
      </c>
      <c r="N24" s="46">
        <f>E24*J24</f>
        <v>786297.01</v>
      </c>
      <c r="O24" s="46">
        <f t="shared" ref="O24:O29" si="12">L24+M24+N24</f>
        <v>2334042.38</v>
      </c>
      <c r="P24" s="46">
        <f t="shared" si="7"/>
        <v>2334042.38</v>
      </c>
      <c r="Q24" s="46">
        <f t="shared" si="7"/>
        <v>2334042.38</v>
      </c>
    </row>
    <row r="25" spans="1:17" ht="15" x14ac:dyDescent="0.25">
      <c r="A25" s="49"/>
      <c r="B25" s="44" t="s">
        <v>24</v>
      </c>
      <c r="C25" s="44"/>
      <c r="D25" s="44" t="s">
        <v>20</v>
      </c>
      <c r="E25" s="44" t="s">
        <v>37</v>
      </c>
      <c r="F25" s="44" t="s">
        <v>37</v>
      </c>
      <c r="G25" s="44" t="s">
        <v>37</v>
      </c>
      <c r="H25" s="46">
        <v>32991.18</v>
      </c>
      <c r="I25" s="46">
        <v>11762.02</v>
      </c>
      <c r="J25" s="46">
        <v>27113.69</v>
      </c>
      <c r="K25" s="46">
        <f t="shared" si="2"/>
        <v>71866.89</v>
      </c>
      <c r="L25" s="46">
        <f t="shared" ref="L25" si="13">E25*H25</f>
        <v>1418620.74</v>
      </c>
      <c r="M25" s="46">
        <f>E25*I25</f>
        <v>505766.86000000004</v>
      </c>
      <c r="N25" s="46">
        <f t="shared" ref="N25:N26" si="14">E25*J25</f>
        <v>1165888.67</v>
      </c>
      <c r="O25" s="46">
        <f t="shared" si="12"/>
        <v>3090276.27</v>
      </c>
      <c r="P25" s="46">
        <f t="shared" si="7"/>
        <v>3090276.27</v>
      </c>
      <c r="Q25" s="46">
        <f t="shared" si="7"/>
        <v>3090276.27</v>
      </c>
    </row>
    <row r="26" spans="1:17" ht="105" x14ac:dyDescent="0.25">
      <c r="A26" s="42"/>
      <c r="B26" s="45"/>
      <c r="C26" s="42" t="s">
        <v>38</v>
      </c>
      <c r="D26" s="50" t="s">
        <v>20</v>
      </c>
      <c r="E26" s="44" t="s">
        <v>39</v>
      </c>
      <c r="F26" s="44" t="s">
        <v>39</v>
      </c>
      <c r="G26" s="44" t="s">
        <v>39</v>
      </c>
      <c r="H26" s="46">
        <v>136848.89000000001</v>
      </c>
      <c r="I26" s="46">
        <v>11762.02</v>
      </c>
      <c r="J26" s="46">
        <v>27113.69</v>
      </c>
      <c r="K26" s="46">
        <f t="shared" si="2"/>
        <v>175724.6</v>
      </c>
      <c r="L26" s="46">
        <f>E26*H26</f>
        <v>6568746.7200000007</v>
      </c>
      <c r="M26" s="46">
        <f>E26*I26</f>
        <v>564576.96</v>
      </c>
      <c r="N26" s="46">
        <f t="shared" si="14"/>
        <v>1301457.1199999999</v>
      </c>
      <c r="O26" s="46">
        <f t="shared" si="12"/>
        <v>8434780.8000000007</v>
      </c>
      <c r="P26" s="46">
        <f t="shared" si="7"/>
        <v>8434780.8000000007</v>
      </c>
      <c r="Q26" s="46">
        <f t="shared" si="7"/>
        <v>8434780.8000000007</v>
      </c>
    </row>
    <row r="27" spans="1:17" ht="15" hidden="1" x14ac:dyDescent="0.25">
      <c r="A27" s="44" t="s">
        <v>26</v>
      </c>
      <c r="B27" s="45"/>
      <c r="C27" s="45"/>
      <c r="D27" s="44" t="s">
        <v>20</v>
      </c>
      <c r="E27" s="44" t="s">
        <v>27</v>
      </c>
      <c r="F27" s="44" t="s">
        <v>27</v>
      </c>
      <c r="G27" s="44" t="s">
        <v>27</v>
      </c>
      <c r="H27" s="46"/>
      <c r="I27" s="46">
        <v>11762.02</v>
      </c>
      <c r="J27" s="46"/>
      <c r="K27" s="46">
        <f t="shared" si="2"/>
        <v>11762.02</v>
      </c>
      <c r="L27" s="46">
        <f t="shared" si="3"/>
        <v>0</v>
      </c>
      <c r="M27" s="46">
        <f t="shared" si="4"/>
        <v>1411442.4000000001</v>
      </c>
      <c r="N27" s="46">
        <f t="shared" si="5"/>
        <v>0</v>
      </c>
      <c r="O27" s="46">
        <f t="shared" si="12"/>
        <v>1411442.4000000001</v>
      </c>
      <c r="P27" s="46">
        <f t="shared" si="7"/>
        <v>1411442.4000000001</v>
      </c>
      <c r="Q27" s="46">
        <f t="shared" si="7"/>
        <v>1411442.4000000001</v>
      </c>
    </row>
    <row r="28" spans="1:17" ht="75" hidden="1" x14ac:dyDescent="0.25">
      <c r="A28" s="42" t="s">
        <v>77</v>
      </c>
      <c r="B28" s="45"/>
      <c r="C28" s="45"/>
      <c r="D28" s="50" t="s">
        <v>20</v>
      </c>
      <c r="E28" s="44" t="s">
        <v>27</v>
      </c>
      <c r="F28" s="44" t="s">
        <v>27</v>
      </c>
      <c r="G28" s="44" t="s">
        <v>27</v>
      </c>
      <c r="H28" s="46"/>
      <c r="I28" s="46"/>
      <c r="J28" s="46" t="s">
        <v>22</v>
      </c>
      <c r="K28" s="46">
        <f t="shared" si="2"/>
        <v>0</v>
      </c>
      <c r="L28" s="46">
        <f t="shared" si="3"/>
        <v>0</v>
      </c>
      <c r="M28" s="46">
        <f t="shared" si="4"/>
        <v>0</v>
      </c>
      <c r="N28" s="46">
        <f t="shared" si="5"/>
        <v>0</v>
      </c>
      <c r="O28" s="46">
        <f t="shared" si="12"/>
        <v>0</v>
      </c>
      <c r="P28" s="46">
        <f t="shared" si="7"/>
        <v>0</v>
      </c>
      <c r="Q28" s="46">
        <f t="shared" si="7"/>
        <v>0</v>
      </c>
    </row>
    <row r="29" spans="1:17" ht="15" x14ac:dyDescent="0.25">
      <c r="A29" s="44"/>
      <c r="B29" s="44" t="s">
        <v>28</v>
      </c>
      <c r="C29" s="44"/>
      <c r="D29" s="50" t="s">
        <v>20</v>
      </c>
      <c r="E29" s="44" t="s">
        <v>27</v>
      </c>
      <c r="F29" s="44" t="s">
        <v>27</v>
      </c>
      <c r="G29" s="44" t="s">
        <v>27</v>
      </c>
      <c r="H29" s="46" t="s">
        <v>23</v>
      </c>
      <c r="I29" s="46"/>
      <c r="J29" s="46">
        <v>25992.31</v>
      </c>
      <c r="K29" s="46">
        <f t="shared" si="2"/>
        <v>25992.31</v>
      </c>
      <c r="L29" s="46">
        <f t="shared" si="3"/>
        <v>0</v>
      </c>
      <c r="M29" s="46">
        <f t="shared" si="4"/>
        <v>0</v>
      </c>
      <c r="N29" s="46">
        <f t="shared" si="5"/>
        <v>3119077.2</v>
      </c>
      <c r="O29" s="46">
        <f t="shared" si="12"/>
        <v>3119077.2</v>
      </c>
      <c r="P29" s="46">
        <f t="shared" si="7"/>
        <v>3119077.2</v>
      </c>
      <c r="Q29" s="46">
        <f t="shared" si="7"/>
        <v>3119077.2</v>
      </c>
    </row>
    <row r="30" spans="1:17" ht="15" x14ac:dyDescent="0.25">
      <c r="A30" s="44" t="s">
        <v>40</v>
      </c>
      <c r="B30" s="52"/>
      <c r="C30" s="52"/>
      <c r="D30" s="52"/>
      <c r="E30" s="48"/>
      <c r="F30" s="48"/>
      <c r="G30" s="48"/>
      <c r="H30" s="46"/>
      <c r="I30" s="46"/>
      <c r="J30" s="46"/>
      <c r="K30" s="46">
        <f t="shared" si="2"/>
        <v>0</v>
      </c>
      <c r="L30" s="46">
        <f>L31+L36</f>
        <v>3660794.35</v>
      </c>
      <c r="M30" s="46">
        <f t="shared" ref="M30:N30" si="15">M31+M36</f>
        <v>1246774.1200000001</v>
      </c>
      <c r="N30" s="46">
        <f t="shared" si="15"/>
        <v>5629236</v>
      </c>
      <c r="O30" s="46">
        <f t="shared" si="6"/>
        <v>10536804.470000001</v>
      </c>
      <c r="P30" s="46">
        <f t="shared" si="7"/>
        <v>10536804.470000001</v>
      </c>
      <c r="Q30" s="46">
        <f t="shared" si="7"/>
        <v>10536804.470000001</v>
      </c>
    </row>
    <row r="31" spans="1:17" ht="85.5" x14ac:dyDescent="0.25">
      <c r="A31" s="42"/>
      <c r="B31" s="47" t="s">
        <v>76</v>
      </c>
      <c r="C31" s="47"/>
      <c r="D31" s="52"/>
      <c r="E31" s="48"/>
      <c r="F31" s="48"/>
      <c r="G31" s="48"/>
      <c r="H31" s="46"/>
      <c r="I31" s="46"/>
      <c r="J31" s="46"/>
      <c r="K31" s="46">
        <f t="shared" si="2"/>
        <v>0</v>
      </c>
      <c r="L31" s="46">
        <f>L32+L33</f>
        <v>3660794.35</v>
      </c>
      <c r="M31" s="46">
        <f>M32+M33</f>
        <v>1246774.1200000001</v>
      </c>
      <c r="N31" s="46">
        <f t="shared" ref="N31" si="16">N32+N33</f>
        <v>2874051.1399999997</v>
      </c>
      <c r="O31" s="46">
        <f t="shared" si="6"/>
        <v>7781619.6100000003</v>
      </c>
      <c r="P31" s="46">
        <f t="shared" si="7"/>
        <v>7781619.6100000003</v>
      </c>
      <c r="Q31" s="46">
        <f t="shared" si="7"/>
        <v>7781619.6100000003</v>
      </c>
    </row>
    <row r="32" spans="1:17" ht="105" x14ac:dyDescent="0.25">
      <c r="A32" s="42"/>
      <c r="B32" s="44" t="s">
        <v>19</v>
      </c>
      <c r="C32" s="42" t="s">
        <v>0</v>
      </c>
      <c r="D32" s="50" t="s">
        <v>20</v>
      </c>
      <c r="E32" s="44" t="s">
        <v>41</v>
      </c>
      <c r="F32" s="44" t="s">
        <v>41</v>
      </c>
      <c r="G32" s="44" t="s">
        <v>41</v>
      </c>
      <c r="H32" s="46">
        <v>41608.51</v>
      </c>
      <c r="I32" s="46">
        <v>11762.02</v>
      </c>
      <c r="J32" s="46">
        <v>27113.69</v>
      </c>
      <c r="K32" s="46">
        <f t="shared" si="2"/>
        <v>80484.22</v>
      </c>
      <c r="L32" s="46">
        <f>E32*H32</f>
        <v>790561.69000000006</v>
      </c>
      <c r="M32" s="46">
        <f>E32*I32</f>
        <v>223478.38</v>
      </c>
      <c r="N32" s="46">
        <f>E32*J32</f>
        <v>515160.11</v>
      </c>
      <c r="O32" s="46">
        <f t="shared" si="6"/>
        <v>1529200.1800000002</v>
      </c>
      <c r="P32" s="46">
        <f t="shared" si="7"/>
        <v>1529200.1800000002</v>
      </c>
      <c r="Q32" s="46">
        <f t="shared" si="7"/>
        <v>1529200.1800000002</v>
      </c>
    </row>
    <row r="33" spans="1:17" ht="15" x14ac:dyDescent="0.25">
      <c r="A33" s="49"/>
      <c r="B33" s="44" t="s">
        <v>24</v>
      </c>
      <c r="C33" s="44"/>
      <c r="D33" s="44" t="s">
        <v>20</v>
      </c>
      <c r="E33" s="44" t="s">
        <v>42</v>
      </c>
      <c r="F33" s="44" t="s">
        <v>42</v>
      </c>
      <c r="G33" s="44" t="s">
        <v>42</v>
      </c>
      <c r="H33" s="46">
        <v>32991.18</v>
      </c>
      <c r="I33" s="46">
        <v>11762.02</v>
      </c>
      <c r="J33" s="46">
        <v>27113.69</v>
      </c>
      <c r="K33" s="46">
        <f t="shared" si="2"/>
        <v>71866.89</v>
      </c>
      <c r="L33" s="46">
        <f t="shared" si="3"/>
        <v>2870232.66</v>
      </c>
      <c r="M33" s="46">
        <f>E33*I33</f>
        <v>1023295.74</v>
      </c>
      <c r="N33" s="46">
        <f>E33*J33</f>
        <v>2358891.0299999998</v>
      </c>
      <c r="O33" s="46">
        <f t="shared" si="6"/>
        <v>6252419.4299999997</v>
      </c>
      <c r="P33" s="46">
        <f t="shared" si="7"/>
        <v>6252419.4299999997</v>
      </c>
      <c r="Q33" s="46">
        <f t="shared" si="7"/>
        <v>6252419.4299999997</v>
      </c>
    </row>
    <row r="34" spans="1:17" ht="15" hidden="1" x14ac:dyDescent="0.25">
      <c r="A34" s="44" t="s">
        <v>26</v>
      </c>
      <c r="B34" s="52"/>
      <c r="C34" s="52"/>
      <c r="D34" s="44" t="s">
        <v>20</v>
      </c>
      <c r="E34" s="44" t="s">
        <v>43</v>
      </c>
      <c r="F34" s="44" t="s">
        <v>43</v>
      </c>
      <c r="G34" s="44" t="s">
        <v>43</v>
      </c>
      <c r="H34" s="46"/>
      <c r="I34" s="46">
        <v>11762.02</v>
      </c>
      <c r="J34" s="46"/>
      <c r="K34" s="46">
        <f t="shared" si="2"/>
        <v>11762.02</v>
      </c>
      <c r="L34" s="46">
        <f t="shared" si="3"/>
        <v>0</v>
      </c>
      <c r="M34" s="46">
        <f t="shared" si="4"/>
        <v>1246774.1200000001</v>
      </c>
      <c r="N34" s="46">
        <f t="shared" si="5"/>
        <v>0</v>
      </c>
      <c r="O34" s="46">
        <f t="shared" si="6"/>
        <v>1246774.1200000001</v>
      </c>
      <c r="P34" s="46">
        <f t="shared" si="7"/>
        <v>1246774.1200000001</v>
      </c>
      <c r="Q34" s="46">
        <f t="shared" si="7"/>
        <v>1246774.1200000001</v>
      </c>
    </row>
    <row r="35" spans="1:17" ht="60" hidden="1" x14ac:dyDescent="0.25">
      <c r="A35" s="42" t="s">
        <v>33</v>
      </c>
      <c r="B35" s="52"/>
      <c r="C35" s="52"/>
      <c r="D35" s="50" t="s">
        <v>20</v>
      </c>
      <c r="E35" s="44" t="s">
        <v>43</v>
      </c>
      <c r="F35" s="44" t="s">
        <v>43</v>
      </c>
      <c r="G35" s="44" t="s">
        <v>43</v>
      </c>
      <c r="H35" s="46"/>
      <c r="I35" s="46"/>
      <c r="J35" s="46" t="s">
        <v>22</v>
      </c>
      <c r="K35" s="46">
        <f t="shared" si="2"/>
        <v>0</v>
      </c>
      <c r="L35" s="46">
        <f t="shared" si="3"/>
        <v>0</v>
      </c>
      <c r="M35" s="46">
        <f t="shared" si="4"/>
        <v>0</v>
      </c>
      <c r="N35" s="46">
        <f t="shared" si="5"/>
        <v>0</v>
      </c>
      <c r="O35" s="46">
        <f t="shared" si="6"/>
        <v>0</v>
      </c>
      <c r="P35" s="46">
        <f t="shared" si="7"/>
        <v>0</v>
      </c>
      <c r="Q35" s="46">
        <f t="shared" si="7"/>
        <v>0</v>
      </c>
    </row>
    <row r="36" spans="1:17" ht="15" x14ac:dyDescent="0.25">
      <c r="A36" s="44"/>
      <c r="B36" s="44" t="s">
        <v>28</v>
      </c>
      <c r="C36" s="44"/>
      <c r="D36" s="44" t="s">
        <v>20</v>
      </c>
      <c r="E36" s="44" t="s">
        <v>43</v>
      </c>
      <c r="F36" s="44" t="s">
        <v>43</v>
      </c>
      <c r="G36" s="44" t="s">
        <v>43</v>
      </c>
      <c r="H36" s="46" t="s">
        <v>23</v>
      </c>
      <c r="I36" s="46"/>
      <c r="J36" s="46">
        <v>25992.31</v>
      </c>
      <c r="K36" s="46">
        <f t="shared" si="2"/>
        <v>25992.31</v>
      </c>
      <c r="L36" s="46">
        <f t="shared" si="3"/>
        <v>0</v>
      </c>
      <c r="M36" s="46">
        <f t="shared" si="4"/>
        <v>0</v>
      </c>
      <c r="N36" s="46">
        <f>E36*J36</f>
        <v>2755184.8600000003</v>
      </c>
      <c r="O36" s="46">
        <f t="shared" si="6"/>
        <v>2755184.8600000003</v>
      </c>
      <c r="P36" s="46">
        <f t="shared" si="7"/>
        <v>2755184.8600000003</v>
      </c>
      <c r="Q36" s="46">
        <f t="shared" si="7"/>
        <v>2755184.8600000003</v>
      </c>
    </row>
    <row r="37" spans="1:17" ht="15" x14ac:dyDescent="0.25">
      <c r="A37" s="44" t="s">
        <v>44</v>
      </c>
      <c r="B37" s="52"/>
      <c r="C37" s="52"/>
      <c r="D37" s="52"/>
      <c r="E37" s="48"/>
      <c r="F37" s="48"/>
      <c r="G37" s="48"/>
      <c r="H37" s="46"/>
      <c r="I37" s="46"/>
      <c r="J37" s="46"/>
      <c r="K37" s="46">
        <f t="shared" si="2"/>
        <v>0</v>
      </c>
      <c r="L37" s="46">
        <f>L38+L44</f>
        <v>15084942.340000002</v>
      </c>
      <c r="M37" s="46">
        <f t="shared" ref="M37:N37" si="17">M38+M44</f>
        <v>2552358.3400000003</v>
      </c>
      <c r="N37" s="46">
        <f t="shared" si="17"/>
        <v>11524002</v>
      </c>
      <c r="O37" s="46">
        <f t="shared" ref="O37:Q37" si="18">O38+O44</f>
        <v>29161302.680000003</v>
      </c>
      <c r="P37" s="46">
        <f t="shared" si="18"/>
        <v>29161302.680000003</v>
      </c>
      <c r="Q37" s="46">
        <f t="shared" si="18"/>
        <v>29161302.680000003</v>
      </c>
    </row>
    <row r="38" spans="1:17" ht="85.5" x14ac:dyDescent="0.25">
      <c r="A38" s="42"/>
      <c r="B38" s="47" t="s">
        <v>76</v>
      </c>
      <c r="C38" s="47"/>
      <c r="D38" s="52"/>
      <c r="E38" s="48"/>
      <c r="F38" s="48"/>
      <c r="G38" s="48"/>
      <c r="H38" s="46"/>
      <c r="I38" s="46"/>
      <c r="J38" s="46"/>
      <c r="K38" s="46">
        <f t="shared" si="2"/>
        <v>0</v>
      </c>
      <c r="L38" s="46">
        <f>L39+L40+L41</f>
        <v>15084942.340000002</v>
      </c>
      <c r="M38" s="46">
        <f>M39+M40+M41</f>
        <v>2552358.3400000003</v>
      </c>
      <c r="N38" s="46">
        <f t="shared" ref="N38" si="19">N39+N40+N41</f>
        <v>5883670.7299999995</v>
      </c>
      <c r="O38" s="46">
        <f t="shared" si="6"/>
        <v>23520971.410000004</v>
      </c>
      <c r="P38" s="46">
        <f t="shared" si="7"/>
        <v>23520971.410000004</v>
      </c>
      <c r="Q38" s="46">
        <f t="shared" si="7"/>
        <v>23520971.410000004</v>
      </c>
    </row>
    <row r="39" spans="1:17" ht="105" x14ac:dyDescent="0.25">
      <c r="A39" s="42"/>
      <c r="B39" s="44" t="s">
        <v>19</v>
      </c>
      <c r="C39" s="42" t="s">
        <v>0</v>
      </c>
      <c r="D39" s="50" t="s">
        <v>20</v>
      </c>
      <c r="E39" s="44" t="s">
        <v>45</v>
      </c>
      <c r="F39" s="44" t="s">
        <v>45</v>
      </c>
      <c r="G39" s="44" t="s">
        <v>45</v>
      </c>
      <c r="H39" s="46">
        <v>41608.51</v>
      </c>
      <c r="I39" s="46">
        <v>11762.02</v>
      </c>
      <c r="J39" s="46">
        <v>27113.69</v>
      </c>
      <c r="K39" s="46">
        <f t="shared" si="2"/>
        <v>80484.22</v>
      </c>
      <c r="L39" s="46">
        <f>E39*H39</f>
        <v>2163642.52</v>
      </c>
      <c r="M39" s="46">
        <f>E39*I39</f>
        <v>611625.04</v>
      </c>
      <c r="N39" s="46">
        <f>E39*J39</f>
        <v>1409911.88</v>
      </c>
      <c r="O39" s="46">
        <f t="shared" si="6"/>
        <v>4185179.44</v>
      </c>
      <c r="P39" s="46">
        <f t="shared" si="7"/>
        <v>4185179.44</v>
      </c>
      <c r="Q39" s="46">
        <f t="shared" si="7"/>
        <v>4185179.44</v>
      </c>
    </row>
    <row r="40" spans="1:17" ht="15" x14ac:dyDescent="0.25">
      <c r="A40" s="49"/>
      <c r="B40" s="44" t="s">
        <v>24</v>
      </c>
      <c r="C40" s="44"/>
      <c r="D40" s="44" t="s">
        <v>20</v>
      </c>
      <c r="E40" s="44" t="s">
        <v>46</v>
      </c>
      <c r="F40" s="44" t="s">
        <v>46</v>
      </c>
      <c r="G40" s="44" t="s">
        <v>46</v>
      </c>
      <c r="H40" s="46">
        <v>32991.18</v>
      </c>
      <c r="I40" s="46">
        <v>11762.02</v>
      </c>
      <c r="J40" s="46">
        <v>27113.69</v>
      </c>
      <c r="K40" s="46">
        <f t="shared" si="2"/>
        <v>71866.89</v>
      </c>
      <c r="L40" s="46">
        <f t="shared" ref="L40:L41" si="20">E40*H40</f>
        <v>3068179.74</v>
      </c>
      <c r="M40" s="46">
        <f>E40*I40</f>
        <v>1093867.8600000001</v>
      </c>
      <c r="N40" s="46">
        <f t="shared" ref="N40:N41" si="21">E40*J40</f>
        <v>2521573.17</v>
      </c>
      <c r="O40" s="46">
        <f t="shared" si="6"/>
        <v>6683620.7700000005</v>
      </c>
      <c r="P40" s="46">
        <f t="shared" si="7"/>
        <v>6683620.7700000005</v>
      </c>
      <c r="Q40" s="46">
        <f t="shared" si="7"/>
        <v>6683620.7700000005</v>
      </c>
    </row>
    <row r="41" spans="1:17" ht="105" x14ac:dyDescent="0.25">
      <c r="A41" s="42"/>
      <c r="B41" s="52"/>
      <c r="C41" s="42" t="s">
        <v>38</v>
      </c>
      <c r="D41" s="50" t="s">
        <v>20</v>
      </c>
      <c r="E41" s="44" t="s">
        <v>47</v>
      </c>
      <c r="F41" s="44" t="s">
        <v>47</v>
      </c>
      <c r="G41" s="44" t="s">
        <v>47</v>
      </c>
      <c r="H41" s="46">
        <v>136848.89000000001</v>
      </c>
      <c r="I41" s="46">
        <v>11762.02</v>
      </c>
      <c r="J41" s="46">
        <v>27113.69</v>
      </c>
      <c r="K41" s="46">
        <f t="shared" si="2"/>
        <v>175724.6</v>
      </c>
      <c r="L41" s="46">
        <f t="shared" si="20"/>
        <v>9853120.0800000019</v>
      </c>
      <c r="M41" s="46">
        <f>E41*I41</f>
        <v>846865.44000000006</v>
      </c>
      <c r="N41" s="46">
        <f t="shared" si="21"/>
        <v>1952185.68</v>
      </c>
      <c r="O41" s="46">
        <f t="shared" si="6"/>
        <v>12652171.200000001</v>
      </c>
      <c r="P41" s="46">
        <f t="shared" si="7"/>
        <v>12652171.200000001</v>
      </c>
      <c r="Q41" s="46">
        <f t="shared" si="7"/>
        <v>12652171.200000001</v>
      </c>
    </row>
    <row r="42" spans="1:17" ht="15" hidden="1" x14ac:dyDescent="0.25">
      <c r="A42" s="44" t="s">
        <v>26</v>
      </c>
      <c r="B42" s="52"/>
      <c r="C42" s="52"/>
      <c r="D42" s="44" t="s">
        <v>20</v>
      </c>
      <c r="E42" s="44" t="s">
        <v>48</v>
      </c>
      <c r="F42" s="44" t="s">
        <v>48</v>
      </c>
      <c r="G42" s="44" t="s">
        <v>48</v>
      </c>
      <c r="H42" s="46"/>
      <c r="I42" s="46">
        <v>11762.02</v>
      </c>
      <c r="J42" s="46"/>
      <c r="K42" s="46">
        <f t="shared" si="2"/>
        <v>11762.02</v>
      </c>
      <c r="L42" s="46">
        <f t="shared" si="3"/>
        <v>0</v>
      </c>
      <c r="M42" s="46">
        <f t="shared" si="4"/>
        <v>2552358.3400000003</v>
      </c>
      <c r="N42" s="46">
        <f t="shared" si="5"/>
        <v>0</v>
      </c>
      <c r="O42" s="46">
        <f t="shared" si="6"/>
        <v>2552358.3400000003</v>
      </c>
      <c r="P42" s="46">
        <f t="shared" si="7"/>
        <v>2552358.3400000003</v>
      </c>
      <c r="Q42" s="46">
        <f t="shared" si="7"/>
        <v>2552358.3400000003</v>
      </c>
    </row>
    <row r="43" spans="1:17" ht="75" hidden="1" x14ac:dyDescent="0.25">
      <c r="A43" s="42" t="s">
        <v>77</v>
      </c>
      <c r="B43" s="52"/>
      <c r="C43" s="52"/>
      <c r="D43" s="50" t="s">
        <v>20</v>
      </c>
      <c r="E43" s="44" t="s">
        <v>48</v>
      </c>
      <c r="F43" s="44" t="s">
        <v>48</v>
      </c>
      <c r="G43" s="44" t="s">
        <v>48</v>
      </c>
      <c r="H43" s="46"/>
      <c r="I43" s="46"/>
      <c r="J43" s="46" t="s">
        <v>22</v>
      </c>
      <c r="K43" s="46">
        <f t="shared" si="2"/>
        <v>0</v>
      </c>
      <c r="L43" s="46">
        <f t="shared" si="3"/>
        <v>0</v>
      </c>
      <c r="M43" s="46">
        <f t="shared" si="4"/>
        <v>0</v>
      </c>
      <c r="N43" s="46">
        <f t="shared" si="5"/>
        <v>0</v>
      </c>
      <c r="O43" s="46">
        <f t="shared" si="6"/>
        <v>0</v>
      </c>
      <c r="P43" s="46">
        <f t="shared" si="7"/>
        <v>0</v>
      </c>
      <c r="Q43" s="46">
        <f t="shared" si="7"/>
        <v>0</v>
      </c>
    </row>
    <row r="44" spans="1:17" ht="15" x14ac:dyDescent="0.25">
      <c r="A44" s="44"/>
      <c r="B44" s="44" t="s">
        <v>28</v>
      </c>
      <c r="C44" s="44"/>
      <c r="D44" s="44" t="s">
        <v>20</v>
      </c>
      <c r="E44" s="44" t="s">
        <v>48</v>
      </c>
      <c r="F44" s="44" t="s">
        <v>48</v>
      </c>
      <c r="G44" s="44" t="s">
        <v>48</v>
      </c>
      <c r="H44" s="46" t="s">
        <v>23</v>
      </c>
      <c r="I44" s="46"/>
      <c r="J44" s="46">
        <v>25992.31</v>
      </c>
      <c r="K44" s="46">
        <f t="shared" si="2"/>
        <v>25992.31</v>
      </c>
      <c r="L44" s="46">
        <f t="shared" si="3"/>
        <v>0</v>
      </c>
      <c r="M44" s="46">
        <f t="shared" si="4"/>
        <v>0</v>
      </c>
      <c r="N44" s="46">
        <f t="shared" si="5"/>
        <v>5640331.2700000005</v>
      </c>
      <c r="O44" s="46">
        <f t="shared" si="6"/>
        <v>5640331.2700000005</v>
      </c>
      <c r="P44" s="46">
        <f t="shared" si="7"/>
        <v>5640331.2700000005</v>
      </c>
      <c r="Q44" s="46">
        <f t="shared" si="7"/>
        <v>5640331.2700000005</v>
      </c>
    </row>
    <row r="45" spans="1:17" ht="15" x14ac:dyDescent="0.25">
      <c r="A45" s="44" t="s">
        <v>49</v>
      </c>
      <c r="B45" s="52"/>
      <c r="C45" s="52"/>
      <c r="D45" s="52"/>
      <c r="E45" s="48"/>
      <c r="F45" s="48"/>
      <c r="G45" s="48"/>
      <c r="H45" s="46"/>
      <c r="I45" s="46"/>
      <c r="J45" s="46"/>
      <c r="K45" s="46">
        <f t="shared" si="2"/>
        <v>0</v>
      </c>
      <c r="L45" s="46">
        <f>L46+L51</f>
        <v>3744011.37</v>
      </c>
      <c r="M45" s="46">
        <f t="shared" ref="M45:N45" si="22">M46+M51</f>
        <v>1270298.1599999999</v>
      </c>
      <c r="N45" s="46">
        <f t="shared" si="22"/>
        <v>5735448</v>
      </c>
      <c r="O45" s="46">
        <f t="shared" si="6"/>
        <v>10749757.530000001</v>
      </c>
      <c r="P45" s="46">
        <f t="shared" si="7"/>
        <v>10749757.530000001</v>
      </c>
      <c r="Q45" s="46">
        <f t="shared" si="7"/>
        <v>10749757.530000001</v>
      </c>
    </row>
    <row r="46" spans="1:17" ht="85.5" x14ac:dyDescent="0.25">
      <c r="A46" s="42"/>
      <c r="B46" s="47" t="s">
        <v>76</v>
      </c>
      <c r="C46" s="47"/>
      <c r="D46" s="52"/>
      <c r="E46" s="48"/>
      <c r="F46" s="48"/>
      <c r="G46" s="48"/>
      <c r="H46" s="46"/>
      <c r="I46" s="46"/>
      <c r="J46" s="46"/>
      <c r="K46" s="46">
        <f t="shared" si="2"/>
        <v>0</v>
      </c>
      <c r="L46" s="46">
        <f>L47+L48</f>
        <v>3744011.37</v>
      </c>
      <c r="M46" s="46">
        <f t="shared" ref="M46:N46" si="23">M47+M48</f>
        <v>1270298.1599999999</v>
      </c>
      <c r="N46" s="46">
        <f t="shared" si="23"/>
        <v>2928278.5199999996</v>
      </c>
      <c r="O46" s="46">
        <f t="shared" si="6"/>
        <v>7942588.0499999998</v>
      </c>
      <c r="P46" s="46">
        <f t="shared" si="7"/>
        <v>7942588.0499999998</v>
      </c>
      <c r="Q46" s="46">
        <f t="shared" si="7"/>
        <v>7942588.0499999998</v>
      </c>
    </row>
    <row r="47" spans="1:17" ht="105" x14ac:dyDescent="0.25">
      <c r="A47" s="42"/>
      <c r="B47" s="44" t="s">
        <v>19</v>
      </c>
      <c r="C47" s="42" t="s">
        <v>0</v>
      </c>
      <c r="D47" s="50" t="s">
        <v>20</v>
      </c>
      <c r="E47" s="44" t="s">
        <v>50</v>
      </c>
      <c r="F47" s="44" t="s">
        <v>50</v>
      </c>
      <c r="G47" s="44" t="s">
        <v>50</v>
      </c>
      <c r="H47" s="46">
        <v>41608.51</v>
      </c>
      <c r="I47" s="46">
        <v>11762.02</v>
      </c>
      <c r="J47" s="46">
        <v>27113.69</v>
      </c>
      <c r="K47" s="46">
        <f t="shared" si="2"/>
        <v>80484.22</v>
      </c>
      <c r="L47" s="46">
        <f>E47*H47</f>
        <v>873778.71000000008</v>
      </c>
      <c r="M47" s="46">
        <f>E47*I47</f>
        <v>247002.42</v>
      </c>
      <c r="N47" s="46">
        <f>E47*J47</f>
        <v>569387.49</v>
      </c>
      <c r="O47" s="46">
        <f t="shared" si="6"/>
        <v>1690168.62</v>
      </c>
      <c r="P47" s="46">
        <f t="shared" si="7"/>
        <v>1690168.62</v>
      </c>
      <c r="Q47" s="46">
        <f t="shared" si="7"/>
        <v>1690168.62</v>
      </c>
    </row>
    <row r="48" spans="1:17" ht="15" x14ac:dyDescent="0.25">
      <c r="A48" s="49"/>
      <c r="B48" s="44" t="s">
        <v>24</v>
      </c>
      <c r="C48" s="44"/>
      <c r="D48" s="44" t="s">
        <v>20</v>
      </c>
      <c r="E48" s="44" t="s">
        <v>42</v>
      </c>
      <c r="F48" s="44" t="s">
        <v>42</v>
      </c>
      <c r="G48" s="44" t="s">
        <v>42</v>
      </c>
      <c r="H48" s="46">
        <v>32991.18</v>
      </c>
      <c r="I48" s="46">
        <v>11762.02</v>
      </c>
      <c r="J48" s="46">
        <v>27113.69</v>
      </c>
      <c r="K48" s="46">
        <f t="shared" si="2"/>
        <v>71866.89</v>
      </c>
      <c r="L48" s="46">
        <f>E48*H48</f>
        <v>2870232.66</v>
      </c>
      <c r="M48" s="46">
        <f>E48*I48</f>
        <v>1023295.74</v>
      </c>
      <c r="N48" s="46">
        <f>E48*J48</f>
        <v>2358891.0299999998</v>
      </c>
      <c r="O48" s="46">
        <f t="shared" si="6"/>
        <v>6252419.4299999997</v>
      </c>
      <c r="P48" s="46">
        <f t="shared" si="7"/>
        <v>6252419.4299999997</v>
      </c>
      <c r="Q48" s="46">
        <f t="shared" si="7"/>
        <v>6252419.4299999997</v>
      </c>
    </row>
    <row r="49" spans="1:17" ht="15" hidden="1" x14ac:dyDescent="0.25">
      <c r="A49" s="44" t="s">
        <v>51</v>
      </c>
      <c r="B49" s="52"/>
      <c r="C49" s="52"/>
      <c r="D49" s="52"/>
      <c r="E49" s="44" t="s">
        <v>52</v>
      </c>
      <c r="F49" s="44" t="s">
        <v>52</v>
      </c>
      <c r="G49" s="44" t="s">
        <v>52</v>
      </c>
      <c r="H49" s="46"/>
      <c r="I49" s="46">
        <v>11762.02</v>
      </c>
      <c r="J49" s="46"/>
      <c r="K49" s="46">
        <f t="shared" si="2"/>
        <v>11762.02</v>
      </c>
      <c r="L49" s="46">
        <f t="shared" si="3"/>
        <v>0</v>
      </c>
      <c r="M49" s="46">
        <f t="shared" si="4"/>
        <v>1270298.1600000001</v>
      </c>
      <c r="N49" s="46">
        <f t="shared" si="5"/>
        <v>0</v>
      </c>
      <c r="O49" s="46">
        <f t="shared" si="6"/>
        <v>1270298.1600000001</v>
      </c>
      <c r="P49" s="46">
        <f t="shared" si="7"/>
        <v>1270298.1600000001</v>
      </c>
      <c r="Q49" s="46">
        <f t="shared" si="7"/>
        <v>1270298.1600000001</v>
      </c>
    </row>
    <row r="50" spans="1:17" ht="60" hidden="1" x14ac:dyDescent="0.25">
      <c r="A50" s="42" t="s">
        <v>33</v>
      </c>
      <c r="B50" s="52"/>
      <c r="C50" s="52"/>
      <c r="D50" s="52"/>
      <c r="E50" s="44" t="s">
        <v>52</v>
      </c>
      <c r="F50" s="44" t="s">
        <v>52</v>
      </c>
      <c r="G50" s="44" t="s">
        <v>52</v>
      </c>
      <c r="H50" s="46"/>
      <c r="I50" s="46"/>
      <c r="J50" s="46" t="s">
        <v>22</v>
      </c>
      <c r="K50" s="46">
        <f t="shared" si="2"/>
        <v>0</v>
      </c>
      <c r="L50" s="46">
        <f t="shared" si="3"/>
        <v>0</v>
      </c>
      <c r="M50" s="46">
        <f t="shared" si="4"/>
        <v>0</v>
      </c>
      <c r="N50" s="46">
        <f t="shared" si="5"/>
        <v>0</v>
      </c>
      <c r="O50" s="46">
        <f t="shared" si="6"/>
        <v>0</v>
      </c>
      <c r="P50" s="46">
        <f t="shared" si="7"/>
        <v>0</v>
      </c>
      <c r="Q50" s="46">
        <f t="shared" si="7"/>
        <v>0</v>
      </c>
    </row>
    <row r="51" spans="1:17" ht="15" x14ac:dyDescent="0.25">
      <c r="A51" s="44"/>
      <c r="B51" s="44" t="s">
        <v>28</v>
      </c>
      <c r="C51" s="44"/>
      <c r="D51" s="44" t="s">
        <v>20</v>
      </c>
      <c r="E51" s="44" t="s">
        <v>52</v>
      </c>
      <c r="F51" s="44" t="s">
        <v>52</v>
      </c>
      <c r="G51" s="44" t="s">
        <v>52</v>
      </c>
      <c r="H51" s="46" t="s">
        <v>23</v>
      </c>
      <c r="I51" s="46"/>
      <c r="J51" s="46">
        <v>25992.31</v>
      </c>
      <c r="K51" s="46">
        <f t="shared" si="2"/>
        <v>25992.31</v>
      </c>
      <c r="L51" s="46">
        <f t="shared" si="3"/>
        <v>0</v>
      </c>
      <c r="M51" s="46">
        <f t="shared" si="4"/>
        <v>0</v>
      </c>
      <c r="N51" s="46">
        <f t="shared" si="5"/>
        <v>2807169.48</v>
      </c>
      <c r="O51" s="46">
        <f t="shared" si="6"/>
        <v>2807169.48</v>
      </c>
      <c r="P51" s="46">
        <f t="shared" si="7"/>
        <v>2807169.48</v>
      </c>
      <c r="Q51" s="46">
        <f t="shared" si="7"/>
        <v>2807169.48</v>
      </c>
    </row>
    <row r="52" spans="1:17" ht="15" x14ac:dyDescent="0.25">
      <c r="A52" s="44" t="s">
        <v>53</v>
      </c>
      <c r="B52" s="52"/>
      <c r="C52" s="52"/>
      <c r="D52" s="52"/>
      <c r="E52" s="48"/>
      <c r="F52" s="48"/>
      <c r="G52" s="48"/>
      <c r="H52" s="46"/>
      <c r="I52" s="46"/>
      <c r="J52" s="46"/>
      <c r="K52" s="46">
        <f t="shared" si="2"/>
        <v>0</v>
      </c>
      <c r="L52" s="46">
        <f>L53+L58</f>
        <v>5301987.53</v>
      </c>
      <c r="M52" s="46">
        <f t="shared" ref="M52:N52" si="24">M53+M58</f>
        <v>1764303</v>
      </c>
      <c r="N52" s="46">
        <f t="shared" si="24"/>
        <v>7965900</v>
      </c>
      <c r="O52" s="46">
        <f t="shared" si="6"/>
        <v>15032190.530000001</v>
      </c>
      <c r="P52" s="46">
        <f t="shared" si="7"/>
        <v>15032190.530000001</v>
      </c>
      <c r="Q52" s="46">
        <f t="shared" si="7"/>
        <v>15032190.530000001</v>
      </c>
    </row>
    <row r="53" spans="1:17" ht="85.5" x14ac:dyDescent="0.25">
      <c r="A53" s="42"/>
      <c r="B53" s="47" t="s">
        <v>76</v>
      </c>
      <c r="C53" s="47"/>
      <c r="D53" s="52"/>
      <c r="E53" s="48"/>
      <c r="F53" s="48"/>
      <c r="G53" s="48"/>
      <c r="H53" s="46"/>
      <c r="I53" s="46"/>
      <c r="J53" s="46"/>
      <c r="K53" s="46">
        <f t="shared" si="2"/>
        <v>0</v>
      </c>
      <c r="L53" s="46">
        <f>L54+L55</f>
        <v>5301987.53</v>
      </c>
      <c r="M53" s="46">
        <f t="shared" ref="M53:N53" si="25">M54+M55</f>
        <v>1764303</v>
      </c>
      <c r="N53" s="46">
        <f t="shared" si="25"/>
        <v>4067053.5</v>
      </c>
      <c r="O53" s="46">
        <f t="shared" si="6"/>
        <v>11133344.030000001</v>
      </c>
      <c r="P53" s="46">
        <f t="shared" si="7"/>
        <v>11133344.030000001</v>
      </c>
      <c r="Q53" s="46">
        <f t="shared" si="7"/>
        <v>11133344.030000001</v>
      </c>
    </row>
    <row r="54" spans="1:17" ht="105" x14ac:dyDescent="0.25">
      <c r="A54" s="42"/>
      <c r="B54" s="44" t="s">
        <v>19</v>
      </c>
      <c r="C54" s="42" t="s">
        <v>0</v>
      </c>
      <c r="D54" s="50" t="s">
        <v>20</v>
      </c>
      <c r="E54" s="44" t="s">
        <v>54</v>
      </c>
      <c r="F54" s="44" t="s">
        <v>54</v>
      </c>
      <c r="G54" s="44" t="s">
        <v>54</v>
      </c>
      <c r="H54" s="46">
        <v>41608.51</v>
      </c>
      <c r="I54" s="46">
        <v>11762.02</v>
      </c>
      <c r="J54" s="46">
        <v>27113.69</v>
      </c>
      <c r="K54" s="46">
        <f t="shared" si="2"/>
        <v>80484.22</v>
      </c>
      <c r="L54" s="46">
        <f>E54*H54</f>
        <v>1705948.9100000001</v>
      </c>
      <c r="M54" s="46">
        <f>E54*I54</f>
        <v>482242.82</v>
      </c>
      <c r="N54" s="46">
        <f>E54*J54</f>
        <v>1111661.29</v>
      </c>
      <c r="O54" s="46">
        <f t="shared" si="6"/>
        <v>3299853.02</v>
      </c>
      <c r="P54" s="46">
        <f t="shared" si="7"/>
        <v>3299853.02</v>
      </c>
      <c r="Q54" s="46">
        <f t="shared" si="7"/>
        <v>3299853.02</v>
      </c>
    </row>
    <row r="55" spans="1:17" ht="15" x14ac:dyDescent="0.25">
      <c r="A55" s="49"/>
      <c r="B55" s="44" t="s">
        <v>24</v>
      </c>
      <c r="C55" s="44"/>
      <c r="D55" s="44" t="s">
        <v>20</v>
      </c>
      <c r="E55" s="44" t="s">
        <v>55</v>
      </c>
      <c r="F55" s="44" t="s">
        <v>55</v>
      </c>
      <c r="G55" s="44" t="s">
        <v>55</v>
      </c>
      <c r="H55" s="46">
        <v>32991.18</v>
      </c>
      <c r="I55" s="46">
        <v>11762.02</v>
      </c>
      <c r="J55" s="46">
        <v>27113.69</v>
      </c>
      <c r="K55" s="46">
        <f t="shared" si="2"/>
        <v>71866.89</v>
      </c>
      <c r="L55" s="46">
        <f>E55*H55</f>
        <v>3596038.62</v>
      </c>
      <c r="M55" s="46">
        <f>E55*I55</f>
        <v>1282060.18</v>
      </c>
      <c r="N55" s="46">
        <f>E55*J55</f>
        <v>2955392.21</v>
      </c>
      <c r="O55" s="46">
        <f t="shared" si="6"/>
        <v>7833491.0099999998</v>
      </c>
      <c r="P55" s="46">
        <f t="shared" si="7"/>
        <v>7833491.0099999998</v>
      </c>
      <c r="Q55" s="46">
        <f t="shared" si="7"/>
        <v>7833491.0099999998</v>
      </c>
    </row>
    <row r="56" spans="1:17" ht="15" hidden="1" x14ac:dyDescent="0.25">
      <c r="A56" s="44" t="s">
        <v>51</v>
      </c>
      <c r="B56" s="52"/>
      <c r="C56" s="52"/>
      <c r="D56" s="44" t="s">
        <v>20</v>
      </c>
      <c r="E56" s="44" t="s">
        <v>56</v>
      </c>
      <c r="F56" s="44" t="s">
        <v>56</v>
      </c>
      <c r="G56" s="44" t="s">
        <v>56</v>
      </c>
      <c r="H56" s="46"/>
      <c r="I56" s="46">
        <v>11762.02</v>
      </c>
      <c r="J56" s="46"/>
      <c r="K56" s="46">
        <f t="shared" si="2"/>
        <v>11762.02</v>
      </c>
      <c r="L56" s="46">
        <f t="shared" si="3"/>
        <v>0</v>
      </c>
      <c r="M56" s="46">
        <f t="shared" si="4"/>
        <v>1764303</v>
      </c>
      <c r="N56" s="46">
        <f t="shared" si="5"/>
        <v>0</v>
      </c>
      <c r="O56" s="46">
        <f t="shared" si="6"/>
        <v>1764303</v>
      </c>
      <c r="P56" s="46">
        <f t="shared" si="7"/>
        <v>1764303</v>
      </c>
      <c r="Q56" s="46">
        <f t="shared" si="7"/>
        <v>1764303</v>
      </c>
    </row>
    <row r="57" spans="1:17" ht="75" hidden="1" x14ac:dyDescent="0.25">
      <c r="A57" s="42" t="s">
        <v>77</v>
      </c>
      <c r="B57" s="52"/>
      <c r="C57" s="52"/>
      <c r="D57" s="50" t="s">
        <v>20</v>
      </c>
      <c r="E57" s="44" t="s">
        <v>56</v>
      </c>
      <c r="F57" s="44" t="s">
        <v>56</v>
      </c>
      <c r="G57" s="44" t="s">
        <v>56</v>
      </c>
      <c r="H57" s="46"/>
      <c r="I57" s="46"/>
      <c r="J57" s="46" t="s">
        <v>22</v>
      </c>
      <c r="K57" s="46">
        <f t="shared" si="2"/>
        <v>0</v>
      </c>
      <c r="L57" s="46">
        <f t="shared" si="3"/>
        <v>0</v>
      </c>
      <c r="M57" s="46">
        <f t="shared" si="4"/>
        <v>0</v>
      </c>
      <c r="N57" s="46">
        <f t="shared" si="5"/>
        <v>0</v>
      </c>
      <c r="O57" s="46">
        <f t="shared" si="6"/>
        <v>0</v>
      </c>
      <c r="P57" s="46">
        <f t="shared" si="7"/>
        <v>0</v>
      </c>
      <c r="Q57" s="46">
        <f t="shared" si="7"/>
        <v>0</v>
      </c>
    </row>
    <row r="58" spans="1:17" ht="15" x14ac:dyDescent="0.25">
      <c r="A58" s="44"/>
      <c r="B58" s="44" t="s">
        <v>28</v>
      </c>
      <c r="C58" s="44"/>
      <c r="D58" s="44" t="s">
        <v>20</v>
      </c>
      <c r="E58" s="44" t="s">
        <v>56</v>
      </c>
      <c r="F58" s="44" t="s">
        <v>56</v>
      </c>
      <c r="G58" s="44" t="s">
        <v>56</v>
      </c>
      <c r="H58" s="46" t="s">
        <v>23</v>
      </c>
      <c r="I58" s="46"/>
      <c r="J58" s="46">
        <v>25992.31</v>
      </c>
      <c r="K58" s="46">
        <f t="shared" si="2"/>
        <v>25992.31</v>
      </c>
      <c r="L58" s="46">
        <f t="shared" si="3"/>
        <v>0</v>
      </c>
      <c r="M58" s="46">
        <f t="shared" si="4"/>
        <v>0</v>
      </c>
      <c r="N58" s="46">
        <f t="shared" si="5"/>
        <v>3898846.5</v>
      </c>
      <c r="O58" s="46">
        <f t="shared" si="6"/>
        <v>3898846.5</v>
      </c>
      <c r="P58" s="46">
        <f t="shared" si="7"/>
        <v>3898846.5</v>
      </c>
      <c r="Q58" s="46">
        <f t="shared" si="7"/>
        <v>3898846.5</v>
      </c>
    </row>
    <row r="59" spans="1:17" ht="15" x14ac:dyDescent="0.25">
      <c r="A59" s="44" t="s">
        <v>57</v>
      </c>
      <c r="B59" s="52"/>
      <c r="C59" s="52"/>
      <c r="D59" s="52"/>
      <c r="E59" s="48"/>
      <c r="F59" s="48"/>
      <c r="G59" s="48"/>
      <c r="H59" s="46"/>
      <c r="I59" s="46"/>
      <c r="J59" s="46"/>
      <c r="K59" s="46">
        <f t="shared" si="2"/>
        <v>0</v>
      </c>
      <c r="L59" s="46">
        <f>L60+L66</f>
        <v>4025136.4800000004</v>
      </c>
      <c r="M59" s="46">
        <f t="shared" ref="M59:N59" si="26">M60+M66</f>
        <v>1329108.2600000002</v>
      </c>
      <c r="N59" s="46">
        <f t="shared" si="26"/>
        <v>6000976.8700000001</v>
      </c>
      <c r="O59" s="46">
        <f t="shared" si="6"/>
        <v>11355221.609999999</v>
      </c>
      <c r="P59" s="46">
        <f t="shared" si="7"/>
        <v>11355221.609999999</v>
      </c>
      <c r="Q59" s="46">
        <f t="shared" si="7"/>
        <v>11355221.609999999</v>
      </c>
    </row>
    <row r="60" spans="1:17" ht="85.5" x14ac:dyDescent="0.25">
      <c r="A60" s="42"/>
      <c r="B60" s="47" t="s">
        <v>76</v>
      </c>
      <c r="C60" s="47"/>
      <c r="D60" s="52"/>
      <c r="E60" s="48"/>
      <c r="F60" s="48"/>
      <c r="G60" s="48"/>
      <c r="H60" s="46"/>
      <c r="I60" s="46"/>
      <c r="J60" s="46"/>
      <c r="K60" s="46">
        <f t="shared" si="2"/>
        <v>0</v>
      </c>
      <c r="L60" s="46">
        <f>L61+L62+L63</f>
        <v>4025136.4800000004</v>
      </c>
      <c r="M60" s="46">
        <f t="shared" ref="M60:N60" si="27">M61+M62+M63</f>
        <v>1329108.2600000002</v>
      </c>
      <c r="N60" s="46">
        <f t="shared" si="27"/>
        <v>3063845.84</v>
      </c>
      <c r="O60" s="46">
        <f t="shared" si="6"/>
        <v>8418090.5800000001</v>
      </c>
      <c r="P60" s="46">
        <f t="shared" si="7"/>
        <v>8418090.5800000001</v>
      </c>
      <c r="Q60" s="46">
        <f t="shared" si="7"/>
        <v>8418090.5800000001</v>
      </c>
    </row>
    <row r="61" spans="1:17" ht="105" x14ac:dyDescent="0.25">
      <c r="A61" s="42"/>
      <c r="B61" s="44" t="s">
        <v>19</v>
      </c>
      <c r="C61" s="42" t="s">
        <v>0</v>
      </c>
      <c r="D61" s="50" t="s">
        <v>20</v>
      </c>
      <c r="E61" s="44" t="s">
        <v>58</v>
      </c>
      <c r="F61" s="44" t="s">
        <v>58</v>
      </c>
      <c r="G61" s="44" t="s">
        <v>58</v>
      </c>
      <c r="H61" s="46">
        <v>41608.51</v>
      </c>
      <c r="I61" s="46">
        <v>11762.02</v>
      </c>
      <c r="J61" s="46" t="s">
        <v>82</v>
      </c>
      <c r="K61" s="46">
        <f t="shared" si="2"/>
        <v>80484.209999999992</v>
      </c>
      <c r="L61" s="46">
        <f>E61*H61</f>
        <v>748953.18</v>
      </c>
      <c r="M61" s="46">
        <f>E61*I61</f>
        <v>211716.36000000002</v>
      </c>
      <c r="N61" s="46">
        <f>E61*J61</f>
        <v>488046.24</v>
      </c>
      <c r="O61" s="46">
        <f t="shared" si="6"/>
        <v>1448715.78</v>
      </c>
      <c r="P61" s="46">
        <f t="shared" si="7"/>
        <v>1448715.78</v>
      </c>
      <c r="Q61" s="46">
        <f t="shared" si="7"/>
        <v>1448715.78</v>
      </c>
    </row>
    <row r="62" spans="1:17" ht="15" x14ac:dyDescent="0.25">
      <c r="A62" s="49"/>
      <c r="B62" s="44" t="s">
        <v>24</v>
      </c>
      <c r="C62" s="44"/>
      <c r="D62" s="44" t="s">
        <v>20</v>
      </c>
      <c r="E62" s="44" t="s">
        <v>59</v>
      </c>
      <c r="F62" s="44" t="s">
        <v>59</v>
      </c>
      <c r="G62" s="44" t="s">
        <v>59</v>
      </c>
      <c r="H62" s="46">
        <v>32991.18</v>
      </c>
      <c r="I62" s="46">
        <v>11762.02</v>
      </c>
      <c r="J62" s="46" t="s">
        <v>82</v>
      </c>
      <c r="K62" s="46">
        <f t="shared" si="2"/>
        <v>71866.880000000005</v>
      </c>
      <c r="L62" s="46">
        <f t="shared" ref="L62:L63" si="28">E62*H62</f>
        <v>3134162.1</v>
      </c>
      <c r="M62" s="46">
        <f t="shared" ref="M62:M63" si="29">E62*I62</f>
        <v>1117391.9000000001</v>
      </c>
      <c r="N62" s="46">
        <f t="shared" ref="N62:N63" si="30">E62*J62</f>
        <v>2575799.6</v>
      </c>
      <c r="O62" s="46">
        <f t="shared" si="6"/>
        <v>6827353.5999999996</v>
      </c>
      <c r="P62" s="46">
        <f t="shared" si="7"/>
        <v>6827353.5999999996</v>
      </c>
      <c r="Q62" s="46">
        <f t="shared" si="7"/>
        <v>6827353.5999999996</v>
      </c>
    </row>
    <row r="63" spans="1:17" ht="75" x14ac:dyDescent="0.25">
      <c r="A63" s="42"/>
      <c r="B63" s="52"/>
      <c r="C63" s="42" t="s">
        <v>78</v>
      </c>
      <c r="D63" s="50" t="s">
        <v>20</v>
      </c>
      <c r="E63" s="44" t="s">
        <v>59</v>
      </c>
      <c r="F63" s="44" t="s">
        <v>59</v>
      </c>
      <c r="G63" s="44" t="s">
        <v>59</v>
      </c>
      <c r="H63" s="46">
        <v>1494.96</v>
      </c>
      <c r="I63" s="46"/>
      <c r="J63" s="46"/>
      <c r="K63" s="46">
        <f t="shared" si="2"/>
        <v>1494.96</v>
      </c>
      <c r="L63" s="46">
        <f t="shared" si="28"/>
        <v>142021.20000000001</v>
      </c>
      <c r="M63" s="46">
        <f t="shared" si="29"/>
        <v>0</v>
      </c>
      <c r="N63" s="46">
        <f t="shared" si="30"/>
        <v>0</v>
      </c>
      <c r="O63" s="46">
        <f t="shared" si="6"/>
        <v>142021.20000000001</v>
      </c>
      <c r="P63" s="46">
        <f t="shared" si="7"/>
        <v>142021.20000000001</v>
      </c>
      <c r="Q63" s="46">
        <f t="shared" si="7"/>
        <v>142021.20000000001</v>
      </c>
    </row>
    <row r="64" spans="1:17" ht="15" hidden="1" x14ac:dyDescent="0.25">
      <c r="A64" s="44" t="s">
        <v>26</v>
      </c>
      <c r="B64" s="52"/>
      <c r="C64" s="52"/>
      <c r="D64" s="44" t="s">
        <v>20</v>
      </c>
      <c r="E64" s="44" t="s">
        <v>60</v>
      </c>
      <c r="F64" s="44" t="s">
        <v>60</v>
      </c>
      <c r="G64" s="44" t="s">
        <v>60</v>
      </c>
      <c r="H64" s="46"/>
      <c r="I64" s="46"/>
      <c r="J64" s="46"/>
      <c r="K64" s="46">
        <f t="shared" si="2"/>
        <v>0</v>
      </c>
      <c r="L64" s="46">
        <f t="shared" si="3"/>
        <v>0</v>
      </c>
      <c r="M64" s="46">
        <f t="shared" si="4"/>
        <v>0</v>
      </c>
      <c r="N64" s="46">
        <f t="shared" si="5"/>
        <v>0</v>
      </c>
      <c r="O64" s="46">
        <f t="shared" si="6"/>
        <v>0</v>
      </c>
      <c r="P64" s="46">
        <f t="shared" si="7"/>
        <v>0</v>
      </c>
      <c r="Q64" s="46">
        <f t="shared" si="7"/>
        <v>0</v>
      </c>
    </row>
    <row r="65" spans="1:17" ht="75" hidden="1" x14ac:dyDescent="0.25">
      <c r="A65" s="42" t="s">
        <v>77</v>
      </c>
      <c r="B65" s="52"/>
      <c r="C65" s="52"/>
      <c r="D65" s="50" t="s">
        <v>20</v>
      </c>
      <c r="E65" s="44" t="s">
        <v>60</v>
      </c>
      <c r="F65" s="44" t="s">
        <v>60</v>
      </c>
      <c r="G65" s="44" t="s">
        <v>60</v>
      </c>
      <c r="H65" s="46"/>
      <c r="I65" s="46"/>
      <c r="J65" s="46" t="s">
        <v>22</v>
      </c>
      <c r="K65" s="46">
        <f t="shared" si="2"/>
        <v>0</v>
      </c>
      <c r="L65" s="46">
        <f t="shared" si="3"/>
        <v>0</v>
      </c>
      <c r="M65" s="46">
        <f t="shared" si="4"/>
        <v>0</v>
      </c>
      <c r="N65" s="46">
        <f t="shared" si="5"/>
        <v>0</v>
      </c>
      <c r="O65" s="46">
        <f t="shared" si="6"/>
        <v>0</v>
      </c>
      <c r="P65" s="46">
        <f t="shared" si="7"/>
        <v>0</v>
      </c>
      <c r="Q65" s="46">
        <f t="shared" si="7"/>
        <v>0</v>
      </c>
    </row>
    <row r="66" spans="1:17" ht="15" x14ac:dyDescent="0.25">
      <c r="A66" s="44"/>
      <c r="B66" s="44" t="s">
        <v>28</v>
      </c>
      <c r="C66" s="44"/>
      <c r="D66" s="44" t="s">
        <v>20</v>
      </c>
      <c r="E66" s="44" t="s">
        <v>60</v>
      </c>
      <c r="F66" s="44" t="s">
        <v>60</v>
      </c>
      <c r="G66" s="44" t="s">
        <v>60</v>
      </c>
      <c r="H66" s="46" t="s">
        <v>23</v>
      </c>
      <c r="I66" s="46"/>
      <c r="J66" s="46">
        <v>25992.31</v>
      </c>
      <c r="K66" s="46">
        <f t="shared" si="2"/>
        <v>25992.31</v>
      </c>
      <c r="L66" s="46">
        <f t="shared" si="3"/>
        <v>0</v>
      </c>
      <c r="M66" s="46">
        <f t="shared" si="4"/>
        <v>0</v>
      </c>
      <c r="N66" s="46">
        <f t="shared" si="5"/>
        <v>2937131.0300000003</v>
      </c>
      <c r="O66" s="46">
        <f t="shared" si="6"/>
        <v>2937131.0300000003</v>
      </c>
      <c r="P66" s="46">
        <f t="shared" si="7"/>
        <v>2937131.0300000003</v>
      </c>
      <c r="Q66" s="46">
        <f t="shared" si="7"/>
        <v>2937131.0300000003</v>
      </c>
    </row>
    <row r="67" spans="1:17" ht="15" x14ac:dyDescent="0.25">
      <c r="A67" s="44" t="s">
        <v>61</v>
      </c>
      <c r="B67" s="52"/>
      <c r="C67" s="52"/>
      <c r="D67" s="52"/>
      <c r="E67" s="48"/>
      <c r="F67" s="48"/>
      <c r="G67" s="48"/>
      <c r="H67" s="46"/>
      <c r="I67" s="46"/>
      <c r="J67" s="46"/>
      <c r="K67" s="46">
        <f t="shared" si="2"/>
        <v>0</v>
      </c>
      <c r="L67" s="46">
        <f>L68+L74</f>
        <v>8424749.5500000007</v>
      </c>
      <c r="M67" s="46">
        <f t="shared" ref="M67:N67" si="31">M68+M74</f>
        <v>2764074.7</v>
      </c>
      <c r="N67" s="46">
        <f t="shared" si="31"/>
        <v>12479910</v>
      </c>
      <c r="O67" s="46">
        <f t="shared" si="6"/>
        <v>23668734.25</v>
      </c>
      <c r="P67" s="46">
        <f t="shared" si="7"/>
        <v>23668734.25</v>
      </c>
      <c r="Q67" s="46">
        <f t="shared" si="7"/>
        <v>23668734.25</v>
      </c>
    </row>
    <row r="68" spans="1:17" ht="85.5" x14ac:dyDescent="0.25">
      <c r="A68" s="42"/>
      <c r="B68" s="47" t="s">
        <v>76</v>
      </c>
      <c r="C68" s="47"/>
      <c r="D68" s="52"/>
      <c r="E68" s="48"/>
      <c r="F68" s="48"/>
      <c r="G68" s="48"/>
      <c r="H68" s="46"/>
      <c r="I68" s="46"/>
      <c r="J68" s="46"/>
      <c r="K68" s="46">
        <f t="shared" si="2"/>
        <v>0</v>
      </c>
      <c r="L68" s="46">
        <f>L69+L70+L71</f>
        <v>8424749.5500000007</v>
      </c>
      <c r="M68" s="46">
        <f t="shared" ref="M68:N68" si="32">M69+M70+M71</f>
        <v>2764074.7</v>
      </c>
      <c r="N68" s="46">
        <f t="shared" si="32"/>
        <v>6371717.1499999994</v>
      </c>
      <c r="O68" s="46">
        <f t="shared" si="6"/>
        <v>17560541.399999999</v>
      </c>
      <c r="P68" s="46">
        <f t="shared" si="7"/>
        <v>17560541.399999999</v>
      </c>
      <c r="Q68" s="46">
        <f t="shared" si="7"/>
        <v>17560541.399999999</v>
      </c>
    </row>
    <row r="69" spans="1:17" ht="105" x14ac:dyDescent="0.25">
      <c r="A69" s="42"/>
      <c r="B69" s="44" t="s">
        <v>19</v>
      </c>
      <c r="C69" s="42" t="s">
        <v>0</v>
      </c>
      <c r="D69" s="50" t="s">
        <v>20</v>
      </c>
      <c r="E69" s="44" t="s">
        <v>62</v>
      </c>
      <c r="F69" s="44" t="s">
        <v>62</v>
      </c>
      <c r="G69" s="44" t="s">
        <v>62</v>
      </c>
      <c r="H69" s="46">
        <v>41608.51</v>
      </c>
      <c r="I69" s="46">
        <v>11762.02</v>
      </c>
      <c r="J69" s="46">
        <v>27113.69</v>
      </c>
      <c r="K69" s="46">
        <f t="shared" si="2"/>
        <v>80484.22</v>
      </c>
      <c r="L69" s="46">
        <f>E69*H69</f>
        <v>1872382.9500000002</v>
      </c>
      <c r="M69" s="46">
        <f>E69*I69</f>
        <v>529290.9</v>
      </c>
      <c r="N69" s="46">
        <f>E69*J69</f>
        <v>1220116.05</v>
      </c>
      <c r="O69" s="46">
        <f t="shared" si="6"/>
        <v>3621789.9000000004</v>
      </c>
      <c r="P69" s="46">
        <f t="shared" si="7"/>
        <v>3621789.9000000004</v>
      </c>
      <c r="Q69" s="46">
        <f t="shared" si="7"/>
        <v>3621789.9000000004</v>
      </c>
    </row>
    <row r="70" spans="1:17" ht="15" x14ac:dyDescent="0.25">
      <c r="A70" s="49"/>
      <c r="B70" s="44" t="s">
        <v>24</v>
      </c>
      <c r="C70" s="44"/>
      <c r="D70" s="44" t="s">
        <v>20</v>
      </c>
      <c r="E70" s="44" t="s">
        <v>63</v>
      </c>
      <c r="F70" s="44" t="s">
        <v>63</v>
      </c>
      <c r="G70" s="44" t="s">
        <v>63</v>
      </c>
      <c r="H70" s="46">
        <v>32991.18</v>
      </c>
      <c r="I70" s="46">
        <v>11762.02</v>
      </c>
      <c r="J70" s="46">
        <v>27113.69</v>
      </c>
      <c r="K70" s="46">
        <f t="shared" si="2"/>
        <v>71866.89</v>
      </c>
      <c r="L70" s="46">
        <f t="shared" ref="L70:L71" si="33">E70*H70</f>
        <v>6268324.2000000002</v>
      </c>
      <c r="M70" s="46">
        <f t="shared" ref="M70:M71" si="34">E70*I70</f>
        <v>2234783.8000000003</v>
      </c>
      <c r="N70" s="46">
        <f t="shared" ref="N70:N71" si="35">E70*J70</f>
        <v>5151601.0999999996</v>
      </c>
      <c r="O70" s="46">
        <f t="shared" si="6"/>
        <v>13654709.1</v>
      </c>
      <c r="P70" s="46">
        <f t="shared" si="7"/>
        <v>13654709.1</v>
      </c>
      <c r="Q70" s="46">
        <f t="shared" si="7"/>
        <v>13654709.1</v>
      </c>
    </row>
    <row r="71" spans="1:17" ht="75" x14ac:dyDescent="0.25">
      <c r="A71" s="42"/>
      <c r="B71" s="52"/>
      <c r="C71" s="42" t="s">
        <v>78</v>
      </c>
      <c r="D71" s="50" t="s">
        <v>20</v>
      </c>
      <c r="E71" s="44" t="s">
        <v>63</v>
      </c>
      <c r="F71" s="44" t="s">
        <v>63</v>
      </c>
      <c r="G71" s="44" t="s">
        <v>63</v>
      </c>
      <c r="H71" s="46">
        <v>1494.96</v>
      </c>
      <c r="I71" s="46"/>
      <c r="J71" s="46"/>
      <c r="K71" s="46">
        <f t="shared" si="2"/>
        <v>1494.96</v>
      </c>
      <c r="L71" s="46">
        <f t="shared" si="33"/>
        <v>284042.40000000002</v>
      </c>
      <c r="M71" s="46">
        <f t="shared" si="34"/>
        <v>0</v>
      </c>
      <c r="N71" s="46">
        <f t="shared" si="35"/>
        <v>0</v>
      </c>
      <c r="O71" s="46">
        <f t="shared" si="6"/>
        <v>284042.40000000002</v>
      </c>
      <c r="P71" s="46">
        <f t="shared" si="7"/>
        <v>284042.40000000002</v>
      </c>
      <c r="Q71" s="46">
        <f t="shared" si="7"/>
        <v>284042.40000000002</v>
      </c>
    </row>
    <row r="72" spans="1:17" ht="15" hidden="1" x14ac:dyDescent="0.25">
      <c r="A72" s="44" t="s">
        <v>51</v>
      </c>
      <c r="B72" s="52"/>
      <c r="C72" s="52"/>
      <c r="D72" s="44" t="s">
        <v>20</v>
      </c>
      <c r="E72" s="44" t="s">
        <v>64</v>
      </c>
      <c r="F72" s="44" t="s">
        <v>64</v>
      </c>
      <c r="G72" s="44" t="s">
        <v>64</v>
      </c>
      <c r="H72" s="46"/>
      <c r="I72" s="46"/>
      <c r="J72" s="46"/>
      <c r="K72" s="46">
        <f t="shared" si="2"/>
        <v>0</v>
      </c>
      <c r="L72" s="46">
        <f t="shared" si="3"/>
        <v>0</v>
      </c>
      <c r="M72" s="46">
        <f t="shared" si="4"/>
        <v>0</v>
      </c>
      <c r="N72" s="46">
        <f t="shared" si="5"/>
        <v>0</v>
      </c>
      <c r="O72" s="46">
        <f t="shared" si="6"/>
        <v>0</v>
      </c>
      <c r="P72" s="46">
        <f t="shared" si="7"/>
        <v>0</v>
      </c>
      <c r="Q72" s="46">
        <f t="shared" si="7"/>
        <v>0</v>
      </c>
    </row>
    <row r="73" spans="1:17" ht="75" hidden="1" x14ac:dyDescent="0.25">
      <c r="A73" s="42" t="s">
        <v>77</v>
      </c>
      <c r="B73" s="52"/>
      <c r="C73" s="52"/>
      <c r="D73" s="50" t="s">
        <v>20</v>
      </c>
      <c r="E73" s="44" t="s">
        <v>64</v>
      </c>
      <c r="F73" s="44" t="s">
        <v>64</v>
      </c>
      <c r="G73" s="44" t="s">
        <v>64</v>
      </c>
      <c r="H73" s="46"/>
      <c r="I73" s="46"/>
      <c r="J73" s="46" t="s">
        <v>22</v>
      </c>
      <c r="K73" s="46">
        <f t="shared" si="2"/>
        <v>0</v>
      </c>
      <c r="L73" s="46">
        <f t="shared" si="3"/>
        <v>0</v>
      </c>
      <c r="M73" s="46">
        <f t="shared" si="4"/>
        <v>0</v>
      </c>
      <c r="N73" s="46">
        <f t="shared" si="5"/>
        <v>0</v>
      </c>
      <c r="O73" s="46">
        <f t="shared" si="6"/>
        <v>0</v>
      </c>
      <c r="P73" s="46">
        <f t="shared" si="7"/>
        <v>0</v>
      </c>
      <c r="Q73" s="46">
        <f t="shared" si="7"/>
        <v>0</v>
      </c>
    </row>
    <row r="74" spans="1:17" ht="15" x14ac:dyDescent="0.25">
      <c r="A74" s="44"/>
      <c r="B74" s="44" t="s">
        <v>28</v>
      </c>
      <c r="C74" s="44"/>
      <c r="D74" s="44" t="s">
        <v>20</v>
      </c>
      <c r="E74" s="44" t="s">
        <v>64</v>
      </c>
      <c r="F74" s="44" t="s">
        <v>64</v>
      </c>
      <c r="G74" s="44" t="s">
        <v>64</v>
      </c>
      <c r="H74" s="46" t="s">
        <v>23</v>
      </c>
      <c r="I74" s="46"/>
      <c r="J74" s="46">
        <v>25992.31</v>
      </c>
      <c r="K74" s="46">
        <f t="shared" si="2"/>
        <v>25992.31</v>
      </c>
      <c r="L74" s="46">
        <f t="shared" si="3"/>
        <v>0</v>
      </c>
      <c r="M74" s="46">
        <f t="shared" si="4"/>
        <v>0</v>
      </c>
      <c r="N74" s="46">
        <f t="shared" si="5"/>
        <v>6108192.8500000006</v>
      </c>
      <c r="O74" s="46">
        <f t="shared" si="6"/>
        <v>6108192.8500000006</v>
      </c>
      <c r="P74" s="46">
        <f t="shared" si="7"/>
        <v>6108192.8500000006</v>
      </c>
      <c r="Q74" s="46">
        <f t="shared" si="7"/>
        <v>6108192.8500000006</v>
      </c>
    </row>
    <row r="75" spans="1:17" ht="15" x14ac:dyDescent="0.25">
      <c r="A75" s="44" t="s">
        <v>65</v>
      </c>
      <c r="B75" s="52"/>
      <c r="C75" s="52"/>
      <c r="D75" s="52"/>
      <c r="E75" s="48"/>
      <c r="F75" s="48"/>
      <c r="G75" s="48"/>
      <c r="H75" s="46"/>
      <c r="I75" s="46"/>
      <c r="J75" s="46"/>
      <c r="K75" s="46">
        <f t="shared" si="2"/>
        <v>0</v>
      </c>
      <c r="L75" s="46">
        <f>L76+L81</f>
        <v>4885902.43</v>
      </c>
      <c r="M75" s="46">
        <f t="shared" ref="M75:N75" si="36">M76+M81</f>
        <v>1646682.7999999998</v>
      </c>
      <c r="N75" s="46">
        <f t="shared" si="36"/>
        <v>7434840</v>
      </c>
      <c r="O75" s="46">
        <f t="shared" si="6"/>
        <v>13967425.23</v>
      </c>
      <c r="P75" s="46">
        <f t="shared" si="7"/>
        <v>13967425.23</v>
      </c>
      <c r="Q75" s="46">
        <f t="shared" si="7"/>
        <v>13967425.23</v>
      </c>
    </row>
    <row r="76" spans="1:17" ht="85.5" x14ac:dyDescent="0.25">
      <c r="A76" s="42"/>
      <c r="B76" s="47" t="s">
        <v>76</v>
      </c>
      <c r="C76" s="47"/>
      <c r="D76" s="52"/>
      <c r="E76" s="48"/>
      <c r="F76" s="48"/>
      <c r="G76" s="48"/>
      <c r="H76" s="46"/>
      <c r="I76" s="46"/>
      <c r="J76" s="46"/>
      <c r="K76" s="46">
        <f t="shared" ref="K76:K95" si="37">H76+I76+J76</f>
        <v>0</v>
      </c>
      <c r="L76" s="46">
        <f>L77+L78</f>
        <v>4885902.43</v>
      </c>
      <c r="M76" s="46">
        <f t="shared" ref="M76:N76" si="38">M77+M78</f>
        <v>1646682.7999999998</v>
      </c>
      <c r="N76" s="46">
        <f t="shared" si="38"/>
        <v>3795916.6</v>
      </c>
      <c r="O76" s="46">
        <f t="shared" ref="O76:O95" si="39">L76+M76+N76</f>
        <v>10328501.83</v>
      </c>
      <c r="P76" s="46">
        <f t="shared" ref="P76:Q95" si="40">O76</f>
        <v>10328501.83</v>
      </c>
      <c r="Q76" s="46">
        <f t="shared" si="40"/>
        <v>10328501.83</v>
      </c>
    </row>
    <row r="77" spans="1:17" ht="105" x14ac:dyDescent="0.25">
      <c r="A77" s="42"/>
      <c r="B77" s="44" t="s">
        <v>19</v>
      </c>
      <c r="C77" s="42" t="s">
        <v>0</v>
      </c>
      <c r="D77" s="44" t="s">
        <v>20</v>
      </c>
      <c r="E77" s="44" t="s">
        <v>66</v>
      </c>
      <c r="F77" s="44" t="s">
        <v>66</v>
      </c>
      <c r="G77" s="44" t="s">
        <v>66</v>
      </c>
      <c r="H77" s="46">
        <v>41608.51</v>
      </c>
      <c r="I77" s="46">
        <v>11762.02</v>
      </c>
      <c r="J77" s="46">
        <v>27113.69</v>
      </c>
      <c r="K77" s="46">
        <f t="shared" si="37"/>
        <v>80484.22</v>
      </c>
      <c r="L77" s="46">
        <f>E77*H77</f>
        <v>1289863.81</v>
      </c>
      <c r="M77" s="46">
        <f>E77*I77</f>
        <v>364622.62</v>
      </c>
      <c r="N77" s="46">
        <f>E77*J77</f>
        <v>840524.39</v>
      </c>
      <c r="O77" s="46">
        <f t="shared" si="39"/>
        <v>2495010.8200000003</v>
      </c>
      <c r="P77" s="46">
        <f t="shared" si="40"/>
        <v>2495010.8200000003</v>
      </c>
      <c r="Q77" s="46">
        <f t="shared" si="40"/>
        <v>2495010.8200000003</v>
      </c>
    </row>
    <row r="78" spans="1:17" ht="15" x14ac:dyDescent="0.25">
      <c r="A78" s="49"/>
      <c r="B78" s="44" t="s">
        <v>24</v>
      </c>
      <c r="C78" s="44"/>
      <c r="D78" s="44" t="s">
        <v>20</v>
      </c>
      <c r="E78" s="44" t="s">
        <v>55</v>
      </c>
      <c r="F78" s="44" t="s">
        <v>55</v>
      </c>
      <c r="G78" s="44" t="s">
        <v>55</v>
      </c>
      <c r="H78" s="46">
        <v>32991.18</v>
      </c>
      <c r="I78" s="46">
        <v>11762.02</v>
      </c>
      <c r="J78" s="46">
        <v>27113.69</v>
      </c>
      <c r="K78" s="46">
        <f t="shared" si="37"/>
        <v>71866.89</v>
      </c>
      <c r="L78" s="46">
        <f t="shared" ref="L78:L81" si="41">E78*H78</f>
        <v>3596038.62</v>
      </c>
      <c r="M78" s="46">
        <f>E78*I78</f>
        <v>1282060.18</v>
      </c>
      <c r="N78" s="46">
        <f>E78*J78</f>
        <v>2955392.21</v>
      </c>
      <c r="O78" s="46">
        <f t="shared" si="39"/>
        <v>7833491.0099999998</v>
      </c>
      <c r="P78" s="46">
        <f t="shared" si="40"/>
        <v>7833491.0099999998</v>
      </c>
      <c r="Q78" s="46">
        <f t="shared" si="40"/>
        <v>7833491.0099999998</v>
      </c>
    </row>
    <row r="79" spans="1:17" ht="15" hidden="1" x14ac:dyDescent="0.25">
      <c r="A79" s="44" t="s">
        <v>51</v>
      </c>
      <c r="B79" s="52"/>
      <c r="C79" s="52"/>
      <c r="D79" s="44" t="s">
        <v>20</v>
      </c>
      <c r="E79" s="44" t="s">
        <v>67</v>
      </c>
      <c r="F79" s="44" t="s">
        <v>67</v>
      </c>
      <c r="G79" s="44" t="s">
        <v>67</v>
      </c>
      <c r="H79" s="46"/>
      <c r="I79" s="46">
        <v>11762.02</v>
      </c>
      <c r="J79" s="46"/>
      <c r="K79" s="46">
        <f t="shared" si="37"/>
        <v>11762.02</v>
      </c>
      <c r="L79" s="46">
        <f t="shared" si="41"/>
        <v>0</v>
      </c>
      <c r="M79" s="46">
        <f t="shared" ref="M79:M95" si="42">F79*I79</f>
        <v>1646682.8</v>
      </c>
      <c r="N79" s="46">
        <f t="shared" ref="N79:N95" si="43">G79*J79</f>
        <v>0</v>
      </c>
      <c r="O79" s="46">
        <f t="shared" si="39"/>
        <v>1646682.8</v>
      </c>
      <c r="P79" s="46">
        <f t="shared" si="40"/>
        <v>1646682.8</v>
      </c>
      <c r="Q79" s="46">
        <f t="shared" si="40"/>
        <v>1646682.8</v>
      </c>
    </row>
    <row r="80" spans="1:17" ht="75" hidden="1" x14ac:dyDescent="0.25">
      <c r="A80" s="42" t="s">
        <v>77</v>
      </c>
      <c r="B80" s="52"/>
      <c r="C80" s="52"/>
      <c r="D80" s="44" t="s">
        <v>20</v>
      </c>
      <c r="E80" s="44" t="s">
        <v>67</v>
      </c>
      <c r="F80" s="44" t="s">
        <v>67</v>
      </c>
      <c r="G80" s="44" t="s">
        <v>67</v>
      </c>
      <c r="H80" s="46"/>
      <c r="I80" s="46"/>
      <c r="J80" s="46" t="s">
        <v>22</v>
      </c>
      <c r="K80" s="46">
        <f t="shared" si="37"/>
        <v>0</v>
      </c>
      <c r="L80" s="46">
        <f t="shared" si="41"/>
        <v>0</v>
      </c>
      <c r="M80" s="46">
        <f t="shared" si="42"/>
        <v>0</v>
      </c>
      <c r="N80" s="46">
        <f t="shared" si="43"/>
        <v>0</v>
      </c>
      <c r="O80" s="46">
        <f t="shared" si="39"/>
        <v>0</v>
      </c>
      <c r="P80" s="46">
        <f t="shared" si="40"/>
        <v>0</v>
      </c>
      <c r="Q80" s="46">
        <f t="shared" si="40"/>
        <v>0</v>
      </c>
    </row>
    <row r="81" spans="1:17" ht="15" x14ac:dyDescent="0.25">
      <c r="A81" s="44"/>
      <c r="B81" s="44" t="s">
        <v>28</v>
      </c>
      <c r="C81" s="44"/>
      <c r="D81" s="44" t="s">
        <v>20</v>
      </c>
      <c r="E81" s="44" t="s">
        <v>67</v>
      </c>
      <c r="F81" s="44" t="s">
        <v>67</v>
      </c>
      <c r="G81" s="44" t="s">
        <v>67</v>
      </c>
      <c r="H81" s="46" t="s">
        <v>23</v>
      </c>
      <c r="I81" s="46"/>
      <c r="J81" s="46">
        <v>25992.31</v>
      </c>
      <c r="K81" s="46">
        <f t="shared" si="37"/>
        <v>25992.31</v>
      </c>
      <c r="L81" s="46">
        <f t="shared" si="41"/>
        <v>0</v>
      </c>
      <c r="M81" s="46">
        <f t="shared" si="42"/>
        <v>0</v>
      </c>
      <c r="N81" s="46">
        <f t="shared" si="43"/>
        <v>3638923.4000000004</v>
      </c>
      <c r="O81" s="46">
        <f t="shared" si="39"/>
        <v>3638923.4000000004</v>
      </c>
      <c r="P81" s="46">
        <f t="shared" si="40"/>
        <v>3638923.4000000004</v>
      </c>
      <c r="Q81" s="46">
        <f t="shared" si="40"/>
        <v>3638923.4000000004</v>
      </c>
    </row>
    <row r="82" spans="1:17" ht="15" x14ac:dyDescent="0.25">
      <c r="A82" s="44" t="s">
        <v>68</v>
      </c>
      <c r="B82" s="52"/>
      <c r="C82" s="52"/>
      <c r="D82" s="52"/>
      <c r="E82" s="48"/>
      <c r="F82" s="48"/>
      <c r="G82" s="48"/>
      <c r="H82" s="46"/>
      <c r="I82" s="46"/>
      <c r="J82" s="46"/>
      <c r="K82" s="46">
        <f t="shared" si="37"/>
        <v>0</v>
      </c>
      <c r="L82" s="46">
        <f>L83+L88</f>
        <v>4860050.4400000004</v>
      </c>
      <c r="M82" s="46">
        <f t="shared" ref="M82:N82" si="44">M83+M88</f>
        <v>1646682.8</v>
      </c>
      <c r="N82" s="46">
        <f t="shared" si="44"/>
        <v>7434840</v>
      </c>
      <c r="O82" s="46">
        <f t="shared" si="39"/>
        <v>13941573.24</v>
      </c>
      <c r="P82" s="46">
        <f t="shared" si="40"/>
        <v>13941573.24</v>
      </c>
      <c r="Q82" s="46">
        <f t="shared" si="40"/>
        <v>13941573.24</v>
      </c>
    </row>
    <row r="83" spans="1:17" ht="85.5" x14ac:dyDescent="0.25">
      <c r="A83" s="42"/>
      <c r="B83" s="47" t="s">
        <v>76</v>
      </c>
      <c r="C83" s="47"/>
      <c r="D83" s="52"/>
      <c r="E83" s="48"/>
      <c r="F83" s="48"/>
      <c r="G83" s="48"/>
      <c r="H83" s="46"/>
      <c r="I83" s="46"/>
      <c r="J83" s="46"/>
      <c r="K83" s="46">
        <f t="shared" si="37"/>
        <v>0</v>
      </c>
      <c r="L83" s="46">
        <f>L84+L85</f>
        <v>4860050.4400000004</v>
      </c>
      <c r="M83" s="46">
        <f t="shared" ref="M83:N83" si="45">M84+M85</f>
        <v>1646682.8</v>
      </c>
      <c r="N83" s="46">
        <f t="shared" si="45"/>
        <v>3795916.5999999996</v>
      </c>
      <c r="O83" s="46">
        <f t="shared" si="39"/>
        <v>10302649.84</v>
      </c>
      <c r="P83" s="46">
        <f t="shared" si="40"/>
        <v>10302649.84</v>
      </c>
      <c r="Q83" s="46">
        <f t="shared" si="40"/>
        <v>10302649.84</v>
      </c>
    </row>
    <row r="84" spans="1:17" ht="105" x14ac:dyDescent="0.25">
      <c r="A84" s="42"/>
      <c r="B84" s="44" t="s">
        <v>19</v>
      </c>
      <c r="C84" s="42" t="s">
        <v>0</v>
      </c>
      <c r="D84" s="50" t="s">
        <v>20</v>
      </c>
      <c r="E84" s="44" t="s">
        <v>69</v>
      </c>
      <c r="F84" s="44" t="s">
        <v>69</v>
      </c>
      <c r="G84" s="44" t="s">
        <v>69</v>
      </c>
      <c r="H84" s="46">
        <v>41608.51</v>
      </c>
      <c r="I84" s="46">
        <v>11762.02</v>
      </c>
      <c r="J84" s="46">
        <v>27113.69</v>
      </c>
      <c r="K84" s="46">
        <f t="shared" si="37"/>
        <v>80484.22</v>
      </c>
      <c r="L84" s="46">
        <f>E84*H84</f>
        <v>1165038.28</v>
      </c>
      <c r="M84" s="46">
        <f>E84*I84</f>
        <v>329336.56</v>
      </c>
      <c r="N84" s="46">
        <f>E84*J84</f>
        <v>759183.32</v>
      </c>
      <c r="O84" s="46">
        <f t="shared" si="39"/>
        <v>2253558.16</v>
      </c>
      <c r="P84" s="46">
        <f t="shared" si="40"/>
        <v>2253558.16</v>
      </c>
      <c r="Q84" s="46">
        <f t="shared" si="40"/>
        <v>2253558.16</v>
      </c>
    </row>
    <row r="85" spans="1:17" ht="15" x14ac:dyDescent="0.25">
      <c r="A85" s="49"/>
      <c r="B85" s="44" t="s">
        <v>24</v>
      </c>
      <c r="C85" s="44"/>
      <c r="D85" s="44" t="s">
        <v>20</v>
      </c>
      <c r="E85" s="44" t="s">
        <v>70</v>
      </c>
      <c r="F85" s="44" t="s">
        <v>70</v>
      </c>
      <c r="G85" s="44" t="s">
        <v>70</v>
      </c>
      <c r="H85" s="46">
        <v>32991.18</v>
      </c>
      <c r="I85" s="46">
        <v>11762.02</v>
      </c>
      <c r="J85" s="46">
        <v>27113.69</v>
      </c>
      <c r="K85" s="46">
        <f t="shared" si="37"/>
        <v>71866.89</v>
      </c>
      <c r="L85" s="46">
        <f>E85*H85</f>
        <v>3695012.16</v>
      </c>
      <c r="M85" s="46">
        <f>E85*I85</f>
        <v>1317346.24</v>
      </c>
      <c r="N85" s="46">
        <f t="shared" ref="N85:N87" si="46">E85*J85</f>
        <v>3036733.28</v>
      </c>
      <c r="O85" s="46">
        <f t="shared" si="39"/>
        <v>8049091.6799999997</v>
      </c>
      <c r="P85" s="46">
        <f t="shared" si="40"/>
        <v>8049091.6799999997</v>
      </c>
      <c r="Q85" s="46">
        <f t="shared" si="40"/>
        <v>8049091.6799999997</v>
      </c>
    </row>
    <row r="86" spans="1:17" ht="15" hidden="1" x14ac:dyDescent="0.25">
      <c r="A86" s="44" t="s">
        <v>51</v>
      </c>
      <c r="B86" s="52"/>
      <c r="C86" s="52"/>
      <c r="D86" s="52"/>
      <c r="E86" s="44" t="s">
        <v>67</v>
      </c>
      <c r="F86" s="44" t="s">
        <v>67</v>
      </c>
      <c r="G86" s="44" t="s">
        <v>67</v>
      </c>
      <c r="H86" s="46"/>
      <c r="I86" s="46"/>
      <c r="J86" s="46"/>
      <c r="K86" s="46">
        <f t="shared" si="37"/>
        <v>0</v>
      </c>
      <c r="L86" s="46">
        <f t="shared" ref="L86:L95" si="47">E86*H86</f>
        <v>0</v>
      </c>
      <c r="M86" s="46">
        <f t="shared" si="42"/>
        <v>0</v>
      </c>
      <c r="N86" s="46">
        <f t="shared" si="46"/>
        <v>0</v>
      </c>
      <c r="O86" s="46">
        <f t="shared" si="39"/>
        <v>0</v>
      </c>
      <c r="P86" s="46">
        <f t="shared" si="40"/>
        <v>0</v>
      </c>
      <c r="Q86" s="46">
        <f t="shared" si="40"/>
        <v>0</v>
      </c>
    </row>
    <row r="87" spans="1:17" ht="75" hidden="1" x14ac:dyDescent="0.25">
      <c r="A87" s="42" t="s">
        <v>77</v>
      </c>
      <c r="B87" s="52"/>
      <c r="C87" s="52"/>
      <c r="D87" s="52"/>
      <c r="E87" s="44" t="s">
        <v>67</v>
      </c>
      <c r="F87" s="44" t="s">
        <v>67</v>
      </c>
      <c r="G87" s="44" t="s">
        <v>67</v>
      </c>
      <c r="H87" s="46"/>
      <c r="I87" s="46"/>
      <c r="J87" s="46" t="s">
        <v>22</v>
      </c>
      <c r="K87" s="46">
        <f t="shared" si="37"/>
        <v>0</v>
      </c>
      <c r="L87" s="46">
        <f t="shared" si="47"/>
        <v>0</v>
      </c>
      <c r="M87" s="46">
        <f t="shared" si="42"/>
        <v>0</v>
      </c>
      <c r="N87" s="46">
        <f t="shared" si="46"/>
        <v>0</v>
      </c>
      <c r="O87" s="46">
        <f t="shared" si="39"/>
        <v>0</v>
      </c>
      <c r="P87" s="46">
        <f t="shared" si="40"/>
        <v>0</v>
      </c>
      <c r="Q87" s="46">
        <f t="shared" si="40"/>
        <v>0</v>
      </c>
    </row>
    <row r="88" spans="1:17" ht="15" x14ac:dyDescent="0.25">
      <c r="A88" s="44"/>
      <c r="B88" s="44" t="s">
        <v>28</v>
      </c>
      <c r="C88" s="44"/>
      <c r="D88" s="44" t="s">
        <v>20</v>
      </c>
      <c r="E88" s="44" t="s">
        <v>67</v>
      </c>
      <c r="F88" s="44" t="s">
        <v>67</v>
      </c>
      <c r="G88" s="44" t="s">
        <v>67</v>
      </c>
      <c r="H88" s="46" t="s">
        <v>23</v>
      </c>
      <c r="I88" s="46"/>
      <c r="J88" s="46">
        <v>25992.31</v>
      </c>
      <c r="K88" s="46">
        <f t="shared" si="37"/>
        <v>25992.31</v>
      </c>
      <c r="L88" s="46">
        <f t="shared" si="47"/>
        <v>0</v>
      </c>
      <c r="M88" s="46">
        <f t="shared" si="42"/>
        <v>0</v>
      </c>
      <c r="N88" s="46">
        <f t="shared" si="43"/>
        <v>3638923.4000000004</v>
      </c>
      <c r="O88" s="46">
        <f t="shared" si="39"/>
        <v>3638923.4000000004</v>
      </c>
      <c r="P88" s="46">
        <f t="shared" si="40"/>
        <v>3638923.4000000004</v>
      </c>
      <c r="Q88" s="46">
        <f t="shared" si="40"/>
        <v>3638923.4000000004</v>
      </c>
    </row>
    <row r="89" spans="1:17" ht="15" x14ac:dyDescent="0.25">
      <c r="A89" s="44" t="s">
        <v>71</v>
      </c>
      <c r="B89" s="52"/>
      <c r="C89" s="52"/>
      <c r="D89" s="52"/>
      <c r="E89" s="48"/>
      <c r="F89" s="48"/>
      <c r="G89" s="48"/>
      <c r="H89" s="46"/>
      <c r="I89" s="46"/>
      <c r="J89" s="46"/>
      <c r="K89" s="46">
        <f t="shared" si="37"/>
        <v>0</v>
      </c>
      <c r="L89" s="46">
        <f>L90+L95</f>
        <v>8487853.6099999994</v>
      </c>
      <c r="M89" s="46">
        <f t="shared" ref="M89:N89" si="48">M90+M95</f>
        <v>2881694.9</v>
      </c>
      <c r="N89" s="46">
        <f t="shared" si="48"/>
        <v>13010970</v>
      </c>
      <c r="O89" s="46">
        <f t="shared" si="39"/>
        <v>24380518.509999998</v>
      </c>
      <c r="P89" s="46">
        <f t="shared" si="40"/>
        <v>24380518.509999998</v>
      </c>
      <c r="Q89" s="46">
        <f t="shared" si="40"/>
        <v>24380518.509999998</v>
      </c>
    </row>
    <row r="90" spans="1:17" ht="85.5" x14ac:dyDescent="0.25">
      <c r="A90" s="42"/>
      <c r="B90" s="47" t="s">
        <v>76</v>
      </c>
      <c r="C90" s="47"/>
      <c r="D90" s="52"/>
      <c r="E90" s="48"/>
      <c r="F90" s="48"/>
      <c r="G90" s="48"/>
      <c r="H90" s="46"/>
      <c r="I90" s="46"/>
      <c r="J90" s="46"/>
      <c r="K90" s="46">
        <f t="shared" si="37"/>
        <v>0</v>
      </c>
      <c r="L90" s="46">
        <f>L91+L92</f>
        <v>8487853.6099999994</v>
      </c>
      <c r="M90" s="46">
        <f t="shared" ref="M90:N90" si="49">M91+M92</f>
        <v>2881694.9</v>
      </c>
      <c r="N90" s="46">
        <f t="shared" si="49"/>
        <v>6642854.0499999998</v>
      </c>
      <c r="O90" s="46">
        <f t="shared" si="39"/>
        <v>18012402.559999999</v>
      </c>
      <c r="P90" s="46">
        <f t="shared" si="40"/>
        <v>18012402.559999999</v>
      </c>
      <c r="Q90" s="46">
        <f t="shared" si="40"/>
        <v>18012402.559999999</v>
      </c>
    </row>
    <row r="91" spans="1:17" ht="105" x14ac:dyDescent="0.25">
      <c r="A91" s="42"/>
      <c r="B91" s="44" t="s">
        <v>19</v>
      </c>
      <c r="C91" s="42" t="s">
        <v>0</v>
      </c>
      <c r="D91" s="50" t="s">
        <v>20</v>
      </c>
      <c r="E91" s="44" t="s">
        <v>72</v>
      </c>
      <c r="F91" s="44" t="s">
        <v>72</v>
      </c>
      <c r="G91" s="44" t="s">
        <v>72</v>
      </c>
      <c r="H91" s="46">
        <v>41608.51</v>
      </c>
      <c r="I91" s="46">
        <v>11762.02</v>
      </c>
      <c r="J91" s="46">
        <v>27113.69</v>
      </c>
      <c r="K91" s="46">
        <f t="shared" si="37"/>
        <v>80484.22</v>
      </c>
      <c r="L91" s="46">
        <f>E91*H91</f>
        <v>1955599.9700000002</v>
      </c>
      <c r="M91" s="46">
        <f>E91*I91</f>
        <v>552814.94000000006</v>
      </c>
      <c r="N91" s="46">
        <f>E91*J91</f>
        <v>1274343.43</v>
      </c>
      <c r="O91" s="46">
        <f t="shared" si="39"/>
        <v>3782758.34</v>
      </c>
      <c r="P91" s="46">
        <f t="shared" si="40"/>
        <v>3782758.34</v>
      </c>
      <c r="Q91" s="46">
        <f t="shared" si="40"/>
        <v>3782758.34</v>
      </c>
    </row>
    <row r="92" spans="1:17" ht="15" x14ac:dyDescent="0.25">
      <c r="A92" s="49"/>
      <c r="B92" s="44" t="s">
        <v>24</v>
      </c>
      <c r="C92" s="44"/>
      <c r="D92" s="44" t="s">
        <v>20</v>
      </c>
      <c r="E92" s="44" t="s">
        <v>73</v>
      </c>
      <c r="F92" s="44" t="s">
        <v>73</v>
      </c>
      <c r="G92" s="44" t="s">
        <v>73</v>
      </c>
      <c r="H92" s="46">
        <v>32991.18</v>
      </c>
      <c r="I92" s="46">
        <v>11762.02</v>
      </c>
      <c r="J92" s="46">
        <v>27113.69</v>
      </c>
      <c r="K92" s="46">
        <f t="shared" si="37"/>
        <v>71866.89</v>
      </c>
      <c r="L92" s="46">
        <f>E92*H92</f>
        <v>6532253.6399999997</v>
      </c>
      <c r="M92" s="46">
        <f>E92*I92</f>
        <v>2328879.96</v>
      </c>
      <c r="N92" s="46">
        <f>E92*J92</f>
        <v>5368510.62</v>
      </c>
      <c r="O92" s="46">
        <f t="shared" si="39"/>
        <v>14229644.219999999</v>
      </c>
      <c r="P92" s="46">
        <f t="shared" si="40"/>
        <v>14229644.219999999</v>
      </c>
      <c r="Q92" s="46">
        <f t="shared" si="40"/>
        <v>14229644.219999999</v>
      </c>
    </row>
    <row r="93" spans="1:17" ht="15" hidden="1" x14ac:dyDescent="0.25">
      <c r="A93" s="44" t="s">
        <v>26</v>
      </c>
      <c r="B93" s="52"/>
      <c r="C93" s="52"/>
      <c r="D93" s="44" t="s">
        <v>20</v>
      </c>
      <c r="E93" s="44" t="s">
        <v>74</v>
      </c>
      <c r="F93" s="44" t="s">
        <v>74</v>
      </c>
      <c r="G93" s="44" t="s">
        <v>74</v>
      </c>
      <c r="H93" s="46"/>
      <c r="I93" s="46"/>
      <c r="J93" s="46"/>
      <c r="K93" s="46">
        <f t="shared" si="37"/>
        <v>0</v>
      </c>
      <c r="L93" s="46">
        <f t="shared" si="47"/>
        <v>0</v>
      </c>
      <c r="M93" s="46">
        <f t="shared" si="42"/>
        <v>0</v>
      </c>
      <c r="N93" s="46">
        <f t="shared" si="43"/>
        <v>0</v>
      </c>
      <c r="O93" s="46">
        <f t="shared" si="39"/>
        <v>0</v>
      </c>
      <c r="P93" s="46">
        <f t="shared" si="40"/>
        <v>0</v>
      </c>
      <c r="Q93" s="46">
        <f t="shared" si="40"/>
        <v>0</v>
      </c>
    </row>
    <row r="94" spans="1:17" ht="75" hidden="1" x14ac:dyDescent="0.25">
      <c r="A94" s="42" t="s">
        <v>77</v>
      </c>
      <c r="B94" s="52"/>
      <c r="C94" s="52"/>
      <c r="D94" s="50" t="s">
        <v>20</v>
      </c>
      <c r="E94" s="44" t="s">
        <v>74</v>
      </c>
      <c r="F94" s="44" t="s">
        <v>74</v>
      </c>
      <c r="G94" s="44" t="s">
        <v>74</v>
      </c>
      <c r="H94" s="46"/>
      <c r="I94" s="46"/>
      <c r="J94" s="46" t="s">
        <v>22</v>
      </c>
      <c r="K94" s="46">
        <f t="shared" si="37"/>
        <v>0</v>
      </c>
      <c r="L94" s="46">
        <f t="shared" si="47"/>
        <v>0</v>
      </c>
      <c r="M94" s="46">
        <f t="shared" si="42"/>
        <v>0</v>
      </c>
      <c r="N94" s="46">
        <f t="shared" si="43"/>
        <v>0</v>
      </c>
      <c r="O94" s="46">
        <f t="shared" si="39"/>
        <v>0</v>
      </c>
      <c r="P94" s="46">
        <f t="shared" si="40"/>
        <v>0</v>
      </c>
      <c r="Q94" s="46">
        <f t="shared" si="40"/>
        <v>0</v>
      </c>
    </row>
    <row r="95" spans="1:17" ht="15" x14ac:dyDescent="0.25">
      <c r="A95" s="44"/>
      <c r="B95" s="48" t="s">
        <v>75</v>
      </c>
      <c r="C95" s="48"/>
      <c r="D95" s="44" t="s">
        <v>20</v>
      </c>
      <c r="E95" s="44" t="s">
        <v>74</v>
      </c>
      <c r="F95" s="44" t="s">
        <v>74</v>
      </c>
      <c r="G95" s="44" t="s">
        <v>74</v>
      </c>
      <c r="H95" s="46" t="s">
        <v>23</v>
      </c>
      <c r="I95" s="46"/>
      <c r="J95" s="46">
        <v>25992.31</v>
      </c>
      <c r="K95" s="46">
        <f t="shared" si="37"/>
        <v>25992.31</v>
      </c>
      <c r="L95" s="46">
        <f t="shared" si="47"/>
        <v>0</v>
      </c>
      <c r="M95" s="46">
        <f t="shared" si="42"/>
        <v>0</v>
      </c>
      <c r="N95" s="46">
        <f t="shared" si="43"/>
        <v>6368115.9500000002</v>
      </c>
      <c r="O95" s="46">
        <f t="shared" si="39"/>
        <v>6368115.9500000002</v>
      </c>
      <c r="P95" s="46">
        <f t="shared" si="40"/>
        <v>6368115.9500000002</v>
      </c>
      <c r="Q95" s="46">
        <f t="shared" si="40"/>
        <v>6368115.9500000002</v>
      </c>
    </row>
    <row r="96" spans="1:17" ht="36.75" customHeight="1" x14ac:dyDescent="0.3">
      <c r="A96" s="156" t="s">
        <v>154</v>
      </c>
      <c r="B96" s="156"/>
      <c r="C96" s="156"/>
      <c r="D96" s="44"/>
      <c r="E96" s="44"/>
      <c r="F96" s="44"/>
      <c r="G96" s="44"/>
      <c r="H96" s="46"/>
      <c r="I96" s="46"/>
      <c r="J96" s="46"/>
      <c r="K96" s="46"/>
      <c r="L96" s="46"/>
      <c r="M96" s="46"/>
      <c r="N96" s="46"/>
      <c r="O96" s="46"/>
      <c r="P96" s="46"/>
      <c r="Q96" s="46"/>
    </row>
    <row r="97" spans="1:17" ht="30" x14ac:dyDescent="0.2">
      <c r="A97" s="162" t="s">
        <v>3</v>
      </c>
      <c r="B97" s="162" t="s">
        <v>86</v>
      </c>
      <c r="C97" s="7" t="s">
        <v>87</v>
      </c>
      <c r="D97" s="162" t="s">
        <v>4</v>
      </c>
      <c r="E97" s="162" t="s">
        <v>5</v>
      </c>
      <c r="F97" s="162"/>
      <c r="G97" s="162"/>
      <c r="H97" s="162" t="s">
        <v>6</v>
      </c>
      <c r="I97" s="162"/>
      <c r="J97" s="162"/>
      <c r="K97" s="162"/>
      <c r="L97" s="162" t="s">
        <v>7</v>
      </c>
      <c r="M97" s="162"/>
      <c r="N97" s="162"/>
      <c r="O97" s="162"/>
      <c r="P97" s="162"/>
      <c r="Q97" s="162"/>
    </row>
    <row r="98" spans="1:17" ht="120" x14ac:dyDescent="0.2">
      <c r="A98" s="162"/>
      <c r="B98" s="162"/>
      <c r="C98" s="7"/>
      <c r="D98" s="162"/>
      <c r="E98" s="7" t="s">
        <v>8</v>
      </c>
      <c r="F98" s="7" t="s">
        <v>9</v>
      </c>
      <c r="G98" s="7" t="s">
        <v>10</v>
      </c>
      <c r="H98" s="7" t="s">
        <v>88</v>
      </c>
      <c r="I98" s="7" t="s">
        <v>89</v>
      </c>
      <c r="J98" s="7" t="s">
        <v>90</v>
      </c>
      <c r="K98" s="7" t="s">
        <v>91</v>
      </c>
      <c r="L98" s="7" t="s">
        <v>92</v>
      </c>
      <c r="M98" s="7" t="s">
        <v>93</v>
      </c>
      <c r="N98" s="7" t="s">
        <v>94</v>
      </c>
      <c r="O98" s="7" t="s">
        <v>95</v>
      </c>
      <c r="P98" s="7" t="s">
        <v>96</v>
      </c>
      <c r="Q98" s="7" t="s">
        <v>97</v>
      </c>
    </row>
    <row r="99" spans="1:17" ht="60" x14ac:dyDescent="0.2">
      <c r="A99" s="8" t="s">
        <v>13</v>
      </c>
      <c r="B99" s="8" t="s">
        <v>13</v>
      </c>
      <c r="C99" s="8"/>
      <c r="D99" s="8" t="s">
        <v>15</v>
      </c>
      <c r="E99" s="8" t="s">
        <v>16</v>
      </c>
      <c r="F99" s="8" t="s">
        <v>16</v>
      </c>
      <c r="G99" s="8" t="s">
        <v>16</v>
      </c>
      <c r="H99" s="7" t="s">
        <v>17</v>
      </c>
      <c r="I99" s="7" t="s">
        <v>17</v>
      </c>
      <c r="J99" s="7" t="s">
        <v>17</v>
      </c>
      <c r="K99" s="7" t="s">
        <v>17</v>
      </c>
      <c r="L99" s="7" t="s">
        <v>17</v>
      </c>
      <c r="M99" s="7" t="s">
        <v>17</v>
      </c>
      <c r="N99" s="7" t="s">
        <v>17</v>
      </c>
      <c r="O99" s="7" t="s">
        <v>17</v>
      </c>
      <c r="P99" s="7" t="s">
        <v>17</v>
      </c>
      <c r="Q99" s="7" t="s">
        <v>17</v>
      </c>
    </row>
    <row r="100" spans="1:17" ht="90" x14ac:dyDescent="0.25">
      <c r="A100" s="157" t="s">
        <v>98</v>
      </c>
      <c r="B100" s="154" t="s">
        <v>99</v>
      </c>
      <c r="C100" s="9" t="s">
        <v>100</v>
      </c>
      <c r="D100" s="10" t="s">
        <v>101</v>
      </c>
      <c r="E100" s="11">
        <v>227</v>
      </c>
      <c r="F100" s="11">
        <v>227</v>
      </c>
      <c r="G100" s="11">
        <v>227</v>
      </c>
      <c r="H100" s="12">
        <f>SUM(I100:K100)</f>
        <v>43059.57</v>
      </c>
      <c r="I100" s="12">
        <f>22328.93+952.08</f>
        <v>23281.010000000002</v>
      </c>
      <c r="J100" s="12">
        <v>3857.41</v>
      </c>
      <c r="K100" s="12">
        <v>15921.15</v>
      </c>
      <c r="L100" s="13">
        <f>SUM(M100:O100)</f>
        <v>9774522.3900000006</v>
      </c>
      <c r="M100" s="13">
        <f>E100*I100</f>
        <v>5284789.2700000005</v>
      </c>
      <c r="N100" s="13">
        <f>E100*J100</f>
        <v>875632.07</v>
      </c>
      <c r="O100" s="14">
        <f>E100*K100</f>
        <v>3614101.05</v>
      </c>
      <c r="P100" s="14">
        <f>F100*H100</f>
        <v>9774522.3900000006</v>
      </c>
      <c r="Q100" s="14">
        <f>G100*H100</f>
        <v>9774522.3900000006</v>
      </c>
    </row>
    <row r="101" spans="1:17" ht="120" x14ac:dyDescent="0.2">
      <c r="A101" s="157"/>
      <c r="B101" s="154"/>
      <c r="C101" s="15" t="s">
        <v>102</v>
      </c>
      <c r="D101" s="16" t="s">
        <v>101</v>
      </c>
      <c r="E101" s="17">
        <v>3</v>
      </c>
      <c r="F101" s="17">
        <v>3</v>
      </c>
      <c r="G101" s="17">
        <v>3</v>
      </c>
      <c r="H101" s="18">
        <v>22724.03</v>
      </c>
      <c r="I101" s="18">
        <v>22724.03</v>
      </c>
      <c r="J101" s="18" t="s">
        <v>103</v>
      </c>
      <c r="K101" s="18" t="s">
        <v>103</v>
      </c>
      <c r="L101" s="13">
        <f>SUM(M101:O101)</f>
        <v>68172.09</v>
      </c>
      <c r="M101" s="13">
        <f>E101*I101</f>
        <v>68172.09</v>
      </c>
      <c r="N101" s="13" t="s">
        <v>104</v>
      </c>
      <c r="O101" s="19" t="s">
        <v>104</v>
      </c>
      <c r="P101" s="14">
        <f t="shared" ref="P101:P164" si="50">F101*H101</f>
        <v>68172.09</v>
      </c>
      <c r="Q101" s="14">
        <f t="shared" ref="Q101:Q164" si="51">G101*H101</f>
        <v>68172.09</v>
      </c>
    </row>
    <row r="102" spans="1:17" ht="120" x14ac:dyDescent="0.25">
      <c r="A102" s="157"/>
      <c r="B102" s="154"/>
      <c r="C102" s="9" t="s">
        <v>105</v>
      </c>
      <c r="D102" s="16" t="s">
        <v>101</v>
      </c>
      <c r="E102" s="11">
        <v>3</v>
      </c>
      <c r="F102" s="11">
        <v>3</v>
      </c>
      <c r="G102" s="11">
        <v>3</v>
      </c>
      <c r="H102" s="18">
        <f>SUM(I102:K102)</f>
        <v>137159.02000000002</v>
      </c>
      <c r="I102" s="18">
        <f>116428.38+952.08</f>
        <v>117380.46</v>
      </c>
      <c r="J102" s="18">
        <v>3857.41</v>
      </c>
      <c r="K102" s="18">
        <v>15921.15</v>
      </c>
      <c r="L102" s="13">
        <f>SUM(M102:O102)</f>
        <v>411477.06</v>
      </c>
      <c r="M102" s="13">
        <f>E102*I102</f>
        <v>352141.38</v>
      </c>
      <c r="N102" s="13">
        <f>E102*J102</f>
        <v>11572.23</v>
      </c>
      <c r="O102" s="20">
        <f>E102*K102</f>
        <v>47763.45</v>
      </c>
      <c r="P102" s="14">
        <f t="shared" si="50"/>
        <v>411477.06000000006</v>
      </c>
      <c r="Q102" s="14">
        <f t="shared" si="51"/>
        <v>411477.06000000006</v>
      </c>
    </row>
    <row r="103" spans="1:17" ht="15" x14ac:dyDescent="0.2">
      <c r="A103" s="157"/>
      <c r="B103" s="154"/>
      <c r="C103" s="21" t="s">
        <v>106</v>
      </c>
      <c r="D103" s="22"/>
      <c r="E103" s="11">
        <f>E100+E102</f>
        <v>230</v>
      </c>
      <c r="F103" s="11">
        <f t="shared" ref="F103:G103" si="52">F100+F102</f>
        <v>230</v>
      </c>
      <c r="G103" s="11">
        <f t="shared" si="52"/>
        <v>230</v>
      </c>
      <c r="H103" s="11" t="s">
        <v>104</v>
      </c>
      <c r="I103" s="11" t="s">
        <v>104</v>
      </c>
      <c r="J103" s="11" t="s">
        <v>104</v>
      </c>
      <c r="K103" s="11" t="s">
        <v>104</v>
      </c>
      <c r="L103" s="11">
        <f t="shared" ref="L103:O103" si="53">SUM(L100:L102)</f>
        <v>10254171.540000001</v>
      </c>
      <c r="M103" s="11">
        <f t="shared" si="53"/>
        <v>5705102.7400000002</v>
      </c>
      <c r="N103" s="11">
        <f t="shared" si="53"/>
        <v>887204.29999999993</v>
      </c>
      <c r="O103" s="11">
        <f t="shared" si="53"/>
        <v>3661864.5</v>
      </c>
      <c r="P103" s="14">
        <f>SUM(P100:P102)</f>
        <v>10254171.540000001</v>
      </c>
      <c r="Q103" s="14">
        <f>SUM(Q100:Q102)</f>
        <v>10254171.540000001</v>
      </c>
    </row>
    <row r="104" spans="1:17" ht="90" x14ac:dyDescent="0.25">
      <c r="A104" s="157"/>
      <c r="B104" s="154" t="s">
        <v>107</v>
      </c>
      <c r="C104" s="9" t="s">
        <v>100</v>
      </c>
      <c r="D104" s="10" t="s">
        <v>101</v>
      </c>
      <c r="E104" s="23">
        <v>227</v>
      </c>
      <c r="F104" s="23">
        <v>227</v>
      </c>
      <c r="G104" s="23">
        <v>227</v>
      </c>
      <c r="H104" s="12">
        <f>SUM(I104:K104)</f>
        <v>54095.340000000004</v>
      </c>
      <c r="I104" s="12">
        <f>33147.58+1169.2</f>
        <v>34316.78</v>
      </c>
      <c r="J104" s="12">
        <v>3857.41</v>
      </c>
      <c r="K104" s="18">
        <v>15921.15</v>
      </c>
      <c r="L104" s="11">
        <f>SUM(M104:O104)</f>
        <v>12279642.18</v>
      </c>
      <c r="M104" s="11">
        <f>E104*I104</f>
        <v>7789909.0599999996</v>
      </c>
      <c r="N104" s="11">
        <f>E104*J104</f>
        <v>875632.07</v>
      </c>
      <c r="O104" s="24">
        <f>E104*K104</f>
        <v>3614101.05</v>
      </c>
      <c r="P104" s="14">
        <f t="shared" si="50"/>
        <v>12279642.180000002</v>
      </c>
      <c r="Q104" s="14">
        <f t="shared" si="51"/>
        <v>12279642.180000002</v>
      </c>
    </row>
    <row r="105" spans="1:17" ht="120" x14ac:dyDescent="0.25">
      <c r="A105" s="157"/>
      <c r="B105" s="154"/>
      <c r="C105" s="15" t="s">
        <v>102</v>
      </c>
      <c r="D105" s="16" t="s">
        <v>101</v>
      </c>
      <c r="E105" s="25">
        <v>1</v>
      </c>
      <c r="F105" s="25">
        <v>1</v>
      </c>
      <c r="G105" s="25">
        <v>1</v>
      </c>
      <c r="H105" s="18">
        <v>22724.03</v>
      </c>
      <c r="I105" s="18">
        <v>22724.03</v>
      </c>
      <c r="J105" s="18" t="s">
        <v>103</v>
      </c>
      <c r="K105" s="18" t="s">
        <v>103</v>
      </c>
      <c r="L105" s="13">
        <f>SUM(M105:O105)</f>
        <v>22724.03</v>
      </c>
      <c r="M105" s="13">
        <f>E105*I105</f>
        <v>22724.03</v>
      </c>
      <c r="N105" s="13" t="s">
        <v>104</v>
      </c>
      <c r="O105" s="19" t="s">
        <v>104</v>
      </c>
      <c r="P105" s="14">
        <f t="shared" si="50"/>
        <v>22724.03</v>
      </c>
      <c r="Q105" s="14">
        <f t="shared" si="51"/>
        <v>22724.03</v>
      </c>
    </row>
    <row r="106" spans="1:17" ht="120" x14ac:dyDescent="0.25">
      <c r="A106" s="157"/>
      <c r="B106" s="154"/>
      <c r="C106" s="9" t="s">
        <v>105</v>
      </c>
      <c r="D106" s="16" t="s">
        <v>101</v>
      </c>
      <c r="E106" s="25"/>
      <c r="F106" s="25"/>
      <c r="G106" s="25"/>
      <c r="H106" s="25"/>
      <c r="I106" s="25"/>
      <c r="J106" s="25"/>
      <c r="K106" s="26"/>
      <c r="L106" s="26"/>
      <c r="M106" s="26"/>
      <c r="N106" s="26"/>
      <c r="O106" s="26"/>
      <c r="P106" s="14">
        <f t="shared" si="50"/>
        <v>0</v>
      </c>
      <c r="Q106" s="14">
        <f t="shared" si="51"/>
        <v>0</v>
      </c>
    </row>
    <row r="107" spans="1:17" ht="15" x14ac:dyDescent="0.25">
      <c r="A107" s="157"/>
      <c r="B107" s="53"/>
      <c r="C107" s="21" t="s">
        <v>106</v>
      </c>
      <c r="D107" s="16"/>
      <c r="E107" s="25">
        <f>E104+E106</f>
        <v>227</v>
      </c>
      <c r="F107" s="25">
        <f t="shared" ref="F107:G107" si="54">F104+F106</f>
        <v>227</v>
      </c>
      <c r="G107" s="25">
        <f t="shared" si="54"/>
        <v>227</v>
      </c>
      <c r="H107" s="25" t="s">
        <v>104</v>
      </c>
      <c r="I107" s="25" t="s">
        <v>104</v>
      </c>
      <c r="J107" s="25" t="s">
        <v>104</v>
      </c>
      <c r="K107" s="25" t="s">
        <v>104</v>
      </c>
      <c r="L107" s="25">
        <f t="shared" ref="L107:Q107" si="55">SUM(L104:L106)</f>
        <v>12302366.209999999</v>
      </c>
      <c r="M107" s="25">
        <f t="shared" si="55"/>
        <v>7812633.0899999999</v>
      </c>
      <c r="N107" s="25">
        <f t="shared" si="55"/>
        <v>875632.07</v>
      </c>
      <c r="O107" s="25">
        <f t="shared" si="55"/>
        <v>3614101.05</v>
      </c>
      <c r="P107" s="25">
        <f t="shared" si="55"/>
        <v>12302366.210000001</v>
      </c>
      <c r="Q107" s="25">
        <f t="shared" si="55"/>
        <v>12302366.210000001</v>
      </c>
    </row>
    <row r="108" spans="1:17" ht="90" x14ac:dyDescent="0.25">
      <c r="A108" s="157"/>
      <c r="B108" s="154" t="s">
        <v>108</v>
      </c>
      <c r="C108" s="9" t="s">
        <v>100</v>
      </c>
      <c r="D108" s="10" t="s">
        <v>101</v>
      </c>
      <c r="E108" s="25">
        <v>43</v>
      </c>
      <c r="F108" s="25">
        <v>43</v>
      </c>
      <c r="G108" s="25">
        <v>43</v>
      </c>
      <c r="H108" s="12">
        <f>SUM(I108:K108)</f>
        <v>60807.1</v>
      </c>
      <c r="I108" s="12">
        <f>39660.87+1367.67</f>
        <v>41028.54</v>
      </c>
      <c r="J108" s="12">
        <v>3857.41</v>
      </c>
      <c r="K108" s="18">
        <v>15921.15</v>
      </c>
      <c r="L108" s="26">
        <f>SUM(M108:O108)</f>
        <v>2614705.2999999998</v>
      </c>
      <c r="M108" s="26">
        <f>E108*I108</f>
        <v>1764227.22</v>
      </c>
      <c r="N108" s="26">
        <f>E108*J108</f>
        <v>165868.63</v>
      </c>
      <c r="O108" s="26">
        <f>E108*K108</f>
        <v>684609.45</v>
      </c>
      <c r="P108" s="14">
        <f t="shared" si="50"/>
        <v>2614705.2999999998</v>
      </c>
      <c r="Q108" s="14">
        <f t="shared" si="51"/>
        <v>2614705.2999999998</v>
      </c>
    </row>
    <row r="109" spans="1:17" ht="120" x14ac:dyDescent="0.25">
      <c r="A109" s="157"/>
      <c r="B109" s="154"/>
      <c r="C109" s="15" t="s">
        <v>102</v>
      </c>
      <c r="D109" s="16" t="s">
        <v>101</v>
      </c>
      <c r="E109" s="25"/>
      <c r="F109" s="25"/>
      <c r="G109" s="25"/>
      <c r="H109" s="18">
        <v>22724.03</v>
      </c>
      <c r="I109" s="18">
        <v>22724.03</v>
      </c>
      <c r="J109" s="18" t="s">
        <v>103</v>
      </c>
      <c r="K109" s="18" t="s">
        <v>103</v>
      </c>
      <c r="L109" s="13">
        <f>SUM(M109:O109)</f>
        <v>0</v>
      </c>
      <c r="M109" s="13">
        <f>E109*I109</f>
        <v>0</v>
      </c>
      <c r="N109" s="13" t="s">
        <v>104</v>
      </c>
      <c r="O109" s="19" t="s">
        <v>104</v>
      </c>
      <c r="P109" s="14">
        <f t="shared" si="50"/>
        <v>0</v>
      </c>
      <c r="Q109" s="14">
        <f t="shared" si="51"/>
        <v>0</v>
      </c>
    </row>
    <row r="110" spans="1:17" ht="120" x14ac:dyDescent="0.25">
      <c r="A110" s="157"/>
      <c r="B110" s="154"/>
      <c r="C110" s="9" t="s">
        <v>105</v>
      </c>
      <c r="D110" s="16" t="s">
        <v>101</v>
      </c>
      <c r="E110" s="25"/>
      <c r="F110" s="25"/>
      <c r="G110" s="25"/>
      <c r="H110" s="25"/>
      <c r="I110" s="25"/>
      <c r="J110" s="25"/>
      <c r="K110" s="26"/>
      <c r="L110" s="26"/>
      <c r="M110" s="26"/>
      <c r="N110" s="26"/>
      <c r="O110" s="26"/>
      <c r="P110" s="14">
        <f t="shared" si="50"/>
        <v>0</v>
      </c>
      <c r="Q110" s="14">
        <f t="shared" si="51"/>
        <v>0</v>
      </c>
    </row>
    <row r="111" spans="1:17" ht="15" x14ac:dyDescent="0.25">
      <c r="A111" s="157"/>
      <c r="B111" s="53"/>
      <c r="C111" s="21" t="s">
        <v>106</v>
      </c>
      <c r="D111" s="16"/>
      <c r="E111" s="25">
        <f>SUM(E108:E110)</f>
        <v>43</v>
      </c>
      <c r="F111" s="25">
        <f t="shared" ref="F111:Q111" si="56">SUM(F108:F110)</f>
        <v>43</v>
      </c>
      <c r="G111" s="25">
        <f t="shared" si="56"/>
        <v>43</v>
      </c>
      <c r="H111" s="25" t="s">
        <v>104</v>
      </c>
      <c r="I111" s="25" t="s">
        <v>104</v>
      </c>
      <c r="J111" s="25" t="s">
        <v>104</v>
      </c>
      <c r="K111" s="25" t="s">
        <v>104</v>
      </c>
      <c r="L111" s="25">
        <f t="shared" si="56"/>
        <v>2614705.2999999998</v>
      </c>
      <c r="M111" s="25">
        <f t="shared" si="56"/>
        <v>1764227.22</v>
      </c>
      <c r="N111" s="25">
        <f t="shared" si="56"/>
        <v>165868.63</v>
      </c>
      <c r="O111" s="25">
        <f t="shared" si="56"/>
        <v>684609.45</v>
      </c>
      <c r="P111" s="25">
        <f t="shared" si="56"/>
        <v>2614705.2999999998</v>
      </c>
      <c r="Q111" s="25">
        <f t="shared" si="56"/>
        <v>2614705.2999999998</v>
      </c>
    </row>
    <row r="112" spans="1:17" ht="168" customHeight="1" x14ac:dyDescent="0.25">
      <c r="A112" s="157"/>
      <c r="B112" s="155" t="s">
        <v>109</v>
      </c>
      <c r="C112" s="9" t="s">
        <v>110</v>
      </c>
      <c r="D112" s="16" t="s">
        <v>101</v>
      </c>
      <c r="E112" s="25">
        <v>300</v>
      </c>
      <c r="F112" s="25">
        <v>300</v>
      </c>
      <c r="G112" s="25">
        <v>300</v>
      </c>
      <c r="H112" s="18">
        <f>I112</f>
        <v>2770.76</v>
      </c>
      <c r="I112" s="18">
        <v>2770.76</v>
      </c>
      <c r="J112" s="18" t="s">
        <v>104</v>
      </c>
      <c r="K112" s="18" t="s">
        <v>104</v>
      </c>
      <c r="L112" s="26">
        <f>SUM(M112:O112)</f>
        <v>831228.00000000012</v>
      </c>
      <c r="M112" s="26">
        <f>I112*E112</f>
        <v>831228.00000000012</v>
      </c>
      <c r="N112" s="26" t="s">
        <v>104</v>
      </c>
      <c r="O112" s="26" t="s">
        <v>104</v>
      </c>
      <c r="P112" s="14">
        <f t="shared" si="50"/>
        <v>831228.00000000012</v>
      </c>
      <c r="Q112" s="14">
        <f t="shared" si="51"/>
        <v>831228.00000000012</v>
      </c>
    </row>
    <row r="113" spans="1:17" ht="180.75" customHeight="1" x14ac:dyDescent="0.25">
      <c r="A113" s="157"/>
      <c r="B113" s="155"/>
      <c r="C113" s="9" t="s">
        <v>111</v>
      </c>
      <c r="D113" s="16" t="s">
        <v>101</v>
      </c>
      <c r="E113" s="25">
        <v>286</v>
      </c>
      <c r="F113" s="25">
        <v>286</v>
      </c>
      <c r="G113" s="25">
        <v>286</v>
      </c>
      <c r="H113" s="18">
        <v>3829.24</v>
      </c>
      <c r="I113" s="18">
        <f>H113</f>
        <v>3829.24</v>
      </c>
      <c r="J113" s="18" t="s">
        <v>104</v>
      </c>
      <c r="K113" s="18" t="s">
        <v>104</v>
      </c>
      <c r="L113" s="26">
        <f>SUM(M113:O113)</f>
        <v>1095162.6399999999</v>
      </c>
      <c r="M113" s="26">
        <f>I113*E113</f>
        <v>1095162.6399999999</v>
      </c>
      <c r="N113" s="27" t="s">
        <v>104</v>
      </c>
      <c r="O113" s="28" t="s">
        <v>104</v>
      </c>
      <c r="P113" s="14">
        <f t="shared" si="50"/>
        <v>1095162.6399999999</v>
      </c>
      <c r="Q113" s="14">
        <f t="shared" si="51"/>
        <v>1095162.6399999999</v>
      </c>
    </row>
    <row r="114" spans="1:17" ht="15" x14ac:dyDescent="0.25">
      <c r="A114" s="157"/>
      <c r="B114" s="29"/>
      <c r="C114" s="21" t="s">
        <v>106</v>
      </c>
      <c r="D114" s="29"/>
      <c r="E114" s="25">
        <f>SUM(E112:E113)</f>
        <v>586</v>
      </c>
      <c r="F114" s="25">
        <f t="shared" ref="F114:O114" si="57">SUM(F112:F113)</f>
        <v>586</v>
      </c>
      <c r="G114" s="25">
        <f t="shared" si="57"/>
        <v>586</v>
      </c>
      <c r="H114" s="25" t="s">
        <v>104</v>
      </c>
      <c r="I114" s="25" t="s">
        <v>104</v>
      </c>
      <c r="J114" s="25" t="s">
        <v>104</v>
      </c>
      <c r="K114" s="25">
        <f t="shared" si="57"/>
        <v>0</v>
      </c>
      <c r="L114" s="25">
        <f t="shared" si="57"/>
        <v>1926390.6400000001</v>
      </c>
      <c r="M114" s="25">
        <f t="shared" si="57"/>
        <v>1926390.6400000001</v>
      </c>
      <c r="N114" s="25">
        <f t="shared" si="57"/>
        <v>0</v>
      </c>
      <c r="O114" s="29">
        <f t="shared" si="57"/>
        <v>0</v>
      </c>
      <c r="P114" s="14">
        <f>SUM(P112:P113)</f>
        <v>1926390.6400000001</v>
      </c>
      <c r="Q114" s="14">
        <f>SUM(Q112:Q113)</f>
        <v>1926390.6400000001</v>
      </c>
    </row>
    <row r="115" spans="1:17" ht="14.25" x14ac:dyDescent="0.2">
      <c r="A115" s="157"/>
      <c r="B115" s="30" t="s">
        <v>112</v>
      </c>
      <c r="C115" s="30"/>
      <c r="D115" s="29"/>
      <c r="E115" s="29"/>
      <c r="F115" s="29"/>
      <c r="G115" s="29"/>
      <c r="H115" s="29"/>
      <c r="I115" s="29"/>
      <c r="J115" s="29"/>
      <c r="K115" s="29"/>
      <c r="L115" s="29">
        <f>SUM(M115:O115)</f>
        <v>27097633.690000001</v>
      </c>
      <c r="M115" s="29">
        <f t="shared" ref="M115:Q115" si="58">M103+M107+M111+M114</f>
        <v>17208353.690000001</v>
      </c>
      <c r="N115" s="29">
        <f t="shared" si="58"/>
        <v>1928705</v>
      </c>
      <c r="O115" s="29">
        <f t="shared" si="58"/>
        <v>7960575</v>
      </c>
      <c r="P115" s="29">
        <f t="shared" si="58"/>
        <v>27097633.690000001</v>
      </c>
      <c r="Q115" s="29">
        <f t="shared" si="58"/>
        <v>27097633.690000001</v>
      </c>
    </row>
    <row r="116" spans="1:17" ht="90" x14ac:dyDescent="0.25">
      <c r="A116" s="157" t="s">
        <v>113</v>
      </c>
      <c r="B116" s="154" t="s">
        <v>99</v>
      </c>
      <c r="C116" s="9" t="s">
        <v>100</v>
      </c>
      <c r="D116" s="10" t="s">
        <v>101</v>
      </c>
      <c r="E116" s="11">
        <v>204</v>
      </c>
      <c r="F116" s="11">
        <v>205</v>
      </c>
      <c r="G116" s="11">
        <v>203</v>
      </c>
      <c r="H116" s="12">
        <f>SUM(I116:K116)</f>
        <v>43059.57</v>
      </c>
      <c r="I116" s="12">
        <f>22328.93+952.08</f>
        <v>23281.010000000002</v>
      </c>
      <c r="J116" s="12">
        <v>3857.41</v>
      </c>
      <c r="K116" s="12">
        <v>15921.15</v>
      </c>
      <c r="L116" s="13">
        <f>SUM(M116:O116)</f>
        <v>8784152.2799999993</v>
      </c>
      <c r="M116" s="13">
        <f>E116*I116</f>
        <v>4749326.04</v>
      </c>
      <c r="N116" s="13">
        <f>E116*J116</f>
        <v>786911.64</v>
      </c>
      <c r="O116" s="14">
        <f>E116*K116</f>
        <v>3247914.6</v>
      </c>
      <c r="P116" s="14">
        <f t="shared" si="50"/>
        <v>8827211.8499999996</v>
      </c>
      <c r="Q116" s="14">
        <f t="shared" si="51"/>
        <v>8741092.709999999</v>
      </c>
    </row>
    <row r="117" spans="1:17" ht="102.75" customHeight="1" x14ac:dyDescent="0.2">
      <c r="A117" s="157"/>
      <c r="B117" s="154"/>
      <c r="C117" s="15" t="s">
        <v>102</v>
      </c>
      <c r="D117" s="16" t="s">
        <v>101</v>
      </c>
      <c r="E117" s="17">
        <v>3</v>
      </c>
      <c r="F117" s="17">
        <v>1</v>
      </c>
      <c r="G117" s="17">
        <v>1</v>
      </c>
      <c r="H117" s="18">
        <v>22724.03</v>
      </c>
      <c r="I117" s="18">
        <v>22724.03</v>
      </c>
      <c r="J117" s="18" t="s">
        <v>103</v>
      </c>
      <c r="K117" s="18" t="s">
        <v>103</v>
      </c>
      <c r="L117" s="13">
        <f>SUM(M117:O117)</f>
        <v>68172.09</v>
      </c>
      <c r="M117" s="13">
        <f>E117*I117</f>
        <v>68172.09</v>
      </c>
      <c r="N117" s="13" t="s">
        <v>104</v>
      </c>
      <c r="O117" s="19" t="s">
        <v>104</v>
      </c>
      <c r="P117" s="14">
        <f t="shared" si="50"/>
        <v>22724.03</v>
      </c>
      <c r="Q117" s="14">
        <f t="shared" si="51"/>
        <v>22724.03</v>
      </c>
    </row>
    <row r="118" spans="1:17" ht="120" x14ac:dyDescent="0.25">
      <c r="A118" s="157"/>
      <c r="B118" s="154"/>
      <c r="C118" s="9" t="s">
        <v>105</v>
      </c>
      <c r="D118" s="16" t="s">
        <v>101</v>
      </c>
      <c r="E118" s="11"/>
      <c r="F118" s="11">
        <v>1</v>
      </c>
      <c r="G118" s="11">
        <v>1</v>
      </c>
      <c r="H118" s="18">
        <f>SUM(I118:K118)</f>
        <v>137159.02000000002</v>
      </c>
      <c r="I118" s="18">
        <f>116428.38+952.08</f>
        <v>117380.46</v>
      </c>
      <c r="J118" s="18">
        <v>3857.41</v>
      </c>
      <c r="K118" s="18">
        <v>15921.15</v>
      </c>
      <c r="L118" s="13">
        <f>SUM(M118:O118)</f>
        <v>0</v>
      </c>
      <c r="M118" s="13">
        <f>E118*I118</f>
        <v>0</v>
      </c>
      <c r="N118" s="13">
        <f>E118*J118</f>
        <v>0</v>
      </c>
      <c r="O118" s="20">
        <f>E118*K118</f>
        <v>0</v>
      </c>
      <c r="P118" s="14">
        <f t="shared" si="50"/>
        <v>137159.02000000002</v>
      </c>
      <c r="Q118" s="14">
        <f t="shared" si="51"/>
        <v>137159.02000000002</v>
      </c>
    </row>
    <row r="119" spans="1:17" ht="15" x14ac:dyDescent="0.2">
      <c r="A119" s="157"/>
      <c r="B119" s="154"/>
      <c r="C119" s="21" t="s">
        <v>106</v>
      </c>
      <c r="D119" s="22"/>
      <c r="E119" s="11">
        <f>E116+E118</f>
        <v>204</v>
      </c>
      <c r="F119" s="11">
        <f>F116+F118</f>
        <v>206</v>
      </c>
      <c r="G119" s="11">
        <f t="shared" ref="G119" si="59">G116+G118</f>
        <v>204</v>
      </c>
      <c r="H119" s="11" t="s">
        <v>104</v>
      </c>
      <c r="I119" s="11" t="s">
        <v>104</v>
      </c>
      <c r="J119" s="11" t="s">
        <v>104</v>
      </c>
      <c r="K119" s="11" t="s">
        <v>104</v>
      </c>
      <c r="L119" s="11">
        <f t="shared" ref="L119:O119" si="60">SUM(L116:L118)</f>
        <v>8852324.3699999992</v>
      </c>
      <c r="M119" s="11">
        <f t="shared" si="60"/>
        <v>4817498.13</v>
      </c>
      <c r="N119" s="11">
        <f t="shared" si="60"/>
        <v>786911.64</v>
      </c>
      <c r="O119" s="11">
        <f t="shared" si="60"/>
        <v>3247914.6</v>
      </c>
      <c r="P119" s="20">
        <f>SUM(P116:P118)</f>
        <v>8987094.8999999985</v>
      </c>
      <c r="Q119" s="14">
        <f>SUM(Q116:Q118)</f>
        <v>8900975.7599999979</v>
      </c>
    </row>
    <row r="120" spans="1:17" ht="90" x14ac:dyDescent="0.25">
      <c r="A120" s="157"/>
      <c r="B120" s="154" t="s">
        <v>107</v>
      </c>
      <c r="C120" s="9" t="s">
        <v>100</v>
      </c>
      <c r="D120" s="10" t="s">
        <v>101</v>
      </c>
      <c r="E120" s="23">
        <v>240</v>
      </c>
      <c r="F120" s="23">
        <v>233</v>
      </c>
      <c r="G120" s="23">
        <v>244</v>
      </c>
      <c r="H120" s="12">
        <f>SUM(I120:K120)</f>
        <v>54095.340000000004</v>
      </c>
      <c r="I120" s="12">
        <f>33147.58+1169.2</f>
        <v>34316.78</v>
      </c>
      <c r="J120" s="12">
        <v>3857.41</v>
      </c>
      <c r="K120" s="18">
        <v>15921.15</v>
      </c>
      <c r="L120" s="11">
        <f>SUM(M120:O120)</f>
        <v>12982881.6</v>
      </c>
      <c r="M120" s="11">
        <f>E120*I120</f>
        <v>8236027.1999999993</v>
      </c>
      <c r="N120" s="11">
        <f>E120*J120</f>
        <v>925778.39999999991</v>
      </c>
      <c r="O120" s="24">
        <f>E120*K120</f>
        <v>3821076</v>
      </c>
      <c r="P120" s="14">
        <f t="shared" si="50"/>
        <v>12604214.220000001</v>
      </c>
      <c r="Q120" s="14">
        <f t="shared" si="51"/>
        <v>13199262.960000001</v>
      </c>
    </row>
    <row r="121" spans="1:17" ht="117.75" customHeight="1" x14ac:dyDescent="0.25">
      <c r="A121" s="157"/>
      <c r="B121" s="154"/>
      <c r="C121" s="15" t="s">
        <v>102</v>
      </c>
      <c r="D121" s="16" t="s">
        <v>101</v>
      </c>
      <c r="E121" s="25">
        <v>3</v>
      </c>
      <c r="F121" s="25">
        <v>4</v>
      </c>
      <c r="G121" s="25">
        <v>4</v>
      </c>
      <c r="H121" s="18">
        <v>22724.03</v>
      </c>
      <c r="I121" s="18">
        <v>22724.03</v>
      </c>
      <c r="J121" s="18" t="s">
        <v>103</v>
      </c>
      <c r="K121" s="18" t="s">
        <v>103</v>
      </c>
      <c r="L121" s="13">
        <f>SUM(M121:O121)</f>
        <v>68172.09</v>
      </c>
      <c r="M121" s="13">
        <f>E121*I121</f>
        <v>68172.09</v>
      </c>
      <c r="N121" s="13" t="s">
        <v>104</v>
      </c>
      <c r="O121" s="19" t="s">
        <v>104</v>
      </c>
      <c r="P121" s="14">
        <f t="shared" si="50"/>
        <v>90896.12</v>
      </c>
      <c r="Q121" s="14">
        <f t="shared" si="51"/>
        <v>90896.12</v>
      </c>
    </row>
    <row r="122" spans="1:17" ht="120" x14ac:dyDescent="0.25">
      <c r="A122" s="157"/>
      <c r="B122" s="154"/>
      <c r="C122" s="9" t="s">
        <v>105</v>
      </c>
      <c r="D122" s="16" t="s">
        <v>101</v>
      </c>
      <c r="E122" s="25">
        <v>5</v>
      </c>
      <c r="F122" s="25">
        <v>4</v>
      </c>
      <c r="G122" s="25">
        <v>4</v>
      </c>
      <c r="H122" s="18">
        <f>SUM(I122:K122)</f>
        <v>166124.72</v>
      </c>
      <c r="I122" s="18">
        <f>145176.96+1169.2</f>
        <v>146346.16</v>
      </c>
      <c r="J122" s="18">
        <v>3857.41</v>
      </c>
      <c r="K122" s="18">
        <v>15921.15</v>
      </c>
      <c r="L122" s="13">
        <f>SUM(M122:O122)</f>
        <v>830623.60000000009</v>
      </c>
      <c r="M122" s="13">
        <f>E122*I122</f>
        <v>731730.8</v>
      </c>
      <c r="N122" s="26">
        <f>E122*J122</f>
        <v>19287.05</v>
      </c>
      <c r="O122" s="26">
        <f>E122*K122</f>
        <v>79605.75</v>
      </c>
      <c r="P122" s="14">
        <f t="shared" si="50"/>
        <v>664498.88</v>
      </c>
      <c r="Q122" s="14">
        <f t="shared" si="51"/>
        <v>664498.88</v>
      </c>
    </row>
    <row r="123" spans="1:17" ht="15" x14ac:dyDescent="0.25">
      <c r="A123" s="157"/>
      <c r="B123" s="53"/>
      <c r="C123" s="21" t="s">
        <v>106</v>
      </c>
      <c r="D123" s="16"/>
      <c r="E123" s="25">
        <f>E120+E122</f>
        <v>245</v>
      </c>
      <c r="F123" s="25">
        <f t="shared" ref="F123:G123" si="61">F120+F122</f>
        <v>237</v>
      </c>
      <c r="G123" s="25">
        <f t="shared" si="61"/>
        <v>248</v>
      </c>
      <c r="H123" s="25" t="s">
        <v>104</v>
      </c>
      <c r="I123" s="25" t="s">
        <v>104</v>
      </c>
      <c r="J123" s="25" t="s">
        <v>104</v>
      </c>
      <c r="K123" s="25" t="s">
        <v>104</v>
      </c>
      <c r="L123" s="25">
        <f t="shared" ref="L123:O123" si="62">SUM(L120:L122)</f>
        <v>13881677.289999999</v>
      </c>
      <c r="M123" s="25">
        <f t="shared" si="62"/>
        <v>9035930.0899999999</v>
      </c>
      <c r="N123" s="25">
        <f t="shared" si="62"/>
        <v>945065.45</v>
      </c>
      <c r="O123" s="25">
        <f t="shared" si="62"/>
        <v>3900681.75</v>
      </c>
      <c r="P123" s="14">
        <f>SUM(P120:P122)</f>
        <v>13359609.220000001</v>
      </c>
      <c r="Q123" s="14">
        <f>SUM(Q120:Q122)</f>
        <v>13954657.960000001</v>
      </c>
    </row>
    <row r="124" spans="1:17" ht="90" x14ac:dyDescent="0.25">
      <c r="A124" s="157"/>
      <c r="B124" s="154" t="s">
        <v>108</v>
      </c>
      <c r="C124" s="9" t="s">
        <v>100</v>
      </c>
      <c r="D124" s="10" t="s">
        <v>101</v>
      </c>
      <c r="E124" s="25">
        <v>36</v>
      </c>
      <c r="F124" s="25">
        <v>46</v>
      </c>
      <c r="G124" s="25">
        <v>50</v>
      </c>
      <c r="H124" s="12">
        <f>SUM(I124:K124)</f>
        <v>60807.1</v>
      </c>
      <c r="I124" s="12">
        <f>39660.87+1367.67</f>
        <v>41028.54</v>
      </c>
      <c r="J124" s="12">
        <v>3857.41</v>
      </c>
      <c r="K124" s="18">
        <v>15921.15</v>
      </c>
      <c r="L124" s="26">
        <f>SUM(M124:O124)</f>
        <v>2189055.6</v>
      </c>
      <c r="M124" s="26">
        <f>E124*I124</f>
        <v>1477027.44</v>
      </c>
      <c r="N124" s="26">
        <f>E124*J124</f>
        <v>138866.76</v>
      </c>
      <c r="O124" s="26">
        <f>E124*K124</f>
        <v>573161.4</v>
      </c>
      <c r="P124" s="14">
        <f t="shared" si="50"/>
        <v>2797126.6</v>
      </c>
      <c r="Q124" s="14">
        <f t="shared" si="51"/>
        <v>3040355</v>
      </c>
    </row>
    <row r="125" spans="1:17" ht="120.75" customHeight="1" x14ac:dyDescent="0.25">
      <c r="A125" s="157"/>
      <c r="B125" s="154"/>
      <c r="C125" s="15" t="s">
        <v>102</v>
      </c>
      <c r="D125" s="16" t="s">
        <v>101</v>
      </c>
      <c r="E125" s="25">
        <v>2</v>
      </c>
      <c r="F125" s="25"/>
      <c r="G125" s="25"/>
      <c r="H125" s="18">
        <v>22724.03</v>
      </c>
      <c r="I125" s="18">
        <v>22724.03</v>
      </c>
      <c r="J125" s="18" t="s">
        <v>103</v>
      </c>
      <c r="K125" s="18" t="s">
        <v>103</v>
      </c>
      <c r="L125" s="13">
        <f>SUM(M125:O125)</f>
        <v>45448.06</v>
      </c>
      <c r="M125" s="13">
        <f>E125*I125</f>
        <v>45448.06</v>
      </c>
      <c r="N125" s="13" t="s">
        <v>104</v>
      </c>
      <c r="O125" s="19" t="s">
        <v>104</v>
      </c>
      <c r="P125" s="14">
        <f t="shared" si="50"/>
        <v>0</v>
      </c>
      <c r="Q125" s="14">
        <f t="shared" si="51"/>
        <v>0</v>
      </c>
    </row>
    <row r="126" spans="1:17" ht="120" x14ac:dyDescent="0.25">
      <c r="A126" s="157"/>
      <c r="B126" s="154"/>
      <c r="C126" s="9" t="s">
        <v>105</v>
      </c>
      <c r="D126" s="16" t="s">
        <v>101</v>
      </c>
      <c r="E126" s="25"/>
      <c r="F126" s="25"/>
      <c r="G126" s="25"/>
      <c r="H126" s="25"/>
      <c r="I126" s="25"/>
      <c r="J126" s="25"/>
      <c r="K126" s="26"/>
      <c r="L126" s="26"/>
      <c r="M126" s="26"/>
      <c r="N126" s="26"/>
      <c r="O126" s="26"/>
      <c r="P126" s="14">
        <f t="shared" si="50"/>
        <v>0</v>
      </c>
      <c r="Q126" s="14">
        <f t="shared" si="51"/>
        <v>0</v>
      </c>
    </row>
    <row r="127" spans="1:17" ht="15" x14ac:dyDescent="0.25">
      <c r="A127" s="157"/>
      <c r="B127" s="53"/>
      <c r="C127" s="21" t="s">
        <v>106</v>
      </c>
      <c r="D127" s="16"/>
      <c r="E127" s="25">
        <f>E124+E126</f>
        <v>36</v>
      </c>
      <c r="F127" s="25">
        <f t="shared" ref="F127:G127" si="63">F124+F126</f>
        <v>46</v>
      </c>
      <c r="G127" s="25">
        <f t="shared" si="63"/>
        <v>50</v>
      </c>
      <c r="H127" s="25" t="s">
        <v>104</v>
      </c>
      <c r="I127" s="25" t="s">
        <v>104</v>
      </c>
      <c r="J127" s="25" t="s">
        <v>104</v>
      </c>
      <c r="K127" s="25" t="s">
        <v>104</v>
      </c>
      <c r="L127" s="25">
        <f t="shared" ref="L127:O127" si="64">SUM(L124:L126)</f>
        <v>2234503.66</v>
      </c>
      <c r="M127" s="25">
        <f t="shared" si="64"/>
        <v>1522475.5</v>
      </c>
      <c r="N127" s="25">
        <f t="shared" si="64"/>
        <v>138866.76</v>
      </c>
      <c r="O127" s="25">
        <f t="shared" si="64"/>
        <v>573161.4</v>
      </c>
      <c r="P127" s="14">
        <f>SUM(P124:P126)</f>
        <v>2797126.6</v>
      </c>
      <c r="Q127" s="14">
        <f>SUM(Q124:Q126)</f>
        <v>3040355</v>
      </c>
    </row>
    <row r="128" spans="1:17" ht="168" customHeight="1" x14ac:dyDescent="0.25">
      <c r="A128" s="157"/>
      <c r="B128" s="155" t="s">
        <v>109</v>
      </c>
      <c r="C128" s="9" t="s">
        <v>110</v>
      </c>
      <c r="D128" s="16" t="s">
        <v>101</v>
      </c>
      <c r="E128" s="25">
        <v>218</v>
      </c>
      <c r="F128" s="25">
        <v>220</v>
      </c>
      <c r="G128" s="25">
        <v>227</v>
      </c>
      <c r="H128" s="18">
        <f>I128</f>
        <v>2770.76</v>
      </c>
      <c r="I128" s="18">
        <v>2770.76</v>
      </c>
      <c r="J128" s="18" t="s">
        <v>104</v>
      </c>
      <c r="K128" s="18" t="s">
        <v>104</v>
      </c>
      <c r="L128" s="26">
        <f>SUM(M128:O128)</f>
        <v>604025.68000000005</v>
      </c>
      <c r="M128" s="26">
        <f>I128*E128</f>
        <v>604025.68000000005</v>
      </c>
      <c r="N128" s="26" t="s">
        <v>104</v>
      </c>
      <c r="O128" s="26" t="s">
        <v>104</v>
      </c>
      <c r="P128" s="14">
        <f t="shared" si="50"/>
        <v>609567.20000000007</v>
      </c>
      <c r="Q128" s="14">
        <f t="shared" si="51"/>
        <v>628962.52</v>
      </c>
    </row>
    <row r="129" spans="1:17" ht="181.5" customHeight="1" x14ac:dyDescent="0.25">
      <c r="A129" s="157"/>
      <c r="B129" s="155"/>
      <c r="C129" s="9" t="s">
        <v>111</v>
      </c>
      <c r="D129" s="16" t="s">
        <v>101</v>
      </c>
      <c r="E129" s="29">
        <v>298</v>
      </c>
      <c r="F129" s="29">
        <v>301</v>
      </c>
      <c r="G129" s="29">
        <v>310</v>
      </c>
      <c r="H129" s="18">
        <v>3829.24</v>
      </c>
      <c r="I129" s="18">
        <f>H129</f>
        <v>3829.24</v>
      </c>
      <c r="J129" s="18" t="s">
        <v>104</v>
      </c>
      <c r="K129" s="18" t="s">
        <v>104</v>
      </c>
      <c r="L129" s="26">
        <f>SUM(M129:O129)</f>
        <v>1141113.52</v>
      </c>
      <c r="M129" s="26">
        <f>I129*E129</f>
        <v>1141113.52</v>
      </c>
      <c r="N129" s="27" t="s">
        <v>104</v>
      </c>
      <c r="O129" s="28" t="s">
        <v>104</v>
      </c>
      <c r="P129" s="14">
        <f t="shared" si="50"/>
        <v>1152601.24</v>
      </c>
      <c r="Q129" s="14">
        <f t="shared" si="51"/>
        <v>1187064.3999999999</v>
      </c>
    </row>
    <row r="130" spans="1:17" ht="15" x14ac:dyDescent="0.25">
      <c r="A130" s="157"/>
      <c r="B130" s="29"/>
      <c r="C130" s="21" t="s">
        <v>106</v>
      </c>
      <c r="D130" s="29"/>
      <c r="E130" s="29">
        <f>SUM(E128:E129)</f>
        <v>516</v>
      </c>
      <c r="F130" s="29">
        <f t="shared" ref="F130:G130" si="65">SUM(F128:F129)</f>
        <v>521</v>
      </c>
      <c r="G130" s="29">
        <f t="shared" si="65"/>
        <v>537</v>
      </c>
      <c r="H130" s="29" t="s">
        <v>104</v>
      </c>
      <c r="I130" s="29" t="s">
        <v>104</v>
      </c>
      <c r="J130" s="29" t="s">
        <v>104</v>
      </c>
      <c r="K130" s="29">
        <f t="shared" ref="K130:O130" si="66">SUM(K128:K129)</f>
        <v>0</v>
      </c>
      <c r="L130" s="25">
        <f t="shared" si="66"/>
        <v>1745139.2000000002</v>
      </c>
      <c r="M130" s="25">
        <f t="shared" si="66"/>
        <v>1745139.2000000002</v>
      </c>
      <c r="N130" s="25">
        <f t="shared" si="66"/>
        <v>0</v>
      </c>
      <c r="O130" s="25">
        <f t="shared" si="66"/>
        <v>0</v>
      </c>
      <c r="P130" s="14">
        <f>SUM(P128:P129)</f>
        <v>1762168.44</v>
      </c>
      <c r="Q130" s="14">
        <f>SUM(Q128:Q129)</f>
        <v>1816026.92</v>
      </c>
    </row>
    <row r="131" spans="1:17" ht="14.25" x14ac:dyDescent="0.2">
      <c r="A131" s="157"/>
      <c r="B131" s="30" t="s">
        <v>112</v>
      </c>
      <c r="C131" s="30"/>
      <c r="D131" s="29"/>
      <c r="E131" s="29"/>
      <c r="F131" s="29"/>
      <c r="G131" s="29"/>
      <c r="H131" s="29"/>
      <c r="I131" s="29"/>
      <c r="J131" s="29"/>
      <c r="K131" s="29"/>
      <c r="L131" s="29">
        <f>SUM(M131:O131)</f>
        <v>26713644.52</v>
      </c>
      <c r="M131" s="29">
        <f t="shared" ref="M131:Q131" si="67">M119+M123+M127+M130</f>
        <v>17121042.919999998</v>
      </c>
      <c r="N131" s="29">
        <f t="shared" si="67"/>
        <v>1870843.8499999999</v>
      </c>
      <c r="O131" s="29">
        <f t="shared" si="67"/>
        <v>7721757.75</v>
      </c>
      <c r="P131" s="29">
        <f t="shared" si="67"/>
        <v>26905999.16</v>
      </c>
      <c r="Q131" s="29">
        <f t="shared" si="67"/>
        <v>27712015.640000001</v>
      </c>
    </row>
    <row r="132" spans="1:17" ht="90" x14ac:dyDescent="0.25">
      <c r="A132" s="157" t="s">
        <v>114</v>
      </c>
      <c r="B132" s="154" t="s">
        <v>99</v>
      </c>
      <c r="C132" s="9" t="s">
        <v>100</v>
      </c>
      <c r="D132" s="10" t="s">
        <v>101</v>
      </c>
      <c r="E132" s="11">
        <v>157</v>
      </c>
      <c r="F132" s="11">
        <v>180</v>
      </c>
      <c r="G132" s="11">
        <v>210</v>
      </c>
      <c r="H132" s="12">
        <f>SUM(I132:K132)</f>
        <v>43059.57</v>
      </c>
      <c r="I132" s="12">
        <f>22328.93+952.08</f>
        <v>23281.010000000002</v>
      </c>
      <c r="J132" s="12">
        <v>3857.41</v>
      </c>
      <c r="K132" s="12">
        <v>15921.15</v>
      </c>
      <c r="L132" s="13">
        <f>SUM(M132:O132)</f>
        <v>6760352.4900000002</v>
      </c>
      <c r="M132" s="13">
        <f>E132*I132</f>
        <v>3655118.5700000003</v>
      </c>
      <c r="N132" s="13">
        <f>E132*J132</f>
        <v>605613.37</v>
      </c>
      <c r="O132" s="14">
        <f>E132*K132</f>
        <v>2499620.5499999998</v>
      </c>
      <c r="P132" s="14">
        <f t="shared" si="50"/>
        <v>7750722.5999999996</v>
      </c>
      <c r="Q132" s="14">
        <f t="shared" si="51"/>
        <v>9042509.6999999993</v>
      </c>
    </row>
    <row r="133" spans="1:17" ht="120" x14ac:dyDescent="0.2">
      <c r="A133" s="157"/>
      <c r="B133" s="154"/>
      <c r="C133" s="15" t="s">
        <v>102</v>
      </c>
      <c r="D133" s="16" t="s">
        <v>101</v>
      </c>
      <c r="E133" s="17">
        <v>2</v>
      </c>
      <c r="F133" s="17">
        <v>1</v>
      </c>
      <c r="G133" s="17">
        <v>1</v>
      </c>
      <c r="H133" s="18">
        <v>22724.03</v>
      </c>
      <c r="I133" s="18">
        <v>22724.03</v>
      </c>
      <c r="J133" s="18" t="s">
        <v>103</v>
      </c>
      <c r="K133" s="18" t="s">
        <v>103</v>
      </c>
      <c r="L133" s="13">
        <f>SUM(M133:O133)</f>
        <v>45448.06</v>
      </c>
      <c r="M133" s="13">
        <f>E133*I133</f>
        <v>45448.06</v>
      </c>
      <c r="N133" s="13" t="s">
        <v>104</v>
      </c>
      <c r="O133" s="19" t="s">
        <v>104</v>
      </c>
      <c r="P133" s="14">
        <f t="shared" si="50"/>
        <v>22724.03</v>
      </c>
      <c r="Q133" s="14">
        <f t="shared" si="51"/>
        <v>22724.03</v>
      </c>
    </row>
    <row r="134" spans="1:17" ht="120" x14ac:dyDescent="0.25">
      <c r="A134" s="157"/>
      <c r="B134" s="154"/>
      <c r="C134" s="9" t="s">
        <v>105</v>
      </c>
      <c r="D134" s="16" t="s">
        <v>101</v>
      </c>
      <c r="E134" s="11"/>
      <c r="F134" s="11">
        <v>1</v>
      </c>
      <c r="G134" s="11">
        <v>1</v>
      </c>
      <c r="H134" s="18">
        <f>SUM(I134:K134)</f>
        <v>137159.02000000002</v>
      </c>
      <c r="I134" s="18">
        <f>116428.38+952.08</f>
        <v>117380.46</v>
      </c>
      <c r="J134" s="18">
        <v>3857.41</v>
      </c>
      <c r="K134" s="18">
        <v>15921.15</v>
      </c>
      <c r="L134" s="13">
        <f>SUM(M134:O134)</f>
        <v>0</v>
      </c>
      <c r="M134" s="13">
        <f>E134*I134</f>
        <v>0</v>
      </c>
      <c r="N134" s="13">
        <f>E134*J134</f>
        <v>0</v>
      </c>
      <c r="O134" s="20">
        <f>E134*K134</f>
        <v>0</v>
      </c>
      <c r="P134" s="14">
        <f t="shared" si="50"/>
        <v>137159.02000000002</v>
      </c>
      <c r="Q134" s="14">
        <f t="shared" si="51"/>
        <v>137159.02000000002</v>
      </c>
    </row>
    <row r="135" spans="1:17" ht="15" x14ac:dyDescent="0.2">
      <c r="A135" s="157"/>
      <c r="B135" s="154"/>
      <c r="C135" s="21" t="s">
        <v>106</v>
      </c>
      <c r="D135" s="22"/>
      <c r="E135" s="11">
        <f>E132+E134</f>
        <v>157</v>
      </c>
      <c r="F135" s="11">
        <f t="shared" ref="F135:G135" si="68">F132+F134</f>
        <v>181</v>
      </c>
      <c r="G135" s="11">
        <f t="shared" si="68"/>
        <v>211</v>
      </c>
      <c r="H135" s="11" t="s">
        <v>104</v>
      </c>
      <c r="I135" s="11" t="s">
        <v>104</v>
      </c>
      <c r="J135" s="11" t="s">
        <v>104</v>
      </c>
      <c r="K135" s="11" t="s">
        <v>104</v>
      </c>
      <c r="L135" s="11">
        <f t="shared" ref="L135:Q135" si="69">SUM(L132:L134)</f>
        <v>6805800.5499999998</v>
      </c>
      <c r="M135" s="11">
        <f t="shared" si="69"/>
        <v>3700566.6300000004</v>
      </c>
      <c r="N135" s="11">
        <f t="shared" si="69"/>
        <v>605613.37</v>
      </c>
      <c r="O135" s="11">
        <f t="shared" si="69"/>
        <v>2499620.5499999998</v>
      </c>
      <c r="P135" s="11">
        <f t="shared" si="69"/>
        <v>7910605.6500000004</v>
      </c>
      <c r="Q135" s="11">
        <f t="shared" si="69"/>
        <v>9202392.7499999981</v>
      </c>
    </row>
    <row r="136" spans="1:17" ht="90" x14ac:dyDescent="0.25">
      <c r="A136" s="157"/>
      <c r="B136" s="154" t="s">
        <v>107</v>
      </c>
      <c r="C136" s="9" t="s">
        <v>100</v>
      </c>
      <c r="D136" s="10" t="s">
        <v>101</v>
      </c>
      <c r="E136" s="23">
        <v>293</v>
      </c>
      <c r="F136" s="23">
        <v>265</v>
      </c>
      <c r="G136" s="23">
        <v>236</v>
      </c>
      <c r="H136" s="12">
        <f>SUM(I136:K136)</f>
        <v>54095.340000000004</v>
      </c>
      <c r="I136" s="12">
        <f>33147.58+1169.2</f>
        <v>34316.78</v>
      </c>
      <c r="J136" s="12">
        <v>3857.41</v>
      </c>
      <c r="K136" s="18">
        <v>15921.15</v>
      </c>
      <c r="L136" s="11">
        <f>SUM(M136:O136)</f>
        <v>15849934.619999997</v>
      </c>
      <c r="M136" s="11">
        <f>E136*I136</f>
        <v>10054816.539999999</v>
      </c>
      <c r="N136" s="11">
        <f>E136*J136</f>
        <v>1130221.1299999999</v>
      </c>
      <c r="O136" s="24">
        <f>E136*K136</f>
        <v>4664896.95</v>
      </c>
      <c r="P136" s="14">
        <f t="shared" si="50"/>
        <v>14335265.100000001</v>
      </c>
      <c r="Q136" s="14">
        <f t="shared" si="51"/>
        <v>12766500.24</v>
      </c>
    </row>
    <row r="137" spans="1:17" ht="114" customHeight="1" x14ac:dyDescent="0.25">
      <c r="A137" s="157"/>
      <c r="B137" s="154"/>
      <c r="C137" s="15" t="s">
        <v>102</v>
      </c>
      <c r="D137" s="16" t="s">
        <v>101</v>
      </c>
      <c r="E137" s="25">
        <v>6</v>
      </c>
      <c r="F137" s="25">
        <v>5</v>
      </c>
      <c r="G137" s="25">
        <v>5</v>
      </c>
      <c r="H137" s="18">
        <v>22724.03</v>
      </c>
      <c r="I137" s="18">
        <v>22724.03</v>
      </c>
      <c r="J137" s="18" t="s">
        <v>103</v>
      </c>
      <c r="K137" s="18" t="s">
        <v>103</v>
      </c>
      <c r="L137" s="13">
        <f>SUM(M137:O137)</f>
        <v>136344.18</v>
      </c>
      <c r="M137" s="13">
        <f>E137*I137</f>
        <v>136344.18</v>
      </c>
      <c r="N137" s="13" t="s">
        <v>104</v>
      </c>
      <c r="O137" s="19" t="s">
        <v>104</v>
      </c>
      <c r="P137" s="14">
        <f t="shared" si="50"/>
        <v>113620.15</v>
      </c>
      <c r="Q137" s="14">
        <f t="shared" si="51"/>
        <v>113620.15</v>
      </c>
    </row>
    <row r="138" spans="1:17" ht="120" x14ac:dyDescent="0.25">
      <c r="A138" s="157"/>
      <c r="B138" s="154"/>
      <c r="C138" s="9" t="s">
        <v>105</v>
      </c>
      <c r="D138" s="16" t="s">
        <v>101</v>
      </c>
      <c r="E138" s="25">
        <v>3</v>
      </c>
      <c r="F138" s="25">
        <v>3</v>
      </c>
      <c r="G138" s="25">
        <v>3</v>
      </c>
      <c r="H138" s="18">
        <f>SUM(I138:K138)</f>
        <v>166124.72</v>
      </c>
      <c r="I138" s="18">
        <f>145176.96+1169.2</f>
        <v>146346.16</v>
      </c>
      <c r="J138" s="18">
        <v>3857.41</v>
      </c>
      <c r="K138" s="18">
        <v>15921.15</v>
      </c>
      <c r="L138" s="26">
        <f>SUM(M138:O138)</f>
        <v>498374.16</v>
      </c>
      <c r="M138" s="26">
        <f>E138*I138</f>
        <v>439038.48</v>
      </c>
      <c r="N138" s="26">
        <f>E138*J138</f>
        <v>11572.23</v>
      </c>
      <c r="O138" s="26">
        <f>E138*K138</f>
        <v>47763.45</v>
      </c>
      <c r="P138" s="14">
        <f t="shared" si="50"/>
        <v>498374.16000000003</v>
      </c>
      <c r="Q138" s="14">
        <f t="shared" si="51"/>
        <v>498374.16000000003</v>
      </c>
    </row>
    <row r="139" spans="1:17" ht="15" x14ac:dyDescent="0.25">
      <c r="A139" s="157"/>
      <c r="B139" s="53"/>
      <c r="C139" s="21" t="s">
        <v>106</v>
      </c>
      <c r="D139" s="16"/>
      <c r="E139" s="25">
        <f>E136+E138</f>
        <v>296</v>
      </c>
      <c r="F139" s="25">
        <f t="shared" ref="F139:G139" si="70">F136+F138</f>
        <v>268</v>
      </c>
      <c r="G139" s="25">
        <f t="shared" si="70"/>
        <v>239</v>
      </c>
      <c r="H139" s="25" t="s">
        <v>104</v>
      </c>
      <c r="I139" s="25" t="s">
        <v>104</v>
      </c>
      <c r="J139" s="25" t="s">
        <v>104</v>
      </c>
      <c r="K139" s="25" t="s">
        <v>104</v>
      </c>
      <c r="L139" s="25">
        <f t="shared" ref="L139:Q139" si="71">SUM(L136:L138)</f>
        <v>16484652.959999997</v>
      </c>
      <c r="M139" s="25">
        <f t="shared" si="71"/>
        <v>10630199.199999999</v>
      </c>
      <c r="N139" s="25">
        <f t="shared" si="71"/>
        <v>1141793.3599999999</v>
      </c>
      <c r="O139" s="25">
        <f t="shared" si="71"/>
        <v>4712660.4000000004</v>
      </c>
      <c r="P139" s="25">
        <f t="shared" si="71"/>
        <v>14947259.410000002</v>
      </c>
      <c r="Q139" s="25">
        <f t="shared" si="71"/>
        <v>13378494.550000001</v>
      </c>
    </row>
    <row r="140" spans="1:17" ht="90" x14ac:dyDescent="0.25">
      <c r="A140" s="157"/>
      <c r="B140" s="154" t="s">
        <v>108</v>
      </c>
      <c r="C140" s="9" t="s">
        <v>100</v>
      </c>
      <c r="D140" s="10" t="s">
        <v>101</v>
      </c>
      <c r="E140" s="25">
        <v>49</v>
      </c>
      <c r="F140" s="25">
        <v>50</v>
      </c>
      <c r="G140" s="25">
        <v>51</v>
      </c>
      <c r="H140" s="12">
        <f>SUM(I140:K140)</f>
        <v>60807.1</v>
      </c>
      <c r="I140" s="12">
        <f>39660.87+1367.67</f>
        <v>41028.54</v>
      </c>
      <c r="J140" s="12">
        <v>3857.41</v>
      </c>
      <c r="K140" s="18">
        <v>15921.15</v>
      </c>
      <c r="L140" s="26">
        <f>SUM(M140:O140)</f>
        <v>2979547.9</v>
      </c>
      <c r="M140" s="26">
        <f>E140*I140</f>
        <v>2010398.46</v>
      </c>
      <c r="N140" s="26">
        <f>E140*J140</f>
        <v>189013.09</v>
      </c>
      <c r="O140" s="26">
        <f>E140*K140</f>
        <v>780136.35</v>
      </c>
      <c r="P140" s="14">
        <f t="shared" si="50"/>
        <v>3040355</v>
      </c>
      <c r="Q140" s="14">
        <f t="shared" si="51"/>
        <v>3101162.1</v>
      </c>
    </row>
    <row r="141" spans="1:17" ht="120" x14ac:dyDescent="0.25">
      <c r="A141" s="157"/>
      <c r="B141" s="154"/>
      <c r="C141" s="15" t="s">
        <v>102</v>
      </c>
      <c r="D141" s="16" t="s">
        <v>101</v>
      </c>
      <c r="E141" s="25">
        <v>1</v>
      </c>
      <c r="F141" s="25">
        <v>1</v>
      </c>
      <c r="G141" s="25"/>
      <c r="H141" s="18">
        <v>22724.03</v>
      </c>
      <c r="I141" s="18">
        <v>22724.03</v>
      </c>
      <c r="J141" s="18" t="s">
        <v>103</v>
      </c>
      <c r="K141" s="18" t="s">
        <v>103</v>
      </c>
      <c r="L141" s="13">
        <f>SUM(M141:O141)</f>
        <v>22724.03</v>
      </c>
      <c r="M141" s="13">
        <f>E141*I141</f>
        <v>22724.03</v>
      </c>
      <c r="N141" s="13" t="s">
        <v>104</v>
      </c>
      <c r="O141" s="19" t="s">
        <v>104</v>
      </c>
      <c r="P141" s="14">
        <f t="shared" si="50"/>
        <v>22724.03</v>
      </c>
      <c r="Q141" s="14">
        <f t="shared" si="51"/>
        <v>0</v>
      </c>
    </row>
    <row r="142" spans="1:17" ht="120" x14ac:dyDescent="0.25">
      <c r="A142" s="157"/>
      <c r="B142" s="154"/>
      <c r="C142" s="9" t="s">
        <v>105</v>
      </c>
      <c r="D142" s="16" t="s">
        <v>101</v>
      </c>
      <c r="E142" s="25"/>
      <c r="F142" s="25">
        <v>1</v>
      </c>
      <c r="G142" s="25">
        <v>1</v>
      </c>
      <c r="H142" s="18">
        <f>SUM(I142:K142)</f>
        <v>195071.76</v>
      </c>
      <c r="I142" s="18">
        <f>173925.53+1367.67</f>
        <v>175293.2</v>
      </c>
      <c r="J142" s="18">
        <v>3857.41</v>
      </c>
      <c r="K142" s="18">
        <v>15921.15</v>
      </c>
      <c r="L142" s="26"/>
      <c r="M142" s="26"/>
      <c r="N142" s="26"/>
      <c r="O142" s="26"/>
      <c r="P142" s="14">
        <f t="shared" si="50"/>
        <v>195071.76</v>
      </c>
      <c r="Q142" s="14">
        <f t="shared" si="51"/>
        <v>195071.76</v>
      </c>
    </row>
    <row r="143" spans="1:17" ht="15" x14ac:dyDescent="0.25">
      <c r="A143" s="157"/>
      <c r="B143" s="53"/>
      <c r="C143" s="21" t="s">
        <v>106</v>
      </c>
      <c r="D143" s="16"/>
      <c r="E143" s="25">
        <f>E140+E142</f>
        <v>49</v>
      </c>
      <c r="F143" s="25">
        <f t="shared" ref="F143:G143" si="72">F140+F142</f>
        <v>51</v>
      </c>
      <c r="G143" s="25">
        <f t="shared" si="72"/>
        <v>52</v>
      </c>
      <c r="H143" s="25" t="s">
        <v>104</v>
      </c>
      <c r="I143" s="25" t="s">
        <v>104</v>
      </c>
      <c r="J143" s="25" t="s">
        <v>104</v>
      </c>
      <c r="K143" s="25" t="s">
        <v>104</v>
      </c>
      <c r="L143" s="25">
        <f t="shared" ref="L143:Q143" si="73">SUM(L140:L142)</f>
        <v>3002271.9299999997</v>
      </c>
      <c r="M143" s="25">
        <f t="shared" si="73"/>
        <v>2033122.49</v>
      </c>
      <c r="N143" s="25">
        <f t="shared" si="73"/>
        <v>189013.09</v>
      </c>
      <c r="O143" s="25">
        <f t="shared" si="73"/>
        <v>780136.35</v>
      </c>
      <c r="P143" s="25">
        <f t="shared" si="73"/>
        <v>3258150.79</v>
      </c>
      <c r="Q143" s="25">
        <f t="shared" si="73"/>
        <v>3296233.8600000003</v>
      </c>
    </row>
    <row r="144" spans="1:17" ht="162.75" customHeight="1" x14ac:dyDescent="0.25">
      <c r="A144" s="157"/>
      <c r="B144" s="155" t="s">
        <v>109</v>
      </c>
      <c r="C144" s="9" t="s">
        <v>110</v>
      </c>
      <c r="D144" s="16" t="s">
        <v>101</v>
      </c>
      <c r="E144" s="25">
        <v>370</v>
      </c>
      <c r="F144" s="25">
        <v>370</v>
      </c>
      <c r="G144" s="25">
        <v>370</v>
      </c>
      <c r="H144" s="18">
        <f>I144</f>
        <v>2770.76</v>
      </c>
      <c r="I144" s="18">
        <v>2770.76</v>
      </c>
      <c r="J144" s="18" t="s">
        <v>104</v>
      </c>
      <c r="K144" s="18" t="s">
        <v>104</v>
      </c>
      <c r="L144" s="26">
        <f>SUM(M144:O144)</f>
        <v>1025181.2000000001</v>
      </c>
      <c r="M144" s="26">
        <f>I144*E144</f>
        <v>1025181.2000000001</v>
      </c>
      <c r="N144" s="26" t="s">
        <v>104</v>
      </c>
      <c r="O144" s="26" t="s">
        <v>104</v>
      </c>
      <c r="P144" s="14">
        <f t="shared" si="50"/>
        <v>1025181.2000000001</v>
      </c>
      <c r="Q144" s="14">
        <f t="shared" si="51"/>
        <v>1025181.2000000001</v>
      </c>
    </row>
    <row r="145" spans="1:17" ht="183.75" customHeight="1" x14ac:dyDescent="0.25">
      <c r="A145" s="157"/>
      <c r="B145" s="155"/>
      <c r="C145" s="9" t="s">
        <v>111</v>
      </c>
      <c r="D145" s="16" t="s">
        <v>101</v>
      </c>
      <c r="E145" s="29">
        <v>369</v>
      </c>
      <c r="F145" s="29">
        <v>369</v>
      </c>
      <c r="G145" s="29">
        <v>369</v>
      </c>
      <c r="H145" s="18">
        <v>3829.24</v>
      </c>
      <c r="I145" s="18">
        <f>H145</f>
        <v>3829.24</v>
      </c>
      <c r="J145" s="18" t="s">
        <v>104</v>
      </c>
      <c r="K145" s="18" t="s">
        <v>104</v>
      </c>
      <c r="L145" s="26">
        <f>SUM(M145:O145)</f>
        <v>1412989.5599999998</v>
      </c>
      <c r="M145" s="26">
        <f>I145*E145</f>
        <v>1412989.5599999998</v>
      </c>
      <c r="N145" s="27" t="s">
        <v>104</v>
      </c>
      <c r="O145" s="28" t="s">
        <v>104</v>
      </c>
      <c r="P145" s="14">
        <f t="shared" si="50"/>
        <v>1412989.5599999998</v>
      </c>
      <c r="Q145" s="14">
        <f t="shared" si="51"/>
        <v>1412989.5599999998</v>
      </c>
    </row>
    <row r="146" spans="1:17" ht="15" x14ac:dyDescent="0.25">
      <c r="A146" s="157"/>
      <c r="B146" s="29"/>
      <c r="C146" s="21" t="s">
        <v>106</v>
      </c>
      <c r="D146" s="29"/>
      <c r="E146" s="29">
        <f>SUM(E144:E145)</f>
        <v>739</v>
      </c>
      <c r="F146" s="29">
        <f t="shared" ref="F146:G146" si="74">SUM(F144:F145)</f>
        <v>739</v>
      </c>
      <c r="G146" s="25">
        <f t="shared" si="74"/>
        <v>739</v>
      </c>
      <c r="H146" s="25" t="s">
        <v>104</v>
      </c>
      <c r="I146" s="25" t="s">
        <v>104</v>
      </c>
      <c r="J146" s="25" t="s">
        <v>104</v>
      </c>
      <c r="K146" s="25">
        <f t="shared" ref="K146:O146" si="75">SUM(K144:K145)</f>
        <v>0</v>
      </c>
      <c r="L146" s="25">
        <f t="shared" si="75"/>
        <v>2438170.7599999998</v>
      </c>
      <c r="M146" s="25">
        <f t="shared" si="75"/>
        <v>2438170.7599999998</v>
      </c>
      <c r="N146" s="25">
        <f t="shared" si="75"/>
        <v>0</v>
      </c>
      <c r="O146" s="25">
        <f t="shared" si="75"/>
        <v>0</v>
      </c>
      <c r="P146" s="14">
        <f>SUM(P144:P145)</f>
        <v>2438170.7599999998</v>
      </c>
      <c r="Q146" s="14">
        <f>SUM(Q144:Q145)</f>
        <v>2438170.7599999998</v>
      </c>
    </row>
    <row r="147" spans="1:17" ht="14.25" x14ac:dyDescent="0.2">
      <c r="A147" s="157"/>
      <c r="B147" s="30" t="s">
        <v>112</v>
      </c>
      <c r="C147" s="30"/>
      <c r="D147" s="29"/>
      <c r="E147" s="29"/>
      <c r="F147" s="29"/>
      <c r="G147" s="29"/>
      <c r="H147" s="29"/>
      <c r="I147" s="29"/>
      <c r="J147" s="29"/>
      <c r="K147" s="29"/>
      <c r="L147" s="29">
        <f>SUM(M147:O147)</f>
        <v>28730896.199999999</v>
      </c>
      <c r="M147" s="29">
        <f t="shared" ref="M147:Q147" si="76">M135+M139+M143+M146</f>
        <v>18802059.079999998</v>
      </c>
      <c r="N147" s="29">
        <f t="shared" si="76"/>
        <v>1936419.82</v>
      </c>
      <c r="O147" s="29">
        <f t="shared" si="76"/>
        <v>7992417.2999999998</v>
      </c>
      <c r="P147" s="29">
        <f t="shared" si="76"/>
        <v>28554186.609999999</v>
      </c>
      <c r="Q147" s="29">
        <f t="shared" si="76"/>
        <v>28315291.919999994</v>
      </c>
    </row>
    <row r="148" spans="1:17" ht="90" x14ac:dyDescent="0.25">
      <c r="A148" s="157" t="s">
        <v>115</v>
      </c>
      <c r="B148" s="154" t="s">
        <v>99</v>
      </c>
      <c r="C148" s="9" t="s">
        <v>100</v>
      </c>
      <c r="D148" s="10" t="s">
        <v>101</v>
      </c>
      <c r="E148" s="11">
        <v>195</v>
      </c>
      <c r="F148" s="11">
        <v>199</v>
      </c>
      <c r="G148" s="11">
        <v>200</v>
      </c>
      <c r="H148" s="12">
        <f>SUM(I148:K148)</f>
        <v>43059.57</v>
      </c>
      <c r="I148" s="12">
        <f>22328.93+952.08</f>
        <v>23281.010000000002</v>
      </c>
      <c r="J148" s="12">
        <v>3857.41</v>
      </c>
      <c r="K148" s="12">
        <v>15921.15</v>
      </c>
      <c r="L148" s="13">
        <f>SUM(M148:O148)</f>
        <v>8396616.1500000004</v>
      </c>
      <c r="M148" s="13">
        <f>E148*I148</f>
        <v>4539796.95</v>
      </c>
      <c r="N148" s="13">
        <f>E148*J148</f>
        <v>752194.95</v>
      </c>
      <c r="O148" s="14">
        <f>E148*K148</f>
        <v>3104624.25</v>
      </c>
      <c r="P148" s="14">
        <f t="shared" si="50"/>
        <v>8568854.4299999997</v>
      </c>
      <c r="Q148" s="14">
        <f t="shared" si="51"/>
        <v>8611914</v>
      </c>
    </row>
    <row r="149" spans="1:17" ht="117.75" customHeight="1" x14ac:dyDescent="0.2">
      <c r="A149" s="157"/>
      <c r="B149" s="154"/>
      <c r="C149" s="15" t="s">
        <v>102</v>
      </c>
      <c r="D149" s="16" t="s">
        <v>101</v>
      </c>
      <c r="E149" s="17">
        <v>4</v>
      </c>
      <c r="F149" s="17">
        <v>12</v>
      </c>
      <c r="G149" s="17">
        <v>18</v>
      </c>
      <c r="H149" s="18">
        <v>22724.03</v>
      </c>
      <c r="I149" s="18">
        <v>22724.03</v>
      </c>
      <c r="J149" s="18" t="s">
        <v>103</v>
      </c>
      <c r="K149" s="18" t="s">
        <v>103</v>
      </c>
      <c r="L149" s="13">
        <f>SUM(M149:O149)</f>
        <v>90896.12</v>
      </c>
      <c r="M149" s="13">
        <f>E149*I149</f>
        <v>90896.12</v>
      </c>
      <c r="N149" s="13" t="s">
        <v>104</v>
      </c>
      <c r="O149" s="19" t="s">
        <v>104</v>
      </c>
      <c r="P149" s="14">
        <f t="shared" si="50"/>
        <v>272688.36</v>
      </c>
      <c r="Q149" s="14">
        <f t="shared" si="51"/>
        <v>409032.54</v>
      </c>
    </row>
    <row r="150" spans="1:17" ht="120" x14ac:dyDescent="0.25">
      <c r="A150" s="157"/>
      <c r="B150" s="154"/>
      <c r="C150" s="9" t="s">
        <v>105</v>
      </c>
      <c r="D150" s="16" t="s">
        <v>101</v>
      </c>
      <c r="E150" s="11">
        <v>3</v>
      </c>
      <c r="F150" s="11">
        <v>5</v>
      </c>
      <c r="G150" s="11">
        <v>5</v>
      </c>
      <c r="H150" s="18">
        <f>SUM(I150:K150)</f>
        <v>137159.02000000002</v>
      </c>
      <c r="I150" s="18">
        <f>116428.38+952.08</f>
        <v>117380.46</v>
      </c>
      <c r="J150" s="18">
        <v>3857.41</v>
      </c>
      <c r="K150" s="18">
        <v>15921.15</v>
      </c>
      <c r="L150" s="13">
        <f>SUM(M150:O150)</f>
        <v>411477.06</v>
      </c>
      <c r="M150" s="13">
        <f>E150*I150</f>
        <v>352141.38</v>
      </c>
      <c r="N150" s="13">
        <f>E150*J150</f>
        <v>11572.23</v>
      </c>
      <c r="O150" s="20">
        <f>E150*K150</f>
        <v>47763.45</v>
      </c>
      <c r="P150" s="14">
        <f t="shared" si="50"/>
        <v>685795.10000000009</v>
      </c>
      <c r="Q150" s="14">
        <f t="shared" si="51"/>
        <v>685795.10000000009</v>
      </c>
    </row>
    <row r="151" spans="1:17" ht="15" x14ac:dyDescent="0.2">
      <c r="A151" s="157"/>
      <c r="B151" s="154"/>
      <c r="C151" s="21" t="s">
        <v>106</v>
      </c>
      <c r="D151" s="22"/>
      <c r="E151" s="11">
        <f>E148+E150</f>
        <v>198</v>
      </c>
      <c r="F151" s="11">
        <f t="shared" ref="F151:G151" si="77">F148+F150</f>
        <v>204</v>
      </c>
      <c r="G151" s="11">
        <f t="shared" si="77"/>
        <v>205</v>
      </c>
      <c r="H151" s="11" t="s">
        <v>104</v>
      </c>
      <c r="I151" s="11" t="s">
        <v>104</v>
      </c>
      <c r="J151" s="11" t="s">
        <v>104</v>
      </c>
      <c r="K151" s="11" t="s">
        <v>104</v>
      </c>
      <c r="L151" s="11">
        <f t="shared" ref="L151:Q151" si="78">SUM(L148:L150)</f>
        <v>8898989.3300000001</v>
      </c>
      <c r="M151" s="11">
        <f t="shared" si="78"/>
        <v>4982834.45</v>
      </c>
      <c r="N151" s="11">
        <f t="shared" si="78"/>
        <v>763767.17999999993</v>
      </c>
      <c r="O151" s="11">
        <f t="shared" si="78"/>
        <v>3152387.7</v>
      </c>
      <c r="P151" s="11">
        <f t="shared" si="78"/>
        <v>9527337.8899999987</v>
      </c>
      <c r="Q151" s="11">
        <f t="shared" si="78"/>
        <v>9706741.6399999987</v>
      </c>
    </row>
    <row r="152" spans="1:17" ht="90" x14ac:dyDescent="0.25">
      <c r="A152" s="157"/>
      <c r="B152" s="154" t="s">
        <v>107</v>
      </c>
      <c r="C152" s="9" t="s">
        <v>100</v>
      </c>
      <c r="D152" s="10" t="s">
        <v>101</v>
      </c>
      <c r="E152" s="23">
        <v>171</v>
      </c>
      <c r="F152" s="23">
        <v>180</v>
      </c>
      <c r="G152" s="23">
        <v>185</v>
      </c>
      <c r="H152" s="12">
        <f>SUM(I152:K152)</f>
        <v>54095.340000000004</v>
      </c>
      <c r="I152" s="12">
        <f>33147.58+1169.2</f>
        <v>34316.78</v>
      </c>
      <c r="J152" s="12">
        <v>3857.41</v>
      </c>
      <c r="K152" s="18">
        <v>15921.15</v>
      </c>
      <c r="L152" s="11">
        <f>SUM(M152:O152)</f>
        <v>9250303.1400000006</v>
      </c>
      <c r="M152" s="11">
        <f>E152*I152</f>
        <v>5868169.3799999999</v>
      </c>
      <c r="N152" s="11">
        <f>E152*J152</f>
        <v>659617.11</v>
      </c>
      <c r="O152" s="24">
        <f>E152*K152</f>
        <v>2722516.65</v>
      </c>
      <c r="P152" s="14">
        <f t="shared" si="50"/>
        <v>9737161.2000000011</v>
      </c>
      <c r="Q152" s="14">
        <f t="shared" si="51"/>
        <v>10007637.9</v>
      </c>
    </row>
    <row r="153" spans="1:17" ht="112.5" customHeight="1" x14ac:dyDescent="0.25">
      <c r="A153" s="157"/>
      <c r="B153" s="154"/>
      <c r="C153" s="15" t="s">
        <v>102</v>
      </c>
      <c r="D153" s="16" t="s">
        <v>101</v>
      </c>
      <c r="E153" s="25"/>
      <c r="F153" s="25"/>
      <c r="G153" s="25"/>
      <c r="H153" s="18">
        <v>22724.03</v>
      </c>
      <c r="I153" s="18">
        <v>22724.03</v>
      </c>
      <c r="J153" s="18" t="s">
        <v>103</v>
      </c>
      <c r="K153" s="18" t="s">
        <v>103</v>
      </c>
      <c r="L153" s="13">
        <f>SUM(M153:O153)</f>
        <v>0</v>
      </c>
      <c r="M153" s="13">
        <f>E153*I153</f>
        <v>0</v>
      </c>
      <c r="N153" s="13" t="s">
        <v>104</v>
      </c>
      <c r="O153" s="19" t="s">
        <v>104</v>
      </c>
      <c r="P153" s="14">
        <f t="shared" si="50"/>
        <v>0</v>
      </c>
      <c r="Q153" s="14">
        <f t="shared" si="51"/>
        <v>0</v>
      </c>
    </row>
    <row r="154" spans="1:17" ht="120" x14ac:dyDescent="0.25">
      <c r="A154" s="157"/>
      <c r="B154" s="154"/>
      <c r="C154" s="9" t="s">
        <v>105</v>
      </c>
      <c r="D154" s="16" t="s">
        <v>101</v>
      </c>
      <c r="E154" s="25">
        <v>2</v>
      </c>
      <c r="F154" s="25">
        <v>2</v>
      </c>
      <c r="G154" s="25">
        <v>2</v>
      </c>
      <c r="H154" s="18">
        <f>SUM(I154:K154)</f>
        <v>166124.72</v>
      </c>
      <c r="I154" s="18">
        <f>145176.96+1169.2</f>
        <v>146346.16</v>
      </c>
      <c r="J154" s="18">
        <v>3857.41</v>
      </c>
      <c r="K154" s="18">
        <v>15921.15</v>
      </c>
      <c r="L154" s="26">
        <f>SUM(M154:O154)</f>
        <v>332249.44</v>
      </c>
      <c r="M154" s="26">
        <f>E154*I154</f>
        <v>292692.32</v>
      </c>
      <c r="N154" s="26">
        <f>E154*J154</f>
        <v>7714.82</v>
      </c>
      <c r="O154" s="26">
        <f>E154*K154</f>
        <v>31842.3</v>
      </c>
      <c r="P154" s="14">
        <f t="shared" si="50"/>
        <v>332249.44</v>
      </c>
      <c r="Q154" s="14">
        <f t="shared" si="51"/>
        <v>332249.44</v>
      </c>
    </row>
    <row r="155" spans="1:17" ht="15" x14ac:dyDescent="0.25">
      <c r="A155" s="157"/>
      <c r="B155" s="53"/>
      <c r="C155" s="21" t="s">
        <v>106</v>
      </c>
      <c r="D155" s="16"/>
      <c r="E155" s="25">
        <f>E152+E154</f>
        <v>173</v>
      </c>
      <c r="F155" s="25">
        <f t="shared" ref="F155:G155" si="79">F152+F154</f>
        <v>182</v>
      </c>
      <c r="G155" s="25">
        <f t="shared" si="79"/>
        <v>187</v>
      </c>
      <c r="H155" s="25" t="s">
        <v>104</v>
      </c>
      <c r="I155" s="25" t="s">
        <v>104</v>
      </c>
      <c r="J155" s="25" t="s">
        <v>104</v>
      </c>
      <c r="K155" s="25" t="s">
        <v>104</v>
      </c>
      <c r="L155" s="25">
        <f t="shared" ref="L155:Q155" si="80">SUM(L152:L154)</f>
        <v>9582552.5800000001</v>
      </c>
      <c r="M155" s="25">
        <f t="shared" si="80"/>
        <v>6160861.7000000002</v>
      </c>
      <c r="N155" s="25">
        <f t="shared" si="80"/>
        <v>667331.92999999993</v>
      </c>
      <c r="O155" s="25">
        <f t="shared" si="80"/>
        <v>2754358.9499999997</v>
      </c>
      <c r="P155" s="25">
        <f t="shared" si="80"/>
        <v>10069410.640000001</v>
      </c>
      <c r="Q155" s="25">
        <f t="shared" si="80"/>
        <v>10339887.34</v>
      </c>
    </row>
    <row r="156" spans="1:17" ht="90" x14ac:dyDescent="0.25">
      <c r="A156" s="157"/>
      <c r="B156" s="154" t="s">
        <v>108</v>
      </c>
      <c r="C156" s="9" t="s">
        <v>100</v>
      </c>
      <c r="D156" s="10" t="s">
        <v>101</v>
      </c>
      <c r="E156" s="25">
        <v>35</v>
      </c>
      <c r="F156" s="25">
        <v>39</v>
      </c>
      <c r="G156" s="25">
        <v>40</v>
      </c>
      <c r="H156" s="12">
        <f>SUM(I156:K156)</f>
        <v>60807.1</v>
      </c>
      <c r="I156" s="12">
        <f>39660.87+1367.67</f>
        <v>41028.54</v>
      </c>
      <c r="J156" s="12">
        <v>3857.41</v>
      </c>
      <c r="K156" s="18">
        <v>15921.15</v>
      </c>
      <c r="L156" s="26">
        <f>SUM(M156:O156)</f>
        <v>2128248.5</v>
      </c>
      <c r="M156" s="26">
        <f>E156*I156</f>
        <v>1435998.9000000001</v>
      </c>
      <c r="N156" s="26">
        <f>E156*J156</f>
        <v>135009.35</v>
      </c>
      <c r="O156" s="26">
        <f>E156*K156</f>
        <v>557240.25</v>
      </c>
      <c r="P156" s="14">
        <f t="shared" si="50"/>
        <v>2371476.9</v>
      </c>
      <c r="Q156" s="14">
        <f t="shared" si="51"/>
        <v>2432284</v>
      </c>
    </row>
    <row r="157" spans="1:17" ht="120" x14ac:dyDescent="0.25">
      <c r="A157" s="157"/>
      <c r="B157" s="154"/>
      <c r="C157" s="15" t="s">
        <v>102</v>
      </c>
      <c r="D157" s="16" t="s">
        <v>101</v>
      </c>
      <c r="E157" s="25">
        <v>1</v>
      </c>
      <c r="F157" s="25"/>
      <c r="G157" s="25"/>
      <c r="H157" s="18">
        <v>22724.03</v>
      </c>
      <c r="I157" s="18">
        <v>22724.03</v>
      </c>
      <c r="J157" s="18" t="s">
        <v>103</v>
      </c>
      <c r="K157" s="18" t="s">
        <v>103</v>
      </c>
      <c r="L157" s="13">
        <f>SUM(M157:O157)</f>
        <v>22724.03</v>
      </c>
      <c r="M157" s="13">
        <f>E157*I157</f>
        <v>22724.03</v>
      </c>
      <c r="N157" s="13" t="s">
        <v>104</v>
      </c>
      <c r="O157" s="19" t="s">
        <v>104</v>
      </c>
      <c r="P157" s="14">
        <f t="shared" si="50"/>
        <v>0</v>
      </c>
      <c r="Q157" s="14">
        <f t="shared" si="51"/>
        <v>0</v>
      </c>
    </row>
    <row r="158" spans="1:17" ht="120" x14ac:dyDescent="0.25">
      <c r="A158" s="157"/>
      <c r="B158" s="154"/>
      <c r="C158" s="9" t="s">
        <v>105</v>
      </c>
      <c r="D158" s="16" t="s">
        <v>101</v>
      </c>
      <c r="E158" s="25"/>
      <c r="F158" s="25">
        <v>1</v>
      </c>
      <c r="G158" s="25">
        <v>1</v>
      </c>
      <c r="H158" s="18">
        <f>SUM(I158:K158)</f>
        <v>195071.76</v>
      </c>
      <c r="I158" s="18">
        <f>173925.53+1367.67</f>
        <v>175293.2</v>
      </c>
      <c r="J158" s="18">
        <v>3857.41</v>
      </c>
      <c r="K158" s="18">
        <v>15921.15</v>
      </c>
      <c r="L158" s="26"/>
      <c r="M158" s="26"/>
      <c r="N158" s="26"/>
      <c r="O158" s="26"/>
      <c r="P158" s="14">
        <f t="shared" si="50"/>
        <v>195071.76</v>
      </c>
      <c r="Q158" s="14">
        <f t="shared" si="51"/>
        <v>195071.76</v>
      </c>
    </row>
    <row r="159" spans="1:17" ht="15" x14ac:dyDescent="0.25">
      <c r="A159" s="157"/>
      <c r="B159" s="53"/>
      <c r="C159" s="21" t="s">
        <v>106</v>
      </c>
      <c r="D159" s="16"/>
      <c r="E159" s="25">
        <f>E156+E158</f>
        <v>35</v>
      </c>
      <c r="F159" s="25">
        <f t="shared" ref="F159:G159" si="81">F156+F158</f>
        <v>40</v>
      </c>
      <c r="G159" s="25">
        <f t="shared" si="81"/>
        <v>41</v>
      </c>
      <c r="H159" s="25" t="s">
        <v>104</v>
      </c>
      <c r="I159" s="25" t="s">
        <v>104</v>
      </c>
      <c r="J159" s="25" t="s">
        <v>104</v>
      </c>
      <c r="K159" s="25" t="s">
        <v>104</v>
      </c>
      <c r="L159" s="25">
        <f t="shared" ref="L159:Q159" si="82">SUM(L156:L158)</f>
        <v>2150972.5299999998</v>
      </c>
      <c r="M159" s="25">
        <f t="shared" si="82"/>
        <v>1458722.9300000002</v>
      </c>
      <c r="N159" s="25">
        <f t="shared" si="82"/>
        <v>135009.35</v>
      </c>
      <c r="O159" s="25">
        <f t="shared" si="82"/>
        <v>557240.25</v>
      </c>
      <c r="P159" s="25">
        <f t="shared" si="82"/>
        <v>2566548.66</v>
      </c>
      <c r="Q159" s="25">
        <f t="shared" si="82"/>
        <v>2627355.7599999998</v>
      </c>
    </row>
    <row r="160" spans="1:17" ht="165.75" customHeight="1" x14ac:dyDescent="0.25">
      <c r="A160" s="157"/>
      <c r="B160" s="155" t="s">
        <v>109</v>
      </c>
      <c r="C160" s="9" t="s">
        <v>110</v>
      </c>
      <c r="D160" s="16" t="s">
        <v>101</v>
      </c>
      <c r="E160" s="25">
        <v>258</v>
      </c>
      <c r="F160" s="25">
        <v>268</v>
      </c>
      <c r="G160" s="25">
        <v>271</v>
      </c>
      <c r="H160" s="18">
        <f>I160</f>
        <v>2770.76</v>
      </c>
      <c r="I160" s="18">
        <v>2770.76</v>
      </c>
      <c r="J160" s="18" t="s">
        <v>104</v>
      </c>
      <c r="K160" s="18" t="s">
        <v>104</v>
      </c>
      <c r="L160" s="26">
        <f>SUM(M160:O160)</f>
        <v>714856.08000000007</v>
      </c>
      <c r="M160" s="26">
        <f>I160*E160</f>
        <v>714856.08000000007</v>
      </c>
      <c r="N160" s="26" t="s">
        <v>104</v>
      </c>
      <c r="O160" s="26" t="s">
        <v>104</v>
      </c>
      <c r="P160" s="14">
        <f t="shared" si="50"/>
        <v>742563.68</v>
      </c>
      <c r="Q160" s="14">
        <f t="shared" si="51"/>
        <v>750875.96000000008</v>
      </c>
    </row>
    <row r="161" spans="1:17" ht="183.75" customHeight="1" x14ac:dyDescent="0.25">
      <c r="A161" s="157"/>
      <c r="B161" s="155"/>
      <c r="C161" s="9" t="s">
        <v>111</v>
      </c>
      <c r="D161" s="16" t="s">
        <v>101</v>
      </c>
      <c r="E161" s="29">
        <v>206</v>
      </c>
      <c r="F161" s="29">
        <v>214</v>
      </c>
      <c r="G161" s="29">
        <v>216</v>
      </c>
      <c r="H161" s="18">
        <v>3829.24</v>
      </c>
      <c r="I161" s="18">
        <f>H161</f>
        <v>3829.24</v>
      </c>
      <c r="J161" s="18" t="s">
        <v>104</v>
      </c>
      <c r="K161" s="18" t="s">
        <v>104</v>
      </c>
      <c r="L161" s="26">
        <f>SUM(M161:O161)</f>
        <v>788823.44</v>
      </c>
      <c r="M161" s="26">
        <f>I161*E161</f>
        <v>788823.44</v>
      </c>
      <c r="N161" s="27" t="s">
        <v>104</v>
      </c>
      <c r="O161" s="28" t="s">
        <v>104</v>
      </c>
      <c r="P161" s="14">
        <f t="shared" si="50"/>
        <v>819457.36</v>
      </c>
      <c r="Q161" s="14">
        <f t="shared" si="51"/>
        <v>827115.84</v>
      </c>
    </row>
    <row r="162" spans="1:17" ht="15" x14ac:dyDescent="0.25">
      <c r="A162" s="157"/>
      <c r="B162" s="29"/>
      <c r="C162" s="21" t="s">
        <v>106</v>
      </c>
      <c r="D162" s="29"/>
      <c r="E162" s="29">
        <f>SUM(E160:E161)</f>
        <v>464</v>
      </c>
      <c r="F162" s="29">
        <f t="shared" ref="F162:G162" si="83">SUM(F160:F161)</f>
        <v>482</v>
      </c>
      <c r="G162" s="25">
        <f t="shared" si="83"/>
        <v>487</v>
      </c>
      <c r="H162" s="25" t="s">
        <v>104</v>
      </c>
      <c r="I162" s="25" t="s">
        <v>104</v>
      </c>
      <c r="J162" s="25" t="s">
        <v>104</v>
      </c>
      <c r="K162" s="25">
        <f t="shared" ref="K162:O162" si="84">SUM(K160:K161)</f>
        <v>0</v>
      </c>
      <c r="L162" s="25">
        <f t="shared" si="84"/>
        <v>1503679.52</v>
      </c>
      <c r="M162" s="25">
        <f t="shared" si="84"/>
        <v>1503679.52</v>
      </c>
      <c r="N162" s="25">
        <f t="shared" si="84"/>
        <v>0</v>
      </c>
      <c r="O162" s="25">
        <f t="shared" si="84"/>
        <v>0</v>
      </c>
      <c r="P162" s="14">
        <f>SUM(P160:P161)</f>
        <v>1562021.04</v>
      </c>
      <c r="Q162" s="14">
        <f>SUM(Q160:Q161)</f>
        <v>1577991.8</v>
      </c>
    </row>
    <row r="163" spans="1:17" ht="14.25" x14ac:dyDescent="0.2">
      <c r="A163" s="157"/>
      <c r="B163" s="30" t="s">
        <v>112</v>
      </c>
      <c r="C163" s="30"/>
      <c r="D163" s="29"/>
      <c r="E163" s="29"/>
      <c r="F163" s="29"/>
      <c r="G163" s="29"/>
      <c r="H163" s="29"/>
      <c r="I163" s="29"/>
      <c r="J163" s="29"/>
      <c r="K163" s="29"/>
      <c r="L163" s="29">
        <f>SUM(M163:O163)</f>
        <v>22136193.960000001</v>
      </c>
      <c r="M163" s="29">
        <f t="shared" ref="M163:Q163" si="85">M151+M155+M159+M162</f>
        <v>14106098.6</v>
      </c>
      <c r="N163" s="29">
        <f t="shared" si="85"/>
        <v>1566108.46</v>
      </c>
      <c r="O163" s="29">
        <f t="shared" si="85"/>
        <v>6463986.9000000004</v>
      </c>
      <c r="P163" s="29">
        <f t="shared" si="85"/>
        <v>23725318.23</v>
      </c>
      <c r="Q163" s="29">
        <f t="shared" si="85"/>
        <v>24251976.539999995</v>
      </c>
    </row>
    <row r="164" spans="1:17" ht="90" x14ac:dyDescent="0.25">
      <c r="A164" s="157" t="s">
        <v>116</v>
      </c>
      <c r="B164" s="154" t="s">
        <v>99</v>
      </c>
      <c r="C164" s="9" t="s">
        <v>100</v>
      </c>
      <c r="D164" s="10" t="s">
        <v>101</v>
      </c>
      <c r="E164" s="11">
        <v>309</v>
      </c>
      <c r="F164" s="11">
        <v>320</v>
      </c>
      <c r="G164" s="11">
        <v>320</v>
      </c>
      <c r="H164" s="12">
        <f>SUM(I164:K164)</f>
        <v>43059.57</v>
      </c>
      <c r="I164" s="12">
        <f>22328.93+952.08</f>
        <v>23281.010000000002</v>
      </c>
      <c r="J164" s="12">
        <v>3857.41</v>
      </c>
      <c r="K164" s="12">
        <v>15921.15</v>
      </c>
      <c r="L164" s="13">
        <f>SUM(M164:O164)</f>
        <v>13305407.130000001</v>
      </c>
      <c r="M164" s="13">
        <f>E164*I164</f>
        <v>7193832.0900000008</v>
      </c>
      <c r="N164" s="13">
        <f>E164*J164</f>
        <v>1191939.69</v>
      </c>
      <c r="O164" s="14">
        <f>E164*K164</f>
        <v>4919635.3499999996</v>
      </c>
      <c r="P164" s="14">
        <f t="shared" si="50"/>
        <v>13779062.4</v>
      </c>
      <c r="Q164" s="14">
        <f t="shared" si="51"/>
        <v>13779062.4</v>
      </c>
    </row>
    <row r="165" spans="1:17" ht="110.25" customHeight="1" x14ac:dyDescent="0.2">
      <c r="A165" s="157"/>
      <c r="B165" s="154"/>
      <c r="C165" s="15" t="s">
        <v>102</v>
      </c>
      <c r="D165" s="16" t="s">
        <v>101</v>
      </c>
      <c r="E165" s="17">
        <v>3</v>
      </c>
      <c r="F165" s="17">
        <v>3</v>
      </c>
      <c r="G165" s="17">
        <v>3</v>
      </c>
      <c r="H165" s="18">
        <v>22724.03</v>
      </c>
      <c r="I165" s="18">
        <v>22724.03</v>
      </c>
      <c r="J165" s="18" t="s">
        <v>103</v>
      </c>
      <c r="K165" s="18" t="s">
        <v>103</v>
      </c>
      <c r="L165" s="13">
        <f>SUM(M165:O165)</f>
        <v>68172.09</v>
      </c>
      <c r="M165" s="13">
        <f>E165*I165</f>
        <v>68172.09</v>
      </c>
      <c r="N165" s="13" t="s">
        <v>104</v>
      </c>
      <c r="O165" s="19" t="s">
        <v>104</v>
      </c>
      <c r="P165" s="14">
        <f t="shared" ref="P165:P180" si="86">F165*H165</f>
        <v>68172.09</v>
      </c>
      <c r="Q165" s="14">
        <f t="shared" ref="Q165:Q180" si="87">G165*H165</f>
        <v>68172.09</v>
      </c>
    </row>
    <row r="166" spans="1:17" ht="120" x14ac:dyDescent="0.25">
      <c r="A166" s="157"/>
      <c r="B166" s="154"/>
      <c r="C166" s="9" t="s">
        <v>105</v>
      </c>
      <c r="D166" s="16" t="s">
        <v>101</v>
      </c>
      <c r="E166" s="11">
        <v>2</v>
      </c>
      <c r="F166" s="11">
        <v>2</v>
      </c>
      <c r="G166" s="11">
        <v>2</v>
      </c>
      <c r="H166" s="18">
        <f>SUM(I166:K166)</f>
        <v>137159.02000000002</v>
      </c>
      <c r="I166" s="18">
        <f>116428.38+952.08</f>
        <v>117380.46</v>
      </c>
      <c r="J166" s="18">
        <v>3857.41</v>
      </c>
      <c r="K166" s="18">
        <v>15921.15</v>
      </c>
      <c r="L166" s="13">
        <f>SUM(M166:O166)</f>
        <v>274318.04000000004</v>
      </c>
      <c r="M166" s="13">
        <f>E166*I166</f>
        <v>234760.92</v>
      </c>
      <c r="N166" s="13">
        <f>E166*J166</f>
        <v>7714.82</v>
      </c>
      <c r="O166" s="20">
        <f>E166*K166</f>
        <v>31842.3</v>
      </c>
      <c r="P166" s="14">
        <f t="shared" si="86"/>
        <v>274318.04000000004</v>
      </c>
      <c r="Q166" s="14">
        <f t="shared" si="87"/>
        <v>274318.04000000004</v>
      </c>
    </row>
    <row r="167" spans="1:17" ht="105" x14ac:dyDescent="0.25">
      <c r="A167" s="157"/>
      <c r="B167" s="53"/>
      <c r="C167" s="9" t="s">
        <v>117</v>
      </c>
      <c r="D167" s="16" t="s">
        <v>101</v>
      </c>
      <c r="E167" s="11">
        <v>4</v>
      </c>
      <c r="F167" s="11">
        <v>4</v>
      </c>
      <c r="G167" s="11">
        <v>4</v>
      </c>
      <c r="H167" s="18">
        <f>I167</f>
        <v>20712.060000000001</v>
      </c>
      <c r="I167" s="18">
        <v>20712.060000000001</v>
      </c>
      <c r="J167" s="18" t="s">
        <v>104</v>
      </c>
      <c r="K167" s="18" t="s">
        <v>104</v>
      </c>
      <c r="L167" s="11">
        <f>SUM(M167:O167)</f>
        <v>82848.240000000005</v>
      </c>
      <c r="M167" s="11">
        <f>E167*I167</f>
        <v>82848.240000000005</v>
      </c>
      <c r="N167" s="11"/>
      <c r="O167" s="11"/>
      <c r="P167" s="14">
        <f t="shared" si="86"/>
        <v>82848.240000000005</v>
      </c>
      <c r="Q167" s="14">
        <f t="shared" si="87"/>
        <v>82848.240000000005</v>
      </c>
    </row>
    <row r="168" spans="1:17" ht="15" x14ac:dyDescent="0.2">
      <c r="A168" s="157"/>
      <c r="B168" s="53"/>
      <c r="C168" s="21" t="s">
        <v>106</v>
      </c>
      <c r="D168" s="22"/>
      <c r="E168" s="11">
        <f>E164+E166</f>
        <v>311</v>
      </c>
      <c r="F168" s="11">
        <f t="shared" ref="F168:G168" si="88">F164+F166</f>
        <v>322</v>
      </c>
      <c r="G168" s="11">
        <f t="shared" si="88"/>
        <v>322</v>
      </c>
      <c r="H168" s="11" t="s">
        <v>104</v>
      </c>
      <c r="I168" s="11" t="s">
        <v>104</v>
      </c>
      <c r="J168" s="11" t="s">
        <v>104</v>
      </c>
      <c r="K168" s="11" t="s">
        <v>104</v>
      </c>
      <c r="L168" s="13">
        <f>SUM(L164:L167)</f>
        <v>13730745.500000002</v>
      </c>
      <c r="M168" s="13">
        <f t="shared" ref="M168:Q168" si="89">SUM(M164:M167)</f>
        <v>7579613.3400000008</v>
      </c>
      <c r="N168" s="13">
        <f t="shared" si="89"/>
        <v>1199654.51</v>
      </c>
      <c r="O168" s="13">
        <f t="shared" si="89"/>
        <v>4951477.6499999994</v>
      </c>
      <c r="P168" s="13">
        <f t="shared" si="89"/>
        <v>14204400.770000001</v>
      </c>
      <c r="Q168" s="13">
        <f t="shared" si="89"/>
        <v>14204400.770000001</v>
      </c>
    </row>
    <row r="169" spans="1:17" ht="90" x14ac:dyDescent="0.25">
      <c r="A169" s="157"/>
      <c r="B169" s="154" t="s">
        <v>107</v>
      </c>
      <c r="C169" s="9" t="s">
        <v>100</v>
      </c>
      <c r="D169" s="10" t="s">
        <v>101</v>
      </c>
      <c r="E169" s="23">
        <v>57</v>
      </c>
      <c r="F169" s="23">
        <v>50</v>
      </c>
      <c r="G169" s="23">
        <v>53</v>
      </c>
      <c r="H169" s="12">
        <f>SUM(I169:K169)</f>
        <v>54095.340000000004</v>
      </c>
      <c r="I169" s="12">
        <f>33147.58+1169.2</f>
        <v>34316.78</v>
      </c>
      <c r="J169" s="12">
        <v>3857.41</v>
      </c>
      <c r="K169" s="18">
        <v>15921.15</v>
      </c>
      <c r="L169" s="11">
        <f>SUM(M169:O169)</f>
        <v>3083434.38</v>
      </c>
      <c r="M169" s="11">
        <f>E169*I169</f>
        <v>1956056.46</v>
      </c>
      <c r="N169" s="11">
        <f>E169*J169</f>
        <v>219872.37</v>
      </c>
      <c r="O169" s="24">
        <f>E169*K169</f>
        <v>907505.54999999993</v>
      </c>
      <c r="P169" s="14">
        <f t="shared" si="86"/>
        <v>2704767</v>
      </c>
      <c r="Q169" s="14">
        <f t="shared" si="87"/>
        <v>2867053.02</v>
      </c>
    </row>
    <row r="170" spans="1:17" ht="104.25" customHeight="1" x14ac:dyDescent="0.25">
      <c r="A170" s="157"/>
      <c r="B170" s="154"/>
      <c r="C170" s="9" t="s">
        <v>118</v>
      </c>
      <c r="D170" s="10" t="s">
        <v>101</v>
      </c>
      <c r="E170" s="23">
        <v>326</v>
      </c>
      <c r="F170" s="23">
        <v>315</v>
      </c>
      <c r="G170" s="23">
        <v>327</v>
      </c>
      <c r="H170" s="12">
        <f>SUM(I170:K170)</f>
        <v>57407.18</v>
      </c>
      <c r="I170" s="12">
        <f>36459.42+1169.2</f>
        <v>37628.619999999995</v>
      </c>
      <c r="J170" s="12">
        <v>3857.41</v>
      </c>
      <c r="K170" s="18">
        <v>15921.15</v>
      </c>
      <c r="L170" s="11">
        <f>SUM(M170:O170)</f>
        <v>18714740.68</v>
      </c>
      <c r="M170" s="11">
        <f>E170*I170</f>
        <v>12266930.119999999</v>
      </c>
      <c r="N170" s="11">
        <f>E170*J170</f>
        <v>1257515.6599999999</v>
      </c>
      <c r="O170" s="24">
        <f>E170*K170</f>
        <v>5190294.8999999994</v>
      </c>
      <c r="P170" s="14">
        <f t="shared" si="86"/>
        <v>18083261.699999999</v>
      </c>
      <c r="Q170" s="14">
        <f t="shared" si="87"/>
        <v>18772147.859999999</v>
      </c>
    </row>
    <row r="171" spans="1:17" ht="119.25" customHeight="1" x14ac:dyDescent="0.25">
      <c r="A171" s="157"/>
      <c r="B171" s="154"/>
      <c r="C171" s="15" t="s">
        <v>102</v>
      </c>
      <c r="D171" s="16" t="s">
        <v>101</v>
      </c>
      <c r="E171" s="25">
        <v>1</v>
      </c>
      <c r="F171" s="25">
        <v>1</v>
      </c>
      <c r="G171" s="25">
        <v>1</v>
      </c>
      <c r="H171" s="18">
        <v>22724.03</v>
      </c>
      <c r="I171" s="18">
        <v>22724.03</v>
      </c>
      <c r="J171" s="18" t="s">
        <v>103</v>
      </c>
      <c r="K171" s="18" t="s">
        <v>103</v>
      </c>
      <c r="L171" s="13">
        <f>SUM(M171:O171)</f>
        <v>22724.03</v>
      </c>
      <c r="M171" s="13">
        <f>E171*I171</f>
        <v>22724.03</v>
      </c>
      <c r="N171" s="13" t="s">
        <v>104</v>
      </c>
      <c r="O171" s="19" t="s">
        <v>104</v>
      </c>
      <c r="P171" s="14">
        <f t="shared" si="86"/>
        <v>22724.03</v>
      </c>
      <c r="Q171" s="14">
        <f t="shared" si="87"/>
        <v>22724.03</v>
      </c>
    </row>
    <row r="172" spans="1:17" ht="120" x14ac:dyDescent="0.25">
      <c r="A172" s="157"/>
      <c r="B172" s="154"/>
      <c r="C172" s="9" t="s">
        <v>105</v>
      </c>
      <c r="D172" s="16" t="s">
        <v>101</v>
      </c>
      <c r="E172" s="25"/>
      <c r="F172" s="25"/>
      <c r="G172" s="25"/>
      <c r="H172" s="18">
        <f>SUM(I172:K172)</f>
        <v>166124.72</v>
      </c>
      <c r="I172" s="18">
        <f>145176.96+1169.2</f>
        <v>146346.16</v>
      </c>
      <c r="J172" s="18">
        <v>3857.41</v>
      </c>
      <c r="K172" s="18">
        <v>15921.15</v>
      </c>
      <c r="L172" s="26">
        <f>SUM(M172:O172)</f>
        <v>0</v>
      </c>
      <c r="M172" s="26">
        <f>E172*I172</f>
        <v>0</v>
      </c>
      <c r="N172" s="26">
        <f>E172*J172</f>
        <v>0</v>
      </c>
      <c r="O172" s="26">
        <f>E172*K172</f>
        <v>0</v>
      </c>
      <c r="P172" s="14">
        <f t="shared" si="86"/>
        <v>0</v>
      </c>
      <c r="Q172" s="14">
        <f t="shared" si="87"/>
        <v>0</v>
      </c>
    </row>
    <row r="173" spans="1:17" ht="105" x14ac:dyDescent="0.25">
      <c r="A173" s="157"/>
      <c r="B173" s="53"/>
      <c r="C173" s="9" t="s">
        <v>117</v>
      </c>
      <c r="D173" s="16" t="s">
        <v>101</v>
      </c>
      <c r="E173" s="25">
        <v>3</v>
      </c>
      <c r="F173" s="25">
        <v>3</v>
      </c>
      <c r="G173" s="25">
        <v>3</v>
      </c>
      <c r="H173" s="18">
        <v>32794.07</v>
      </c>
      <c r="I173" s="18">
        <f>H173</f>
        <v>32794.07</v>
      </c>
      <c r="J173" s="18" t="s">
        <v>104</v>
      </c>
      <c r="K173" s="18" t="s">
        <v>104</v>
      </c>
      <c r="L173" s="26">
        <f>SUM(M173:O173)</f>
        <v>98382.209999999992</v>
      </c>
      <c r="M173" s="26">
        <f>E173*I173</f>
        <v>98382.209999999992</v>
      </c>
      <c r="N173" s="26"/>
      <c r="O173" s="26"/>
      <c r="P173" s="14">
        <f t="shared" si="86"/>
        <v>98382.209999999992</v>
      </c>
      <c r="Q173" s="14">
        <f t="shared" si="87"/>
        <v>98382.209999999992</v>
      </c>
    </row>
    <row r="174" spans="1:17" ht="15" x14ac:dyDescent="0.25">
      <c r="A174" s="157"/>
      <c r="B174" s="53"/>
      <c r="C174" s="21" t="s">
        <v>106</v>
      </c>
      <c r="D174" s="16"/>
      <c r="E174" s="25">
        <f>E169++E170+E172</f>
        <v>383</v>
      </c>
      <c r="F174" s="25">
        <f t="shared" ref="F174:G174" si="90">F169++F170+F172</f>
        <v>365</v>
      </c>
      <c r="G174" s="25">
        <f t="shared" si="90"/>
        <v>380</v>
      </c>
      <c r="H174" s="25" t="s">
        <v>104</v>
      </c>
      <c r="I174" s="25" t="s">
        <v>104</v>
      </c>
      <c r="J174" s="25" t="s">
        <v>104</v>
      </c>
      <c r="K174" s="25" t="s">
        <v>104</v>
      </c>
      <c r="L174" s="25">
        <f>SUM(L169:L173)</f>
        <v>21919281.300000001</v>
      </c>
      <c r="M174" s="25">
        <f t="shared" ref="M174:Q174" si="91">SUM(M169:M173)</f>
        <v>14344092.819999998</v>
      </c>
      <c r="N174" s="25">
        <f t="shared" si="91"/>
        <v>1477388.0299999998</v>
      </c>
      <c r="O174" s="25">
        <f t="shared" si="91"/>
        <v>6097800.4499999993</v>
      </c>
      <c r="P174" s="25">
        <f t="shared" si="91"/>
        <v>20909134.940000001</v>
      </c>
      <c r="Q174" s="25">
        <f t="shared" si="91"/>
        <v>21760307.120000001</v>
      </c>
    </row>
    <row r="175" spans="1:17" ht="90" x14ac:dyDescent="0.25">
      <c r="A175" s="157"/>
      <c r="B175" s="154" t="s">
        <v>108</v>
      </c>
      <c r="C175" s="9" t="s">
        <v>100</v>
      </c>
      <c r="D175" s="10" t="s">
        <v>101</v>
      </c>
      <c r="E175" s="25">
        <v>106</v>
      </c>
      <c r="F175" s="25">
        <v>110</v>
      </c>
      <c r="G175" s="25">
        <v>112</v>
      </c>
      <c r="H175" s="12">
        <f>SUM(I175:K175)</f>
        <v>60807.1</v>
      </c>
      <c r="I175" s="12">
        <f>39660.87+1367.67</f>
        <v>41028.54</v>
      </c>
      <c r="J175" s="12">
        <v>3857.41</v>
      </c>
      <c r="K175" s="18">
        <v>15921.15</v>
      </c>
      <c r="L175" s="26">
        <f>SUM(M175:O175)</f>
        <v>6445552.5999999996</v>
      </c>
      <c r="M175" s="26">
        <f>E175*I175</f>
        <v>4349025.24</v>
      </c>
      <c r="N175" s="26">
        <f>E175*J175</f>
        <v>408885.45999999996</v>
      </c>
      <c r="O175" s="26">
        <f>E175*K175</f>
        <v>1687641.9</v>
      </c>
      <c r="P175" s="14">
        <f t="shared" si="86"/>
        <v>6688781</v>
      </c>
      <c r="Q175" s="14">
        <f t="shared" si="87"/>
        <v>6810395.2000000002</v>
      </c>
    </row>
    <row r="176" spans="1:17" ht="113.25" customHeight="1" x14ac:dyDescent="0.25">
      <c r="A176" s="157"/>
      <c r="B176" s="154"/>
      <c r="C176" s="15" t="s">
        <v>102</v>
      </c>
      <c r="D176" s="16" t="s">
        <v>101</v>
      </c>
      <c r="E176" s="25">
        <v>1</v>
      </c>
      <c r="F176" s="25">
        <v>1</v>
      </c>
      <c r="G176" s="25">
        <v>1</v>
      </c>
      <c r="H176" s="18">
        <v>22724.03</v>
      </c>
      <c r="I176" s="18">
        <v>22724.03</v>
      </c>
      <c r="J176" s="18" t="s">
        <v>103</v>
      </c>
      <c r="K176" s="18" t="s">
        <v>103</v>
      </c>
      <c r="L176" s="13">
        <f>SUM(M176:O176)</f>
        <v>22724.03</v>
      </c>
      <c r="M176" s="13">
        <f>E176*I176</f>
        <v>22724.03</v>
      </c>
      <c r="N176" s="13" t="s">
        <v>104</v>
      </c>
      <c r="O176" s="19" t="s">
        <v>104</v>
      </c>
      <c r="P176" s="14">
        <f t="shared" si="86"/>
        <v>22724.03</v>
      </c>
      <c r="Q176" s="14">
        <f t="shared" si="87"/>
        <v>22724.03</v>
      </c>
    </row>
    <row r="177" spans="1:17" ht="120" x14ac:dyDescent="0.25">
      <c r="A177" s="157"/>
      <c r="B177" s="154"/>
      <c r="C177" s="9" t="s">
        <v>105</v>
      </c>
      <c r="D177" s="16" t="s">
        <v>101</v>
      </c>
      <c r="E177" s="25"/>
      <c r="F177" s="25"/>
      <c r="G177" s="25"/>
      <c r="H177" s="18">
        <f>SUM(I177:K177)</f>
        <v>195071.76</v>
      </c>
      <c r="I177" s="18">
        <f>173925.53+1367.67</f>
        <v>175293.2</v>
      </c>
      <c r="J177" s="18">
        <v>3857.41</v>
      </c>
      <c r="K177" s="18">
        <v>15921.15</v>
      </c>
      <c r="L177" s="26"/>
      <c r="M177" s="26"/>
      <c r="N177" s="26"/>
      <c r="O177" s="26"/>
      <c r="P177" s="14">
        <f t="shared" si="86"/>
        <v>0</v>
      </c>
      <c r="Q177" s="14">
        <f t="shared" si="87"/>
        <v>0</v>
      </c>
    </row>
    <row r="178" spans="1:17" ht="15" x14ac:dyDescent="0.25">
      <c r="A178" s="157"/>
      <c r="B178" s="53"/>
      <c r="C178" s="21" t="s">
        <v>106</v>
      </c>
      <c r="D178" s="16"/>
      <c r="E178" s="25">
        <f>E175+E177</f>
        <v>106</v>
      </c>
      <c r="F178" s="25">
        <f t="shared" ref="F178:G178" si="92">F175+F177</f>
        <v>110</v>
      </c>
      <c r="G178" s="25">
        <f t="shared" si="92"/>
        <v>112</v>
      </c>
      <c r="H178" s="25" t="s">
        <v>104</v>
      </c>
      <c r="I178" s="25" t="s">
        <v>104</v>
      </c>
      <c r="J178" s="25" t="s">
        <v>104</v>
      </c>
      <c r="K178" s="25" t="s">
        <v>104</v>
      </c>
      <c r="L178" s="25">
        <f>SUM(L175:L177)</f>
        <v>6468276.6299999999</v>
      </c>
      <c r="M178" s="25">
        <f t="shared" ref="M178:Q178" si="93">SUM(M175:M177)</f>
        <v>4371749.2700000005</v>
      </c>
      <c r="N178" s="25">
        <f t="shared" si="93"/>
        <v>408885.45999999996</v>
      </c>
      <c r="O178" s="25">
        <f t="shared" si="93"/>
        <v>1687641.9</v>
      </c>
      <c r="P178" s="25">
        <f t="shared" si="93"/>
        <v>6711505.0300000003</v>
      </c>
      <c r="Q178" s="25">
        <f t="shared" si="93"/>
        <v>6833119.2300000004</v>
      </c>
    </row>
    <row r="179" spans="1:17" ht="171.75" customHeight="1" x14ac:dyDescent="0.25">
      <c r="A179" s="157"/>
      <c r="B179" s="155" t="s">
        <v>109</v>
      </c>
      <c r="C179" s="9" t="s">
        <v>110</v>
      </c>
      <c r="D179" s="16" t="s">
        <v>101</v>
      </c>
      <c r="E179" s="25">
        <v>509</v>
      </c>
      <c r="F179" s="25">
        <v>519</v>
      </c>
      <c r="G179" s="25">
        <v>519</v>
      </c>
      <c r="H179" s="18">
        <f>I179</f>
        <v>2770.76</v>
      </c>
      <c r="I179" s="18">
        <v>2770.76</v>
      </c>
      <c r="J179" s="18" t="s">
        <v>104</v>
      </c>
      <c r="K179" s="18" t="s">
        <v>104</v>
      </c>
      <c r="L179" s="26">
        <f>SUM(M179:O179)</f>
        <v>1410316.84</v>
      </c>
      <c r="M179" s="26">
        <f>I179*E179</f>
        <v>1410316.84</v>
      </c>
      <c r="N179" s="26" t="s">
        <v>104</v>
      </c>
      <c r="O179" s="26" t="s">
        <v>104</v>
      </c>
      <c r="P179" s="14">
        <f t="shared" si="86"/>
        <v>1438024.4400000002</v>
      </c>
      <c r="Q179" s="14">
        <f t="shared" si="87"/>
        <v>1438024.4400000002</v>
      </c>
    </row>
    <row r="180" spans="1:17" ht="180.75" customHeight="1" x14ac:dyDescent="0.25">
      <c r="A180" s="157"/>
      <c r="B180" s="155"/>
      <c r="C180" s="9" t="s">
        <v>111</v>
      </c>
      <c r="D180" s="16" t="s">
        <v>101</v>
      </c>
      <c r="E180" s="29">
        <v>622</v>
      </c>
      <c r="F180" s="29">
        <v>632</v>
      </c>
      <c r="G180" s="29">
        <v>632</v>
      </c>
      <c r="H180" s="18">
        <v>3829.24</v>
      </c>
      <c r="I180" s="18">
        <f>H180</f>
        <v>3829.24</v>
      </c>
      <c r="J180" s="18" t="s">
        <v>104</v>
      </c>
      <c r="K180" s="18" t="s">
        <v>104</v>
      </c>
      <c r="L180" s="26">
        <f>SUM(M180:O180)</f>
        <v>2381787.2799999998</v>
      </c>
      <c r="M180" s="26">
        <f>I180*E180</f>
        <v>2381787.2799999998</v>
      </c>
      <c r="N180" s="27" t="s">
        <v>104</v>
      </c>
      <c r="O180" s="28" t="s">
        <v>104</v>
      </c>
      <c r="P180" s="14">
        <f t="shared" si="86"/>
        <v>2420079.6799999997</v>
      </c>
      <c r="Q180" s="14">
        <f t="shared" si="87"/>
        <v>2420079.6799999997</v>
      </c>
    </row>
    <row r="181" spans="1:17" ht="15" x14ac:dyDescent="0.25">
      <c r="A181" s="157"/>
      <c r="B181" s="29"/>
      <c r="C181" s="21" t="s">
        <v>106</v>
      </c>
      <c r="D181" s="29"/>
      <c r="E181" s="29">
        <f>SUM(E179:E180)</f>
        <v>1131</v>
      </c>
      <c r="F181" s="29">
        <f t="shared" ref="F181:G181" si="94">SUM(F179:F180)</f>
        <v>1151</v>
      </c>
      <c r="G181" s="25">
        <f t="shared" si="94"/>
        <v>1151</v>
      </c>
      <c r="H181" s="25" t="s">
        <v>104</v>
      </c>
      <c r="I181" s="25" t="s">
        <v>104</v>
      </c>
      <c r="J181" s="25" t="s">
        <v>104</v>
      </c>
      <c r="K181" s="25">
        <f t="shared" ref="K181:O181" si="95">SUM(K179:K180)</f>
        <v>0</v>
      </c>
      <c r="L181" s="25">
        <f t="shared" si="95"/>
        <v>3792104.12</v>
      </c>
      <c r="M181" s="25">
        <f t="shared" si="95"/>
        <v>3792104.12</v>
      </c>
      <c r="N181" s="25">
        <f t="shared" si="95"/>
        <v>0</v>
      </c>
      <c r="O181" s="25">
        <f t="shared" si="95"/>
        <v>0</v>
      </c>
      <c r="P181" s="14">
        <f>SUM(P179:P180)</f>
        <v>3858104.12</v>
      </c>
      <c r="Q181" s="14">
        <f>SUM(Q179:Q180)</f>
        <v>3858104.12</v>
      </c>
    </row>
    <row r="182" spans="1:17" ht="14.25" x14ac:dyDescent="0.2">
      <c r="A182" s="157"/>
      <c r="B182" s="30" t="s">
        <v>112</v>
      </c>
      <c r="C182" s="30"/>
      <c r="D182" s="29"/>
      <c r="E182" s="29"/>
      <c r="F182" s="29"/>
      <c r="G182" s="29"/>
      <c r="H182" s="29"/>
      <c r="I182" s="29"/>
      <c r="J182" s="29"/>
      <c r="K182" s="29"/>
      <c r="L182" s="31">
        <f>L168+L174+L178+L181</f>
        <v>45910407.550000004</v>
      </c>
      <c r="M182" s="31">
        <f t="shared" ref="M182:Q182" si="96">M168+M174+M178+M181</f>
        <v>30087559.550000001</v>
      </c>
      <c r="N182" s="31">
        <f t="shared" si="96"/>
        <v>3085928</v>
      </c>
      <c r="O182" s="31">
        <f t="shared" si="96"/>
        <v>12736919.999999998</v>
      </c>
      <c r="P182" s="31">
        <f t="shared" si="96"/>
        <v>45683144.859999999</v>
      </c>
      <c r="Q182" s="31">
        <f t="shared" si="96"/>
        <v>46655931.240000002</v>
      </c>
    </row>
    <row r="183" spans="1:17" ht="225" customHeight="1" x14ac:dyDescent="0.25">
      <c r="A183" s="157" t="s">
        <v>119</v>
      </c>
      <c r="B183" s="154" t="s">
        <v>99</v>
      </c>
      <c r="C183" s="9" t="s">
        <v>120</v>
      </c>
      <c r="D183" s="10" t="s">
        <v>121</v>
      </c>
      <c r="E183" s="32" t="s">
        <v>122</v>
      </c>
      <c r="F183" s="11" t="s">
        <v>122</v>
      </c>
      <c r="G183" s="11" t="s">
        <v>123</v>
      </c>
      <c r="H183" s="33" t="s">
        <v>124</v>
      </c>
      <c r="I183" s="33" t="s">
        <v>125</v>
      </c>
      <c r="J183" s="33" t="s">
        <v>126</v>
      </c>
      <c r="K183" s="33" t="s">
        <v>127</v>
      </c>
      <c r="L183" s="13">
        <f t="shared" ref="L183:L188" si="97">SUM(M183:O183)</f>
        <v>2238893.54</v>
      </c>
      <c r="M183" s="13">
        <f>642642.05*2+952.08*46</f>
        <v>1329079.78</v>
      </c>
      <c r="N183" s="13">
        <f>3857.41*46</f>
        <v>177440.86</v>
      </c>
      <c r="O183" s="14">
        <f>15921.15*46</f>
        <v>732372.9</v>
      </c>
      <c r="P183" s="14">
        <f>642642.05*2+20730.64*46</f>
        <v>2238893.54</v>
      </c>
      <c r="Q183" s="14">
        <f>643642.05*2+20730.64*49</f>
        <v>2303085.46</v>
      </c>
    </row>
    <row r="184" spans="1:17" ht="240" x14ac:dyDescent="0.25">
      <c r="A184" s="157"/>
      <c r="B184" s="154"/>
      <c r="C184" s="9" t="s">
        <v>128</v>
      </c>
      <c r="D184" s="10" t="s">
        <v>121</v>
      </c>
      <c r="E184" s="33" t="s">
        <v>129</v>
      </c>
      <c r="F184" s="33" t="s">
        <v>130</v>
      </c>
      <c r="G184" s="33" t="s">
        <v>130</v>
      </c>
      <c r="H184" s="33" t="s">
        <v>131</v>
      </c>
      <c r="I184" s="33" t="s">
        <v>132</v>
      </c>
      <c r="J184" s="33" t="s">
        <v>126</v>
      </c>
      <c r="K184" s="33" t="s">
        <v>127</v>
      </c>
      <c r="L184" s="13">
        <f t="shared" si="97"/>
        <v>3681151.7999999993</v>
      </c>
      <c r="M184" s="13">
        <f>604145.69*4+952.08*61</f>
        <v>2474659.6399999997</v>
      </c>
      <c r="N184" s="13">
        <f>3857.41*61</f>
        <v>235302.00999999998</v>
      </c>
      <c r="O184" s="14">
        <f>15921.15*61</f>
        <v>971190.15</v>
      </c>
      <c r="P184" s="14">
        <f>604145.69*4+20730.64*63</f>
        <v>3722613.08</v>
      </c>
      <c r="Q184" s="14">
        <f>P184</f>
        <v>3722613.08</v>
      </c>
    </row>
    <row r="185" spans="1:17" ht="120" x14ac:dyDescent="0.2">
      <c r="A185" s="157"/>
      <c r="B185" s="154"/>
      <c r="C185" s="15" t="s">
        <v>102</v>
      </c>
      <c r="D185" s="16" t="s">
        <v>101</v>
      </c>
      <c r="E185" s="17"/>
      <c r="F185" s="17"/>
      <c r="G185" s="17"/>
      <c r="H185" s="18">
        <v>22724.03</v>
      </c>
      <c r="I185" s="18">
        <v>22724.03</v>
      </c>
      <c r="J185" s="18" t="s">
        <v>103</v>
      </c>
      <c r="K185" s="18" t="s">
        <v>103</v>
      </c>
      <c r="L185" s="13">
        <f t="shared" si="97"/>
        <v>0</v>
      </c>
      <c r="M185" s="13">
        <f>E185*I185</f>
        <v>0</v>
      </c>
      <c r="N185" s="13" t="s">
        <v>104</v>
      </c>
      <c r="O185" s="19" t="s">
        <v>104</v>
      </c>
      <c r="P185" s="14">
        <f t="shared" ref="P185:P195" si="98">F185*H185</f>
        <v>0</v>
      </c>
      <c r="Q185" s="14">
        <f t="shared" ref="Q185:Q195" si="99">G185*H185</f>
        <v>0</v>
      </c>
    </row>
    <row r="186" spans="1:17" ht="15" x14ac:dyDescent="0.2">
      <c r="A186" s="157"/>
      <c r="B186" s="154"/>
      <c r="C186" s="21" t="s">
        <v>106</v>
      </c>
      <c r="D186" s="22"/>
      <c r="E186" s="11" t="s">
        <v>133</v>
      </c>
      <c r="F186" s="11" t="s">
        <v>134</v>
      </c>
      <c r="G186" s="11" t="s">
        <v>135</v>
      </c>
      <c r="H186" s="11" t="s">
        <v>104</v>
      </c>
      <c r="I186" s="11" t="s">
        <v>104</v>
      </c>
      <c r="J186" s="11" t="s">
        <v>104</v>
      </c>
      <c r="K186" s="11" t="s">
        <v>104</v>
      </c>
      <c r="L186" s="13">
        <f t="shared" si="97"/>
        <v>5920045.3399999999</v>
      </c>
      <c r="M186" s="13">
        <f>SUM(M183:M185)</f>
        <v>3803739.42</v>
      </c>
      <c r="N186" s="13">
        <f t="shared" ref="N186:O186" si="100">SUM(N183:N185)</f>
        <v>412742.87</v>
      </c>
      <c r="O186" s="13">
        <f t="shared" si="100"/>
        <v>1703563.05</v>
      </c>
      <c r="P186" s="34">
        <f>SUM(P183:P185)</f>
        <v>5961506.6200000001</v>
      </c>
      <c r="Q186" s="34">
        <f>SUM(Q183:Q185)</f>
        <v>6025698.54</v>
      </c>
    </row>
    <row r="187" spans="1:17" ht="222" customHeight="1" x14ac:dyDescent="0.25">
      <c r="A187" s="157"/>
      <c r="B187" s="154" t="s">
        <v>107</v>
      </c>
      <c r="C187" s="9" t="s">
        <v>120</v>
      </c>
      <c r="D187" s="10" t="s">
        <v>121</v>
      </c>
      <c r="E187" s="23" t="s">
        <v>136</v>
      </c>
      <c r="F187" s="35" t="s">
        <v>122</v>
      </c>
      <c r="G187" s="23" t="s">
        <v>137</v>
      </c>
      <c r="H187" s="33" t="s">
        <v>138</v>
      </c>
      <c r="I187" s="33" t="s">
        <v>139</v>
      </c>
      <c r="J187" s="33" t="s">
        <v>126</v>
      </c>
      <c r="K187" s="33" t="s">
        <v>127</v>
      </c>
      <c r="L187" s="11">
        <f t="shared" si="97"/>
        <v>4247891.0999999996</v>
      </c>
      <c r="M187" s="11">
        <f>3*955112.98+66*1169.2</f>
        <v>2942506.14</v>
      </c>
      <c r="N187" s="11">
        <f>3857.41*66</f>
        <v>254589.06</v>
      </c>
      <c r="O187" s="24">
        <f>15921.15*66</f>
        <v>1050795.8999999999</v>
      </c>
      <c r="P187" s="14">
        <f>2*955112.98+46*20947.76</f>
        <v>2873822.92</v>
      </c>
      <c r="Q187" s="14">
        <f>5*955112.98+112*20947.76</f>
        <v>7121714.0199999996</v>
      </c>
    </row>
    <row r="188" spans="1:17" ht="228" customHeight="1" x14ac:dyDescent="0.25">
      <c r="A188" s="157"/>
      <c r="B188" s="154"/>
      <c r="C188" s="9" t="s">
        <v>128</v>
      </c>
      <c r="D188" s="10" t="s">
        <v>121</v>
      </c>
      <c r="E188" s="25" t="s">
        <v>140</v>
      </c>
      <c r="F188" s="25" t="s">
        <v>141</v>
      </c>
      <c r="G188" s="25" t="s">
        <v>129</v>
      </c>
      <c r="H188" s="33" t="s">
        <v>142</v>
      </c>
      <c r="I188" s="33" t="s">
        <v>143</v>
      </c>
      <c r="J188" s="33" t="s">
        <v>126</v>
      </c>
      <c r="K188" s="33" t="s">
        <v>127</v>
      </c>
      <c r="L188" s="13">
        <f t="shared" si="97"/>
        <v>3254329.2699999996</v>
      </c>
      <c r="M188" s="13">
        <f>3*756594.85+1169.2*47</f>
        <v>2324736.9499999997</v>
      </c>
      <c r="N188" s="13">
        <f>3857.41*47</f>
        <v>181298.27</v>
      </c>
      <c r="O188" s="19">
        <f>15921.15*47</f>
        <v>748294.04999999993</v>
      </c>
      <c r="P188" s="14">
        <f>6*756594.85+20947.76*99</f>
        <v>6613397.3399999999</v>
      </c>
      <c r="Q188" s="14">
        <f>756594.85*4+20947.76*61</f>
        <v>4304192.76</v>
      </c>
    </row>
    <row r="189" spans="1:17" ht="96.75" customHeight="1" x14ac:dyDescent="0.25">
      <c r="A189" s="157"/>
      <c r="B189" s="154"/>
      <c r="C189" s="15" t="s">
        <v>102</v>
      </c>
      <c r="D189" s="16" t="s">
        <v>101</v>
      </c>
      <c r="E189" s="25">
        <v>4</v>
      </c>
      <c r="F189" s="25">
        <v>3</v>
      </c>
      <c r="G189" s="25">
        <v>3</v>
      </c>
      <c r="H189" s="18">
        <f>I189</f>
        <v>27251.919999999998</v>
      </c>
      <c r="I189" s="18">
        <v>27251.919999999998</v>
      </c>
      <c r="J189" s="18" t="s">
        <v>103</v>
      </c>
      <c r="K189" s="18" t="s">
        <v>103</v>
      </c>
      <c r="L189" s="13">
        <f>SUM(M189)</f>
        <v>109007.67999999999</v>
      </c>
      <c r="M189" s="26">
        <f>E189*I189</f>
        <v>109007.67999999999</v>
      </c>
      <c r="N189" s="26"/>
      <c r="O189" s="26"/>
      <c r="P189" s="14">
        <f t="shared" si="98"/>
        <v>81755.759999999995</v>
      </c>
      <c r="Q189" s="14">
        <f t="shared" si="99"/>
        <v>81755.759999999995</v>
      </c>
    </row>
    <row r="190" spans="1:17" ht="120" x14ac:dyDescent="0.25">
      <c r="A190" s="157"/>
      <c r="B190" s="53"/>
      <c r="C190" s="9" t="s">
        <v>144</v>
      </c>
      <c r="D190" s="16" t="s">
        <v>101</v>
      </c>
      <c r="E190" s="18">
        <v>1</v>
      </c>
      <c r="F190" s="18">
        <v>1</v>
      </c>
      <c r="G190" s="18">
        <v>1</v>
      </c>
      <c r="H190" s="18">
        <f>SUM(I190:K190)</f>
        <v>217702</v>
      </c>
      <c r="I190" s="18">
        <v>217702</v>
      </c>
      <c r="J190" s="18"/>
      <c r="K190" s="18"/>
      <c r="L190" s="26">
        <f>SUM(M190:O190)</f>
        <v>217702</v>
      </c>
      <c r="M190" s="26">
        <f>E190*I190</f>
        <v>217702</v>
      </c>
      <c r="N190" s="26">
        <f>E190*J190</f>
        <v>0</v>
      </c>
      <c r="O190" s="26">
        <f>K190*E190</f>
        <v>0</v>
      </c>
      <c r="P190" s="14">
        <f t="shared" si="98"/>
        <v>217702</v>
      </c>
      <c r="Q190" s="14">
        <f t="shared" si="99"/>
        <v>217702</v>
      </c>
    </row>
    <row r="191" spans="1:17" ht="15" x14ac:dyDescent="0.25">
      <c r="A191" s="157"/>
      <c r="B191" s="53"/>
      <c r="C191" s="21" t="s">
        <v>106</v>
      </c>
      <c r="D191" s="16"/>
      <c r="E191" s="25" t="s">
        <v>145</v>
      </c>
      <c r="F191" s="25" t="s">
        <v>146</v>
      </c>
      <c r="G191" s="25" t="s">
        <v>147</v>
      </c>
      <c r="H191" s="25" t="s">
        <v>104</v>
      </c>
      <c r="I191" s="25" t="s">
        <v>104</v>
      </c>
      <c r="J191" s="25" t="s">
        <v>104</v>
      </c>
      <c r="K191" s="25" t="s">
        <v>104</v>
      </c>
      <c r="L191" s="25">
        <f>SUM(M191:O191)</f>
        <v>7828930.0499999989</v>
      </c>
      <c r="M191" s="25">
        <f t="shared" ref="M191:O191" si="101">SUM(M187:M190)</f>
        <v>5593952.7699999996</v>
      </c>
      <c r="N191" s="25">
        <f t="shared" si="101"/>
        <v>435887.32999999996</v>
      </c>
      <c r="O191" s="25">
        <f t="shared" si="101"/>
        <v>1799089.9499999997</v>
      </c>
      <c r="P191" s="25">
        <f>SUM(P187:P190)</f>
        <v>9786678.0199999996</v>
      </c>
      <c r="Q191" s="25">
        <f>SUM(Q187:Q190)</f>
        <v>11725364.539999999</v>
      </c>
    </row>
    <row r="192" spans="1:17" ht="227.25" customHeight="1" x14ac:dyDescent="0.25">
      <c r="A192" s="157"/>
      <c r="B192" s="53" t="s">
        <v>108</v>
      </c>
      <c r="C192" s="9" t="s">
        <v>128</v>
      </c>
      <c r="D192" s="10" t="s">
        <v>121</v>
      </c>
      <c r="E192" s="33" t="s">
        <v>148</v>
      </c>
      <c r="F192" s="33" t="s">
        <v>148</v>
      </c>
      <c r="G192" s="33" t="s">
        <v>149</v>
      </c>
      <c r="H192" s="33" t="s">
        <v>150</v>
      </c>
      <c r="I192" s="33" t="s">
        <v>151</v>
      </c>
      <c r="J192" s="33" t="s">
        <v>126</v>
      </c>
      <c r="K192" s="33" t="s">
        <v>127</v>
      </c>
      <c r="L192" s="26">
        <f>SUM(M192:O192)</f>
        <v>956431.65700000001</v>
      </c>
      <c r="M192" s="26">
        <f>808407.62+1367.67*7</f>
        <v>817981.30999999994</v>
      </c>
      <c r="N192" s="26">
        <f>7*3857.471</f>
        <v>27002.296999999999</v>
      </c>
      <c r="O192" s="26">
        <f>7*15921.15</f>
        <v>111448.05</v>
      </c>
      <c r="P192" s="36">
        <f>808407.62+7*21146.23</f>
        <v>956431.23</v>
      </c>
      <c r="Q192" s="14">
        <f>2*808407.62+17*21146.23</f>
        <v>1976301.15</v>
      </c>
    </row>
    <row r="193" spans="1:17" ht="15" x14ac:dyDescent="0.25">
      <c r="A193" s="157"/>
      <c r="B193" s="53"/>
      <c r="C193" s="21" t="s">
        <v>106</v>
      </c>
      <c r="D193" s="16"/>
      <c r="E193" s="25" t="s">
        <v>148</v>
      </c>
      <c r="F193" s="25" t="s">
        <v>148</v>
      </c>
      <c r="G193" s="25" t="s">
        <v>149</v>
      </c>
      <c r="H193" s="25" t="s">
        <v>104</v>
      </c>
      <c r="I193" s="25" t="s">
        <v>104</v>
      </c>
      <c r="J193" s="25" t="s">
        <v>104</v>
      </c>
      <c r="K193" s="25" t="s">
        <v>104</v>
      </c>
      <c r="L193" s="25">
        <f>SUM(L192:L192)</f>
        <v>956431.65700000001</v>
      </c>
      <c r="M193" s="25">
        <f>SUM(M192:M192)</f>
        <v>817981.30999999994</v>
      </c>
      <c r="N193" s="25">
        <f>SUM(N192:N192)</f>
        <v>27002.296999999999</v>
      </c>
      <c r="O193" s="25">
        <f>SUM(O192:O192)</f>
        <v>111448.05</v>
      </c>
      <c r="P193" s="14">
        <f>SUM(P192)</f>
        <v>956431.23</v>
      </c>
      <c r="Q193" s="14">
        <f>SUM(Q192)</f>
        <v>1976301.15</v>
      </c>
    </row>
    <row r="194" spans="1:17" ht="168.75" customHeight="1" x14ac:dyDescent="0.25">
      <c r="A194" s="157"/>
      <c r="B194" s="155" t="s">
        <v>109</v>
      </c>
      <c r="C194" s="9" t="s">
        <v>110</v>
      </c>
      <c r="D194" s="16" t="s">
        <v>101</v>
      </c>
      <c r="E194" s="25">
        <v>153</v>
      </c>
      <c r="F194" s="25">
        <v>156</v>
      </c>
      <c r="G194" s="25">
        <v>162</v>
      </c>
      <c r="H194" s="18">
        <f>I194</f>
        <v>3461.18</v>
      </c>
      <c r="I194" s="18">
        <v>3461.18</v>
      </c>
      <c r="J194" s="18" t="s">
        <v>104</v>
      </c>
      <c r="K194" s="18" t="s">
        <v>104</v>
      </c>
      <c r="L194" s="26">
        <f>SUM(M194:O194)</f>
        <v>529560.53999999992</v>
      </c>
      <c r="M194" s="26">
        <f>I194*E194</f>
        <v>529560.53999999992</v>
      </c>
      <c r="N194" s="26" t="s">
        <v>104</v>
      </c>
      <c r="O194" s="26" t="s">
        <v>104</v>
      </c>
      <c r="P194" s="14">
        <f t="shared" si="98"/>
        <v>539944.07999999996</v>
      </c>
      <c r="Q194" s="14">
        <f t="shared" si="99"/>
        <v>560711.15999999992</v>
      </c>
    </row>
    <row r="195" spans="1:17" ht="164.25" customHeight="1" x14ac:dyDescent="0.25">
      <c r="A195" s="157"/>
      <c r="B195" s="155"/>
      <c r="C195" s="9" t="s">
        <v>111</v>
      </c>
      <c r="D195" s="16" t="s">
        <v>101</v>
      </c>
      <c r="E195" s="25">
        <v>147</v>
      </c>
      <c r="F195" s="25">
        <v>110</v>
      </c>
      <c r="G195" s="25">
        <v>115</v>
      </c>
      <c r="H195" s="18">
        <v>3829.24</v>
      </c>
      <c r="I195" s="18">
        <v>4783.41</v>
      </c>
      <c r="J195" s="18" t="s">
        <v>104</v>
      </c>
      <c r="K195" s="18" t="s">
        <v>104</v>
      </c>
      <c r="L195" s="26">
        <f>SUM(M195:O195)</f>
        <v>703161.27</v>
      </c>
      <c r="M195" s="26">
        <f>I195*E195</f>
        <v>703161.27</v>
      </c>
      <c r="N195" s="26" t="s">
        <v>104</v>
      </c>
      <c r="O195" s="37" t="s">
        <v>104</v>
      </c>
      <c r="P195" s="14">
        <f t="shared" si="98"/>
        <v>421216.39999999997</v>
      </c>
      <c r="Q195" s="14">
        <f t="shared" si="99"/>
        <v>440362.6</v>
      </c>
    </row>
    <row r="196" spans="1:17" ht="15" x14ac:dyDescent="0.25">
      <c r="A196" s="157"/>
      <c r="B196" s="29"/>
      <c r="C196" s="21" t="s">
        <v>106</v>
      </c>
      <c r="D196" s="29"/>
      <c r="E196" s="25">
        <f>SUM(E194:E195)</f>
        <v>300</v>
      </c>
      <c r="F196" s="25">
        <f t="shared" ref="F196:G196" si="102">SUM(F194:F195)</f>
        <v>266</v>
      </c>
      <c r="G196" s="25">
        <f t="shared" si="102"/>
        <v>277</v>
      </c>
      <c r="H196" s="25" t="s">
        <v>104</v>
      </c>
      <c r="I196" s="25" t="s">
        <v>104</v>
      </c>
      <c r="J196" s="25" t="s">
        <v>104</v>
      </c>
      <c r="K196" s="25">
        <f t="shared" ref="K196:Q196" si="103">SUM(K194:K195)</f>
        <v>0</v>
      </c>
      <c r="L196" s="25">
        <f>SUM(L194:L195)</f>
        <v>1232721.81</v>
      </c>
      <c r="M196" s="25">
        <f>SUM(M194:M195)</f>
        <v>1232721.81</v>
      </c>
      <c r="N196" s="25">
        <f t="shared" si="103"/>
        <v>0</v>
      </c>
      <c r="O196" s="25">
        <f t="shared" si="103"/>
        <v>0</v>
      </c>
      <c r="P196" s="25">
        <f t="shared" si="103"/>
        <v>961160.48</v>
      </c>
      <c r="Q196" s="25">
        <f t="shared" si="103"/>
        <v>1001073.7599999999</v>
      </c>
    </row>
    <row r="197" spans="1:17" ht="14.25" x14ac:dyDescent="0.2">
      <c r="A197" s="157"/>
      <c r="B197" s="30" t="s">
        <v>112</v>
      </c>
      <c r="C197" s="30"/>
      <c r="D197" s="29"/>
      <c r="E197" s="29"/>
      <c r="F197" s="29"/>
      <c r="G197" s="29"/>
      <c r="H197" s="29"/>
      <c r="I197" s="29"/>
      <c r="J197" s="29"/>
      <c r="K197" s="29"/>
      <c r="L197" s="29">
        <f>L186+L191+L193+L196</f>
        <v>15938128.856999999</v>
      </c>
      <c r="M197" s="29">
        <f t="shared" ref="M197:Q197" si="104">M186+M191+M193+M196</f>
        <v>11448395.310000001</v>
      </c>
      <c r="N197" s="29">
        <f t="shared" si="104"/>
        <v>875632.49699999997</v>
      </c>
      <c r="O197" s="29">
        <f t="shared" si="104"/>
        <v>3614101.05</v>
      </c>
      <c r="P197" s="29">
        <f t="shared" si="104"/>
        <v>17665776.350000001</v>
      </c>
      <c r="Q197" s="29">
        <f t="shared" si="104"/>
        <v>20728437.989999998</v>
      </c>
    </row>
    <row r="198" spans="1:17" ht="30" customHeight="1" x14ac:dyDescent="0.25">
      <c r="A198" s="55" t="s">
        <v>156</v>
      </c>
    </row>
    <row r="199" spans="1:17" ht="30" x14ac:dyDescent="0.2">
      <c r="A199" s="43" t="s">
        <v>3</v>
      </c>
      <c r="B199" s="43" t="s">
        <v>81</v>
      </c>
      <c r="C199" s="43" t="s">
        <v>4</v>
      </c>
      <c r="D199" s="165" t="s">
        <v>5</v>
      </c>
      <c r="E199" s="165"/>
      <c r="F199" s="165"/>
      <c r="G199" s="166" t="s">
        <v>6</v>
      </c>
      <c r="H199" s="166" t="s">
        <v>7</v>
      </c>
      <c r="I199" s="166"/>
      <c r="J199" s="166"/>
    </row>
    <row r="200" spans="1:17" ht="15" x14ac:dyDescent="0.2">
      <c r="A200" s="45"/>
      <c r="B200" s="45"/>
      <c r="C200" s="45"/>
      <c r="D200" s="50" t="s">
        <v>8</v>
      </c>
      <c r="E200" s="50" t="s">
        <v>9</v>
      </c>
      <c r="F200" s="50" t="s">
        <v>10</v>
      </c>
      <c r="G200" s="166"/>
      <c r="H200" s="50">
        <v>2016</v>
      </c>
      <c r="I200" s="50" t="s">
        <v>9</v>
      </c>
      <c r="J200" s="50" t="s">
        <v>10</v>
      </c>
    </row>
    <row r="201" spans="1:17" ht="75" x14ac:dyDescent="0.25">
      <c r="A201" s="42" t="s">
        <v>13</v>
      </c>
      <c r="B201" s="42" t="s">
        <v>14</v>
      </c>
      <c r="C201" s="43" t="s">
        <v>15</v>
      </c>
      <c r="D201" s="42" t="s">
        <v>16</v>
      </c>
      <c r="E201" s="42" t="s">
        <v>16</v>
      </c>
      <c r="F201" s="42" t="s">
        <v>16</v>
      </c>
      <c r="G201" s="43" t="s">
        <v>17</v>
      </c>
      <c r="H201" s="43" t="s">
        <v>17</v>
      </c>
      <c r="I201" s="43" t="s">
        <v>17</v>
      </c>
      <c r="J201" s="43" t="s">
        <v>17</v>
      </c>
    </row>
    <row r="202" spans="1:17" ht="15" x14ac:dyDescent="0.25">
      <c r="A202" s="58" t="s">
        <v>157</v>
      </c>
      <c r="B202" s="45"/>
      <c r="C202" s="45"/>
      <c r="D202" s="45">
        <f>SUM(D203:D204)</f>
        <v>1550</v>
      </c>
      <c r="E202" s="45">
        <f>SUM(E203:E204)</f>
        <v>1550</v>
      </c>
      <c r="F202" s="45">
        <f>SUM(F203:F204)</f>
        <v>1550</v>
      </c>
      <c r="G202" s="45"/>
      <c r="H202" s="56">
        <f>H203+H204</f>
        <v>22307310</v>
      </c>
      <c r="I202" s="56">
        <f>I203+I204</f>
        <v>22307310</v>
      </c>
      <c r="J202" s="56">
        <f>J203+J204</f>
        <v>22307310</v>
      </c>
    </row>
    <row r="203" spans="1:17" ht="86.25" customHeight="1" x14ac:dyDescent="0.25">
      <c r="A203" s="163"/>
      <c r="B203" s="43" t="s">
        <v>158</v>
      </c>
      <c r="C203" s="45" t="s">
        <v>20</v>
      </c>
      <c r="D203" s="48">
        <v>1300</v>
      </c>
      <c r="E203" s="48">
        <v>1300</v>
      </c>
      <c r="F203" s="48">
        <v>1300</v>
      </c>
      <c r="G203" s="46">
        <v>16584.45</v>
      </c>
      <c r="H203" s="46">
        <f>G203*D203</f>
        <v>21559785</v>
      </c>
      <c r="I203" s="46">
        <f>H203</f>
        <v>21559785</v>
      </c>
      <c r="J203" s="46">
        <f>I203</f>
        <v>21559785</v>
      </c>
    </row>
    <row r="204" spans="1:17" ht="63" customHeight="1" x14ac:dyDescent="0.25">
      <c r="A204" s="164"/>
      <c r="B204" s="57" t="s">
        <v>159</v>
      </c>
      <c r="C204" s="45" t="s">
        <v>20</v>
      </c>
      <c r="D204" s="44">
        <v>250</v>
      </c>
      <c r="E204" s="44">
        <v>250</v>
      </c>
      <c r="F204" s="44">
        <v>250</v>
      </c>
      <c r="G204" s="46">
        <v>2990.1</v>
      </c>
      <c r="H204" s="46">
        <f>G204*D204</f>
        <v>747525</v>
      </c>
      <c r="I204" s="46">
        <f t="shared" ref="I204:J205" si="105">H204</f>
        <v>747525</v>
      </c>
      <c r="J204" s="46">
        <f t="shared" si="105"/>
        <v>747525</v>
      </c>
    </row>
    <row r="205" spans="1:17" ht="78.75" customHeight="1" x14ac:dyDescent="0.25">
      <c r="A205" s="50" t="s">
        <v>160</v>
      </c>
      <c r="B205" s="43" t="s">
        <v>158</v>
      </c>
      <c r="C205" s="45" t="s">
        <v>20</v>
      </c>
      <c r="D205" s="48">
        <v>411</v>
      </c>
      <c r="E205" s="48">
        <v>411</v>
      </c>
      <c r="F205" s="48">
        <v>411</v>
      </c>
      <c r="G205" s="46">
        <v>12267.68</v>
      </c>
      <c r="H205" s="46">
        <f>G205*D205</f>
        <v>5042016.4800000004</v>
      </c>
      <c r="I205" s="46">
        <f t="shared" si="105"/>
        <v>5042016.4800000004</v>
      </c>
      <c r="J205" s="46">
        <f t="shared" si="105"/>
        <v>5042016.4800000004</v>
      </c>
    </row>
    <row r="208" spans="1:17" x14ac:dyDescent="0.2">
      <c r="A208" s="54" t="s">
        <v>161</v>
      </c>
    </row>
  </sheetData>
  <sheetProtection password="CF7A" sheet="1" objects="1" scenarios="1"/>
  <mergeCells count="45">
    <mergeCell ref="A203:A204"/>
    <mergeCell ref="D199:F199"/>
    <mergeCell ref="G199:G200"/>
    <mergeCell ref="H199:J199"/>
    <mergeCell ref="E6:G6"/>
    <mergeCell ref="H6:K6"/>
    <mergeCell ref="B132:B135"/>
    <mergeCell ref="B136:B138"/>
    <mergeCell ref="B140:B142"/>
    <mergeCell ref="B144:B145"/>
    <mergeCell ref="A116:A131"/>
    <mergeCell ref="B116:B119"/>
    <mergeCell ref="B120:B122"/>
    <mergeCell ref="B124:B126"/>
    <mergeCell ref="B128:B129"/>
    <mergeCell ref="A183:A197"/>
    <mergeCell ref="L6:Q6"/>
    <mergeCell ref="L7:O7"/>
    <mergeCell ref="A3:Q3"/>
    <mergeCell ref="L97:Q97"/>
    <mergeCell ref="A100:A115"/>
    <mergeCell ref="B100:B103"/>
    <mergeCell ref="B104:B106"/>
    <mergeCell ref="B108:B110"/>
    <mergeCell ref="B112:B113"/>
    <mergeCell ref="A97:A98"/>
    <mergeCell ref="B97:B98"/>
    <mergeCell ref="D97:D98"/>
    <mergeCell ref="E97:G97"/>
    <mergeCell ref="H97:K97"/>
    <mergeCell ref="B183:B186"/>
    <mergeCell ref="B187:B189"/>
    <mergeCell ref="B194:B195"/>
    <mergeCell ref="A96:C96"/>
    <mergeCell ref="A164:A182"/>
    <mergeCell ref="B164:B166"/>
    <mergeCell ref="B169:B172"/>
    <mergeCell ref="B175:B177"/>
    <mergeCell ref="B179:B180"/>
    <mergeCell ref="A148:A163"/>
    <mergeCell ref="B148:B151"/>
    <mergeCell ref="B152:B154"/>
    <mergeCell ref="B156:B158"/>
    <mergeCell ref="B160:B161"/>
    <mergeCell ref="A132:A147"/>
  </mergeCells>
  <pageMargins left="0.51181102362204722" right="0.11811023622047245" top="0.15748031496062992" bottom="0.15748031496062992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4"/>
  <sheetViews>
    <sheetView tabSelected="1" topLeftCell="B1" zoomScale="80" zoomScaleNormal="80" workbookViewId="0">
      <selection activeCell="S2" sqref="S2"/>
    </sheetView>
  </sheetViews>
  <sheetFormatPr defaultColWidth="9.140625" defaultRowHeight="15" x14ac:dyDescent="0.25"/>
  <cols>
    <col min="1" max="1" width="19.42578125" style="80" customWidth="1"/>
    <col min="2" max="2" width="19.85546875" style="80" customWidth="1"/>
    <col min="3" max="3" width="23.7109375" style="80" customWidth="1"/>
    <col min="4" max="4" width="8.7109375" style="80" customWidth="1"/>
    <col min="5" max="5" width="18.28515625" style="80" customWidth="1"/>
    <col min="6" max="6" width="13.28515625" style="80" hidden="1" customWidth="1"/>
    <col min="7" max="7" width="14" style="80" hidden="1" customWidth="1"/>
    <col min="8" max="9" width="12.7109375" style="80" customWidth="1"/>
    <col min="10" max="10" width="17.28515625" style="80" customWidth="1"/>
    <col min="11" max="11" width="16" style="80" customWidth="1"/>
    <col min="12" max="12" width="13.85546875" style="80" customWidth="1"/>
    <col min="13" max="13" width="13.5703125" style="80" bestFit="1" customWidth="1"/>
    <col min="14" max="14" width="16.7109375" style="80" customWidth="1"/>
    <col min="15" max="15" width="15.42578125" style="80" customWidth="1"/>
    <col min="16" max="16" width="14.7109375" style="80" customWidth="1"/>
    <col min="17" max="17" width="14.28515625" style="80" customWidth="1"/>
    <col min="18" max="18" width="14.140625" style="80" customWidth="1"/>
    <col min="19" max="19" width="14.85546875" style="80" bestFit="1" customWidth="1"/>
    <col min="20" max="20" width="15.28515625" style="80" customWidth="1"/>
    <col min="21" max="21" width="13.5703125" style="80" bestFit="1" customWidth="1"/>
    <col min="22" max="22" width="9.42578125" style="80" bestFit="1" customWidth="1"/>
    <col min="23" max="16384" width="9.140625" style="80"/>
  </cols>
  <sheetData>
    <row r="1" spans="1:21" x14ac:dyDescent="0.25">
      <c r="Q1" s="120" t="s">
        <v>178</v>
      </c>
    </row>
    <row r="2" spans="1:21" x14ac:dyDescent="0.25">
      <c r="Q2" s="120" t="s">
        <v>209</v>
      </c>
      <c r="S2" s="80">
        <v>244</v>
      </c>
    </row>
    <row r="3" spans="1:21" x14ac:dyDescent="0.25">
      <c r="A3" s="177" t="s">
        <v>195</v>
      </c>
      <c r="B3" s="177"/>
      <c r="C3" s="178"/>
      <c r="D3" s="177"/>
      <c r="E3" s="177"/>
      <c r="F3" s="178"/>
      <c r="G3" s="178"/>
      <c r="H3" s="177"/>
      <c r="I3" s="177"/>
      <c r="J3" s="177"/>
      <c r="K3" s="178"/>
      <c r="L3" s="177"/>
      <c r="M3" s="177"/>
      <c r="N3" s="177"/>
      <c r="O3" s="177"/>
      <c r="P3" s="178"/>
      <c r="Q3" s="177"/>
      <c r="R3" s="177"/>
      <c r="S3" s="177"/>
    </row>
    <row r="4" spans="1:21" ht="36.75" customHeight="1" x14ac:dyDescent="0.25">
      <c r="A4" s="81" t="s">
        <v>155</v>
      </c>
    </row>
    <row r="6" spans="1:21" ht="49.15" customHeight="1" x14ac:dyDescent="0.25">
      <c r="A6" s="148" t="s">
        <v>3</v>
      </c>
      <c r="B6" s="111" t="s">
        <v>81</v>
      </c>
      <c r="C6" s="111" t="s">
        <v>152</v>
      </c>
      <c r="D6" s="111" t="s">
        <v>4</v>
      </c>
      <c r="E6" s="150" t="s">
        <v>5</v>
      </c>
      <c r="F6" s="151"/>
      <c r="G6" s="151"/>
      <c r="H6" s="151"/>
      <c r="I6" s="152"/>
      <c r="J6" s="179" t="s">
        <v>6</v>
      </c>
      <c r="K6" s="180"/>
      <c r="L6" s="180"/>
      <c r="M6" s="181"/>
      <c r="N6" s="169" t="s">
        <v>7</v>
      </c>
      <c r="O6" s="169"/>
      <c r="P6" s="169"/>
      <c r="Q6" s="169"/>
      <c r="R6" s="169"/>
      <c r="S6" s="169"/>
    </row>
    <row r="7" spans="1:21" x14ac:dyDescent="0.25">
      <c r="A7" s="111"/>
      <c r="B7" s="111"/>
      <c r="C7" s="111"/>
      <c r="D7" s="111"/>
      <c r="E7" s="184" t="s">
        <v>207</v>
      </c>
      <c r="F7" s="185"/>
      <c r="G7" s="186"/>
      <c r="H7" s="110"/>
      <c r="I7" s="110"/>
      <c r="J7" s="111"/>
      <c r="K7" s="148"/>
      <c r="L7" s="111"/>
      <c r="M7" s="111"/>
      <c r="N7" s="179"/>
      <c r="O7" s="189"/>
      <c r="P7" s="189"/>
      <c r="Q7" s="190"/>
      <c r="R7" s="111"/>
      <c r="S7" s="111"/>
    </row>
    <row r="8" spans="1:21" ht="60" x14ac:dyDescent="0.25">
      <c r="A8" s="82"/>
      <c r="B8" s="82"/>
      <c r="C8" s="82"/>
      <c r="D8" s="82"/>
      <c r="E8" s="143" t="s">
        <v>10</v>
      </c>
      <c r="F8" s="145" t="s">
        <v>196</v>
      </c>
      <c r="G8" s="145" t="s">
        <v>197</v>
      </c>
      <c r="H8" s="144" t="s">
        <v>179</v>
      </c>
      <c r="I8" s="144" t="s">
        <v>198</v>
      </c>
      <c r="J8" s="83" t="s">
        <v>79</v>
      </c>
      <c r="K8" s="148" t="s">
        <v>80</v>
      </c>
      <c r="L8" s="83" t="s">
        <v>11</v>
      </c>
      <c r="M8" s="114" t="s">
        <v>12</v>
      </c>
      <c r="N8" s="182" t="s">
        <v>10</v>
      </c>
      <c r="O8" s="182"/>
      <c r="P8" s="182"/>
      <c r="Q8" s="182"/>
      <c r="R8" s="144" t="s">
        <v>179</v>
      </c>
      <c r="S8" s="144" t="s">
        <v>198</v>
      </c>
    </row>
    <row r="9" spans="1:21" ht="63" customHeight="1" x14ac:dyDescent="0.25">
      <c r="A9" s="83" t="s">
        <v>13</v>
      </c>
      <c r="B9" s="83" t="s">
        <v>14</v>
      </c>
      <c r="C9" s="83"/>
      <c r="D9" s="111" t="s">
        <v>15</v>
      </c>
      <c r="E9" s="83" t="s">
        <v>16</v>
      </c>
      <c r="F9" s="83" t="s">
        <v>16</v>
      </c>
      <c r="G9" s="83" t="s">
        <v>16</v>
      </c>
      <c r="H9" s="83" t="s">
        <v>16</v>
      </c>
      <c r="I9" s="83" t="s">
        <v>16</v>
      </c>
      <c r="J9" s="111" t="s">
        <v>17</v>
      </c>
      <c r="K9" s="148" t="s">
        <v>17</v>
      </c>
      <c r="L9" s="111" t="s">
        <v>17</v>
      </c>
      <c r="M9" s="111" t="s">
        <v>17</v>
      </c>
      <c r="N9" s="111" t="s">
        <v>85</v>
      </c>
      <c r="O9" s="148" t="s">
        <v>83</v>
      </c>
      <c r="P9" s="123" t="s">
        <v>84</v>
      </c>
      <c r="Q9" s="118" t="s">
        <v>12</v>
      </c>
      <c r="R9" s="111" t="s">
        <v>17</v>
      </c>
      <c r="S9" s="111" t="s">
        <v>17</v>
      </c>
    </row>
    <row r="10" spans="1:21" x14ac:dyDescent="0.25">
      <c r="A10" s="115" t="s">
        <v>18</v>
      </c>
      <c r="B10" s="82"/>
      <c r="C10" s="82"/>
      <c r="D10" s="82"/>
      <c r="E10" s="72"/>
      <c r="F10" s="72"/>
      <c r="G10" s="72"/>
      <c r="H10" s="72"/>
      <c r="I10" s="72"/>
      <c r="J10" s="75"/>
      <c r="K10" s="75"/>
      <c r="L10" s="75"/>
      <c r="M10" s="75"/>
      <c r="N10" s="78">
        <f>N11+N16</f>
        <v>5704483.3799999999</v>
      </c>
      <c r="O10" s="78">
        <f>O11+O16</f>
        <v>1376156.34</v>
      </c>
      <c r="P10" s="78">
        <f>P11+P16</f>
        <v>6489524.3399999999</v>
      </c>
      <c r="Q10" s="78">
        <f t="shared" ref="Q10:S10" si="0">Q11+Q16</f>
        <v>13570164.059999999</v>
      </c>
      <c r="R10" s="78">
        <f>R11+R16</f>
        <v>13570164.059999999</v>
      </c>
      <c r="S10" s="78">
        <f t="shared" si="0"/>
        <v>13570164.059999999</v>
      </c>
    </row>
    <row r="11" spans="1:21" ht="85.5" x14ac:dyDescent="0.25">
      <c r="A11" s="84"/>
      <c r="B11" s="84" t="s">
        <v>76</v>
      </c>
      <c r="C11" s="84"/>
      <c r="D11" s="82"/>
      <c r="E11" s="72"/>
      <c r="F11" s="72"/>
      <c r="G11" s="72"/>
      <c r="H11" s="72"/>
      <c r="I11" s="72"/>
      <c r="J11" s="75"/>
      <c r="K11" s="75"/>
      <c r="L11" s="75"/>
      <c r="M11" s="75"/>
      <c r="N11" s="75">
        <f>N12+N13+N15+N14</f>
        <v>5704483.3799999999</v>
      </c>
      <c r="O11" s="75">
        <f>O12+O13+O15+O14</f>
        <v>1376156.34</v>
      </c>
      <c r="P11" s="75">
        <f>P12+P13+P15+P14</f>
        <v>3380349.96</v>
      </c>
      <c r="Q11" s="75">
        <f t="shared" ref="Q11:S11" si="1">Q12+Q13+Q15+Q14</f>
        <v>10460989.68</v>
      </c>
      <c r="R11" s="75">
        <f>R12+R13+R15+R14</f>
        <v>10460989.68</v>
      </c>
      <c r="S11" s="75">
        <f t="shared" si="1"/>
        <v>10460989.68</v>
      </c>
      <c r="U11" s="85"/>
    </row>
    <row r="12" spans="1:21" ht="105" x14ac:dyDescent="0.25">
      <c r="A12" s="83"/>
      <c r="B12" s="97" t="s">
        <v>19</v>
      </c>
      <c r="C12" s="93" t="s">
        <v>0</v>
      </c>
      <c r="D12" s="86" t="s">
        <v>20</v>
      </c>
      <c r="E12" s="87">
        <v>29</v>
      </c>
      <c r="F12" s="87">
        <v>29</v>
      </c>
      <c r="G12" s="87">
        <f>(E12*8+F12*4)/12</f>
        <v>29</v>
      </c>
      <c r="H12" s="87">
        <v>29</v>
      </c>
      <c r="I12" s="87">
        <v>29</v>
      </c>
      <c r="J12" s="75">
        <v>47587</v>
      </c>
      <c r="K12" s="75">
        <v>11762.02</v>
      </c>
      <c r="L12" s="75">
        <v>28891.88</v>
      </c>
      <c r="M12" s="75">
        <f>J12+K12+L12</f>
        <v>88240.900000000009</v>
      </c>
      <c r="N12" s="75">
        <f>G12*J12</f>
        <v>1380023</v>
      </c>
      <c r="O12" s="75">
        <f>G12*K12</f>
        <v>341098.58</v>
      </c>
      <c r="P12" s="75">
        <f>G12*L12</f>
        <v>837864.52</v>
      </c>
      <c r="Q12" s="75">
        <f>SUM(N12:P12)</f>
        <v>2558986.1</v>
      </c>
      <c r="R12" s="75">
        <f>H12*M12</f>
        <v>2558986.1</v>
      </c>
      <c r="S12" s="75">
        <f>I12*M12</f>
        <v>2558986.1</v>
      </c>
      <c r="U12" s="85"/>
    </row>
    <row r="13" spans="1:21" x14ac:dyDescent="0.25">
      <c r="A13" s="88"/>
      <c r="B13" s="97" t="s">
        <v>24</v>
      </c>
      <c r="C13" s="135"/>
      <c r="D13" s="114" t="s">
        <v>20</v>
      </c>
      <c r="E13" s="87">
        <v>50</v>
      </c>
      <c r="F13" s="87">
        <v>50</v>
      </c>
      <c r="G13" s="87">
        <f>(E13*8+F13*4)/12</f>
        <v>50</v>
      </c>
      <c r="H13" s="87">
        <v>50</v>
      </c>
      <c r="I13" s="87">
        <v>50</v>
      </c>
      <c r="J13" s="75">
        <v>37686.36</v>
      </c>
      <c r="K13" s="75">
        <v>11762.02</v>
      </c>
      <c r="L13" s="75">
        <v>28891.88</v>
      </c>
      <c r="M13" s="75">
        <f>J13+K13+L13</f>
        <v>78340.260000000009</v>
      </c>
      <c r="N13" s="75">
        <f>G13*J13</f>
        <v>1884318</v>
      </c>
      <c r="O13" s="75">
        <f>G13*K13</f>
        <v>588101</v>
      </c>
      <c r="P13" s="75">
        <f>G13*L13</f>
        <v>1444594</v>
      </c>
      <c r="Q13" s="75">
        <f>SUM(N13:P13)</f>
        <v>3917013</v>
      </c>
      <c r="R13" s="75">
        <f>H13*M13</f>
        <v>3917013.0000000005</v>
      </c>
      <c r="S13" s="75">
        <f>I13*M13</f>
        <v>3917013.0000000005</v>
      </c>
      <c r="U13" s="85"/>
    </row>
    <row r="14" spans="1:21" ht="105" x14ac:dyDescent="0.25">
      <c r="A14" s="88"/>
      <c r="B14" s="97" t="s">
        <v>24</v>
      </c>
      <c r="C14" s="93" t="s">
        <v>190</v>
      </c>
      <c r="D14" s="134" t="s">
        <v>20</v>
      </c>
      <c r="E14" s="87">
        <v>18</v>
      </c>
      <c r="F14" s="87">
        <v>18</v>
      </c>
      <c r="G14" s="87">
        <f>(E14*8+F14*4)/12</f>
        <v>18</v>
      </c>
      <c r="H14" s="87">
        <v>18</v>
      </c>
      <c r="I14" s="87">
        <v>18</v>
      </c>
      <c r="J14" s="75">
        <v>74213.31</v>
      </c>
      <c r="K14" s="75">
        <v>11762.02</v>
      </c>
      <c r="L14" s="75">
        <v>28891.88</v>
      </c>
      <c r="M14" s="75">
        <f>J14+K14+L14</f>
        <v>114867.21</v>
      </c>
      <c r="N14" s="75">
        <f>G14*J14</f>
        <v>1335839.58</v>
      </c>
      <c r="O14" s="75">
        <f>G14*K14</f>
        <v>211716.36000000002</v>
      </c>
      <c r="P14" s="75">
        <f>G14*L14</f>
        <v>520053.84</v>
      </c>
      <c r="Q14" s="75">
        <f>SUM(N14:P14)</f>
        <v>2067609.7800000003</v>
      </c>
      <c r="R14" s="75">
        <f>H14*M14</f>
        <v>2067609.78</v>
      </c>
      <c r="S14" s="75">
        <f>I14*M14</f>
        <v>2067609.78</v>
      </c>
      <c r="U14" s="85"/>
    </row>
    <row r="15" spans="1:21" ht="120" x14ac:dyDescent="0.25">
      <c r="A15" s="88"/>
      <c r="B15" s="97" t="s">
        <v>24</v>
      </c>
      <c r="C15" s="93" t="s">
        <v>162</v>
      </c>
      <c r="D15" s="114" t="s">
        <v>20</v>
      </c>
      <c r="E15" s="87">
        <v>20</v>
      </c>
      <c r="F15" s="87">
        <v>20</v>
      </c>
      <c r="G15" s="87">
        <f>(E15*8+F15*4)/12</f>
        <v>20</v>
      </c>
      <c r="H15" s="87">
        <v>20</v>
      </c>
      <c r="I15" s="87">
        <v>20</v>
      </c>
      <c r="J15" s="75">
        <f>55215.14</f>
        <v>55215.14</v>
      </c>
      <c r="K15" s="75">
        <v>11762.02</v>
      </c>
      <c r="L15" s="75">
        <v>28891.88</v>
      </c>
      <c r="M15" s="75">
        <f>J15+K15+L15</f>
        <v>95869.040000000008</v>
      </c>
      <c r="N15" s="75">
        <f>G15*J15</f>
        <v>1104302.8</v>
      </c>
      <c r="O15" s="75">
        <f>G15*K15</f>
        <v>235240.40000000002</v>
      </c>
      <c r="P15" s="75">
        <f>G15*L15</f>
        <v>577837.6</v>
      </c>
      <c r="Q15" s="75">
        <f t="shared" ref="Q15:Q86" si="2">SUM(N15:P15)</f>
        <v>1917380.8000000003</v>
      </c>
      <c r="R15" s="75">
        <f t="shared" ref="R15:R86" si="3">H15*M15</f>
        <v>1917380.8000000003</v>
      </c>
      <c r="S15" s="75">
        <f t="shared" ref="S15:S86" si="4">I15*M15</f>
        <v>1917380.8000000003</v>
      </c>
      <c r="U15" s="85"/>
    </row>
    <row r="16" spans="1:21" x14ac:dyDescent="0.25">
      <c r="A16" s="114"/>
      <c r="B16" s="114" t="s">
        <v>28</v>
      </c>
      <c r="C16" s="135"/>
      <c r="D16" s="82"/>
      <c r="E16" s="87">
        <f>E15+E14+E13+E12</f>
        <v>117</v>
      </c>
      <c r="F16" s="87">
        <f>F15+F14+F13+F12</f>
        <v>117</v>
      </c>
      <c r="G16" s="87">
        <f>(E16*8+F16*4)/12</f>
        <v>117</v>
      </c>
      <c r="H16" s="87">
        <f>H15+H14+H13+H12</f>
        <v>117</v>
      </c>
      <c r="I16" s="87">
        <f>I15+I14+I13+I12</f>
        <v>117</v>
      </c>
      <c r="J16" s="75">
        <v>0</v>
      </c>
      <c r="K16" s="75"/>
      <c r="L16" s="75">
        <v>26574.14</v>
      </c>
      <c r="M16" s="75">
        <f>J16+K16+L16</f>
        <v>26574.14</v>
      </c>
      <c r="N16" s="75">
        <f t="shared" ref="N16" si="5">E16*J16</f>
        <v>0</v>
      </c>
      <c r="O16" s="75">
        <f t="shared" ref="O16" si="6">G16*K16</f>
        <v>0</v>
      </c>
      <c r="P16" s="75">
        <f>G16*L16</f>
        <v>3109174.38</v>
      </c>
      <c r="Q16" s="75">
        <f>SUM(N16:P16)</f>
        <v>3109174.38</v>
      </c>
      <c r="R16" s="75">
        <f>H16*M16</f>
        <v>3109174.38</v>
      </c>
      <c r="S16" s="75">
        <f>I16*M16</f>
        <v>3109174.38</v>
      </c>
    </row>
    <row r="17" spans="1:20" x14ac:dyDescent="0.25">
      <c r="A17" s="89" t="s">
        <v>29</v>
      </c>
      <c r="B17" s="114"/>
      <c r="C17" s="135"/>
      <c r="D17" s="82"/>
      <c r="E17" s="87"/>
      <c r="F17" s="87"/>
      <c r="G17" s="87"/>
      <c r="H17" s="87"/>
      <c r="I17" s="87"/>
      <c r="J17" s="75"/>
      <c r="K17" s="75"/>
      <c r="L17" s="75"/>
      <c r="M17" s="75">
        <f t="shared" ref="M17:M87" si="7">J17+K17+L17</f>
        <v>0</v>
      </c>
      <c r="N17" s="78">
        <f>N18+N20</f>
        <v>2191749.33</v>
      </c>
      <c r="O17" s="78">
        <f t="shared" ref="O17:S17" si="8">O18+O20</f>
        <v>423432.72000000003</v>
      </c>
      <c r="P17" s="78">
        <f>P18+P20</f>
        <v>1996776.7200000002</v>
      </c>
      <c r="Q17" s="78">
        <f t="shared" si="8"/>
        <v>4611958.7700000005</v>
      </c>
      <c r="R17" s="78">
        <f t="shared" si="8"/>
        <v>4611958.7700000005</v>
      </c>
      <c r="S17" s="78">
        <f t="shared" si="8"/>
        <v>4611958.7700000005</v>
      </c>
    </row>
    <row r="18" spans="1:20" ht="85.5" x14ac:dyDescent="0.25">
      <c r="A18" s="90"/>
      <c r="B18" s="84" t="s">
        <v>76</v>
      </c>
      <c r="C18" s="136"/>
      <c r="D18" s="82"/>
      <c r="E18" s="68"/>
      <c r="F18" s="68"/>
      <c r="G18" s="68"/>
      <c r="H18" s="68"/>
      <c r="I18" s="68"/>
      <c r="J18" s="75"/>
      <c r="K18" s="75"/>
      <c r="L18" s="75"/>
      <c r="M18" s="75">
        <f t="shared" si="7"/>
        <v>0</v>
      </c>
      <c r="N18" s="75">
        <f t="shared" ref="N18:S18" si="9">SUM(N19:N19)</f>
        <v>2191749.33</v>
      </c>
      <c r="O18" s="75">
        <f>SUM(O19:O19)</f>
        <v>423432.72000000003</v>
      </c>
      <c r="P18" s="75">
        <f t="shared" si="9"/>
        <v>1040107.68</v>
      </c>
      <c r="Q18" s="75">
        <f t="shared" si="9"/>
        <v>3655289.7300000004</v>
      </c>
      <c r="R18" s="75">
        <f>SUM(R19:R19)</f>
        <v>3655289.7300000004</v>
      </c>
      <c r="S18" s="75">
        <f t="shared" si="9"/>
        <v>3655289.7300000004</v>
      </c>
    </row>
    <row r="19" spans="1:20" ht="105" x14ac:dyDescent="0.25">
      <c r="A19" s="83"/>
      <c r="B19" s="82"/>
      <c r="C19" s="93" t="s">
        <v>30</v>
      </c>
      <c r="D19" s="114" t="s">
        <v>31</v>
      </c>
      <c r="E19" s="87" t="s">
        <v>181</v>
      </c>
      <c r="F19" s="87" t="s">
        <v>181</v>
      </c>
      <c r="G19" s="87" t="s">
        <v>181</v>
      </c>
      <c r="H19" s="87" t="s">
        <v>181</v>
      </c>
      <c r="I19" s="87" t="s">
        <v>181</v>
      </c>
      <c r="J19" s="75">
        <v>730583.11</v>
      </c>
      <c r="K19" s="75">
        <v>11762.02</v>
      </c>
      <c r="L19" s="75">
        <v>28891.88</v>
      </c>
      <c r="M19" s="75">
        <f t="shared" si="7"/>
        <v>771237.01</v>
      </c>
      <c r="N19" s="75">
        <f>3*J19</f>
        <v>2191749.33</v>
      </c>
      <c r="O19" s="75">
        <f>((36*11762.02*8)+(36*11762.02*4))/12</f>
        <v>423432.72000000003</v>
      </c>
      <c r="P19" s="75">
        <f>L19*36</f>
        <v>1040107.68</v>
      </c>
      <c r="Q19" s="75">
        <f>SUM(N19:P19)</f>
        <v>3655289.7300000004</v>
      </c>
      <c r="R19" s="75">
        <f>Q19</f>
        <v>3655289.7300000004</v>
      </c>
      <c r="S19" s="75">
        <f>R19</f>
        <v>3655289.7300000004</v>
      </c>
    </row>
    <row r="20" spans="1:20" x14ac:dyDescent="0.25">
      <c r="A20" s="114"/>
      <c r="B20" s="114" t="s">
        <v>28</v>
      </c>
      <c r="C20" s="135"/>
      <c r="D20" s="114" t="s">
        <v>20</v>
      </c>
      <c r="E20" s="87">
        <v>36</v>
      </c>
      <c r="F20" s="87">
        <v>36</v>
      </c>
      <c r="G20" s="87">
        <f>(E20*8+F20*4)/12</f>
        <v>36</v>
      </c>
      <c r="H20" s="87">
        <v>36</v>
      </c>
      <c r="I20" s="87">
        <v>36</v>
      </c>
      <c r="J20" s="75" t="s">
        <v>23</v>
      </c>
      <c r="K20" s="75"/>
      <c r="L20" s="75">
        <v>26574.14</v>
      </c>
      <c r="M20" s="75">
        <f t="shared" si="7"/>
        <v>26574.14</v>
      </c>
      <c r="N20" s="75">
        <f t="shared" ref="N20" si="10">E20*J20</f>
        <v>0</v>
      </c>
      <c r="O20" s="75">
        <f t="shared" ref="O20:O27" si="11">E20*K20</f>
        <v>0</v>
      </c>
      <c r="P20" s="75">
        <f>G20*L20</f>
        <v>956669.04</v>
      </c>
      <c r="Q20" s="75">
        <f t="shared" si="2"/>
        <v>956669.04</v>
      </c>
      <c r="R20" s="75">
        <f>H20*M20</f>
        <v>956669.04</v>
      </c>
      <c r="S20" s="75">
        <f t="shared" si="4"/>
        <v>956669.04</v>
      </c>
    </row>
    <row r="21" spans="1:20" x14ac:dyDescent="0.25">
      <c r="A21" s="115" t="s">
        <v>35</v>
      </c>
      <c r="B21" s="91"/>
      <c r="C21" s="91"/>
      <c r="D21" s="91"/>
      <c r="E21" s="92"/>
      <c r="F21" s="92"/>
      <c r="G21" s="92"/>
      <c r="H21" s="92"/>
      <c r="I21" s="92"/>
      <c r="J21" s="78"/>
      <c r="K21" s="78"/>
      <c r="L21" s="78"/>
      <c r="M21" s="78">
        <f t="shared" si="7"/>
        <v>0</v>
      </c>
      <c r="N21" s="78">
        <f>N22+N27</f>
        <v>8402012.9000000004</v>
      </c>
      <c r="O21" s="78">
        <f>O22+O27</f>
        <v>1493776.54</v>
      </c>
      <c r="P21" s="78">
        <f>P22+P27</f>
        <v>7044184.5399999991</v>
      </c>
      <c r="Q21" s="78">
        <f t="shared" ref="Q21:S21" si="12">Q22+Q27</f>
        <v>16939973.98</v>
      </c>
      <c r="R21" s="78">
        <f t="shared" si="12"/>
        <v>16939973.98</v>
      </c>
      <c r="S21" s="78">
        <f t="shared" si="12"/>
        <v>16939973.98</v>
      </c>
    </row>
    <row r="22" spans="1:20" ht="85.5" x14ac:dyDescent="0.25">
      <c r="A22" s="83"/>
      <c r="B22" s="84" t="s">
        <v>76</v>
      </c>
      <c r="C22" s="136"/>
      <c r="D22" s="82"/>
      <c r="E22" s="68"/>
      <c r="F22" s="68"/>
      <c r="G22" s="68"/>
      <c r="H22" s="68"/>
      <c r="I22" s="68"/>
      <c r="J22" s="75"/>
      <c r="K22" s="75"/>
      <c r="L22" s="75"/>
      <c r="M22" s="75">
        <f t="shared" si="7"/>
        <v>0</v>
      </c>
      <c r="N22" s="75">
        <f>SUM(N23:N26)</f>
        <v>8402012.9000000004</v>
      </c>
      <c r="O22" s="75">
        <f t="shared" ref="O22:S22" si="13">SUM(O23:O26)</f>
        <v>1493776.54</v>
      </c>
      <c r="P22" s="75">
        <f t="shared" si="13"/>
        <v>3669268.76</v>
      </c>
      <c r="Q22" s="75">
        <f t="shared" si="13"/>
        <v>13565058.199999999</v>
      </c>
      <c r="R22" s="75">
        <f t="shared" si="13"/>
        <v>13565058.199999999</v>
      </c>
      <c r="S22" s="75">
        <f t="shared" si="13"/>
        <v>13565058.199999999</v>
      </c>
    </row>
    <row r="23" spans="1:20" ht="105" x14ac:dyDescent="0.25">
      <c r="A23" s="83"/>
      <c r="B23" s="97" t="s">
        <v>19</v>
      </c>
      <c r="C23" s="93" t="s">
        <v>0</v>
      </c>
      <c r="D23" s="114" t="s">
        <v>20</v>
      </c>
      <c r="E23" s="87">
        <v>21</v>
      </c>
      <c r="F23" s="87">
        <v>21</v>
      </c>
      <c r="G23" s="87">
        <f t="shared" ref="G23:G25" si="14">(E23*8+F23*4)/12</f>
        <v>21</v>
      </c>
      <c r="H23" s="87">
        <v>21</v>
      </c>
      <c r="I23" s="87">
        <v>21</v>
      </c>
      <c r="J23" s="75">
        <v>41608.51</v>
      </c>
      <c r="K23" s="75">
        <v>11762.02</v>
      </c>
      <c r="L23" s="75">
        <v>28891.88</v>
      </c>
      <c r="M23" s="75">
        <f t="shared" si="7"/>
        <v>82262.41</v>
      </c>
      <c r="N23" s="75">
        <f>G23*J23</f>
        <v>873778.71000000008</v>
      </c>
      <c r="O23" s="75">
        <f>G23*K23</f>
        <v>247002.42</v>
      </c>
      <c r="P23" s="75">
        <f>G23*L23</f>
        <v>606729.48</v>
      </c>
      <c r="Q23" s="75">
        <f t="shared" si="2"/>
        <v>1727510.61</v>
      </c>
      <c r="R23" s="75">
        <f t="shared" si="3"/>
        <v>1727510.61</v>
      </c>
      <c r="S23" s="75">
        <f t="shared" si="4"/>
        <v>1727510.61</v>
      </c>
    </row>
    <row r="24" spans="1:20" x14ac:dyDescent="0.25">
      <c r="A24" s="88"/>
      <c r="B24" s="97" t="s">
        <v>24</v>
      </c>
      <c r="C24" s="97"/>
      <c r="D24" s="86" t="s">
        <v>20</v>
      </c>
      <c r="E24" s="87">
        <v>45</v>
      </c>
      <c r="F24" s="87">
        <v>45</v>
      </c>
      <c r="G24" s="87">
        <f t="shared" si="14"/>
        <v>45</v>
      </c>
      <c r="H24" s="87">
        <v>45</v>
      </c>
      <c r="I24" s="87">
        <v>45</v>
      </c>
      <c r="J24" s="75">
        <v>32991.18</v>
      </c>
      <c r="K24" s="75">
        <v>11762.02</v>
      </c>
      <c r="L24" s="75">
        <v>28891.88</v>
      </c>
      <c r="M24" s="75">
        <f t="shared" si="7"/>
        <v>73645.08</v>
      </c>
      <c r="N24" s="75">
        <f>G24*J24</f>
        <v>1484603.1</v>
      </c>
      <c r="O24" s="75">
        <f>G24*K24</f>
        <v>529290.9</v>
      </c>
      <c r="P24" s="75">
        <f>G24*L24</f>
        <v>1300134.6000000001</v>
      </c>
      <c r="Q24" s="75">
        <f t="shared" si="2"/>
        <v>3314028.6</v>
      </c>
      <c r="R24" s="75">
        <f t="shared" si="3"/>
        <v>3314028.6</v>
      </c>
      <c r="S24" s="75">
        <f t="shared" si="4"/>
        <v>3314028.6</v>
      </c>
    </row>
    <row r="25" spans="1:20" ht="105" x14ac:dyDescent="0.25">
      <c r="A25" s="83"/>
      <c r="B25" s="97" t="s">
        <v>24</v>
      </c>
      <c r="C25" s="93" t="s">
        <v>38</v>
      </c>
      <c r="D25" s="114" t="s">
        <v>20</v>
      </c>
      <c r="E25" s="87">
        <v>35</v>
      </c>
      <c r="F25" s="87">
        <v>35</v>
      </c>
      <c r="G25" s="87">
        <f t="shared" si="14"/>
        <v>35</v>
      </c>
      <c r="H25" s="87">
        <v>35</v>
      </c>
      <c r="I25" s="87">
        <v>35</v>
      </c>
      <c r="J25" s="75">
        <v>136848.89000000001</v>
      </c>
      <c r="K25" s="75">
        <v>11762.02</v>
      </c>
      <c r="L25" s="75">
        <v>28891.88</v>
      </c>
      <c r="M25" s="75">
        <f t="shared" si="7"/>
        <v>177502.79</v>
      </c>
      <c r="N25" s="75">
        <f>G25*J25</f>
        <v>4789711.1500000004</v>
      </c>
      <c r="O25" s="75">
        <f>G25*K25</f>
        <v>411670.7</v>
      </c>
      <c r="P25" s="75">
        <f>G25*L25</f>
        <v>1011215.8</v>
      </c>
      <c r="Q25" s="75">
        <f t="shared" si="2"/>
        <v>6212597.6500000004</v>
      </c>
      <c r="R25" s="75">
        <f t="shared" si="3"/>
        <v>6212597.6500000004</v>
      </c>
      <c r="S25" s="75">
        <f t="shared" si="4"/>
        <v>6212597.6500000004</v>
      </c>
    </row>
    <row r="26" spans="1:20" ht="120" x14ac:dyDescent="0.25">
      <c r="A26" s="83"/>
      <c r="B26" s="97" t="s">
        <v>24</v>
      </c>
      <c r="C26" s="93" t="s">
        <v>162</v>
      </c>
      <c r="D26" s="114" t="s">
        <v>20</v>
      </c>
      <c r="E26" s="87">
        <v>26</v>
      </c>
      <c r="F26" s="87">
        <v>26</v>
      </c>
      <c r="G26" s="87">
        <f>(E26*8+F26*4)/12</f>
        <v>26</v>
      </c>
      <c r="H26" s="87">
        <v>26</v>
      </c>
      <c r="I26" s="87">
        <v>26</v>
      </c>
      <c r="J26" s="75">
        <v>48227.69</v>
      </c>
      <c r="K26" s="75" t="s">
        <v>163</v>
      </c>
      <c r="L26" s="75">
        <v>28891.88</v>
      </c>
      <c r="M26" s="75">
        <f t="shared" si="7"/>
        <v>88881.590000000011</v>
      </c>
      <c r="N26" s="75">
        <f>G26*J26</f>
        <v>1253919.94</v>
      </c>
      <c r="O26" s="75">
        <f>G26*K26</f>
        <v>305812.52</v>
      </c>
      <c r="P26" s="75">
        <f>G26*L26</f>
        <v>751188.88</v>
      </c>
      <c r="Q26" s="75">
        <f t="shared" si="2"/>
        <v>2310921.34</v>
      </c>
      <c r="R26" s="75">
        <f t="shared" si="3"/>
        <v>2310921.3400000003</v>
      </c>
      <c r="S26" s="75">
        <f t="shared" si="4"/>
        <v>2310921.3400000003</v>
      </c>
    </row>
    <row r="27" spans="1:20" x14ac:dyDescent="0.25">
      <c r="A27" s="86"/>
      <c r="B27" s="86" t="s">
        <v>28</v>
      </c>
      <c r="C27" s="97"/>
      <c r="D27" s="114" t="s">
        <v>20</v>
      </c>
      <c r="E27" s="87">
        <f>E26+E25+E24+E23</f>
        <v>127</v>
      </c>
      <c r="F27" s="87">
        <f>F26+F25+F24+F23</f>
        <v>127</v>
      </c>
      <c r="G27" s="87">
        <f>(E27*8+F27*4)/12</f>
        <v>127</v>
      </c>
      <c r="H27" s="87">
        <f>H26+H25+H24+H23</f>
        <v>127</v>
      </c>
      <c r="I27" s="87">
        <f>I26+I25+I24+I23</f>
        <v>127</v>
      </c>
      <c r="J27" s="75" t="s">
        <v>23</v>
      </c>
      <c r="K27" s="75"/>
      <c r="L27" s="75">
        <v>26574.14</v>
      </c>
      <c r="M27" s="75">
        <f t="shared" si="7"/>
        <v>26574.14</v>
      </c>
      <c r="N27" s="75">
        <f t="shared" ref="N27:N53" si="15">E27*J27</f>
        <v>0</v>
      </c>
      <c r="O27" s="75">
        <f t="shared" si="11"/>
        <v>0</v>
      </c>
      <c r="P27" s="75">
        <f>G27*L27</f>
        <v>3374915.78</v>
      </c>
      <c r="Q27" s="75">
        <f>SUM(N27:P27)</f>
        <v>3374915.78</v>
      </c>
      <c r="R27" s="75">
        <f>H27*M27</f>
        <v>3374915.78</v>
      </c>
      <c r="S27" s="75">
        <f t="shared" si="4"/>
        <v>3374915.78</v>
      </c>
    </row>
    <row r="28" spans="1:20" x14ac:dyDescent="0.25">
      <c r="A28" s="115" t="s">
        <v>40</v>
      </c>
      <c r="B28" s="94"/>
      <c r="C28" s="94"/>
      <c r="D28" s="94"/>
      <c r="E28" s="92"/>
      <c r="F28" s="92"/>
      <c r="G28" s="92"/>
      <c r="H28" s="92"/>
      <c r="I28" s="92"/>
      <c r="J28" s="78"/>
      <c r="K28" s="78"/>
      <c r="L28" s="78"/>
      <c r="M28" s="78">
        <f t="shared" si="7"/>
        <v>0</v>
      </c>
      <c r="N28" s="78">
        <f>N29+N33</f>
        <v>4365670.1100000003</v>
      </c>
      <c r="O28" s="78">
        <f t="shared" ref="O28:S28" si="16">O29+O33</f>
        <v>1246774.1200000001</v>
      </c>
      <c r="P28" s="78">
        <f t="shared" si="16"/>
        <v>5879398.1200000001</v>
      </c>
      <c r="Q28" s="78">
        <f t="shared" si="16"/>
        <v>11491842.350000001</v>
      </c>
      <c r="R28" s="78">
        <f>R29+R33</f>
        <v>11491842.350000001</v>
      </c>
      <c r="S28" s="78">
        <f t="shared" si="16"/>
        <v>11491842.350000001</v>
      </c>
      <c r="T28" s="85">
        <f>Q28-R28</f>
        <v>0</v>
      </c>
    </row>
    <row r="29" spans="1:20" ht="85.5" x14ac:dyDescent="0.25">
      <c r="A29" s="83"/>
      <c r="B29" s="84" t="s">
        <v>76</v>
      </c>
      <c r="C29" s="136"/>
      <c r="D29" s="95"/>
      <c r="E29" s="68"/>
      <c r="F29" s="68"/>
      <c r="G29" s="68"/>
      <c r="H29" s="68"/>
      <c r="I29" s="68"/>
      <c r="J29" s="75"/>
      <c r="K29" s="75"/>
      <c r="L29" s="75"/>
      <c r="M29" s="75">
        <f t="shared" si="7"/>
        <v>0</v>
      </c>
      <c r="N29" s="75">
        <f>SUM(N30:N32)</f>
        <v>4365670.1100000003</v>
      </c>
      <c r="O29" s="75">
        <f t="shared" ref="O29:S29" si="17">SUM(O30:O32)</f>
        <v>1246774.1200000001</v>
      </c>
      <c r="P29" s="75">
        <f t="shared" si="17"/>
        <v>3062539.2800000003</v>
      </c>
      <c r="Q29" s="75">
        <f t="shared" si="17"/>
        <v>8674983.5100000016</v>
      </c>
      <c r="R29" s="75">
        <f t="shared" si="17"/>
        <v>8674983.5100000016</v>
      </c>
      <c r="S29" s="75">
        <f t="shared" si="17"/>
        <v>8674983.5100000016</v>
      </c>
    </row>
    <row r="30" spans="1:20" ht="105" x14ac:dyDescent="0.25">
      <c r="A30" s="83"/>
      <c r="B30" s="97" t="s">
        <v>19</v>
      </c>
      <c r="C30" s="93" t="s">
        <v>0</v>
      </c>
      <c r="D30" s="114" t="s">
        <v>20</v>
      </c>
      <c r="E30" s="87">
        <v>23</v>
      </c>
      <c r="F30" s="87">
        <v>23</v>
      </c>
      <c r="G30" s="87">
        <f t="shared" ref="G30:G32" si="18">(E30*8+F30*4)/12</f>
        <v>23</v>
      </c>
      <c r="H30" s="87">
        <v>23</v>
      </c>
      <c r="I30" s="87">
        <v>23</v>
      </c>
      <c r="J30" s="75">
        <v>41608.51</v>
      </c>
      <c r="K30" s="75">
        <v>11762.02</v>
      </c>
      <c r="L30" s="75">
        <v>28891.88</v>
      </c>
      <c r="M30" s="75">
        <f t="shared" si="7"/>
        <v>82262.41</v>
      </c>
      <c r="N30" s="75">
        <f>G30*J30</f>
        <v>956995.7300000001</v>
      </c>
      <c r="O30" s="75">
        <f>G30*K30</f>
        <v>270526.46000000002</v>
      </c>
      <c r="P30" s="75">
        <f>G30*L30</f>
        <v>664513.24</v>
      </c>
      <c r="Q30" s="75">
        <f t="shared" si="2"/>
        <v>1892035.4300000002</v>
      </c>
      <c r="R30" s="75">
        <f t="shared" si="3"/>
        <v>1892035.4300000002</v>
      </c>
      <c r="S30" s="75">
        <f t="shared" si="4"/>
        <v>1892035.4300000002</v>
      </c>
    </row>
    <row r="31" spans="1:20" x14ac:dyDescent="0.25">
      <c r="A31" s="88"/>
      <c r="B31" s="97" t="s">
        <v>24</v>
      </c>
      <c r="C31" s="97"/>
      <c r="D31" s="86" t="s">
        <v>20</v>
      </c>
      <c r="E31" s="87">
        <v>39</v>
      </c>
      <c r="F31" s="87">
        <v>39</v>
      </c>
      <c r="G31" s="87">
        <f t="shared" si="18"/>
        <v>39</v>
      </c>
      <c r="H31" s="87">
        <v>39</v>
      </c>
      <c r="I31" s="87">
        <v>39</v>
      </c>
      <c r="J31" s="75">
        <v>32991.18</v>
      </c>
      <c r="K31" s="75">
        <v>11762.02</v>
      </c>
      <c r="L31" s="75">
        <v>28891.88</v>
      </c>
      <c r="M31" s="75">
        <f t="shared" si="7"/>
        <v>73645.08</v>
      </c>
      <c r="N31" s="75">
        <f>G31*J31</f>
        <v>1286656.02</v>
      </c>
      <c r="O31" s="75">
        <f>G31*K31</f>
        <v>458718.78</v>
      </c>
      <c r="P31" s="75">
        <f>G31*L31</f>
        <v>1126783.32</v>
      </c>
      <c r="Q31" s="75">
        <f t="shared" si="2"/>
        <v>2872158.12</v>
      </c>
      <c r="R31" s="75">
        <f t="shared" si="3"/>
        <v>2872158.12</v>
      </c>
      <c r="S31" s="75">
        <f t="shared" si="4"/>
        <v>2872158.12</v>
      </c>
    </row>
    <row r="32" spans="1:20" ht="120" x14ac:dyDescent="0.25">
      <c r="A32" s="88"/>
      <c r="B32" s="97" t="s">
        <v>24</v>
      </c>
      <c r="C32" s="93" t="s">
        <v>162</v>
      </c>
      <c r="D32" s="114" t="s">
        <v>20</v>
      </c>
      <c r="E32" s="87">
        <v>44</v>
      </c>
      <c r="F32" s="87">
        <v>44</v>
      </c>
      <c r="G32" s="87">
        <f t="shared" si="18"/>
        <v>44</v>
      </c>
      <c r="H32" s="87">
        <v>44</v>
      </c>
      <c r="I32" s="87">
        <v>44</v>
      </c>
      <c r="J32" s="75">
        <v>48227.69</v>
      </c>
      <c r="K32" s="75" t="s">
        <v>163</v>
      </c>
      <c r="L32" s="75">
        <v>28891.88</v>
      </c>
      <c r="M32" s="75">
        <f t="shared" si="7"/>
        <v>88881.590000000011</v>
      </c>
      <c r="N32" s="75">
        <f t="shared" ref="N32:N33" si="19">G32*J32</f>
        <v>2122018.3600000003</v>
      </c>
      <c r="O32" s="75">
        <f t="shared" ref="O32:O33" si="20">G32*K32</f>
        <v>517528.88</v>
      </c>
      <c r="P32" s="75">
        <f>G32*L32</f>
        <v>1271242.72</v>
      </c>
      <c r="Q32" s="75">
        <f t="shared" si="2"/>
        <v>3910789.96</v>
      </c>
      <c r="R32" s="75">
        <f t="shared" si="3"/>
        <v>3910789.9600000004</v>
      </c>
      <c r="S32" s="75">
        <f t="shared" si="4"/>
        <v>3910789.9600000004</v>
      </c>
    </row>
    <row r="33" spans="1:19" x14ac:dyDescent="0.25">
      <c r="A33" s="86"/>
      <c r="B33" s="86" t="s">
        <v>28</v>
      </c>
      <c r="C33" s="97"/>
      <c r="D33" s="86" t="s">
        <v>20</v>
      </c>
      <c r="E33" s="87">
        <f>E32+E31+E30</f>
        <v>106</v>
      </c>
      <c r="F33" s="87">
        <f>F32+F31+F30</f>
        <v>106</v>
      </c>
      <c r="G33" s="87">
        <f>(E33*8+F33*4)/12-1</f>
        <v>105</v>
      </c>
      <c r="H33" s="87">
        <f>H32+H31+H30</f>
        <v>106</v>
      </c>
      <c r="I33" s="87">
        <f>I32+I31+I30</f>
        <v>106</v>
      </c>
      <c r="J33" s="75" t="s">
        <v>23</v>
      </c>
      <c r="K33" s="75"/>
      <c r="L33" s="75">
        <v>26574.14</v>
      </c>
      <c r="M33" s="75">
        <f t="shared" si="7"/>
        <v>26574.14</v>
      </c>
      <c r="N33" s="75">
        <f t="shared" si="19"/>
        <v>0</v>
      </c>
      <c r="O33" s="75">
        <f t="shared" si="20"/>
        <v>0</v>
      </c>
      <c r="P33" s="75">
        <f>E33*L33</f>
        <v>2816858.84</v>
      </c>
      <c r="Q33" s="75">
        <f>SUM(N33:P33)</f>
        <v>2816858.84</v>
      </c>
      <c r="R33" s="75">
        <f>H33*L33</f>
        <v>2816858.84</v>
      </c>
      <c r="S33" s="75">
        <f>I33*M33</f>
        <v>2816858.84</v>
      </c>
    </row>
    <row r="34" spans="1:19" x14ac:dyDescent="0.25">
      <c r="A34" s="115" t="s">
        <v>44</v>
      </c>
      <c r="B34" s="94"/>
      <c r="C34" s="94"/>
      <c r="D34" s="94"/>
      <c r="E34" s="92"/>
      <c r="F34" s="92"/>
      <c r="G34" s="92"/>
      <c r="H34" s="92"/>
      <c r="I34" s="92"/>
      <c r="J34" s="78"/>
      <c r="K34" s="78"/>
      <c r="L34" s="78"/>
      <c r="M34" s="78">
        <f t="shared" si="7"/>
        <v>0</v>
      </c>
      <c r="N34" s="78">
        <f>N35+N40</f>
        <v>11668889.32</v>
      </c>
      <c r="O34" s="78">
        <f t="shared" ref="O34:S34" si="21">O35+O40</f>
        <v>2728788.64</v>
      </c>
      <c r="P34" s="78">
        <f t="shared" si="21"/>
        <v>12868116.640000001</v>
      </c>
      <c r="Q34" s="78">
        <f t="shared" si="21"/>
        <v>27265794.600000001</v>
      </c>
      <c r="R34" s="78">
        <f t="shared" si="21"/>
        <v>27265794.600000001</v>
      </c>
      <c r="S34" s="78">
        <f t="shared" si="21"/>
        <v>27265794.600000001</v>
      </c>
    </row>
    <row r="35" spans="1:19" ht="85.5" x14ac:dyDescent="0.25">
      <c r="A35" s="83"/>
      <c r="B35" s="84" t="s">
        <v>76</v>
      </c>
      <c r="C35" s="136"/>
      <c r="D35" s="95"/>
      <c r="E35" s="68"/>
      <c r="F35" s="68"/>
      <c r="G35" s="68"/>
      <c r="H35" s="68"/>
      <c r="I35" s="68"/>
      <c r="J35" s="75"/>
      <c r="K35" s="75"/>
      <c r="L35" s="75"/>
      <c r="M35" s="75">
        <f t="shared" si="7"/>
        <v>0</v>
      </c>
      <c r="N35" s="75">
        <f>SUM(N36:N39)</f>
        <v>11668889.32</v>
      </c>
      <c r="O35" s="75">
        <f t="shared" ref="O35:S35" si="22">SUM(O36:O39)</f>
        <v>2728788.64</v>
      </c>
      <c r="P35" s="75">
        <f t="shared" si="22"/>
        <v>6702916.1600000001</v>
      </c>
      <c r="Q35" s="75">
        <f t="shared" si="22"/>
        <v>21100594.120000001</v>
      </c>
      <c r="R35" s="75">
        <f t="shared" si="22"/>
        <v>21100594.120000001</v>
      </c>
      <c r="S35" s="75">
        <f t="shared" si="22"/>
        <v>21100594.120000001</v>
      </c>
    </row>
    <row r="36" spans="1:19" ht="105" x14ac:dyDescent="0.25">
      <c r="A36" s="83"/>
      <c r="B36" s="97" t="s">
        <v>19</v>
      </c>
      <c r="C36" s="93" t="s">
        <v>0</v>
      </c>
      <c r="D36" s="114" t="s">
        <v>20</v>
      </c>
      <c r="E36" s="87">
        <v>32</v>
      </c>
      <c r="F36" s="87">
        <v>32</v>
      </c>
      <c r="G36" s="87">
        <f t="shared" ref="G36:G39" si="23">(E36*8+F36*4)/12</f>
        <v>32</v>
      </c>
      <c r="H36" s="87">
        <v>32</v>
      </c>
      <c r="I36" s="87">
        <v>32</v>
      </c>
      <c r="J36" s="75">
        <v>41608.51</v>
      </c>
      <c r="K36" s="75">
        <v>11762.02</v>
      </c>
      <c r="L36" s="75">
        <v>28891.88</v>
      </c>
      <c r="M36" s="75">
        <f t="shared" si="7"/>
        <v>82262.41</v>
      </c>
      <c r="N36" s="75">
        <f>G36*J36</f>
        <v>1331472.32</v>
      </c>
      <c r="O36" s="75">
        <f>G36*K36</f>
        <v>376384.64</v>
      </c>
      <c r="P36" s="75">
        <f>G36*L36</f>
        <v>924540.16</v>
      </c>
      <c r="Q36" s="75">
        <f t="shared" si="2"/>
        <v>2632397.12</v>
      </c>
      <c r="R36" s="75">
        <f t="shared" si="3"/>
        <v>2632397.12</v>
      </c>
      <c r="S36" s="75">
        <f t="shared" si="4"/>
        <v>2632397.12</v>
      </c>
    </row>
    <row r="37" spans="1:19" x14ac:dyDescent="0.25">
      <c r="A37" s="88"/>
      <c r="B37" s="97" t="s">
        <v>24</v>
      </c>
      <c r="C37" s="97"/>
      <c r="D37" s="86" t="s">
        <v>20</v>
      </c>
      <c r="E37" s="87">
        <v>100</v>
      </c>
      <c r="F37" s="87">
        <v>100</v>
      </c>
      <c r="G37" s="87">
        <f t="shared" si="23"/>
        <v>100</v>
      </c>
      <c r="H37" s="87">
        <v>100</v>
      </c>
      <c r="I37" s="87">
        <v>100</v>
      </c>
      <c r="J37" s="75">
        <v>32991.18</v>
      </c>
      <c r="K37" s="75">
        <v>11762.02</v>
      </c>
      <c r="L37" s="75">
        <v>28891.88</v>
      </c>
      <c r="M37" s="75">
        <f t="shared" si="7"/>
        <v>73645.08</v>
      </c>
      <c r="N37" s="75">
        <f t="shared" ref="N37:N40" si="24">G37*J37</f>
        <v>3299118</v>
      </c>
      <c r="O37" s="75">
        <f t="shared" ref="O37:O40" si="25">G37*K37</f>
        <v>1176202</v>
      </c>
      <c r="P37" s="75">
        <f t="shared" ref="P37:P39" si="26">G37*L37</f>
        <v>2889188</v>
      </c>
      <c r="Q37" s="75">
        <f t="shared" si="2"/>
        <v>7364508</v>
      </c>
      <c r="R37" s="75">
        <f t="shared" si="3"/>
        <v>7364508</v>
      </c>
      <c r="S37" s="75">
        <f t="shared" si="4"/>
        <v>7364508</v>
      </c>
    </row>
    <row r="38" spans="1:19" ht="105" x14ac:dyDescent="0.25">
      <c r="A38" s="83"/>
      <c r="B38" s="138"/>
      <c r="C38" s="93" t="s">
        <v>38</v>
      </c>
      <c r="D38" s="114" t="s">
        <v>20</v>
      </c>
      <c r="E38" s="87">
        <v>25</v>
      </c>
      <c r="F38" s="87">
        <v>25</v>
      </c>
      <c r="G38" s="87">
        <f t="shared" si="23"/>
        <v>25</v>
      </c>
      <c r="H38" s="87">
        <v>25</v>
      </c>
      <c r="I38" s="87">
        <v>25</v>
      </c>
      <c r="J38" s="75">
        <v>136848.89000000001</v>
      </c>
      <c r="K38" s="75">
        <v>11762.02</v>
      </c>
      <c r="L38" s="75">
        <v>28891.88</v>
      </c>
      <c r="M38" s="75">
        <f t="shared" si="7"/>
        <v>177502.79</v>
      </c>
      <c r="N38" s="75">
        <f t="shared" si="24"/>
        <v>3421222.2500000005</v>
      </c>
      <c r="O38" s="75">
        <f t="shared" si="25"/>
        <v>294050.5</v>
      </c>
      <c r="P38" s="75">
        <f t="shared" si="26"/>
        <v>722297</v>
      </c>
      <c r="Q38" s="75">
        <f t="shared" si="2"/>
        <v>4437569.75</v>
      </c>
      <c r="R38" s="75">
        <f t="shared" si="3"/>
        <v>4437569.75</v>
      </c>
      <c r="S38" s="75">
        <f t="shared" si="4"/>
        <v>4437569.75</v>
      </c>
    </row>
    <row r="39" spans="1:19" ht="120" x14ac:dyDescent="0.25">
      <c r="A39" s="83"/>
      <c r="B39" s="97" t="s">
        <v>24</v>
      </c>
      <c r="C39" s="93" t="s">
        <v>162</v>
      </c>
      <c r="D39" s="114" t="s">
        <v>20</v>
      </c>
      <c r="E39" s="87">
        <v>75</v>
      </c>
      <c r="F39" s="87">
        <v>75</v>
      </c>
      <c r="G39" s="87">
        <f t="shared" si="23"/>
        <v>75</v>
      </c>
      <c r="H39" s="87">
        <v>75</v>
      </c>
      <c r="I39" s="87">
        <v>75</v>
      </c>
      <c r="J39" s="75">
        <v>48227.69</v>
      </c>
      <c r="K39" s="75" t="s">
        <v>163</v>
      </c>
      <c r="L39" s="75">
        <v>28891.88</v>
      </c>
      <c r="M39" s="75">
        <f t="shared" si="7"/>
        <v>88881.590000000011</v>
      </c>
      <c r="N39" s="75">
        <f t="shared" si="24"/>
        <v>3617076.75</v>
      </c>
      <c r="O39" s="75">
        <f t="shared" si="25"/>
        <v>882151.5</v>
      </c>
      <c r="P39" s="75">
        <f t="shared" si="26"/>
        <v>2166891</v>
      </c>
      <c r="Q39" s="75">
        <f t="shared" si="2"/>
        <v>6666119.25</v>
      </c>
      <c r="R39" s="75">
        <f t="shared" si="3"/>
        <v>6666119.2500000009</v>
      </c>
      <c r="S39" s="75">
        <f t="shared" si="4"/>
        <v>6666119.2500000009</v>
      </c>
    </row>
    <row r="40" spans="1:19" x14ac:dyDescent="0.25">
      <c r="A40" s="86"/>
      <c r="B40" s="86" t="s">
        <v>28</v>
      </c>
      <c r="C40" s="97"/>
      <c r="D40" s="86" t="s">
        <v>20</v>
      </c>
      <c r="E40" s="87">
        <f>E39+E38+E37+E36</f>
        <v>232</v>
      </c>
      <c r="F40" s="87">
        <f>F39+F38+F37+F36</f>
        <v>232</v>
      </c>
      <c r="G40" s="87">
        <f t="shared" ref="G40" si="27">(E40*8+F40*4)/12</f>
        <v>232</v>
      </c>
      <c r="H40" s="87">
        <f>H39+H38+H37+H36</f>
        <v>232</v>
      </c>
      <c r="I40" s="87">
        <f>I39+I38+I37+I36</f>
        <v>232</v>
      </c>
      <c r="J40" s="75" t="s">
        <v>23</v>
      </c>
      <c r="K40" s="75"/>
      <c r="L40" s="75">
        <v>26574.14</v>
      </c>
      <c r="M40" s="75">
        <f t="shared" si="7"/>
        <v>26574.14</v>
      </c>
      <c r="N40" s="75">
        <f t="shared" si="24"/>
        <v>0</v>
      </c>
      <c r="O40" s="75">
        <f t="shared" si="25"/>
        <v>0</v>
      </c>
      <c r="P40" s="75">
        <f>G40*L40</f>
        <v>6165200.4799999995</v>
      </c>
      <c r="Q40" s="75">
        <f t="shared" si="2"/>
        <v>6165200.4799999995</v>
      </c>
      <c r="R40" s="75">
        <f t="shared" si="3"/>
        <v>6165200.4799999995</v>
      </c>
      <c r="S40" s="75">
        <f t="shared" si="4"/>
        <v>6165200.4799999995</v>
      </c>
    </row>
    <row r="41" spans="1:19" x14ac:dyDescent="0.25">
      <c r="A41" s="115" t="s">
        <v>49</v>
      </c>
      <c r="B41" s="94"/>
      <c r="C41" s="94"/>
      <c r="D41" s="94"/>
      <c r="E41" s="92"/>
      <c r="F41" s="92"/>
      <c r="G41" s="92"/>
      <c r="H41" s="92"/>
      <c r="I41" s="92"/>
      <c r="J41" s="78"/>
      <c r="K41" s="78"/>
      <c r="L41" s="78"/>
      <c r="M41" s="78">
        <f t="shared" si="7"/>
        <v>0</v>
      </c>
      <c r="N41" s="78">
        <f>N42+N47</f>
        <v>4519905.8100000005</v>
      </c>
      <c r="O41" s="78">
        <f t="shared" ref="O41:S41" si="28">O42+O47</f>
        <v>1317346.2400000002</v>
      </c>
      <c r="P41" s="78">
        <f>P42+P47</f>
        <v>6212194.2400000002</v>
      </c>
      <c r="Q41" s="78">
        <f t="shared" si="28"/>
        <v>12049446.289999999</v>
      </c>
      <c r="R41" s="78">
        <f t="shared" si="28"/>
        <v>12049446.289999999</v>
      </c>
      <c r="S41" s="78">
        <f t="shared" si="28"/>
        <v>12049446.289999999</v>
      </c>
    </row>
    <row r="42" spans="1:19" ht="85.5" x14ac:dyDescent="0.25">
      <c r="A42" s="83"/>
      <c r="B42" s="84" t="s">
        <v>76</v>
      </c>
      <c r="C42" s="136"/>
      <c r="D42" s="95"/>
      <c r="E42" s="68"/>
      <c r="F42" s="68"/>
      <c r="G42" s="68"/>
      <c r="H42" s="68"/>
      <c r="I42" s="68"/>
      <c r="J42" s="75"/>
      <c r="K42" s="75"/>
      <c r="L42" s="75"/>
      <c r="M42" s="75">
        <f t="shared" si="7"/>
        <v>0</v>
      </c>
      <c r="N42" s="75">
        <f t="shared" ref="N42:S42" si="29">SUM(N43:N46)</f>
        <v>4519905.8100000005</v>
      </c>
      <c r="O42" s="75">
        <f t="shared" si="29"/>
        <v>1317346.2400000002</v>
      </c>
      <c r="P42" s="75">
        <f t="shared" si="29"/>
        <v>3235890.56</v>
      </c>
      <c r="Q42" s="75">
        <f t="shared" si="29"/>
        <v>9073142.6099999994</v>
      </c>
      <c r="R42" s="75">
        <f t="shared" si="29"/>
        <v>9073142.6099999994</v>
      </c>
      <c r="S42" s="75">
        <f t="shared" si="29"/>
        <v>9073142.6099999994</v>
      </c>
    </row>
    <row r="43" spans="1:19" ht="105" x14ac:dyDescent="0.25">
      <c r="A43" s="83"/>
      <c r="B43" s="97" t="s">
        <v>19</v>
      </c>
      <c r="C43" s="93" t="s">
        <v>0</v>
      </c>
      <c r="D43" s="114" t="s">
        <v>20</v>
      </c>
      <c r="E43" s="87">
        <v>25</v>
      </c>
      <c r="F43" s="87">
        <v>25</v>
      </c>
      <c r="G43" s="87">
        <f t="shared" ref="G43:G46" si="30">(E43*8+F43*4)/12</f>
        <v>25</v>
      </c>
      <c r="H43" s="87">
        <v>25</v>
      </c>
      <c r="I43" s="87">
        <v>25</v>
      </c>
      <c r="J43" s="75">
        <v>41608.51</v>
      </c>
      <c r="K43" s="75">
        <v>11762.02</v>
      </c>
      <c r="L43" s="75">
        <v>28891.88</v>
      </c>
      <c r="M43" s="75">
        <f t="shared" si="7"/>
        <v>82262.41</v>
      </c>
      <c r="N43" s="75">
        <f>G43*J43</f>
        <v>1040212.75</v>
      </c>
      <c r="O43" s="75">
        <f>G43*K43</f>
        <v>294050.5</v>
      </c>
      <c r="P43" s="75">
        <f>G43*L43</f>
        <v>722297</v>
      </c>
      <c r="Q43" s="75">
        <f t="shared" si="2"/>
        <v>2056560.25</v>
      </c>
      <c r="R43" s="75">
        <f t="shared" si="3"/>
        <v>2056560.25</v>
      </c>
      <c r="S43" s="75">
        <f t="shared" si="4"/>
        <v>2056560.25</v>
      </c>
    </row>
    <row r="44" spans="1:19" x14ac:dyDescent="0.25">
      <c r="A44" s="88"/>
      <c r="B44" s="97" t="s">
        <v>24</v>
      </c>
      <c r="C44" s="97"/>
      <c r="D44" s="86" t="s">
        <v>20</v>
      </c>
      <c r="E44" s="87">
        <v>47</v>
      </c>
      <c r="F44" s="87">
        <v>47</v>
      </c>
      <c r="G44" s="87">
        <f>(E44*8+F44*4)/12</f>
        <v>47</v>
      </c>
      <c r="H44" s="87">
        <v>47</v>
      </c>
      <c r="I44" s="87">
        <v>47</v>
      </c>
      <c r="J44" s="75">
        <v>32991.18</v>
      </c>
      <c r="K44" s="75">
        <v>11762.02</v>
      </c>
      <c r="L44" s="75">
        <v>28891.88</v>
      </c>
      <c r="M44" s="75">
        <f t="shared" si="7"/>
        <v>73645.08</v>
      </c>
      <c r="N44" s="75">
        <f>G44*J44</f>
        <v>1550585.46</v>
      </c>
      <c r="O44" s="75">
        <f>G44*K44</f>
        <v>552814.94000000006</v>
      </c>
      <c r="P44" s="75">
        <f>G44*L44</f>
        <v>1357918.36</v>
      </c>
      <c r="Q44" s="75">
        <f>SUM(N44:P44)</f>
        <v>3461318.76</v>
      </c>
      <c r="R44" s="75">
        <f>H44*M44</f>
        <v>3461318.7600000002</v>
      </c>
      <c r="S44" s="75">
        <f>I44*M44</f>
        <v>3461318.7600000002</v>
      </c>
    </row>
    <row r="45" spans="1:19" ht="120" x14ac:dyDescent="0.25">
      <c r="A45" s="88"/>
      <c r="B45" s="97" t="s">
        <v>24</v>
      </c>
      <c r="C45" s="93" t="s">
        <v>190</v>
      </c>
      <c r="D45" s="86" t="s">
        <v>20</v>
      </c>
      <c r="E45" s="87">
        <v>0</v>
      </c>
      <c r="F45" s="87">
        <v>0</v>
      </c>
      <c r="G45" s="87">
        <f>(E45*8+F45*4)/12</f>
        <v>0</v>
      </c>
      <c r="H45" s="87">
        <v>0</v>
      </c>
      <c r="I45" s="87">
        <v>0</v>
      </c>
      <c r="J45" s="75">
        <v>64822.96</v>
      </c>
      <c r="K45" s="75">
        <v>11762.02</v>
      </c>
      <c r="L45" s="75">
        <v>28891.88</v>
      </c>
      <c r="M45" s="75">
        <f>J45+K45+L45</f>
        <v>105476.86</v>
      </c>
      <c r="N45" s="75">
        <f>G45*J45</f>
        <v>0</v>
      </c>
      <c r="O45" s="75">
        <f>G45*K45</f>
        <v>0</v>
      </c>
      <c r="P45" s="75">
        <f>G45*L45</f>
        <v>0</v>
      </c>
      <c r="Q45" s="75">
        <f>SUM(N45:P45)</f>
        <v>0</v>
      </c>
      <c r="R45" s="75">
        <f>H45*M45</f>
        <v>0</v>
      </c>
      <c r="S45" s="75">
        <f>I45*M45</f>
        <v>0</v>
      </c>
    </row>
    <row r="46" spans="1:19" ht="120" x14ac:dyDescent="0.25">
      <c r="A46" s="88"/>
      <c r="B46" s="97" t="s">
        <v>24</v>
      </c>
      <c r="C46" s="93" t="s">
        <v>162</v>
      </c>
      <c r="D46" s="114" t="s">
        <v>20</v>
      </c>
      <c r="E46" s="87">
        <v>40</v>
      </c>
      <c r="F46" s="87">
        <v>40</v>
      </c>
      <c r="G46" s="87">
        <f t="shared" si="30"/>
        <v>40</v>
      </c>
      <c r="H46" s="87">
        <v>40</v>
      </c>
      <c r="I46" s="87">
        <v>40</v>
      </c>
      <c r="J46" s="75">
        <f>48227.69</f>
        <v>48227.69</v>
      </c>
      <c r="K46" s="75">
        <v>11762.02</v>
      </c>
      <c r="L46" s="75">
        <v>28891.88</v>
      </c>
      <c r="M46" s="75">
        <f t="shared" ref="M46" si="31">J46+K46+L46</f>
        <v>88881.590000000011</v>
      </c>
      <c r="N46" s="75">
        <f t="shared" ref="N46:N47" si="32">G46*J46</f>
        <v>1929107.6</v>
      </c>
      <c r="O46" s="75">
        <f t="shared" ref="O46:O47" si="33">G46*K46</f>
        <v>470480.80000000005</v>
      </c>
      <c r="P46" s="75">
        <f t="shared" ref="P46:P47" si="34">G46*L46</f>
        <v>1155675.2</v>
      </c>
      <c r="Q46" s="75">
        <f t="shared" ref="Q46" si="35">SUM(N46:P46)</f>
        <v>3555263.6000000006</v>
      </c>
      <c r="R46" s="75">
        <f t="shared" ref="R46" si="36">H46*M46</f>
        <v>3555263.6000000006</v>
      </c>
      <c r="S46" s="75">
        <f t="shared" ref="S46" si="37">I46*M46</f>
        <v>3555263.6000000006</v>
      </c>
    </row>
    <row r="47" spans="1:19" x14ac:dyDescent="0.25">
      <c r="A47" s="86"/>
      <c r="B47" s="86" t="s">
        <v>28</v>
      </c>
      <c r="C47" s="97"/>
      <c r="D47" s="86" t="s">
        <v>20</v>
      </c>
      <c r="E47" s="87">
        <f>E46+E45+E44+E43</f>
        <v>112</v>
      </c>
      <c r="F47" s="87">
        <f>F46+F45+F44+F43</f>
        <v>112</v>
      </c>
      <c r="G47" s="87">
        <f>(E47*8+F47*4)/12</f>
        <v>112</v>
      </c>
      <c r="H47" s="87">
        <f>H46+H45+H44+H43</f>
        <v>112</v>
      </c>
      <c r="I47" s="87">
        <f>I46+I45+I44+I43</f>
        <v>112</v>
      </c>
      <c r="J47" s="75" t="s">
        <v>23</v>
      </c>
      <c r="K47" s="75"/>
      <c r="L47" s="75">
        <v>26574.14</v>
      </c>
      <c r="M47" s="75">
        <f t="shared" si="7"/>
        <v>26574.14</v>
      </c>
      <c r="N47" s="75">
        <f t="shared" si="32"/>
        <v>0</v>
      </c>
      <c r="O47" s="75">
        <f t="shared" si="33"/>
        <v>0</v>
      </c>
      <c r="P47" s="75">
        <f t="shared" si="34"/>
        <v>2976303.6799999997</v>
      </c>
      <c r="Q47" s="75">
        <f t="shared" si="2"/>
        <v>2976303.6799999997</v>
      </c>
      <c r="R47" s="75">
        <f t="shared" si="3"/>
        <v>2976303.6799999997</v>
      </c>
      <c r="S47" s="75">
        <f t="shared" si="4"/>
        <v>2976303.6799999997</v>
      </c>
    </row>
    <row r="48" spans="1:19" x14ac:dyDescent="0.25">
      <c r="A48" s="115" t="s">
        <v>53</v>
      </c>
      <c r="B48" s="94"/>
      <c r="C48" s="94"/>
      <c r="D48" s="94"/>
      <c r="E48" s="92"/>
      <c r="F48" s="92"/>
      <c r="G48" s="92"/>
      <c r="H48" s="92"/>
      <c r="I48" s="92"/>
      <c r="J48" s="78"/>
      <c r="K48" s="78"/>
      <c r="L48" s="78"/>
      <c r="M48" s="78">
        <f t="shared" si="7"/>
        <v>0</v>
      </c>
      <c r="N48" s="78">
        <f>N49+N53</f>
        <v>6402342.1600000001</v>
      </c>
      <c r="O48" s="78">
        <f t="shared" ref="O48:S48" si="38">O49+O53</f>
        <v>1881923.2</v>
      </c>
      <c r="P48" s="78">
        <f t="shared" si="38"/>
        <v>8874563.1999999993</v>
      </c>
      <c r="Q48" s="78">
        <f t="shared" si="38"/>
        <v>17158828.560000002</v>
      </c>
      <c r="R48" s="78">
        <f t="shared" si="38"/>
        <v>17158828.560000002</v>
      </c>
      <c r="S48" s="78">
        <f t="shared" si="38"/>
        <v>17158828.560000002</v>
      </c>
    </row>
    <row r="49" spans="1:19" ht="85.5" x14ac:dyDescent="0.25">
      <c r="A49" s="83"/>
      <c r="B49" s="84" t="s">
        <v>76</v>
      </c>
      <c r="C49" s="136"/>
      <c r="D49" s="95"/>
      <c r="E49" s="68"/>
      <c r="F49" s="68"/>
      <c r="G49" s="68"/>
      <c r="H49" s="68"/>
      <c r="I49" s="68"/>
      <c r="J49" s="75"/>
      <c r="K49" s="75"/>
      <c r="L49" s="75"/>
      <c r="M49" s="75">
        <f t="shared" si="7"/>
        <v>0</v>
      </c>
      <c r="N49" s="75">
        <f>SUM(N50:N52)</f>
        <v>6402342.1600000001</v>
      </c>
      <c r="O49" s="75">
        <f t="shared" ref="O49:Q49" si="39">SUM(O50:O52)</f>
        <v>1881923.2</v>
      </c>
      <c r="P49" s="75">
        <f t="shared" si="39"/>
        <v>4622700.8</v>
      </c>
      <c r="Q49" s="75">
        <f t="shared" si="39"/>
        <v>12906966.16</v>
      </c>
      <c r="R49" s="75">
        <f>SUM(R50:R52)</f>
        <v>12906966.16</v>
      </c>
      <c r="S49" s="75">
        <f>SUM(S50:S52)</f>
        <v>12906966.16</v>
      </c>
    </row>
    <row r="50" spans="1:19" ht="105" x14ac:dyDescent="0.25">
      <c r="A50" s="83"/>
      <c r="B50" s="97" t="s">
        <v>19</v>
      </c>
      <c r="C50" s="93" t="s">
        <v>0</v>
      </c>
      <c r="D50" s="114" t="s">
        <v>20</v>
      </c>
      <c r="E50" s="87">
        <v>42</v>
      </c>
      <c r="F50" s="87">
        <v>42</v>
      </c>
      <c r="G50" s="87">
        <f t="shared" ref="G50:G52" si="40">(E50*8+F50*4)/12</f>
        <v>42</v>
      </c>
      <c r="H50" s="87">
        <v>42</v>
      </c>
      <c r="I50" s="87">
        <v>42</v>
      </c>
      <c r="J50" s="75">
        <v>41608.51</v>
      </c>
      <c r="K50" s="75">
        <v>11762.02</v>
      </c>
      <c r="L50" s="75">
        <v>28891.88</v>
      </c>
      <c r="M50" s="75">
        <f t="shared" si="7"/>
        <v>82262.41</v>
      </c>
      <c r="N50" s="75">
        <f>G50*J50</f>
        <v>1747557.4200000002</v>
      </c>
      <c r="O50" s="75">
        <f>G50*K50</f>
        <v>494004.84</v>
      </c>
      <c r="P50" s="75">
        <f>G50*L50</f>
        <v>1213458.96</v>
      </c>
      <c r="Q50" s="75">
        <f t="shared" si="2"/>
        <v>3455021.22</v>
      </c>
      <c r="R50" s="75">
        <f t="shared" si="3"/>
        <v>3455021.22</v>
      </c>
      <c r="S50" s="75">
        <f t="shared" si="4"/>
        <v>3455021.22</v>
      </c>
    </row>
    <row r="51" spans="1:19" x14ac:dyDescent="0.25">
      <c r="A51" s="88"/>
      <c r="B51" s="97" t="s">
        <v>24</v>
      </c>
      <c r="C51" s="97"/>
      <c r="D51" s="86" t="s">
        <v>20</v>
      </c>
      <c r="E51" s="87">
        <v>68</v>
      </c>
      <c r="F51" s="87">
        <v>68</v>
      </c>
      <c r="G51" s="87">
        <f t="shared" si="40"/>
        <v>68</v>
      </c>
      <c r="H51" s="87">
        <v>68</v>
      </c>
      <c r="I51" s="87">
        <v>68</v>
      </c>
      <c r="J51" s="75">
        <v>32991.18</v>
      </c>
      <c r="K51" s="75">
        <v>11762.02</v>
      </c>
      <c r="L51" s="75">
        <v>28891.88</v>
      </c>
      <c r="M51" s="75">
        <f t="shared" si="7"/>
        <v>73645.08</v>
      </c>
      <c r="N51" s="75">
        <f>G51*J51</f>
        <v>2243400.2400000002</v>
      </c>
      <c r="O51" s="75">
        <f t="shared" ref="O51:O53" si="41">G51*K51</f>
        <v>799817.36</v>
      </c>
      <c r="P51" s="75">
        <f t="shared" ref="P51:P52" si="42">G51*L51</f>
        <v>1964647.84</v>
      </c>
      <c r="Q51" s="75">
        <f t="shared" si="2"/>
        <v>5007865.4400000004</v>
      </c>
      <c r="R51" s="75">
        <f t="shared" si="3"/>
        <v>5007865.4400000004</v>
      </c>
      <c r="S51" s="75">
        <f t="shared" si="4"/>
        <v>5007865.4400000004</v>
      </c>
    </row>
    <row r="52" spans="1:19" ht="120" x14ac:dyDescent="0.25">
      <c r="A52" s="88"/>
      <c r="B52" s="97" t="s">
        <v>24</v>
      </c>
      <c r="C52" s="93" t="s">
        <v>162</v>
      </c>
      <c r="D52" s="114" t="s">
        <v>20</v>
      </c>
      <c r="E52" s="87">
        <v>50</v>
      </c>
      <c r="F52" s="87">
        <v>50</v>
      </c>
      <c r="G52" s="87">
        <f t="shared" si="40"/>
        <v>50</v>
      </c>
      <c r="H52" s="87">
        <v>50</v>
      </c>
      <c r="I52" s="87">
        <v>50</v>
      </c>
      <c r="J52" s="75">
        <v>48227.69</v>
      </c>
      <c r="K52" s="75" t="s">
        <v>163</v>
      </c>
      <c r="L52" s="75">
        <v>28891.88</v>
      </c>
      <c r="M52" s="75">
        <f t="shared" si="7"/>
        <v>88881.590000000011</v>
      </c>
      <c r="N52" s="75">
        <f>G52*J52</f>
        <v>2411384.5</v>
      </c>
      <c r="O52" s="75">
        <f t="shared" si="41"/>
        <v>588101</v>
      </c>
      <c r="P52" s="75">
        <f t="shared" si="42"/>
        <v>1444594</v>
      </c>
      <c r="Q52" s="75">
        <f t="shared" si="2"/>
        <v>4444079.5</v>
      </c>
      <c r="R52" s="75">
        <f t="shared" si="3"/>
        <v>4444079.5000000009</v>
      </c>
      <c r="S52" s="75">
        <f t="shared" si="4"/>
        <v>4444079.5000000009</v>
      </c>
    </row>
    <row r="53" spans="1:19" x14ac:dyDescent="0.25">
      <c r="A53" s="86"/>
      <c r="B53" s="86" t="s">
        <v>28</v>
      </c>
      <c r="C53" s="97"/>
      <c r="D53" s="86" t="s">
        <v>20</v>
      </c>
      <c r="E53" s="87">
        <f>E52+E51+E50</f>
        <v>160</v>
      </c>
      <c r="F53" s="87">
        <f>F52+F51+F50</f>
        <v>160</v>
      </c>
      <c r="G53" s="87">
        <f t="shared" ref="G53" si="43">(E53*8+F53*4)/12</f>
        <v>160</v>
      </c>
      <c r="H53" s="87">
        <f>H52+H51+H50</f>
        <v>160</v>
      </c>
      <c r="I53" s="87">
        <f>I52+I51+I50</f>
        <v>160</v>
      </c>
      <c r="J53" s="75" t="s">
        <v>23</v>
      </c>
      <c r="K53" s="75"/>
      <c r="L53" s="75">
        <v>26574.14</v>
      </c>
      <c r="M53" s="75">
        <f t="shared" si="7"/>
        <v>26574.14</v>
      </c>
      <c r="N53" s="75">
        <f t="shared" si="15"/>
        <v>0</v>
      </c>
      <c r="O53" s="75">
        <f t="shared" si="41"/>
        <v>0</v>
      </c>
      <c r="P53" s="75">
        <f>G53*L53</f>
        <v>4251862.4000000004</v>
      </c>
      <c r="Q53" s="75">
        <f t="shared" si="2"/>
        <v>4251862.4000000004</v>
      </c>
      <c r="R53" s="75">
        <f t="shared" si="3"/>
        <v>4251862.4000000004</v>
      </c>
      <c r="S53" s="75">
        <f t="shared" si="4"/>
        <v>4251862.4000000004</v>
      </c>
    </row>
    <row r="54" spans="1:19" x14ac:dyDescent="0.25">
      <c r="A54" s="115" t="s">
        <v>57</v>
      </c>
      <c r="B54" s="94"/>
      <c r="C54" s="94"/>
      <c r="D54" s="94"/>
      <c r="E54" s="92"/>
      <c r="F54" s="92"/>
      <c r="G54" s="92"/>
      <c r="H54" s="92"/>
      <c r="I54" s="92"/>
      <c r="J54" s="78"/>
      <c r="K54" s="78"/>
      <c r="L54" s="78"/>
      <c r="M54" s="78">
        <f t="shared" si="7"/>
        <v>0</v>
      </c>
      <c r="N54" s="78">
        <f t="shared" ref="N54:S54" si="44">N55+N63</f>
        <v>4796139.42</v>
      </c>
      <c r="O54" s="78">
        <f t="shared" si="44"/>
        <v>1270298.1600000001</v>
      </c>
      <c r="P54" s="78">
        <f t="shared" si="44"/>
        <v>5990330.1600000001</v>
      </c>
      <c r="Q54" s="78">
        <f t="shared" si="44"/>
        <v>12056767.740000002</v>
      </c>
      <c r="R54" s="78">
        <f t="shared" si="44"/>
        <v>12056767.740000002</v>
      </c>
      <c r="S54" s="78">
        <f t="shared" si="44"/>
        <v>12056767.740000002</v>
      </c>
    </row>
    <row r="55" spans="1:19" ht="85.5" x14ac:dyDescent="0.25">
      <c r="A55" s="83"/>
      <c r="B55" s="84" t="s">
        <v>76</v>
      </c>
      <c r="C55" s="136"/>
      <c r="D55" s="95"/>
      <c r="E55" s="68"/>
      <c r="F55" s="68"/>
      <c r="G55" s="68"/>
      <c r="H55" s="68"/>
      <c r="I55" s="68"/>
      <c r="J55" s="75"/>
      <c r="K55" s="75"/>
      <c r="L55" s="75"/>
      <c r="M55" s="75">
        <f t="shared" si="7"/>
        <v>0</v>
      </c>
      <c r="N55" s="75">
        <f>SUM(N56:N62)</f>
        <v>4796139.42</v>
      </c>
      <c r="O55" s="75">
        <f t="shared" ref="O55:S55" si="45">SUM(O56:O62)</f>
        <v>1270298.1600000001</v>
      </c>
      <c r="P55" s="75">
        <f t="shared" si="45"/>
        <v>3120323.04</v>
      </c>
      <c r="Q55" s="75">
        <f t="shared" si="45"/>
        <v>9186760.620000001</v>
      </c>
      <c r="R55" s="75">
        <f t="shared" si="45"/>
        <v>9186760.620000001</v>
      </c>
      <c r="S55" s="75">
        <f t="shared" si="45"/>
        <v>9186760.620000001</v>
      </c>
    </row>
    <row r="56" spans="1:19" ht="105" x14ac:dyDescent="0.25">
      <c r="A56" s="83"/>
      <c r="B56" s="97" t="s">
        <v>19</v>
      </c>
      <c r="C56" s="93" t="s">
        <v>0</v>
      </c>
      <c r="D56" s="114" t="s">
        <v>20</v>
      </c>
      <c r="E56" s="87">
        <v>40</v>
      </c>
      <c r="F56" s="87">
        <v>40</v>
      </c>
      <c r="G56" s="87">
        <f t="shared" ref="G56:G62" si="46">(E56*8+F56*4)/12</f>
        <v>40</v>
      </c>
      <c r="H56" s="87">
        <v>40</v>
      </c>
      <c r="I56" s="87">
        <v>40</v>
      </c>
      <c r="J56" s="75">
        <v>41608.51</v>
      </c>
      <c r="K56" s="75">
        <v>11762.02</v>
      </c>
      <c r="L56" s="75">
        <v>28891.88</v>
      </c>
      <c r="M56" s="75">
        <f t="shared" si="7"/>
        <v>82262.41</v>
      </c>
      <c r="N56" s="75">
        <f t="shared" ref="N56:N63" si="47">G56*J56</f>
        <v>1664340.4000000001</v>
      </c>
      <c r="O56" s="75">
        <f>G56*K56</f>
        <v>470480.80000000005</v>
      </c>
      <c r="P56" s="75">
        <f>G56*L56</f>
        <v>1155675.2</v>
      </c>
      <c r="Q56" s="75">
        <f t="shared" si="2"/>
        <v>3290496.4000000004</v>
      </c>
      <c r="R56" s="75">
        <f t="shared" si="3"/>
        <v>3290496.4000000004</v>
      </c>
      <c r="S56" s="75">
        <f t="shared" si="4"/>
        <v>3290496.4000000004</v>
      </c>
    </row>
    <row r="57" spans="1:19" x14ac:dyDescent="0.25">
      <c r="A57" s="88"/>
      <c r="B57" s="97" t="s">
        <v>24</v>
      </c>
      <c r="C57" s="97"/>
      <c r="D57" s="86" t="s">
        <v>20</v>
      </c>
      <c r="E57" s="87">
        <v>18</v>
      </c>
      <c r="F57" s="87">
        <v>18</v>
      </c>
      <c r="G57" s="87">
        <f t="shared" si="46"/>
        <v>18</v>
      </c>
      <c r="H57" s="87">
        <v>18</v>
      </c>
      <c r="I57" s="87">
        <v>18</v>
      </c>
      <c r="J57" s="75">
        <v>32991.18</v>
      </c>
      <c r="K57" s="75">
        <v>11762.02</v>
      </c>
      <c r="L57" s="75">
        <v>28891.88</v>
      </c>
      <c r="M57" s="75">
        <f t="shared" si="7"/>
        <v>73645.08</v>
      </c>
      <c r="N57" s="75">
        <f t="shared" si="47"/>
        <v>593841.24</v>
      </c>
      <c r="O57" s="75">
        <f t="shared" ref="O57:O63" si="48">G57*K57</f>
        <v>211716.36000000002</v>
      </c>
      <c r="P57" s="75">
        <f t="shared" ref="P57:P62" si="49">G57*L57</f>
        <v>520053.84</v>
      </c>
      <c r="Q57" s="75">
        <f t="shared" si="2"/>
        <v>1325611.44</v>
      </c>
      <c r="R57" s="75">
        <f t="shared" si="3"/>
        <v>1325611.44</v>
      </c>
      <c r="S57" s="75">
        <f t="shared" si="4"/>
        <v>1325611.44</v>
      </c>
    </row>
    <row r="58" spans="1:19" ht="51.75" customHeight="1" x14ac:dyDescent="0.25">
      <c r="A58" s="83"/>
      <c r="B58" s="97" t="s">
        <v>191</v>
      </c>
      <c r="C58" s="191" t="s">
        <v>78</v>
      </c>
      <c r="D58" s="194" t="s">
        <v>20</v>
      </c>
      <c r="E58" s="87">
        <v>0</v>
      </c>
      <c r="F58" s="87">
        <v>0</v>
      </c>
      <c r="G58" s="87">
        <f>(E58*8+F58*4)/12</f>
        <v>0</v>
      </c>
      <c r="H58" s="87">
        <v>0</v>
      </c>
      <c r="I58" s="87">
        <v>0</v>
      </c>
      <c r="J58" s="75">
        <v>1993.28</v>
      </c>
      <c r="K58" s="75"/>
      <c r="L58" s="75"/>
      <c r="M58" s="75">
        <f>J58+K58+L58</f>
        <v>1993.28</v>
      </c>
      <c r="N58" s="75">
        <f t="shared" si="47"/>
        <v>0</v>
      </c>
      <c r="O58" s="75">
        <f>G58*K58</f>
        <v>0</v>
      </c>
      <c r="P58" s="75">
        <f>G58*L58</f>
        <v>0</v>
      </c>
      <c r="Q58" s="75">
        <f>SUM(N58:P58)</f>
        <v>0</v>
      </c>
      <c r="R58" s="75">
        <f>H58*M58</f>
        <v>0</v>
      </c>
      <c r="S58" s="75">
        <f>I58*M58</f>
        <v>0</v>
      </c>
    </row>
    <row r="59" spans="1:19" x14ac:dyDescent="0.25">
      <c r="A59" s="83"/>
      <c r="B59" s="97" t="s">
        <v>192</v>
      </c>
      <c r="C59" s="192"/>
      <c r="D59" s="195"/>
      <c r="E59" s="87">
        <v>18</v>
      </c>
      <c r="F59" s="87">
        <v>18</v>
      </c>
      <c r="G59" s="87">
        <f>(E59*8+F59*4)/12</f>
        <v>18</v>
      </c>
      <c r="H59" s="87">
        <v>18</v>
      </c>
      <c r="I59" s="87">
        <v>18</v>
      </c>
      <c r="J59" s="75">
        <v>1494.96</v>
      </c>
      <c r="K59" s="75"/>
      <c r="L59" s="75"/>
      <c r="M59" s="75">
        <f>J59+K59+L59</f>
        <v>1494.96</v>
      </c>
      <c r="N59" s="75">
        <f t="shared" si="47"/>
        <v>26909.279999999999</v>
      </c>
      <c r="O59" s="75">
        <f>G59*K59</f>
        <v>0</v>
      </c>
      <c r="P59" s="75">
        <f>G59*L59</f>
        <v>0</v>
      </c>
      <c r="Q59" s="75">
        <f>SUM(N59:P59)</f>
        <v>26909.279999999999</v>
      </c>
      <c r="R59" s="75">
        <f>H59*M59</f>
        <v>26909.279999999999</v>
      </c>
      <c r="S59" s="75">
        <f>I59*M59</f>
        <v>26909.279999999999</v>
      </c>
    </row>
    <row r="60" spans="1:19" x14ac:dyDescent="0.25">
      <c r="A60" s="83"/>
      <c r="B60" s="97" t="s">
        <v>193</v>
      </c>
      <c r="C60" s="193"/>
      <c r="D60" s="196"/>
      <c r="E60" s="87">
        <v>0</v>
      </c>
      <c r="F60" s="87">
        <v>0</v>
      </c>
      <c r="G60" s="87">
        <f>(E60*8+F60*4)/12</f>
        <v>0</v>
      </c>
      <c r="H60" s="87">
        <v>0</v>
      </c>
      <c r="I60" s="87">
        <v>0</v>
      </c>
      <c r="J60" s="75">
        <v>2989.91</v>
      </c>
      <c r="K60" s="75"/>
      <c r="L60" s="75"/>
      <c r="M60" s="75">
        <f>J60+K60+L60</f>
        <v>2989.91</v>
      </c>
      <c r="N60" s="75">
        <f t="shared" si="47"/>
        <v>0</v>
      </c>
      <c r="O60" s="75">
        <f>G60*K60</f>
        <v>0</v>
      </c>
      <c r="P60" s="75">
        <f>G60*L60</f>
        <v>0</v>
      </c>
      <c r="Q60" s="75">
        <f>SUM(N60:P60)</f>
        <v>0</v>
      </c>
      <c r="R60" s="75">
        <f>H60*M60</f>
        <v>0</v>
      </c>
      <c r="S60" s="75">
        <f>I60*M60</f>
        <v>0</v>
      </c>
    </row>
    <row r="61" spans="1:19" ht="75" x14ac:dyDescent="0.25">
      <c r="A61" s="83"/>
      <c r="B61" s="97" t="s">
        <v>192</v>
      </c>
      <c r="C61" s="137" t="s">
        <v>194</v>
      </c>
      <c r="D61" s="86" t="s">
        <v>20</v>
      </c>
      <c r="E61" s="87">
        <v>50</v>
      </c>
      <c r="F61" s="87">
        <v>50</v>
      </c>
      <c r="G61" s="87">
        <f>(E61*8+F61*4)/12</f>
        <v>50</v>
      </c>
      <c r="H61" s="87">
        <v>50</v>
      </c>
      <c r="I61" s="87">
        <v>50</v>
      </c>
      <c r="J61" s="75">
        <v>1993.28</v>
      </c>
      <c r="K61" s="75"/>
      <c r="L61" s="75"/>
      <c r="M61" s="75">
        <f>J61+K61+L61</f>
        <v>1993.28</v>
      </c>
      <c r="N61" s="75">
        <f t="shared" si="47"/>
        <v>99664</v>
      </c>
      <c r="O61" s="75">
        <f>G61*K61</f>
        <v>0</v>
      </c>
      <c r="P61" s="75">
        <f>G61*L61</f>
        <v>0</v>
      </c>
      <c r="Q61" s="75">
        <f>SUM(N61:P61)</f>
        <v>99664</v>
      </c>
      <c r="R61" s="75">
        <f>H61*M61</f>
        <v>99664</v>
      </c>
      <c r="S61" s="75">
        <f>I61*M61</f>
        <v>99664</v>
      </c>
    </row>
    <row r="62" spans="1:19" ht="120" x14ac:dyDescent="0.25">
      <c r="A62" s="83"/>
      <c r="B62" s="97" t="s">
        <v>24</v>
      </c>
      <c r="C62" s="93" t="s">
        <v>162</v>
      </c>
      <c r="D62" s="114" t="s">
        <v>20</v>
      </c>
      <c r="E62" s="87">
        <v>50</v>
      </c>
      <c r="F62" s="87">
        <v>50</v>
      </c>
      <c r="G62" s="87">
        <f t="shared" si="46"/>
        <v>50</v>
      </c>
      <c r="H62" s="87">
        <v>50</v>
      </c>
      <c r="I62" s="87">
        <v>50</v>
      </c>
      <c r="J62" s="75">
        <v>48227.69</v>
      </c>
      <c r="K62" s="75" t="s">
        <v>163</v>
      </c>
      <c r="L62" s="75">
        <v>28891.88</v>
      </c>
      <c r="M62" s="75">
        <f t="shared" ref="M62" si="50">J62+K62+L62</f>
        <v>88881.590000000011</v>
      </c>
      <c r="N62" s="75">
        <f t="shared" si="47"/>
        <v>2411384.5</v>
      </c>
      <c r="O62" s="75">
        <f t="shared" si="48"/>
        <v>588101</v>
      </c>
      <c r="P62" s="75">
        <f t="shared" si="49"/>
        <v>1444594</v>
      </c>
      <c r="Q62" s="75">
        <f t="shared" si="2"/>
        <v>4444079.5</v>
      </c>
      <c r="R62" s="75">
        <f t="shared" ref="R62" si="51">H62*M62</f>
        <v>4444079.5000000009</v>
      </c>
      <c r="S62" s="75">
        <f t="shared" ref="S62" si="52">I62*M62</f>
        <v>4444079.5000000009</v>
      </c>
    </row>
    <row r="63" spans="1:19" x14ac:dyDescent="0.25">
      <c r="A63" s="86"/>
      <c r="B63" s="86" t="s">
        <v>28</v>
      </c>
      <c r="C63" s="97"/>
      <c r="D63" s="86" t="s">
        <v>20</v>
      </c>
      <c r="E63" s="87">
        <f>E62+E57+E56</f>
        <v>108</v>
      </c>
      <c r="F63" s="87">
        <f>F62+F57+F56</f>
        <v>108</v>
      </c>
      <c r="G63" s="87">
        <f>(E63*8+F63*4)/12</f>
        <v>108</v>
      </c>
      <c r="H63" s="87">
        <f>H62+H57+H56</f>
        <v>108</v>
      </c>
      <c r="I63" s="87">
        <f>I62+I57+I56</f>
        <v>108</v>
      </c>
      <c r="J63" s="75" t="s">
        <v>23</v>
      </c>
      <c r="K63" s="75"/>
      <c r="L63" s="75">
        <v>26574.14</v>
      </c>
      <c r="M63" s="75">
        <f t="shared" si="7"/>
        <v>26574.14</v>
      </c>
      <c r="N63" s="75">
        <f t="shared" si="47"/>
        <v>0</v>
      </c>
      <c r="O63" s="75">
        <f t="shared" si="48"/>
        <v>0</v>
      </c>
      <c r="P63" s="75">
        <f>G63*L63</f>
        <v>2870007.12</v>
      </c>
      <c r="Q63" s="75">
        <f t="shared" si="2"/>
        <v>2870007.12</v>
      </c>
      <c r="R63" s="75">
        <f t="shared" si="3"/>
        <v>2870007.12</v>
      </c>
      <c r="S63" s="75">
        <f t="shared" si="4"/>
        <v>2870007.12</v>
      </c>
    </row>
    <row r="64" spans="1:19" x14ac:dyDescent="0.25">
      <c r="A64" s="115" t="s">
        <v>61</v>
      </c>
      <c r="B64" s="94"/>
      <c r="C64" s="94"/>
      <c r="D64" s="94"/>
      <c r="E64" s="92"/>
      <c r="F64" s="92"/>
      <c r="G64" s="92"/>
      <c r="H64" s="92"/>
      <c r="I64" s="92"/>
      <c r="J64" s="78"/>
      <c r="K64" s="78"/>
      <c r="L64" s="78"/>
      <c r="M64" s="78">
        <f t="shared" si="7"/>
        <v>0</v>
      </c>
      <c r="N64" s="78">
        <f t="shared" ref="N64:S64" si="53">N65+N74</f>
        <v>9965628.5799999982</v>
      </c>
      <c r="O64" s="78">
        <f t="shared" si="53"/>
        <v>2717026.62</v>
      </c>
      <c r="P64" s="78">
        <f t="shared" si="53"/>
        <v>12812650.620000001</v>
      </c>
      <c r="Q64" s="78">
        <f t="shared" si="53"/>
        <v>25495305.82</v>
      </c>
      <c r="R64" s="78">
        <f t="shared" si="53"/>
        <v>25495305.82</v>
      </c>
      <c r="S64" s="78">
        <f t="shared" si="53"/>
        <v>25495305.82</v>
      </c>
    </row>
    <row r="65" spans="1:19" ht="85.5" x14ac:dyDescent="0.25">
      <c r="A65" s="83"/>
      <c r="B65" s="84" t="s">
        <v>76</v>
      </c>
      <c r="C65" s="136"/>
      <c r="D65" s="95"/>
      <c r="E65" s="68"/>
      <c r="F65" s="68"/>
      <c r="G65" s="68"/>
      <c r="H65" s="68"/>
      <c r="I65" s="68"/>
      <c r="J65" s="75"/>
      <c r="K65" s="75"/>
      <c r="L65" s="75"/>
      <c r="M65" s="75">
        <f>J65+K65+L65</f>
        <v>0</v>
      </c>
      <c r="N65" s="75">
        <f>SUM(N66:N73)</f>
        <v>9965628.5799999982</v>
      </c>
      <c r="O65" s="75">
        <f t="shared" ref="O65:S65" si="54">SUM(O66:O73)</f>
        <v>2717026.62</v>
      </c>
      <c r="P65" s="75">
        <f t="shared" si="54"/>
        <v>6674024.2800000003</v>
      </c>
      <c r="Q65" s="75">
        <f t="shared" si="54"/>
        <v>19356679.48</v>
      </c>
      <c r="R65" s="75">
        <f t="shared" si="54"/>
        <v>19356679.48</v>
      </c>
      <c r="S65" s="75">
        <f t="shared" si="54"/>
        <v>19356679.48</v>
      </c>
    </row>
    <row r="66" spans="1:19" ht="105" x14ac:dyDescent="0.25">
      <c r="A66" s="83"/>
      <c r="B66" s="97" t="s">
        <v>19</v>
      </c>
      <c r="C66" s="93" t="s">
        <v>0</v>
      </c>
      <c r="D66" s="114" t="s">
        <v>20</v>
      </c>
      <c r="E66" s="87">
        <v>60</v>
      </c>
      <c r="F66" s="87">
        <v>60</v>
      </c>
      <c r="G66" s="87">
        <f t="shared" ref="G66:G73" si="55">(E66*8+F66*4)/12</f>
        <v>60</v>
      </c>
      <c r="H66" s="87">
        <v>60</v>
      </c>
      <c r="I66" s="87">
        <v>60</v>
      </c>
      <c r="J66" s="75">
        <v>41608.51</v>
      </c>
      <c r="K66" s="75">
        <v>11762.02</v>
      </c>
      <c r="L66" s="75">
        <v>28891.88</v>
      </c>
      <c r="M66" s="75">
        <f t="shared" si="7"/>
        <v>82262.41</v>
      </c>
      <c r="N66" s="75">
        <f>G66*J66</f>
        <v>2496510.6</v>
      </c>
      <c r="O66" s="75">
        <f>G66*K66</f>
        <v>705721.20000000007</v>
      </c>
      <c r="P66" s="75">
        <f>G66*L66</f>
        <v>1733512.8</v>
      </c>
      <c r="Q66" s="75">
        <f t="shared" si="2"/>
        <v>4935744.6000000006</v>
      </c>
      <c r="R66" s="75">
        <f t="shared" si="3"/>
        <v>4935744.6000000006</v>
      </c>
      <c r="S66" s="75">
        <f t="shared" si="4"/>
        <v>4935744.6000000006</v>
      </c>
    </row>
    <row r="67" spans="1:19" x14ac:dyDescent="0.25">
      <c r="A67" s="88"/>
      <c r="B67" s="97" t="s">
        <v>24</v>
      </c>
      <c r="C67" s="97"/>
      <c r="D67" s="86" t="s">
        <v>20</v>
      </c>
      <c r="E67" s="87">
        <v>71</v>
      </c>
      <c r="F67" s="87">
        <v>71</v>
      </c>
      <c r="G67" s="87">
        <f t="shared" si="55"/>
        <v>71</v>
      </c>
      <c r="H67" s="87">
        <v>71</v>
      </c>
      <c r="I67" s="87">
        <v>71</v>
      </c>
      <c r="J67" s="75">
        <v>32991.18</v>
      </c>
      <c r="K67" s="75">
        <v>11762.02</v>
      </c>
      <c r="L67" s="75">
        <v>28891.88</v>
      </c>
      <c r="M67" s="75">
        <f>J67+K67+L67</f>
        <v>73645.08</v>
      </c>
      <c r="N67" s="75">
        <f>G67*J67</f>
        <v>2342373.7799999998</v>
      </c>
      <c r="O67" s="75">
        <f t="shared" ref="O67:O74" si="56">G67*K67</f>
        <v>835103.42</v>
      </c>
      <c r="P67" s="75">
        <f t="shared" ref="P67:P70" si="57">G67*L67</f>
        <v>2051323.48</v>
      </c>
      <c r="Q67" s="75">
        <f t="shared" si="2"/>
        <v>5228800.68</v>
      </c>
      <c r="R67" s="75">
        <f t="shared" si="3"/>
        <v>5228800.68</v>
      </c>
      <c r="S67" s="75">
        <f t="shared" si="4"/>
        <v>5228800.68</v>
      </c>
    </row>
    <row r="68" spans="1:19" ht="120" x14ac:dyDescent="0.25">
      <c r="A68" s="88"/>
      <c r="B68" s="97" t="s">
        <v>24</v>
      </c>
      <c r="C68" s="93" t="s">
        <v>190</v>
      </c>
      <c r="D68" s="86"/>
      <c r="E68" s="87">
        <v>0</v>
      </c>
      <c r="F68" s="87">
        <v>0</v>
      </c>
      <c r="G68" s="87">
        <f>(E68*8+F68*4)/12</f>
        <v>0</v>
      </c>
      <c r="H68" s="87">
        <v>0</v>
      </c>
      <c r="I68" s="87">
        <v>0</v>
      </c>
      <c r="J68" s="75">
        <v>64822.96</v>
      </c>
      <c r="K68" s="75">
        <v>11762.02</v>
      </c>
      <c r="L68" s="75">
        <v>28891.88</v>
      </c>
      <c r="M68" s="75">
        <f>J68+K68+L68</f>
        <v>105476.86</v>
      </c>
      <c r="N68" s="75">
        <f>G68*J68</f>
        <v>0</v>
      </c>
      <c r="O68" s="75">
        <f t="shared" ref="O68" si="58">G68*K68</f>
        <v>0</v>
      </c>
      <c r="P68" s="75">
        <f t="shared" ref="P68" si="59">G68*L68</f>
        <v>0</v>
      </c>
      <c r="Q68" s="75">
        <f t="shared" ref="Q68" si="60">SUM(N68:P68)</f>
        <v>0</v>
      </c>
      <c r="R68" s="75">
        <f t="shared" ref="R68" si="61">H68*M68</f>
        <v>0</v>
      </c>
      <c r="S68" s="75">
        <f t="shared" ref="S68" si="62">I68*M68</f>
        <v>0</v>
      </c>
    </row>
    <row r="69" spans="1:19" ht="120" x14ac:dyDescent="0.25">
      <c r="A69" s="88"/>
      <c r="B69" s="97" t="s">
        <v>24</v>
      </c>
      <c r="C69" s="133" t="s">
        <v>162</v>
      </c>
      <c r="D69" s="114" t="s">
        <v>20</v>
      </c>
      <c r="E69" s="87">
        <v>100</v>
      </c>
      <c r="F69" s="87">
        <v>100</v>
      </c>
      <c r="G69" s="87">
        <f t="shared" si="55"/>
        <v>100</v>
      </c>
      <c r="H69" s="87">
        <v>100</v>
      </c>
      <c r="I69" s="87">
        <v>100</v>
      </c>
      <c r="J69" s="75">
        <v>48227.69</v>
      </c>
      <c r="K69" s="75" t="s">
        <v>163</v>
      </c>
      <c r="L69" s="75">
        <v>28891.88</v>
      </c>
      <c r="M69" s="75">
        <f t="shared" si="7"/>
        <v>88881.590000000011</v>
      </c>
      <c r="N69" s="75">
        <f t="shared" ref="N69:N74" si="63">G69*J69</f>
        <v>4822769</v>
      </c>
      <c r="O69" s="75">
        <f t="shared" si="56"/>
        <v>1176202</v>
      </c>
      <c r="P69" s="75">
        <f t="shared" si="57"/>
        <v>2889188</v>
      </c>
      <c r="Q69" s="75">
        <f t="shared" si="2"/>
        <v>8888159</v>
      </c>
      <c r="R69" s="75">
        <f t="shared" si="3"/>
        <v>8888159.0000000019</v>
      </c>
      <c r="S69" s="75">
        <f t="shared" si="4"/>
        <v>8888159.0000000019</v>
      </c>
    </row>
    <row r="70" spans="1:19" ht="75" x14ac:dyDescent="0.25">
      <c r="A70" s="83"/>
      <c r="B70" s="97" t="s">
        <v>191</v>
      </c>
      <c r="C70" s="93" t="s">
        <v>78</v>
      </c>
      <c r="D70" s="114" t="s">
        <v>20</v>
      </c>
      <c r="E70" s="87">
        <v>0</v>
      </c>
      <c r="F70" s="87">
        <v>0</v>
      </c>
      <c r="G70" s="87">
        <f t="shared" si="55"/>
        <v>0</v>
      </c>
      <c r="H70" s="87">
        <v>0</v>
      </c>
      <c r="I70" s="87">
        <v>0</v>
      </c>
      <c r="J70" s="75">
        <v>1993.28</v>
      </c>
      <c r="K70" s="75"/>
      <c r="L70" s="75"/>
      <c r="M70" s="75">
        <f t="shared" si="7"/>
        <v>1993.28</v>
      </c>
      <c r="N70" s="75">
        <f t="shared" si="63"/>
        <v>0</v>
      </c>
      <c r="O70" s="75">
        <f t="shared" si="56"/>
        <v>0</v>
      </c>
      <c r="P70" s="75">
        <f t="shared" si="57"/>
        <v>0</v>
      </c>
      <c r="Q70" s="75">
        <f t="shared" si="2"/>
        <v>0</v>
      </c>
      <c r="R70" s="75">
        <f t="shared" si="3"/>
        <v>0</v>
      </c>
      <c r="S70" s="75">
        <f t="shared" si="4"/>
        <v>0</v>
      </c>
    </row>
    <row r="71" spans="1:19" x14ac:dyDescent="0.25">
      <c r="A71" s="83"/>
      <c r="B71" s="97" t="s">
        <v>192</v>
      </c>
      <c r="C71" s="93"/>
      <c r="D71" s="134" t="s">
        <v>20</v>
      </c>
      <c r="E71" s="87">
        <v>70</v>
      </c>
      <c r="F71" s="87">
        <v>70</v>
      </c>
      <c r="G71" s="87">
        <f t="shared" si="55"/>
        <v>70</v>
      </c>
      <c r="H71" s="87">
        <v>70</v>
      </c>
      <c r="I71" s="87">
        <v>70</v>
      </c>
      <c r="J71" s="75">
        <v>1494.96</v>
      </c>
      <c r="K71" s="75"/>
      <c r="L71" s="75"/>
      <c r="M71" s="75">
        <f t="shared" ref="M71:M73" si="64">J71+K71+L71</f>
        <v>1494.96</v>
      </c>
      <c r="N71" s="75">
        <f t="shared" ref="N71:N73" si="65">G71*J71</f>
        <v>104647.2</v>
      </c>
      <c r="O71" s="75">
        <f t="shared" ref="O71:O73" si="66">G71*K71</f>
        <v>0</v>
      </c>
      <c r="P71" s="75">
        <f t="shared" ref="P71:P73" si="67">G71*L71</f>
        <v>0</v>
      </c>
      <c r="Q71" s="75">
        <f t="shared" ref="Q71:Q73" si="68">SUM(N71:P71)</f>
        <v>104647.2</v>
      </c>
      <c r="R71" s="75">
        <f t="shared" ref="R71:R73" si="69">H71*M71</f>
        <v>104647.2</v>
      </c>
      <c r="S71" s="75">
        <f t="shared" ref="S71:S73" si="70">I71*M71</f>
        <v>104647.2</v>
      </c>
    </row>
    <row r="72" spans="1:19" x14ac:dyDescent="0.25">
      <c r="A72" s="83"/>
      <c r="B72" s="97" t="s">
        <v>193</v>
      </c>
      <c r="C72" s="93"/>
      <c r="D72" s="134" t="s">
        <v>20</v>
      </c>
      <c r="E72" s="87">
        <v>0</v>
      </c>
      <c r="F72" s="87">
        <v>0</v>
      </c>
      <c r="G72" s="87">
        <f t="shared" si="55"/>
        <v>0</v>
      </c>
      <c r="H72" s="87">
        <v>0</v>
      </c>
      <c r="I72" s="87">
        <v>0</v>
      </c>
      <c r="J72" s="75">
        <v>2989.91</v>
      </c>
      <c r="K72" s="75"/>
      <c r="L72" s="75"/>
      <c r="M72" s="75">
        <f t="shared" si="64"/>
        <v>2989.91</v>
      </c>
      <c r="N72" s="75">
        <f t="shared" si="65"/>
        <v>0</v>
      </c>
      <c r="O72" s="75">
        <f t="shared" si="66"/>
        <v>0</v>
      </c>
      <c r="P72" s="75">
        <f t="shared" si="67"/>
        <v>0</v>
      </c>
      <c r="Q72" s="75">
        <f t="shared" si="68"/>
        <v>0</v>
      </c>
      <c r="R72" s="75">
        <f t="shared" si="69"/>
        <v>0</v>
      </c>
      <c r="S72" s="75">
        <f t="shared" si="70"/>
        <v>0</v>
      </c>
    </row>
    <row r="73" spans="1:19" ht="75" x14ac:dyDescent="0.25">
      <c r="A73" s="83"/>
      <c r="B73" s="97" t="s">
        <v>192</v>
      </c>
      <c r="C73" s="137" t="s">
        <v>194</v>
      </c>
      <c r="D73" s="134" t="s">
        <v>20</v>
      </c>
      <c r="E73" s="87">
        <v>100</v>
      </c>
      <c r="F73" s="87">
        <v>100</v>
      </c>
      <c r="G73" s="87">
        <f t="shared" si="55"/>
        <v>100</v>
      </c>
      <c r="H73" s="87">
        <v>100</v>
      </c>
      <c r="I73" s="87">
        <v>100</v>
      </c>
      <c r="J73" s="75">
        <v>1993.28</v>
      </c>
      <c r="K73" s="75"/>
      <c r="L73" s="75"/>
      <c r="M73" s="75">
        <f t="shared" si="64"/>
        <v>1993.28</v>
      </c>
      <c r="N73" s="75">
        <f t="shared" si="65"/>
        <v>199328</v>
      </c>
      <c r="O73" s="75">
        <f t="shared" si="66"/>
        <v>0</v>
      </c>
      <c r="P73" s="75">
        <f t="shared" si="67"/>
        <v>0</v>
      </c>
      <c r="Q73" s="75">
        <f t="shared" si="68"/>
        <v>199328</v>
      </c>
      <c r="R73" s="75">
        <f t="shared" si="69"/>
        <v>199328</v>
      </c>
      <c r="S73" s="75">
        <f t="shared" si="70"/>
        <v>199328</v>
      </c>
    </row>
    <row r="74" spans="1:19" x14ac:dyDescent="0.25">
      <c r="A74" s="86"/>
      <c r="B74" s="86" t="s">
        <v>28</v>
      </c>
      <c r="C74" s="97"/>
      <c r="D74" s="86" t="s">
        <v>20</v>
      </c>
      <c r="E74" s="87">
        <f>E69+E68+E67+E66</f>
        <v>231</v>
      </c>
      <c r="F74" s="87">
        <f>F69+F68+F67+F66</f>
        <v>231</v>
      </c>
      <c r="G74" s="87">
        <f>(E74*8+F74*4)/12</f>
        <v>231</v>
      </c>
      <c r="H74" s="87">
        <f>H69+H68+H67+H66</f>
        <v>231</v>
      </c>
      <c r="I74" s="87">
        <f>I69+I68+I67+I66</f>
        <v>231</v>
      </c>
      <c r="J74" s="75" t="s">
        <v>23</v>
      </c>
      <c r="K74" s="75"/>
      <c r="L74" s="75">
        <v>26574.14</v>
      </c>
      <c r="M74" s="75">
        <f t="shared" si="7"/>
        <v>26574.14</v>
      </c>
      <c r="N74" s="75">
        <f t="shared" si="63"/>
        <v>0</v>
      </c>
      <c r="O74" s="75">
        <f t="shared" si="56"/>
        <v>0</v>
      </c>
      <c r="P74" s="75">
        <f>G74*L74</f>
        <v>6138626.3399999999</v>
      </c>
      <c r="Q74" s="75">
        <f t="shared" si="2"/>
        <v>6138626.3399999999</v>
      </c>
      <c r="R74" s="75">
        <f t="shared" si="3"/>
        <v>6138626.3399999999</v>
      </c>
      <c r="S74" s="75">
        <f t="shared" si="4"/>
        <v>6138626.3399999999</v>
      </c>
    </row>
    <row r="75" spans="1:19" x14ac:dyDescent="0.25">
      <c r="A75" s="115" t="s">
        <v>65</v>
      </c>
      <c r="B75" s="94"/>
      <c r="C75" s="94"/>
      <c r="D75" s="94"/>
      <c r="E75" s="92"/>
      <c r="F75" s="92"/>
      <c r="G75" s="92"/>
      <c r="H75" s="92"/>
      <c r="I75" s="92"/>
      <c r="J75" s="78"/>
      <c r="K75" s="78"/>
      <c r="L75" s="78"/>
      <c r="M75" s="78">
        <f t="shared" si="7"/>
        <v>0</v>
      </c>
      <c r="N75" s="78">
        <f>N76+N80</f>
        <v>5223728.53</v>
      </c>
      <c r="O75" s="78">
        <f t="shared" ref="O75:S75" si="71">O76+O80</f>
        <v>1646682.8</v>
      </c>
      <c r="P75" s="78">
        <f t="shared" si="71"/>
        <v>7765242.8000000007</v>
      </c>
      <c r="Q75" s="78">
        <f t="shared" si="71"/>
        <v>14635654.130000001</v>
      </c>
      <c r="R75" s="78">
        <f t="shared" si="71"/>
        <v>14635654.130000001</v>
      </c>
      <c r="S75" s="78">
        <f t="shared" si="71"/>
        <v>14635654.130000001</v>
      </c>
    </row>
    <row r="76" spans="1:19" ht="85.5" x14ac:dyDescent="0.25">
      <c r="A76" s="83"/>
      <c r="B76" s="84" t="s">
        <v>76</v>
      </c>
      <c r="C76" s="136"/>
      <c r="D76" s="95"/>
      <c r="E76" s="68"/>
      <c r="F76" s="68"/>
      <c r="G76" s="68"/>
      <c r="H76" s="68"/>
      <c r="I76" s="68"/>
      <c r="J76" s="75"/>
      <c r="K76" s="75"/>
      <c r="L76" s="75"/>
      <c r="M76" s="75">
        <f t="shared" si="7"/>
        <v>0</v>
      </c>
      <c r="N76" s="75">
        <f>SUM(N77:N79)</f>
        <v>5223728.53</v>
      </c>
      <c r="O76" s="75">
        <f t="shared" ref="O76:S76" si="72">SUM(O77:O79)</f>
        <v>1646682.8</v>
      </c>
      <c r="P76" s="75">
        <f t="shared" si="72"/>
        <v>4044863.2</v>
      </c>
      <c r="Q76" s="75">
        <f t="shared" si="72"/>
        <v>10915274.530000001</v>
      </c>
      <c r="R76" s="75">
        <f t="shared" si="72"/>
        <v>10915274.530000001</v>
      </c>
      <c r="S76" s="75">
        <f t="shared" si="72"/>
        <v>10915274.530000001</v>
      </c>
    </row>
    <row r="77" spans="1:19" ht="105" x14ac:dyDescent="0.25">
      <c r="A77" s="83"/>
      <c r="B77" s="97" t="s">
        <v>19</v>
      </c>
      <c r="C77" s="93" t="s">
        <v>0</v>
      </c>
      <c r="D77" s="86" t="s">
        <v>20</v>
      </c>
      <c r="E77" s="87">
        <v>26</v>
      </c>
      <c r="F77" s="87">
        <v>26</v>
      </c>
      <c r="G77" s="87">
        <f t="shared" ref="G77:G80" si="73">(E77*8+F77*4)/12</f>
        <v>26</v>
      </c>
      <c r="H77" s="87">
        <v>26</v>
      </c>
      <c r="I77" s="87">
        <v>26</v>
      </c>
      <c r="J77" s="75">
        <v>41608.51</v>
      </c>
      <c r="K77" s="75">
        <v>11762.02</v>
      </c>
      <c r="L77" s="75">
        <v>28891.88</v>
      </c>
      <c r="M77" s="75">
        <f t="shared" si="7"/>
        <v>82262.41</v>
      </c>
      <c r="N77" s="75">
        <f>G77*J77</f>
        <v>1081821.26</v>
      </c>
      <c r="O77" s="75">
        <f>G77*K77</f>
        <v>305812.52</v>
      </c>
      <c r="P77" s="75">
        <f>G77*L77</f>
        <v>751188.88</v>
      </c>
      <c r="Q77" s="75">
        <f t="shared" si="2"/>
        <v>2138822.66</v>
      </c>
      <c r="R77" s="75">
        <f t="shared" si="3"/>
        <v>2138822.66</v>
      </c>
      <c r="S77" s="75">
        <f t="shared" si="4"/>
        <v>2138822.66</v>
      </c>
    </row>
    <row r="78" spans="1:19" x14ac:dyDescent="0.25">
      <c r="A78" s="88"/>
      <c r="B78" s="97" t="s">
        <v>24</v>
      </c>
      <c r="C78" s="97"/>
      <c r="D78" s="86" t="s">
        <v>20</v>
      </c>
      <c r="E78" s="87">
        <v>89</v>
      </c>
      <c r="F78" s="87">
        <v>89</v>
      </c>
      <c r="G78" s="87">
        <f t="shared" si="73"/>
        <v>89</v>
      </c>
      <c r="H78" s="87">
        <v>89</v>
      </c>
      <c r="I78" s="87">
        <v>89</v>
      </c>
      <c r="J78" s="75">
        <v>32991.18</v>
      </c>
      <c r="K78" s="75">
        <v>11762.02</v>
      </c>
      <c r="L78" s="75">
        <v>28891.88</v>
      </c>
      <c r="M78" s="75">
        <f t="shared" si="7"/>
        <v>73645.08</v>
      </c>
      <c r="N78" s="75">
        <f t="shared" ref="N78:N80" si="74">G78*J78</f>
        <v>2936215.02</v>
      </c>
      <c r="O78" s="75">
        <f t="shared" ref="O78:O80" si="75">G78*K78</f>
        <v>1046819.78</v>
      </c>
      <c r="P78" s="75">
        <f t="shared" ref="P78:P79" si="76">G78*L78</f>
        <v>2571377.3200000003</v>
      </c>
      <c r="Q78" s="75">
        <f t="shared" si="2"/>
        <v>6554412.1200000001</v>
      </c>
      <c r="R78" s="75">
        <f t="shared" si="3"/>
        <v>6554412.1200000001</v>
      </c>
      <c r="S78" s="75">
        <f t="shared" si="4"/>
        <v>6554412.1200000001</v>
      </c>
    </row>
    <row r="79" spans="1:19" ht="120" x14ac:dyDescent="0.25">
      <c r="A79" s="88"/>
      <c r="B79" s="97" t="s">
        <v>24</v>
      </c>
      <c r="C79" s="133" t="s">
        <v>162</v>
      </c>
      <c r="D79" s="114" t="s">
        <v>20</v>
      </c>
      <c r="E79" s="87">
        <v>25</v>
      </c>
      <c r="F79" s="87">
        <v>25</v>
      </c>
      <c r="G79" s="87">
        <f t="shared" si="73"/>
        <v>25</v>
      </c>
      <c r="H79" s="87">
        <v>25</v>
      </c>
      <c r="I79" s="87">
        <v>25</v>
      </c>
      <c r="J79" s="75">
        <v>48227.69</v>
      </c>
      <c r="K79" s="75" t="s">
        <v>163</v>
      </c>
      <c r="L79" s="75">
        <v>28891.88</v>
      </c>
      <c r="M79" s="75">
        <f t="shared" ref="M79" si="77">J79+K79+L79</f>
        <v>88881.590000000011</v>
      </c>
      <c r="N79" s="75">
        <f t="shared" si="74"/>
        <v>1205692.25</v>
      </c>
      <c r="O79" s="75">
        <f t="shared" si="75"/>
        <v>294050.5</v>
      </c>
      <c r="P79" s="75">
        <f t="shared" si="76"/>
        <v>722297</v>
      </c>
      <c r="Q79" s="75">
        <f t="shared" ref="Q79" si="78">SUM(N79:P79)</f>
        <v>2222039.75</v>
      </c>
      <c r="R79" s="75">
        <f t="shared" ref="R79" si="79">H79*M79</f>
        <v>2222039.7500000005</v>
      </c>
      <c r="S79" s="75">
        <f t="shared" ref="S79" si="80">I79*M79</f>
        <v>2222039.7500000005</v>
      </c>
    </row>
    <row r="80" spans="1:19" x14ac:dyDescent="0.25">
      <c r="A80" s="86"/>
      <c r="B80" s="86" t="s">
        <v>28</v>
      </c>
      <c r="C80" s="97"/>
      <c r="D80" s="86" t="s">
        <v>20</v>
      </c>
      <c r="E80" s="87">
        <f>E79+E78+E77</f>
        <v>140</v>
      </c>
      <c r="F80" s="87">
        <f>F79+F78+F77</f>
        <v>140</v>
      </c>
      <c r="G80" s="87">
        <f t="shared" si="73"/>
        <v>140</v>
      </c>
      <c r="H80" s="87">
        <f>H79+H78+H77</f>
        <v>140</v>
      </c>
      <c r="I80" s="87">
        <f>I79+I78+I77</f>
        <v>140</v>
      </c>
      <c r="J80" s="75" t="s">
        <v>23</v>
      </c>
      <c r="K80" s="75"/>
      <c r="L80" s="75">
        <v>26574.14</v>
      </c>
      <c r="M80" s="75">
        <f t="shared" si="7"/>
        <v>26574.14</v>
      </c>
      <c r="N80" s="75">
        <f t="shared" si="74"/>
        <v>0</v>
      </c>
      <c r="O80" s="75">
        <f t="shared" si="75"/>
        <v>0</v>
      </c>
      <c r="P80" s="75">
        <f>G80*L80</f>
        <v>3720379.6</v>
      </c>
      <c r="Q80" s="75">
        <f t="shared" si="2"/>
        <v>3720379.6</v>
      </c>
      <c r="R80" s="75">
        <f t="shared" si="3"/>
        <v>3720379.6</v>
      </c>
      <c r="S80" s="75">
        <f t="shared" si="4"/>
        <v>3720379.6</v>
      </c>
    </row>
    <row r="81" spans="1:19" x14ac:dyDescent="0.25">
      <c r="A81" s="115" t="s">
        <v>68</v>
      </c>
      <c r="B81" s="94"/>
      <c r="C81" s="94"/>
      <c r="D81" s="94"/>
      <c r="E81" s="92"/>
      <c r="F81" s="92"/>
      <c r="G81" s="92"/>
      <c r="H81" s="92"/>
      <c r="I81" s="92"/>
      <c r="J81" s="78"/>
      <c r="K81" s="78"/>
      <c r="L81" s="78"/>
      <c r="M81" s="78">
        <f t="shared" si="7"/>
        <v>0</v>
      </c>
      <c r="N81" s="78">
        <f>N82+N86</f>
        <v>5736606</v>
      </c>
      <c r="O81" s="78">
        <f t="shared" ref="O81:S81" si="81">O82+O86</f>
        <v>1693730.88</v>
      </c>
      <c r="P81" s="78">
        <f t="shared" si="81"/>
        <v>7987106.8800000008</v>
      </c>
      <c r="Q81" s="78">
        <f t="shared" si="81"/>
        <v>15417443.760000002</v>
      </c>
      <c r="R81" s="78">
        <f t="shared" si="81"/>
        <v>15417443.760000002</v>
      </c>
      <c r="S81" s="78">
        <f t="shared" si="81"/>
        <v>15417443.760000002</v>
      </c>
    </row>
    <row r="82" spans="1:19" ht="85.5" x14ac:dyDescent="0.25">
      <c r="A82" s="83"/>
      <c r="B82" s="84" t="s">
        <v>76</v>
      </c>
      <c r="C82" s="136"/>
      <c r="D82" s="95"/>
      <c r="E82" s="68"/>
      <c r="F82" s="68"/>
      <c r="G82" s="68"/>
      <c r="H82" s="68"/>
      <c r="I82" s="68"/>
      <c r="J82" s="75"/>
      <c r="K82" s="75"/>
      <c r="L82" s="75"/>
      <c r="M82" s="75">
        <f t="shared" si="7"/>
        <v>0</v>
      </c>
      <c r="N82" s="75">
        <f>SUM(N83:N85)</f>
        <v>5736606</v>
      </c>
      <c r="O82" s="75">
        <f>SUM(O83:O85)</f>
        <v>1693730.88</v>
      </c>
      <c r="P82" s="75">
        <f t="shared" ref="P82:S82" si="82">SUM(P83:P85)</f>
        <v>4160430.72</v>
      </c>
      <c r="Q82" s="75">
        <f t="shared" si="82"/>
        <v>11590767.600000001</v>
      </c>
      <c r="R82" s="75">
        <f t="shared" si="82"/>
        <v>11590767.600000001</v>
      </c>
      <c r="S82" s="75">
        <f t="shared" si="82"/>
        <v>11590767.600000001</v>
      </c>
    </row>
    <row r="83" spans="1:19" ht="105" x14ac:dyDescent="0.25">
      <c r="A83" s="83"/>
      <c r="B83" s="97" t="s">
        <v>19</v>
      </c>
      <c r="C83" s="93" t="s">
        <v>0</v>
      </c>
      <c r="D83" s="114" t="s">
        <v>20</v>
      </c>
      <c r="E83" s="87">
        <v>26</v>
      </c>
      <c r="F83" s="87">
        <v>26</v>
      </c>
      <c r="G83" s="87">
        <f t="shared" ref="G83:G86" si="83">(E83*8+F83*4)/12</f>
        <v>26</v>
      </c>
      <c r="H83" s="87">
        <v>26</v>
      </c>
      <c r="I83" s="87">
        <v>26</v>
      </c>
      <c r="J83" s="75">
        <v>41608.51</v>
      </c>
      <c r="K83" s="75">
        <v>11762.02</v>
      </c>
      <c r="L83" s="75">
        <v>28891.88</v>
      </c>
      <c r="M83" s="75">
        <f t="shared" si="7"/>
        <v>82262.41</v>
      </c>
      <c r="N83" s="75">
        <f>G83*J83</f>
        <v>1081821.26</v>
      </c>
      <c r="O83" s="75">
        <f>G83*K83</f>
        <v>305812.52</v>
      </c>
      <c r="P83" s="75">
        <f>G83*L83</f>
        <v>751188.88</v>
      </c>
      <c r="Q83" s="75">
        <f t="shared" si="2"/>
        <v>2138822.66</v>
      </c>
      <c r="R83" s="75">
        <f t="shared" si="3"/>
        <v>2138822.66</v>
      </c>
      <c r="S83" s="75">
        <f t="shared" si="4"/>
        <v>2138822.66</v>
      </c>
    </row>
    <row r="84" spans="1:19" x14ac:dyDescent="0.25">
      <c r="A84" s="88"/>
      <c r="B84" s="97" t="s">
        <v>24</v>
      </c>
      <c r="C84" s="97"/>
      <c r="D84" s="86" t="s">
        <v>20</v>
      </c>
      <c r="E84" s="87">
        <v>68</v>
      </c>
      <c r="F84" s="87">
        <v>68</v>
      </c>
      <c r="G84" s="87">
        <f t="shared" si="83"/>
        <v>68</v>
      </c>
      <c r="H84" s="87">
        <v>68</v>
      </c>
      <c r="I84" s="87">
        <v>68</v>
      </c>
      <c r="J84" s="75">
        <v>32991.18</v>
      </c>
      <c r="K84" s="75">
        <v>11762.02</v>
      </c>
      <c r="L84" s="75">
        <v>28891.88</v>
      </c>
      <c r="M84" s="75">
        <f t="shared" si="7"/>
        <v>73645.08</v>
      </c>
      <c r="N84" s="75">
        <f t="shared" ref="N84:N86" si="84">G84*J84</f>
        <v>2243400.2400000002</v>
      </c>
      <c r="O84" s="75">
        <f>G84*K84</f>
        <v>799817.36</v>
      </c>
      <c r="P84" s="75">
        <f t="shared" ref="P84:P85" si="85">G84*L84</f>
        <v>1964647.84</v>
      </c>
      <c r="Q84" s="75">
        <f t="shared" si="2"/>
        <v>5007865.4400000004</v>
      </c>
      <c r="R84" s="75">
        <f t="shared" si="3"/>
        <v>5007865.4400000004</v>
      </c>
      <c r="S84" s="75">
        <f t="shared" si="4"/>
        <v>5007865.4400000004</v>
      </c>
    </row>
    <row r="85" spans="1:19" ht="120" x14ac:dyDescent="0.25">
      <c r="A85" s="88"/>
      <c r="B85" s="97" t="s">
        <v>24</v>
      </c>
      <c r="C85" s="93" t="s">
        <v>162</v>
      </c>
      <c r="D85" s="114" t="s">
        <v>20</v>
      </c>
      <c r="E85" s="87">
        <v>50</v>
      </c>
      <c r="F85" s="87">
        <v>50</v>
      </c>
      <c r="G85" s="87">
        <f t="shared" si="83"/>
        <v>50</v>
      </c>
      <c r="H85" s="87">
        <v>50</v>
      </c>
      <c r="I85" s="87">
        <v>50</v>
      </c>
      <c r="J85" s="75">
        <v>48227.69</v>
      </c>
      <c r="K85" s="75" t="s">
        <v>163</v>
      </c>
      <c r="L85" s="75">
        <v>28891.88</v>
      </c>
      <c r="M85" s="75">
        <f t="shared" si="7"/>
        <v>88881.590000000011</v>
      </c>
      <c r="N85" s="75">
        <f t="shared" si="84"/>
        <v>2411384.5</v>
      </c>
      <c r="O85" s="75">
        <f>G85*K85</f>
        <v>588101</v>
      </c>
      <c r="P85" s="75">
        <f t="shared" si="85"/>
        <v>1444594</v>
      </c>
      <c r="Q85" s="75">
        <f t="shared" si="2"/>
        <v>4444079.5</v>
      </c>
      <c r="R85" s="75">
        <f t="shared" si="3"/>
        <v>4444079.5000000009</v>
      </c>
      <c r="S85" s="75">
        <f t="shared" si="4"/>
        <v>4444079.5000000009</v>
      </c>
    </row>
    <row r="86" spans="1:19" x14ac:dyDescent="0.25">
      <c r="A86" s="86"/>
      <c r="B86" s="86" t="s">
        <v>28</v>
      </c>
      <c r="C86" s="97"/>
      <c r="D86" s="86" t="s">
        <v>20</v>
      </c>
      <c r="E86" s="87">
        <f>E85+E84+E83</f>
        <v>144</v>
      </c>
      <c r="F86" s="87">
        <f>F85+F84+F83</f>
        <v>144</v>
      </c>
      <c r="G86" s="87">
        <f t="shared" si="83"/>
        <v>144</v>
      </c>
      <c r="H86" s="87">
        <f>H85+H84+H83</f>
        <v>144</v>
      </c>
      <c r="I86" s="87">
        <f>I85+I84+I83</f>
        <v>144</v>
      </c>
      <c r="J86" s="75" t="s">
        <v>23</v>
      </c>
      <c r="K86" s="75"/>
      <c r="L86" s="75">
        <v>26574.14</v>
      </c>
      <c r="M86" s="75">
        <f t="shared" si="7"/>
        <v>26574.14</v>
      </c>
      <c r="N86" s="75">
        <f t="shared" si="84"/>
        <v>0</v>
      </c>
      <c r="O86" s="75">
        <f t="shared" ref="O86" si="86">G86*K86</f>
        <v>0</v>
      </c>
      <c r="P86" s="75">
        <f>G86*L86</f>
        <v>3826676.16</v>
      </c>
      <c r="Q86" s="75">
        <f t="shared" si="2"/>
        <v>3826676.16</v>
      </c>
      <c r="R86" s="75">
        <f t="shared" si="3"/>
        <v>3826676.16</v>
      </c>
      <c r="S86" s="75">
        <f t="shared" si="4"/>
        <v>3826676.16</v>
      </c>
    </row>
    <row r="87" spans="1:19" s="96" customFormat="1" ht="14.25" x14ac:dyDescent="0.2">
      <c r="A87" s="115" t="s">
        <v>71</v>
      </c>
      <c r="B87" s="94"/>
      <c r="C87" s="94"/>
      <c r="D87" s="94"/>
      <c r="E87" s="92"/>
      <c r="F87" s="92"/>
      <c r="G87" s="92"/>
      <c r="H87" s="92"/>
      <c r="I87" s="92"/>
      <c r="J87" s="78"/>
      <c r="K87" s="78"/>
      <c r="L87" s="78"/>
      <c r="M87" s="78">
        <f t="shared" si="7"/>
        <v>0</v>
      </c>
      <c r="N87" s="78">
        <f>N88+N92</f>
        <v>10044747.300000001</v>
      </c>
      <c r="O87" s="78">
        <f t="shared" ref="O87:S87" si="87">O88+O92</f>
        <v>2822884.8</v>
      </c>
      <c r="P87" s="78">
        <f t="shared" si="87"/>
        <v>13311844.800000001</v>
      </c>
      <c r="Q87" s="78">
        <f t="shared" si="87"/>
        <v>26179476.899999999</v>
      </c>
      <c r="R87" s="78">
        <f t="shared" si="87"/>
        <v>26179476.900000006</v>
      </c>
      <c r="S87" s="78">
        <f t="shared" si="87"/>
        <v>26179476.900000006</v>
      </c>
    </row>
    <row r="88" spans="1:19" ht="85.5" x14ac:dyDescent="0.25">
      <c r="A88" s="83"/>
      <c r="B88" s="84" t="s">
        <v>76</v>
      </c>
      <c r="C88" s="136"/>
      <c r="D88" s="95"/>
      <c r="E88" s="68"/>
      <c r="F88" s="68"/>
      <c r="G88" s="68"/>
      <c r="H88" s="68"/>
      <c r="I88" s="68"/>
      <c r="J88" s="75"/>
      <c r="K88" s="75"/>
      <c r="L88" s="75"/>
      <c r="M88" s="75">
        <f t="shared" ref="M88:M92" si="88">J88+K88+L88</f>
        <v>0</v>
      </c>
      <c r="N88" s="75">
        <f>SUM(N89:N91)</f>
        <v>10044747.300000001</v>
      </c>
      <c r="O88" s="75">
        <f t="shared" ref="O88:S88" si="89">SUM(O89:O91)</f>
        <v>2822884.8</v>
      </c>
      <c r="P88" s="75">
        <f t="shared" si="89"/>
        <v>6934051.2000000002</v>
      </c>
      <c r="Q88" s="75">
        <f>SUM(Q89:Q91)</f>
        <v>19801683.300000001</v>
      </c>
      <c r="R88" s="75">
        <f t="shared" si="89"/>
        <v>19801683.300000004</v>
      </c>
      <c r="S88" s="75">
        <f t="shared" si="89"/>
        <v>19801683.300000004</v>
      </c>
    </row>
    <row r="89" spans="1:19" ht="105" x14ac:dyDescent="0.25">
      <c r="A89" s="83"/>
      <c r="B89" s="97" t="s">
        <v>19</v>
      </c>
      <c r="C89" s="93" t="s">
        <v>0</v>
      </c>
      <c r="D89" s="114" t="s">
        <v>20</v>
      </c>
      <c r="E89" s="87">
        <v>70</v>
      </c>
      <c r="F89" s="87">
        <v>70</v>
      </c>
      <c r="G89" s="87">
        <f t="shared" ref="G89:G92" si="90">(E89*8+F89*4)/12</f>
        <v>70</v>
      </c>
      <c r="H89" s="87">
        <v>70</v>
      </c>
      <c r="I89" s="87">
        <v>70</v>
      </c>
      <c r="J89" s="75">
        <v>41608.51</v>
      </c>
      <c r="K89" s="75">
        <v>11762.02</v>
      </c>
      <c r="L89" s="75">
        <v>28891.88</v>
      </c>
      <c r="M89" s="75">
        <f t="shared" si="88"/>
        <v>82262.41</v>
      </c>
      <c r="N89" s="75">
        <f>G89*J89</f>
        <v>2912595.7</v>
      </c>
      <c r="O89" s="75">
        <f>G89*K89</f>
        <v>823341.4</v>
      </c>
      <c r="P89" s="75">
        <f>G89*L89</f>
        <v>2022431.6</v>
      </c>
      <c r="Q89" s="75">
        <f t="shared" ref="Q89:Q92" si="91">SUM(N89:P89)</f>
        <v>5758368.7000000002</v>
      </c>
      <c r="R89" s="75">
        <f t="shared" ref="R89:R92" si="92">H89*M89</f>
        <v>5758368.7000000002</v>
      </c>
      <c r="S89" s="75">
        <f t="shared" ref="S89:S92" si="93">I89*M89</f>
        <v>5758368.7000000002</v>
      </c>
    </row>
    <row r="90" spans="1:19" x14ac:dyDescent="0.25">
      <c r="A90" s="88"/>
      <c r="B90" s="97" t="s">
        <v>24</v>
      </c>
      <c r="C90" s="97"/>
      <c r="D90" s="86" t="s">
        <v>20</v>
      </c>
      <c r="E90" s="87">
        <v>70</v>
      </c>
      <c r="F90" s="87">
        <v>70</v>
      </c>
      <c r="G90" s="87">
        <f t="shared" si="90"/>
        <v>70</v>
      </c>
      <c r="H90" s="87">
        <v>70</v>
      </c>
      <c r="I90" s="87">
        <v>70</v>
      </c>
      <c r="J90" s="75">
        <v>32991.18</v>
      </c>
      <c r="K90" s="75">
        <v>11762.02</v>
      </c>
      <c r="L90" s="75">
        <v>28891.88</v>
      </c>
      <c r="M90" s="75">
        <f t="shared" si="88"/>
        <v>73645.08</v>
      </c>
      <c r="N90" s="75">
        <f t="shared" ref="N90:N92" si="94">G90*J90</f>
        <v>2309382.6</v>
      </c>
      <c r="O90" s="75">
        <f t="shared" ref="O90:O92" si="95">G90*K90</f>
        <v>823341.4</v>
      </c>
      <c r="P90" s="75">
        <f t="shared" ref="P90:P91" si="96">G90*L90</f>
        <v>2022431.6</v>
      </c>
      <c r="Q90" s="75">
        <f t="shared" si="91"/>
        <v>5155155.5999999996</v>
      </c>
      <c r="R90" s="75">
        <f t="shared" si="92"/>
        <v>5155155.6000000006</v>
      </c>
      <c r="S90" s="75">
        <f t="shared" si="93"/>
        <v>5155155.6000000006</v>
      </c>
    </row>
    <row r="91" spans="1:19" ht="120" x14ac:dyDescent="0.25">
      <c r="A91" s="88"/>
      <c r="B91" s="97" t="s">
        <v>24</v>
      </c>
      <c r="C91" s="93" t="s">
        <v>162</v>
      </c>
      <c r="D91" s="114" t="s">
        <v>20</v>
      </c>
      <c r="E91" s="87">
        <v>100</v>
      </c>
      <c r="F91" s="87">
        <v>100</v>
      </c>
      <c r="G91" s="87">
        <f t="shared" si="90"/>
        <v>100</v>
      </c>
      <c r="H91" s="87">
        <v>100</v>
      </c>
      <c r="I91" s="87">
        <v>100</v>
      </c>
      <c r="J91" s="75">
        <v>48227.69</v>
      </c>
      <c r="K91" s="75" t="s">
        <v>163</v>
      </c>
      <c r="L91" s="75">
        <v>28891.88</v>
      </c>
      <c r="M91" s="75">
        <f t="shared" si="88"/>
        <v>88881.590000000011</v>
      </c>
      <c r="N91" s="75">
        <f t="shared" si="94"/>
        <v>4822769</v>
      </c>
      <c r="O91" s="75">
        <f t="shared" si="95"/>
        <v>1176202</v>
      </c>
      <c r="P91" s="75">
        <f t="shared" si="96"/>
        <v>2889188</v>
      </c>
      <c r="Q91" s="75">
        <f t="shared" si="91"/>
        <v>8888159</v>
      </c>
      <c r="R91" s="75">
        <f t="shared" si="92"/>
        <v>8888159.0000000019</v>
      </c>
      <c r="S91" s="75">
        <f t="shared" si="93"/>
        <v>8888159.0000000019</v>
      </c>
    </row>
    <row r="92" spans="1:19" x14ac:dyDescent="0.25">
      <c r="A92" s="86"/>
      <c r="B92" s="97" t="s">
        <v>75</v>
      </c>
      <c r="C92" s="97"/>
      <c r="D92" s="86" t="s">
        <v>20</v>
      </c>
      <c r="E92" s="87">
        <f>E91+E90+E89</f>
        <v>240</v>
      </c>
      <c r="F92" s="87">
        <f>F91+F90+F89</f>
        <v>240</v>
      </c>
      <c r="G92" s="87">
        <f t="shared" si="90"/>
        <v>240</v>
      </c>
      <c r="H92" s="87">
        <f>H91+H90+H89</f>
        <v>240</v>
      </c>
      <c r="I92" s="87">
        <f>I91+I90+I89</f>
        <v>240</v>
      </c>
      <c r="J92" s="75" t="s">
        <v>23</v>
      </c>
      <c r="K92" s="75"/>
      <c r="L92" s="75">
        <v>26574.14</v>
      </c>
      <c r="M92" s="75">
        <f t="shared" si="88"/>
        <v>26574.14</v>
      </c>
      <c r="N92" s="75">
        <f t="shared" si="94"/>
        <v>0</v>
      </c>
      <c r="O92" s="75">
        <f t="shared" si="95"/>
        <v>0</v>
      </c>
      <c r="P92" s="75">
        <f>G92*L92</f>
        <v>6377793.5999999996</v>
      </c>
      <c r="Q92" s="75">
        <f t="shared" si="91"/>
        <v>6377793.5999999996</v>
      </c>
      <c r="R92" s="75">
        <f t="shared" si="92"/>
        <v>6377793.5999999996</v>
      </c>
      <c r="S92" s="75">
        <f t="shared" si="93"/>
        <v>6377793.5999999996</v>
      </c>
    </row>
    <row r="93" spans="1:19" x14ac:dyDescent="0.25">
      <c r="A93" s="183" t="s">
        <v>154</v>
      </c>
      <c r="B93" s="183"/>
      <c r="C93" s="183"/>
      <c r="D93" s="86"/>
      <c r="E93" s="87"/>
      <c r="F93" s="87"/>
      <c r="G93" s="87"/>
      <c r="H93" s="87"/>
      <c r="I93" s="87"/>
      <c r="J93" s="75"/>
      <c r="K93" s="75"/>
      <c r="L93" s="75"/>
      <c r="M93" s="75"/>
      <c r="N93" s="75"/>
      <c r="O93" s="75"/>
      <c r="P93" s="75"/>
      <c r="Q93" s="75"/>
      <c r="R93" s="75"/>
      <c r="S93" s="75"/>
    </row>
    <row r="94" spans="1:19" ht="30" x14ac:dyDescent="0.25">
      <c r="A94" s="187" t="s">
        <v>3</v>
      </c>
      <c r="B94" s="187" t="s">
        <v>86</v>
      </c>
      <c r="C94" s="116" t="s">
        <v>87</v>
      </c>
      <c r="D94" s="187" t="s">
        <v>4</v>
      </c>
      <c r="E94" s="188" t="s">
        <v>5</v>
      </c>
      <c r="F94" s="188"/>
      <c r="G94" s="188"/>
      <c r="H94" s="188"/>
      <c r="I94" s="188"/>
      <c r="J94" s="176" t="s">
        <v>6</v>
      </c>
      <c r="K94" s="176"/>
      <c r="L94" s="176"/>
      <c r="M94" s="176"/>
      <c r="N94" s="176" t="s">
        <v>7</v>
      </c>
      <c r="O94" s="176"/>
      <c r="P94" s="176"/>
      <c r="Q94" s="176"/>
      <c r="R94" s="176"/>
      <c r="S94" s="176"/>
    </row>
    <row r="95" spans="1:19" ht="120" x14ac:dyDescent="0.25">
      <c r="A95" s="187"/>
      <c r="B95" s="187"/>
      <c r="C95" s="116"/>
      <c r="D95" s="187"/>
      <c r="E95" s="142" t="s">
        <v>10</v>
      </c>
      <c r="F95" s="142" t="s">
        <v>196</v>
      </c>
      <c r="G95" s="142" t="s">
        <v>197</v>
      </c>
      <c r="H95" s="142" t="s">
        <v>179</v>
      </c>
      <c r="I95" s="142" t="s">
        <v>198</v>
      </c>
      <c r="J95" s="132" t="s">
        <v>88</v>
      </c>
      <c r="K95" s="147" t="s">
        <v>89</v>
      </c>
      <c r="L95" s="132" t="s">
        <v>90</v>
      </c>
      <c r="M95" s="132" t="s">
        <v>91</v>
      </c>
      <c r="N95" s="139" t="s">
        <v>199</v>
      </c>
      <c r="O95" s="147" t="s">
        <v>93</v>
      </c>
      <c r="P95" s="122" t="s">
        <v>94</v>
      </c>
      <c r="Q95" s="117" t="s">
        <v>95</v>
      </c>
      <c r="R95" s="139" t="s">
        <v>182</v>
      </c>
      <c r="S95" s="139" t="s">
        <v>200</v>
      </c>
    </row>
    <row r="96" spans="1:19" ht="45" x14ac:dyDescent="0.25">
      <c r="A96" s="98" t="s">
        <v>13</v>
      </c>
      <c r="B96" s="98" t="s">
        <v>13</v>
      </c>
      <c r="C96" s="98"/>
      <c r="D96" s="98" t="s">
        <v>15</v>
      </c>
      <c r="E96" s="99" t="s">
        <v>16</v>
      </c>
      <c r="F96" s="99" t="s">
        <v>16</v>
      </c>
      <c r="G96" s="99"/>
      <c r="H96" s="99" t="s">
        <v>16</v>
      </c>
      <c r="I96" s="99" t="s">
        <v>16</v>
      </c>
      <c r="J96" s="132" t="s">
        <v>17</v>
      </c>
      <c r="K96" s="147" t="s">
        <v>17</v>
      </c>
      <c r="L96" s="132" t="s">
        <v>17</v>
      </c>
      <c r="M96" s="132" t="s">
        <v>17</v>
      </c>
      <c r="N96" s="113" t="s">
        <v>17</v>
      </c>
      <c r="O96" s="147" t="s">
        <v>17</v>
      </c>
      <c r="P96" s="122" t="s">
        <v>17</v>
      </c>
      <c r="Q96" s="117" t="s">
        <v>17</v>
      </c>
      <c r="R96" s="113" t="s">
        <v>17</v>
      </c>
      <c r="S96" s="113" t="s">
        <v>17</v>
      </c>
    </row>
    <row r="97" spans="1:22" ht="90" x14ac:dyDescent="0.25">
      <c r="A97" s="170" t="s">
        <v>98</v>
      </c>
      <c r="B97" s="173" t="s">
        <v>99</v>
      </c>
      <c r="C97" s="61" t="s">
        <v>100</v>
      </c>
      <c r="D97" s="62" t="s">
        <v>101</v>
      </c>
      <c r="E97" s="59">
        <v>259</v>
      </c>
      <c r="F97" s="128"/>
      <c r="G97" s="128"/>
      <c r="H97" s="59">
        <v>259</v>
      </c>
      <c r="I97" s="59">
        <v>259</v>
      </c>
      <c r="J97" s="109">
        <f>SUM(K97:M97)</f>
        <v>37900.54</v>
      </c>
      <c r="K97" s="109">
        <f>22328.93+672.3</f>
        <v>23001.23</v>
      </c>
      <c r="L97" s="70">
        <v>3857.41</v>
      </c>
      <c r="M97" s="70">
        <v>11041.9</v>
      </c>
      <c r="N97" s="71">
        <f>SUM(O97:Q97)</f>
        <v>9816239.8599999994</v>
      </c>
      <c r="O97" s="71">
        <f>E97*K97</f>
        <v>5957318.5700000003</v>
      </c>
      <c r="P97" s="71">
        <f>E97*L97</f>
        <v>999069.19</v>
      </c>
      <c r="Q97" s="75">
        <f>E97*M97</f>
        <v>2859852.1</v>
      </c>
      <c r="R97" s="75">
        <f>H97*J97</f>
        <v>9816239.8599999994</v>
      </c>
      <c r="S97" s="75">
        <f>I97*J97</f>
        <v>9816239.8599999994</v>
      </c>
    </row>
    <row r="98" spans="1:22" ht="120.75" customHeight="1" x14ac:dyDescent="0.25">
      <c r="A98" s="170"/>
      <c r="B98" s="174"/>
      <c r="C98" s="63" t="s">
        <v>164</v>
      </c>
      <c r="D98" s="64" t="s">
        <v>101</v>
      </c>
      <c r="E98" s="59" t="s">
        <v>104</v>
      </c>
      <c r="F98" s="59" t="s">
        <v>104</v>
      </c>
      <c r="G98" s="59"/>
      <c r="H98" s="59" t="s">
        <v>104</v>
      </c>
      <c r="I98" s="59" t="s">
        <v>104</v>
      </c>
      <c r="J98" s="59" t="s">
        <v>104</v>
      </c>
      <c r="K98" s="59" t="s">
        <v>104</v>
      </c>
      <c r="L98" s="72" t="s">
        <v>104</v>
      </c>
      <c r="M98" s="72" t="s">
        <v>104</v>
      </c>
      <c r="N98" s="113"/>
      <c r="O98" s="71"/>
      <c r="P98" s="72" t="s">
        <v>104</v>
      </c>
      <c r="Q98" s="72" t="s">
        <v>104</v>
      </c>
      <c r="R98" s="100"/>
      <c r="S98" s="100"/>
    </row>
    <row r="99" spans="1:22" x14ac:dyDescent="0.25">
      <c r="A99" s="170"/>
      <c r="B99" s="174"/>
      <c r="C99" s="63" t="s">
        <v>165</v>
      </c>
      <c r="D99" s="64"/>
      <c r="E99" s="128">
        <v>1</v>
      </c>
      <c r="F99" s="128"/>
      <c r="G99" s="128"/>
      <c r="H99" s="128">
        <v>1</v>
      </c>
      <c r="I99" s="128">
        <v>1</v>
      </c>
      <c r="J99" s="71">
        <f>K99</f>
        <v>24684.9</v>
      </c>
      <c r="K99" s="75">
        <v>24684.9</v>
      </c>
      <c r="L99" s="72" t="s">
        <v>104</v>
      </c>
      <c r="M99" s="72" t="s">
        <v>104</v>
      </c>
      <c r="N99" s="113">
        <f>O99</f>
        <v>24684.9</v>
      </c>
      <c r="O99" s="71">
        <f>E99*K99</f>
        <v>24684.9</v>
      </c>
      <c r="P99" s="72" t="s">
        <v>104</v>
      </c>
      <c r="Q99" s="72" t="s">
        <v>104</v>
      </c>
      <c r="R99" s="100">
        <f>H99*K99</f>
        <v>24684.9</v>
      </c>
      <c r="S99" s="100">
        <f>I99*K99</f>
        <v>24684.9</v>
      </c>
    </row>
    <row r="100" spans="1:22" x14ac:dyDescent="0.25">
      <c r="A100" s="170"/>
      <c r="B100" s="174"/>
      <c r="C100" s="15" t="s">
        <v>171</v>
      </c>
      <c r="D100" s="64"/>
      <c r="E100" s="128">
        <v>5</v>
      </c>
      <c r="F100" s="128"/>
      <c r="G100" s="128"/>
      <c r="H100" s="128">
        <v>5</v>
      </c>
      <c r="I100" s="128">
        <v>5</v>
      </c>
      <c r="J100" s="71">
        <f>K100</f>
        <v>66860.39</v>
      </c>
      <c r="K100" s="71">
        <v>66860.39</v>
      </c>
      <c r="L100" s="72" t="s">
        <v>104</v>
      </c>
      <c r="M100" s="72" t="s">
        <v>104</v>
      </c>
      <c r="N100" s="126">
        <f>O100</f>
        <v>334301.95</v>
      </c>
      <c r="O100" s="71">
        <f t="shared" ref="O100:O105" si="97">E100*K100</f>
        <v>334301.95</v>
      </c>
      <c r="P100" s="72" t="s">
        <v>104</v>
      </c>
      <c r="Q100" s="72" t="s">
        <v>104</v>
      </c>
      <c r="R100" s="100">
        <f>H100*K100</f>
        <v>334301.95</v>
      </c>
      <c r="S100" s="100">
        <f>I100*K100</f>
        <v>334301.95</v>
      </c>
    </row>
    <row r="101" spans="1:22" x14ac:dyDescent="0.25">
      <c r="A101" s="170"/>
      <c r="B101" s="174"/>
      <c r="C101" s="15" t="s">
        <v>166</v>
      </c>
      <c r="D101" s="64"/>
      <c r="E101" s="128">
        <v>2</v>
      </c>
      <c r="F101" s="128"/>
      <c r="G101" s="128"/>
      <c r="H101" s="128">
        <v>2</v>
      </c>
      <c r="I101" s="128">
        <v>2</v>
      </c>
      <c r="J101" s="71">
        <f t="shared" ref="J101:J105" si="98">K101</f>
        <v>89075.19</v>
      </c>
      <c r="K101" s="75">
        <v>89075.19</v>
      </c>
      <c r="L101" s="72" t="s">
        <v>104</v>
      </c>
      <c r="M101" s="72" t="s">
        <v>104</v>
      </c>
      <c r="N101" s="113">
        <f t="shared" ref="N101:N105" si="99">O101</f>
        <v>178150.38</v>
      </c>
      <c r="O101" s="71">
        <f t="shared" si="97"/>
        <v>178150.38</v>
      </c>
      <c r="P101" s="72" t="s">
        <v>104</v>
      </c>
      <c r="Q101" s="72" t="s">
        <v>104</v>
      </c>
      <c r="R101" s="100">
        <f t="shared" ref="R101:R105" si="100">H101*K101</f>
        <v>178150.38</v>
      </c>
      <c r="S101" s="100">
        <f t="shared" ref="S101:S105" si="101">I101*K101</f>
        <v>178150.38</v>
      </c>
    </row>
    <row r="102" spans="1:22" x14ac:dyDescent="0.25">
      <c r="A102" s="170"/>
      <c r="B102" s="174"/>
      <c r="C102" s="15" t="s">
        <v>167</v>
      </c>
      <c r="D102" s="64"/>
      <c r="E102" s="128">
        <v>15</v>
      </c>
      <c r="F102" s="128"/>
      <c r="G102" s="128"/>
      <c r="H102" s="128">
        <v>15</v>
      </c>
      <c r="I102" s="128">
        <v>15</v>
      </c>
      <c r="J102" s="71">
        <f t="shared" si="98"/>
        <v>63972.15</v>
      </c>
      <c r="K102" s="75">
        <v>63972.15</v>
      </c>
      <c r="L102" s="72" t="s">
        <v>104</v>
      </c>
      <c r="M102" s="72" t="s">
        <v>104</v>
      </c>
      <c r="N102" s="113">
        <f t="shared" si="99"/>
        <v>959582.25</v>
      </c>
      <c r="O102" s="71">
        <f t="shared" si="97"/>
        <v>959582.25</v>
      </c>
      <c r="P102" s="72" t="s">
        <v>104</v>
      </c>
      <c r="Q102" s="72" t="s">
        <v>104</v>
      </c>
      <c r="R102" s="100">
        <f t="shared" si="100"/>
        <v>959582.25</v>
      </c>
      <c r="S102" s="100">
        <f t="shared" si="101"/>
        <v>959582.25</v>
      </c>
    </row>
    <row r="103" spans="1:22" x14ac:dyDescent="0.25">
      <c r="A103" s="170"/>
      <c r="B103" s="174"/>
      <c r="C103" s="15" t="s">
        <v>168</v>
      </c>
      <c r="D103" s="64"/>
      <c r="E103" s="128">
        <v>3</v>
      </c>
      <c r="F103" s="128"/>
      <c r="G103" s="128"/>
      <c r="H103" s="128">
        <v>3</v>
      </c>
      <c r="I103" s="128">
        <v>3</v>
      </c>
      <c r="J103" s="71">
        <f t="shared" si="98"/>
        <v>168582.97</v>
      </c>
      <c r="K103" s="75">
        <v>168582.97</v>
      </c>
      <c r="L103" s="72" t="s">
        <v>104</v>
      </c>
      <c r="M103" s="72" t="s">
        <v>104</v>
      </c>
      <c r="N103" s="113">
        <f t="shared" si="99"/>
        <v>505748.91000000003</v>
      </c>
      <c r="O103" s="71">
        <f t="shared" si="97"/>
        <v>505748.91000000003</v>
      </c>
      <c r="P103" s="72" t="s">
        <v>104</v>
      </c>
      <c r="Q103" s="72" t="s">
        <v>104</v>
      </c>
      <c r="R103" s="100">
        <f t="shared" si="100"/>
        <v>505748.91000000003</v>
      </c>
      <c r="S103" s="100">
        <f t="shared" si="101"/>
        <v>505748.91000000003</v>
      </c>
    </row>
    <row r="104" spans="1:22" x14ac:dyDescent="0.25">
      <c r="A104" s="170"/>
      <c r="B104" s="174"/>
      <c r="C104" s="15" t="s">
        <v>172</v>
      </c>
      <c r="D104" s="64"/>
      <c r="E104" s="128">
        <v>1</v>
      </c>
      <c r="F104" s="128"/>
      <c r="G104" s="128"/>
      <c r="H104" s="128">
        <v>1</v>
      </c>
      <c r="I104" s="128">
        <v>1</v>
      </c>
      <c r="J104" s="71">
        <f t="shared" si="98"/>
        <v>95991.26</v>
      </c>
      <c r="K104" s="75">
        <v>95991.26</v>
      </c>
      <c r="L104" s="72" t="s">
        <v>104</v>
      </c>
      <c r="M104" s="72" t="s">
        <v>104</v>
      </c>
      <c r="N104" s="126">
        <f t="shared" si="99"/>
        <v>95991.26</v>
      </c>
      <c r="O104" s="71">
        <f t="shared" si="97"/>
        <v>95991.26</v>
      </c>
      <c r="P104" s="72" t="s">
        <v>104</v>
      </c>
      <c r="Q104" s="72" t="s">
        <v>104</v>
      </c>
      <c r="R104" s="100">
        <f t="shared" si="100"/>
        <v>95991.26</v>
      </c>
      <c r="S104" s="100">
        <f t="shared" si="101"/>
        <v>95991.26</v>
      </c>
    </row>
    <row r="105" spans="1:22" x14ac:dyDescent="0.25">
      <c r="A105" s="170"/>
      <c r="B105" s="174"/>
      <c r="C105" s="63" t="s">
        <v>169</v>
      </c>
      <c r="D105" s="64"/>
      <c r="E105" s="59">
        <v>0</v>
      </c>
      <c r="F105" s="59"/>
      <c r="G105" s="59"/>
      <c r="H105" s="59">
        <v>0</v>
      </c>
      <c r="I105" s="59">
        <v>0</v>
      </c>
      <c r="J105" s="71">
        <f t="shared" si="98"/>
        <v>22724.03</v>
      </c>
      <c r="K105" s="75">
        <v>22724.03</v>
      </c>
      <c r="L105" s="72" t="s">
        <v>104</v>
      </c>
      <c r="M105" s="72" t="s">
        <v>104</v>
      </c>
      <c r="N105" s="113">
        <f t="shared" si="99"/>
        <v>0</v>
      </c>
      <c r="O105" s="71">
        <f t="shared" si="97"/>
        <v>0</v>
      </c>
      <c r="P105" s="72" t="s">
        <v>104</v>
      </c>
      <c r="Q105" s="72" t="s">
        <v>104</v>
      </c>
      <c r="R105" s="100">
        <f t="shared" si="100"/>
        <v>0</v>
      </c>
      <c r="S105" s="100">
        <f t="shared" si="101"/>
        <v>0</v>
      </c>
    </row>
    <row r="106" spans="1:22" ht="120" x14ac:dyDescent="0.25">
      <c r="A106" s="170"/>
      <c r="B106" s="174"/>
      <c r="C106" s="61" t="s">
        <v>105</v>
      </c>
      <c r="D106" s="64" t="s">
        <v>101</v>
      </c>
      <c r="E106" s="59">
        <v>3</v>
      </c>
      <c r="F106" s="128"/>
      <c r="G106" s="128"/>
      <c r="H106" s="128">
        <v>3</v>
      </c>
      <c r="I106" s="128">
        <v>3</v>
      </c>
      <c r="J106" s="75">
        <f>SUM(K106:M106)</f>
        <v>131999.99000000002</v>
      </c>
      <c r="K106" s="75">
        <f>116428.38+672.3</f>
        <v>117100.68000000001</v>
      </c>
      <c r="L106" s="72">
        <v>3857.41</v>
      </c>
      <c r="M106" s="70">
        <v>11041.9</v>
      </c>
      <c r="N106" s="71">
        <f>SUM(O106:Q106)</f>
        <v>395999.97000000003</v>
      </c>
      <c r="O106" s="71">
        <f>E106*K106</f>
        <v>351302.04000000004</v>
      </c>
      <c r="P106" s="71">
        <f>E106*L106</f>
        <v>11572.23</v>
      </c>
      <c r="Q106" s="75">
        <f>E106*M106</f>
        <v>33125.699999999997</v>
      </c>
      <c r="R106" s="100">
        <f t="shared" ref="R106:R198" si="102">H106*J106</f>
        <v>395999.97000000009</v>
      </c>
      <c r="S106" s="100">
        <f t="shared" ref="S106:S198" si="103">I106*J106</f>
        <v>395999.97000000009</v>
      </c>
    </row>
    <row r="107" spans="1:22" x14ac:dyDescent="0.25">
      <c r="A107" s="170"/>
      <c r="B107" s="175"/>
      <c r="C107" s="66" t="s">
        <v>106</v>
      </c>
      <c r="D107" s="67"/>
      <c r="E107" s="59">
        <f>E97+E106</f>
        <v>262</v>
      </c>
      <c r="F107" s="128">
        <f>F97+F106</f>
        <v>0</v>
      </c>
      <c r="G107" s="128"/>
      <c r="H107" s="128">
        <f t="shared" ref="H107:I107" si="104">H97+H106</f>
        <v>262</v>
      </c>
      <c r="I107" s="128">
        <f t="shared" si="104"/>
        <v>262</v>
      </c>
      <c r="J107" s="71" t="s">
        <v>104</v>
      </c>
      <c r="K107" s="71" t="s">
        <v>104</v>
      </c>
      <c r="L107" s="71" t="s">
        <v>104</v>
      </c>
      <c r="M107" s="71" t="s">
        <v>104</v>
      </c>
      <c r="N107" s="71">
        <f>SUM(N97:N106)</f>
        <v>12310699.48</v>
      </c>
      <c r="O107" s="71">
        <f t="shared" ref="O107:Q107" si="105">SUM(O97:O106)</f>
        <v>8407080.2600000016</v>
      </c>
      <c r="P107" s="71">
        <f t="shared" si="105"/>
        <v>1010641.4199999999</v>
      </c>
      <c r="Q107" s="71">
        <f t="shared" si="105"/>
        <v>2892977.8000000003</v>
      </c>
      <c r="R107" s="75">
        <f>SUM(R97:R106)</f>
        <v>12310699.48</v>
      </c>
      <c r="S107" s="75">
        <f>SUM(S97:S106)</f>
        <v>12310699.48</v>
      </c>
    </row>
    <row r="108" spans="1:22" ht="90" x14ac:dyDescent="0.25">
      <c r="A108" s="170"/>
      <c r="B108" s="172" t="s">
        <v>107</v>
      </c>
      <c r="C108" s="61" t="s">
        <v>100</v>
      </c>
      <c r="D108" s="62" t="s">
        <v>101</v>
      </c>
      <c r="E108" s="128">
        <v>213</v>
      </c>
      <c r="F108" s="128"/>
      <c r="G108" s="128"/>
      <c r="H108" s="128">
        <v>213</v>
      </c>
      <c r="I108" s="128">
        <v>213</v>
      </c>
      <c r="J108" s="109">
        <f>SUM(K108:M108)</f>
        <v>48867.43</v>
      </c>
      <c r="K108" s="109">
        <f>33147.58+820.54</f>
        <v>33968.120000000003</v>
      </c>
      <c r="L108" s="70">
        <v>3857.41</v>
      </c>
      <c r="M108" s="70">
        <v>11041.9</v>
      </c>
      <c r="N108" s="71">
        <f>SUM(O108:Q108)</f>
        <v>10408762.59</v>
      </c>
      <c r="O108" s="71">
        <f>E108*K108</f>
        <v>7235209.5600000005</v>
      </c>
      <c r="P108" s="73">
        <f>E108*L108</f>
        <v>821628.33</v>
      </c>
      <c r="Q108" s="71">
        <f>E108*M108</f>
        <v>2351924.6999999997</v>
      </c>
      <c r="R108" s="75">
        <f t="shared" si="102"/>
        <v>10408762.59</v>
      </c>
      <c r="S108" s="75">
        <f t="shared" si="103"/>
        <v>10408762.59</v>
      </c>
      <c r="V108" s="85"/>
    </row>
    <row r="109" spans="1:22" ht="111.75" customHeight="1" x14ac:dyDescent="0.25">
      <c r="A109" s="170"/>
      <c r="B109" s="172"/>
      <c r="C109" s="63" t="s">
        <v>102</v>
      </c>
      <c r="D109" s="64" t="s">
        <v>101</v>
      </c>
      <c r="E109" s="59" t="s">
        <v>104</v>
      </c>
      <c r="F109" s="59" t="s">
        <v>104</v>
      </c>
      <c r="G109" s="59" t="s">
        <v>104</v>
      </c>
      <c r="H109" s="59" t="s">
        <v>104</v>
      </c>
      <c r="I109" s="59" t="s">
        <v>104</v>
      </c>
      <c r="J109" s="59" t="s">
        <v>104</v>
      </c>
      <c r="K109" s="59" t="s">
        <v>104</v>
      </c>
      <c r="L109" s="59" t="s">
        <v>104</v>
      </c>
      <c r="M109" s="59" t="s">
        <v>104</v>
      </c>
      <c r="N109" s="71"/>
      <c r="O109" s="71"/>
      <c r="P109" s="59" t="s">
        <v>104</v>
      </c>
      <c r="Q109" s="59" t="s">
        <v>104</v>
      </c>
      <c r="R109" s="75"/>
      <c r="S109" s="75"/>
    </row>
    <row r="110" spans="1:22" ht="20.25" customHeight="1" x14ac:dyDescent="0.25">
      <c r="A110" s="170"/>
      <c r="B110" s="172"/>
      <c r="C110" s="63" t="s">
        <v>166</v>
      </c>
      <c r="D110" s="64" t="s">
        <v>101</v>
      </c>
      <c r="E110" s="127">
        <v>2</v>
      </c>
      <c r="F110" s="127"/>
      <c r="G110" s="128"/>
      <c r="H110" s="127">
        <v>2</v>
      </c>
      <c r="I110" s="127">
        <v>2</v>
      </c>
      <c r="J110" s="71">
        <f>K110</f>
        <v>89075.19</v>
      </c>
      <c r="K110" s="75">
        <v>89075.19</v>
      </c>
      <c r="L110" s="59" t="s">
        <v>104</v>
      </c>
      <c r="M110" s="59" t="s">
        <v>104</v>
      </c>
      <c r="N110" s="71">
        <f>O110</f>
        <v>178150.38</v>
      </c>
      <c r="O110" s="71">
        <f>E110*K110</f>
        <v>178150.38</v>
      </c>
      <c r="P110" s="59" t="s">
        <v>104</v>
      </c>
      <c r="Q110" s="59" t="s">
        <v>104</v>
      </c>
      <c r="R110" s="75">
        <f>H110*K110</f>
        <v>178150.38</v>
      </c>
      <c r="S110" s="75">
        <f>I110*K110</f>
        <v>178150.38</v>
      </c>
    </row>
    <row r="111" spans="1:22" ht="21" customHeight="1" x14ac:dyDescent="0.25">
      <c r="A111" s="170"/>
      <c r="B111" s="172"/>
      <c r="C111" s="63" t="s">
        <v>168</v>
      </c>
      <c r="D111" s="64" t="s">
        <v>101</v>
      </c>
      <c r="E111" s="127">
        <v>0</v>
      </c>
      <c r="F111" s="127"/>
      <c r="G111" s="128"/>
      <c r="H111" s="127">
        <v>0</v>
      </c>
      <c r="I111" s="127">
        <v>0</v>
      </c>
      <c r="J111" s="71">
        <f t="shared" ref="J111:J112" si="106">K111</f>
        <v>256522.21</v>
      </c>
      <c r="K111" s="75">
        <v>256522.21</v>
      </c>
      <c r="L111" s="59" t="s">
        <v>104</v>
      </c>
      <c r="M111" s="59" t="s">
        <v>104</v>
      </c>
      <c r="N111" s="71">
        <f t="shared" ref="N111:N112" si="107">O111</f>
        <v>0</v>
      </c>
      <c r="O111" s="71">
        <f t="shared" ref="O111:O112" si="108">E111*K111</f>
        <v>0</v>
      </c>
      <c r="P111" s="59" t="s">
        <v>104</v>
      </c>
      <c r="Q111" s="59" t="s">
        <v>104</v>
      </c>
      <c r="R111" s="75">
        <f t="shared" ref="R111:R112" si="109">H111*K111</f>
        <v>0</v>
      </c>
      <c r="S111" s="75">
        <f t="shared" ref="S111:S112" si="110">I111*K111</f>
        <v>0</v>
      </c>
    </row>
    <row r="112" spans="1:22" ht="21" customHeight="1" x14ac:dyDescent="0.25">
      <c r="A112" s="170"/>
      <c r="B112" s="172"/>
      <c r="C112" s="63" t="s">
        <v>169</v>
      </c>
      <c r="D112" s="64" t="s">
        <v>101</v>
      </c>
      <c r="E112" s="127">
        <v>8</v>
      </c>
      <c r="F112" s="127"/>
      <c r="G112" s="128"/>
      <c r="H112" s="127">
        <v>8</v>
      </c>
      <c r="I112" s="127">
        <v>8</v>
      </c>
      <c r="J112" s="71">
        <f t="shared" si="106"/>
        <v>22724.03</v>
      </c>
      <c r="K112" s="75">
        <v>22724.03</v>
      </c>
      <c r="L112" s="59" t="s">
        <v>104</v>
      </c>
      <c r="M112" s="59" t="s">
        <v>104</v>
      </c>
      <c r="N112" s="71">
        <f t="shared" si="107"/>
        <v>181792.24</v>
      </c>
      <c r="O112" s="71">
        <f t="shared" si="108"/>
        <v>181792.24</v>
      </c>
      <c r="P112" s="59" t="s">
        <v>104</v>
      </c>
      <c r="Q112" s="59" t="s">
        <v>104</v>
      </c>
      <c r="R112" s="75">
        <f t="shared" si="109"/>
        <v>181792.24</v>
      </c>
      <c r="S112" s="75">
        <f t="shared" si="110"/>
        <v>181792.24</v>
      </c>
    </row>
    <row r="113" spans="1:19" ht="120" x14ac:dyDescent="0.25">
      <c r="A113" s="170"/>
      <c r="B113" s="172"/>
      <c r="C113" s="61" t="s">
        <v>105</v>
      </c>
      <c r="D113" s="64" t="s">
        <v>101</v>
      </c>
      <c r="E113" s="60">
        <v>2</v>
      </c>
      <c r="F113" s="127"/>
      <c r="G113" s="128"/>
      <c r="H113" s="127">
        <v>2</v>
      </c>
      <c r="I113" s="127">
        <v>2</v>
      </c>
      <c r="J113" s="71">
        <f>K113</f>
        <v>145997.5</v>
      </c>
      <c r="K113" s="73">
        <f>145176.96+820.54</f>
        <v>145997.5</v>
      </c>
      <c r="L113" s="70">
        <v>3857.41</v>
      </c>
      <c r="M113" s="70">
        <v>11041.9</v>
      </c>
      <c r="N113" s="71">
        <f>SUM(O113:Q113)</f>
        <v>321793.62</v>
      </c>
      <c r="O113" s="71">
        <f>E113*K113</f>
        <v>291995</v>
      </c>
      <c r="P113" s="73">
        <f>E113*L113</f>
        <v>7714.82</v>
      </c>
      <c r="Q113" s="71">
        <f>E113*M113</f>
        <v>22083.8</v>
      </c>
      <c r="R113" s="75">
        <f>N113</f>
        <v>321793.62</v>
      </c>
      <c r="S113" s="75">
        <f>R113</f>
        <v>321793.62</v>
      </c>
    </row>
    <row r="114" spans="1:19" x14ac:dyDescent="0.25">
      <c r="A114" s="170"/>
      <c r="B114" s="112"/>
      <c r="C114" s="66" t="s">
        <v>106</v>
      </c>
      <c r="D114" s="64"/>
      <c r="E114" s="60">
        <f>E108+E113</f>
        <v>215</v>
      </c>
      <c r="F114" s="127">
        <f>F108+F113</f>
        <v>0</v>
      </c>
      <c r="G114" s="128"/>
      <c r="H114" s="127">
        <f t="shared" ref="H114:I114" si="111">H108+H113</f>
        <v>215</v>
      </c>
      <c r="I114" s="127">
        <f t="shared" si="111"/>
        <v>215</v>
      </c>
      <c r="J114" s="59" t="s">
        <v>104</v>
      </c>
      <c r="K114" s="59" t="s">
        <v>104</v>
      </c>
      <c r="L114" s="59" t="s">
        <v>104</v>
      </c>
      <c r="M114" s="59" t="s">
        <v>104</v>
      </c>
      <c r="N114" s="74">
        <f>SUM(N108:N113)</f>
        <v>11090498.83</v>
      </c>
      <c r="O114" s="74">
        <f t="shared" ref="O114:S114" si="112">SUM(O108:O113)</f>
        <v>7887147.1800000006</v>
      </c>
      <c r="P114" s="74">
        <f t="shared" si="112"/>
        <v>829343.14999999991</v>
      </c>
      <c r="Q114" s="74">
        <f t="shared" si="112"/>
        <v>2374008.4999999995</v>
      </c>
      <c r="R114" s="74">
        <f t="shared" si="112"/>
        <v>11090498.83</v>
      </c>
      <c r="S114" s="74">
        <f t="shared" si="112"/>
        <v>11090498.83</v>
      </c>
    </row>
    <row r="115" spans="1:19" ht="90" x14ac:dyDescent="0.25">
      <c r="A115" s="170"/>
      <c r="B115" s="172" t="s">
        <v>108</v>
      </c>
      <c r="C115" s="61" t="s">
        <v>100</v>
      </c>
      <c r="D115" s="62" t="s">
        <v>101</v>
      </c>
      <c r="E115" s="127">
        <v>49</v>
      </c>
      <c r="F115" s="127"/>
      <c r="G115" s="128"/>
      <c r="H115" s="127">
        <v>49</v>
      </c>
      <c r="I115" s="127">
        <v>49</v>
      </c>
      <c r="J115" s="109">
        <f>SUM(K115:M115)</f>
        <v>55554.37</v>
      </c>
      <c r="K115" s="109">
        <f>39660.87+994.19</f>
        <v>40655.060000000005</v>
      </c>
      <c r="L115" s="70">
        <v>3857.41</v>
      </c>
      <c r="M115" s="70">
        <v>11041.9</v>
      </c>
      <c r="N115" s="73">
        <f>SUM(O115:Q115)</f>
        <v>2722164.1300000004</v>
      </c>
      <c r="O115" s="73">
        <f>E115*K115</f>
        <v>1992097.9400000002</v>
      </c>
      <c r="P115" s="73">
        <f>E115*L115</f>
        <v>189013.09</v>
      </c>
      <c r="Q115" s="73">
        <f>E115*M115</f>
        <v>541053.1</v>
      </c>
      <c r="R115" s="75">
        <f t="shared" si="102"/>
        <v>2722164.1300000004</v>
      </c>
      <c r="S115" s="75">
        <f t="shared" si="103"/>
        <v>2722164.1300000004</v>
      </c>
    </row>
    <row r="116" spans="1:19" ht="120" x14ac:dyDescent="0.25">
      <c r="A116" s="170"/>
      <c r="B116" s="172"/>
      <c r="C116" s="63" t="s">
        <v>102</v>
      </c>
      <c r="D116" s="64" t="s">
        <v>101</v>
      </c>
      <c r="E116" s="59" t="s">
        <v>104</v>
      </c>
      <c r="F116" s="59" t="s">
        <v>104</v>
      </c>
      <c r="G116" s="59" t="s">
        <v>104</v>
      </c>
      <c r="H116" s="59" t="s">
        <v>104</v>
      </c>
      <c r="I116" s="59" t="s">
        <v>104</v>
      </c>
      <c r="J116" s="59" t="s">
        <v>104</v>
      </c>
      <c r="K116" s="59" t="s">
        <v>104</v>
      </c>
      <c r="L116" s="59" t="s">
        <v>104</v>
      </c>
      <c r="M116" s="59" t="s">
        <v>104</v>
      </c>
      <c r="N116" s="71"/>
      <c r="O116" s="71"/>
      <c r="P116" s="59" t="s">
        <v>104</v>
      </c>
      <c r="Q116" s="59" t="s">
        <v>104</v>
      </c>
      <c r="R116" s="75"/>
      <c r="S116" s="75"/>
    </row>
    <row r="117" spans="1:19" x14ac:dyDescent="0.25">
      <c r="A117" s="170"/>
      <c r="B117" s="172"/>
      <c r="C117" s="63" t="s">
        <v>169</v>
      </c>
      <c r="D117" s="64" t="s">
        <v>101</v>
      </c>
      <c r="E117" s="128">
        <v>1</v>
      </c>
      <c r="F117" s="128"/>
      <c r="G117" s="128"/>
      <c r="H117" s="128">
        <v>1</v>
      </c>
      <c r="I117" s="128">
        <v>1</v>
      </c>
      <c r="J117" s="71">
        <f t="shared" ref="J117" si="113">K117</f>
        <v>22724.03</v>
      </c>
      <c r="K117" s="75">
        <v>22724.03</v>
      </c>
      <c r="L117" s="59" t="s">
        <v>104</v>
      </c>
      <c r="M117" s="59" t="s">
        <v>104</v>
      </c>
      <c r="N117" s="71">
        <f t="shared" ref="N117" si="114">O117</f>
        <v>22724.03</v>
      </c>
      <c r="O117" s="71">
        <f>E117*K117</f>
        <v>22724.03</v>
      </c>
      <c r="P117" s="59" t="s">
        <v>104</v>
      </c>
      <c r="Q117" s="59" t="s">
        <v>104</v>
      </c>
      <c r="R117" s="75">
        <f t="shared" ref="R117" si="115">H117*K117</f>
        <v>22724.03</v>
      </c>
      <c r="S117" s="75">
        <f t="shared" ref="S117" si="116">I117*K117</f>
        <v>22724.03</v>
      </c>
    </row>
    <row r="118" spans="1:19" ht="120" x14ac:dyDescent="0.25">
      <c r="A118" s="170"/>
      <c r="B118" s="172"/>
      <c r="C118" s="61" t="s">
        <v>105</v>
      </c>
      <c r="D118" s="64" t="s">
        <v>101</v>
      </c>
      <c r="E118" s="60"/>
      <c r="F118" s="60"/>
      <c r="G118" s="60"/>
      <c r="H118" s="60"/>
      <c r="I118" s="60"/>
      <c r="J118" s="73"/>
      <c r="K118" s="73"/>
      <c r="L118" s="74"/>
      <c r="M118" s="73"/>
      <c r="N118" s="73"/>
      <c r="O118" s="73"/>
      <c r="P118" s="73"/>
      <c r="Q118" s="73"/>
      <c r="R118" s="75">
        <f t="shared" si="102"/>
        <v>0</v>
      </c>
      <c r="S118" s="75">
        <f t="shared" si="103"/>
        <v>0</v>
      </c>
    </row>
    <row r="119" spans="1:19" x14ac:dyDescent="0.25">
      <c r="A119" s="170"/>
      <c r="B119" s="112"/>
      <c r="C119" s="66" t="s">
        <v>106</v>
      </c>
      <c r="D119" s="64"/>
      <c r="E119" s="60">
        <f>SUM(E115:E118)</f>
        <v>50</v>
      </c>
      <c r="F119" s="60">
        <f>SUM(F115:F118)</f>
        <v>0</v>
      </c>
      <c r="G119" s="59">
        <f t="shared" ref="G119" si="117">((E119*8)+(F119*4))/12</f>
        <v>33.333333333333336</v>
      </c>
      <c r="H119" s="60">
        <f t="shared" ref="H119:S119" si="118">SUM(H115:H118)</f>
        <v>50</v>
      </c>
      <c r="I119" s="60">
        <f t="shared" si="118"/>
        <v>50</v>
      </c>
      <c r="J119" s="73" t="s">
        <v>104</v>
      </c>
      <c r="K119" s="73" t="s">
        <v>104</v>
      </c>
      <c r="L119" s="73" t="s">
        <v>104</v>
      </c>
      <c r="M119" s="73" t="s">
        <v>104</v>
      </c>
      <c r="N119" s="74">
        <f t="shared" si="118"/>
        <v>2744888.16</v>
      </c>
      <c r="O119" s="74">
        <f t="shared" si="118"/>
        <v>2014821.9700000002</v>
      </c>
      <c r="P119" s="74">
        <f t="shared" si="118"/>
        <v>189013.09</v>
      </c>
      <c r="Q119" s="74">
        <f t="shared" si="118"/>
        <v>541053.1</v>
      </c>
      <c r="R119" s="74">
        <f t="shared" si="118"/>
        <v>2744888.16</v>
      </c>
      <c r="S119" s="74">
        <f t="shared" si="118"/>
        <v>2744888.16</v>
      </c>
    </row>
    <row r="120" spans="1:19" ht="165" x14ac:dyDescent="0.25">
      <c r="A120" s="170"/>
      <c r="B120" s="171" t="s">
        <v>109</v>
      </c>
      <c r="C120" s="61" t="s">
        <v>110</v>
      </c>
      <c r="D120" s="64" t="s">
        <v>101</v>
      </c>
      <c r="E120" s="127">
        <v>344</v>
      </c>
      <c r="F120" s="127"/>
      <c r="G120" s="128"/>
      <c r="H120" s="127">
        <v>344</v>
      </c>
      <c r="I120" s="127">
        <v>344</v>
      </c>
      <c r="J120" s="75">
        <f>K120</f>
        <v>3829.24</v>
      </c>
      <c r="K120" s="75">
        <v>3829.24</v>
      </c>
      <c r="L120" s="73" t="s">
        <v>104</v>
      </c>
      <c r="M120" s="73" t="s">
        <v>104</v>
      </c>
      <c r="N120" s="73">
        <f>SUM(O120:Q120)</f>
        <v>1317258.5599999998</v>
      </c>
      <c r="O120" s="73">
        <f>J120*E120</f>
        <v>1317258.5599999998</v>
      </c>
      <c r="P120" s="73" t="s">
        <v>104</v>
      </c>
      <c r="Q120" s="73" t="s">
        <v>104</v>
      </c>
      <c r="R120" s="75">
        <f t="shared" si="102"/>
        <v>1317258.5599999998</v>
      </c>
      <c r="S120" s="75">
        <f t="shared" si="103"/>
        <v>1317258.5599999998</v>
      </c>
    </row>
    <row r="121" spans="1:19" ht="180" x14ac:dyDescent="0.25">
      <c r="A121" s="170"/>
      <c r="B121" s="171"/>
      <c r="C121" s="61" t="s">
        <v>170</v>
      </c>
      <c r="D121" s="64" t="s">
        <v>101</v>
      </c>
      <c r="E121" s="60"/>
      <c r="F121" s="60"/>
      <c r="G121" s="59"/>
      <c r="H121" s="60"/>
      <c r="I121" s="60"/>
      <c r="J121" s="75">
        <f>K121</f>
        <v>0</v>
      </c>
      <c r="K121" s="75"/>
      <c r="L121" s="73" t="s">
        <v>104</v>
      </c>
      <c r="M121" s="73" t="s">
        <v>104</v>
      </c>
      <c r="N121" s="73">
        <f>SUM(O121:Q121)</f>
        <v>0</v>
      </c>
      <c r="O121" s="73">
        <f>G121*J121</f>
        <v>0</v>
      </c>
      <c r="P121" s="73" t="s">
        <v>104</v>
      </c>
      <c r="Q121" s="73" t="s">
        <v>104</v>
      </c>
      <c r="R121" s="75">
        <f t="shared" si="102"/>
        <v>0</v>
      </c>
      <c r="S121" s="75">
        <f t="shared" si="103"/>
        <v>0</v>
      </c>
    </row>
    <row r="122" spans="1:19" x14ac:dyDescent="0.25">
      <c r="A122" s="170"/>
      <c r="B122" s="69"/>
      <c r="C122" s="66" t="s">
        <v>106</v>
      </c>
      <c r="D122" s="69"/>
      <c r="E122" s="60">
        <f>SUM(E120:E121)</f>
        <v>344</v>
      </c>
      <c r="F122" s="60">
        <f>SUM(F120:F121)</f>
        <v>0</v>
      </c>
      <c r="G122" s="59"/>
      <c r="H122" s="60">
        <f t="shared" ref="H122:S122" si="119">SUM(H120:H121)</f>
        <v>344</v>
      </c>
      <c r="I122" s="60">
        <f t="shared" si="119"/>
        <v>344</v>
      </c>
      <c r="J122" s="73" t="s">
        <v>104</v>
      </c>
      <c r="K122" s="73" t="s">
        <v>104</v>
      </c>
      <c r="L122" s="73" t="s">
        <v>104</v>
      </c>
      <c r="M122" s="74">
        <f t="shared" si="119"/>
        <v>0</v>
      </c>
      <c r="N122" s="74">
        <f t="shared" si="119"/>
        <v>1317258.5599999998</v>
      </c>
      <c r="O122" s="74">
        <f>SUM(O120:O121)</f>
        <v>1317258.5599999998</v>
      </c>
      <c r="P122" s="74">
        <f t="shared" si="119"/>
        <v>0</v>
      </c>
      <c r="Q122" s="74">
        <f t="shared" si="119"/>
        <v>0</v>
      </c>
      <c r="R122" s="74">
        <f t="shared" si="119"/>
        <v>1317258.5599999998</v>
      </c>
      <c r="S122" s="74">
        <f t="shared" si="119"/>
        <v>1317258.5599999998</v>
      </c>
    </row>
    <row r="123" spans="1:19" x14ac:dyDescent="0.25">
      <c r="A123" s="170"/>
      <c r="B123" s="102" t="s">
        <v>112</v>
      </c>
      <c r="C123" s="102"/>
      <c r="D123" s="69"/>
      <c r="E123" s="103"/>
      <c r="F123" s="103"/>
      <c r="G123" s="103"/>
      <c r="H123" s="103"/>
      <c r="I123" s="103"/>
      <c r="J123" s="105"/>
      <c r="K123" s="105"/>
      <c r="L123" s="104"/>
      <c r="M123" s="104"/>
      <c r="N123" s="104">
        <f>SUM(O123:Q123)</f>
        <v>27463345.049999997</v>
      </c>
      <c r="O123" s="104">
        <f>O107+O114+O119+O122+0.02</f>
        <v>19626307.989999998</v>
      </c>
      <c r="P123" s="104">
        <f t="shared" ref="P123:Q123" si="120">P107+P114+P119+P122</f>
        <v>2028997.66</v>
      </c>
      <c r="Q123" s="104">
        <f t="shared" si="120"/>
        <v>5808039.3999999994</v>
      </c>
      <c r="R123" s="104">
        <f>R107+R114+R119+R122+0.02</f>
        <v>27463345.050000001</v>
      </c>
      <c r="S123" s="104">
        <f>S107+S114+S119+S122+0.02</f>
        <v>27463345.050000001</v>
      </c>
    </row>
    <row r="124" spans="1:19" ht="90" x14ac:dyDescent="0.25">
      <c r="A124" s="170" t="s">
        <v>113</v>
      </c>
      <c r="B124" s="172" t="s">
        <v>99</v>
      </c>
      <c r="C124" s="61" t="s">
        <v>100</v>
      </c>
      <c r="D124" s="62" t="s">
        <v>101</v>
      </c>
      <c r="E124" s="59">
        <v>230</v>
      </c>
      <c r="F124" s="128"/>
      <c r="G124" s="128"/>
      <c r="H124" s="128">
        <v>230</v>
      </c>
      <c r="I124" s="128">
        <v>230</v>
      </c>
      <c r="J124" s="109">
        <f>SUM(K124:M124)</f>
        <v>37900.54</v>
      </c>
      <c r="K124" s="109">
        <f>22328.93+672.3</f>
        <v>23001.23</v>
      </c>
      <c r="L124" s="70">
        <v>3857.41</v>
      </c>
      <c r="M124" s="70">
        <v>11041.9</v>
      </c>
      <c r="N124" s="71">
        <f>SUM(O124:Q124)</f>
        <v>8717124.1999999993</v>
      </c>
      <c r="O124" s="71">
        <f>E124*K124</f>
        <v>5290282.8999999994</v>
      </c>
      <c r="P124" s="71">
        <f>E124*L124</f>
        <v>887204.29999999993</v>
      </c>
      <c r="Q124" s="75">
        <f>E124*M124</f>
        <v>2539637</v>
      </c>
      <c r="R124" s="75">
        <f t="shared" si="102"/>
        <v>8717124.2000000011</v>
      </c>
      <c r="S124" s="75">
        <f t="shared" si="103"/>
        <v>8717124.2000000011</v>
      </c>
    </row>
    <row r="125" spans="1:19" ht="135" x14ac:dyDescent="0.25">
      <c r="A125" s="170"/>
      <c r="B125" s="172"/>
      <c r="C125" s="63" t="s">
        <v>164</v>
      </c>
      <c r="D125" s="64" t="s">
        <v>101</v>
      </c>
      <c r="E125" s="59" t="s">
        <v>104</v>
      </c>
      <c r="F125" s="128" t="s">
        <v>104</v>
      </c>
      <c r="G125" s="128" t="s">
        <v>104</v>
      </c>
      <c r="H125" s="128" t="s">
        <v>104</v>
      </c>
      <c r="I125" s="128" t="s">
        <v>104</v>
      </c>
      <c r="J125" s="59" t="s">
        <v>104</v>
      </c>
      <c r="K125" s="59" t="s">
        <v>104</v>
      </c>
      <c r="L125" s="59" t="s">
        <v>104</v>
      </c>
      <c r="M125" s="59" t="s">
        <v>104</v>
      </c>
      <c r="N125" s="71"/>
      <c r="O125" s="71"/>
      <c r="P125" s="59" t="s">
        <v>104</v>
      </c>
      <c r="Q125" s="59" t="s">
        <v>104</v>
      </c>
      <c r="R125" s="75"/>
      <c r="S125" s="75"/>
    </row>
    <row r="126" spans="1:19" x14ac:dyDescent="0.25">
      <c r="A126" s="170"/>
      <c r="B126" s="172"/>
      <c r="C126" s="63" t="s">
        <v>167</v>
      </c>
      <c r="D126" s="64" t="s">
        <v>101</v>
      </c>
      <c r="E126" s="128">
        <v>6</v>
      </c>
      <c r="F126" s="128"/>
      <c r="G126" s="128"/>
      <c r="H126" s="128">
        <v>6</v>
      </c>
      <c r="I126" s="128">
        <v>6</v>
      </c>
      <c r="J126" s="75">
        <f t="shared" ref="J126:J128" si="121">K126</f>
        <v>63972.15</v>
      </c>
      <c r="K126" s="75">
        <v>63972.15</v>
      </c>
      <c r="L126" s="59" t="s">
        <v>104</v>
      </c>
      <c r="M126" s="59" t="s">
        <v>104</v>
      </c>
      <c r="N126" s="71">
        <f t="shared" ref="N126:N128" si="122">O126</f>
        <v>383832.9</v>
      </c>
      <c r="O126" s="71">
        <f>E126*K126</f>
        <v>383832.9</v>
      </c>
      <c r="P126" s="59" t="s">
        <v>104</v>
      </c>
      <c r="Q126" s="59" t="s">
        <v>104</v>
      </c>
      <c r="R126" s="75">
        <f t="shared" ref="R126:R128" si="123">H126*K126</f>
        <v>383832.9</v>
      </c>
      <c r="S126" s="75">
        <f t="shared" ref="S126:S128" si="124">I126*K126</f>
        <v>383832.9</v>
      </c>
    </row>
    <row r="127" spans="1:19" x14ac:dyDescent="0.25">
      <c r="A127" s="170"/>
      <c r="B127" s="172"/>
      <c r="C127" s="63" t="s">
        <v>168</v>
      </c>
      <c r="D127" s="64" t="s">
        <v>101</v>
      </c>
      <c r="E127" s="128">
        <v>4</v>
      </c>
      <c r="F127" s="128"/>
      <c r="G127" s="128"/>
      <c r="H127" s="128">
        <v>4</v>
      </c>
      <c r="I127" s="128">
        <v>4</v>
      </c>
      <c r="J127" s="75">
        <f t="shared" si="121"/>
        <v>168582.97</v>
      </c>
      <c r="K127" s="75">
        <v>168582.97</v>
      </c>
      <c r="L127" s="59" t="s">
        <v>104</v>
      </c>
      <c r="M127" s="59" t="s">
        <v>104</v>
      </c>
      <c r="N127" s="71">
        <f t="shared" si="122"/>
        <v>674331.88</v>
      </c>
      <c r="O127" s="71">
        <f t="shared" ref="O127:O128" si="125">E127*K127</f>
        <v>674331.88</v>
      </c>
      <c r="P127" s="59" t="s">
        <v>104</v>
      </c>
      <c r="Q127" s="59" t="s">
        <v>104</v>
      </c>
      <c r="R127" s="75">
        <f t="shared" si="123"/>
        <v>674331.88</v>
      </c>
      <c r="S127" s="75">
        <f t="shared" si="124"/>
        <v>674331.88</v>
      </c>
    </row>
    <row r="128" spans="1:19" x14ac:dyDescent="0.25">
      <c r="A128" s="170"/>
      <c r="B128" s="172"/>
      <c r="C128" s="63" t="s">
        <v>169</v>
      </c>
      <c r="D128" s="64" t="s">
        <v>101</v>
      </c>
      <c r="E128" s="128">
        <v>2</v>
      </c>
      <c r="F128" s="128"/>
      <c r="G128" s="128"/>
      <c r="H128" s="128">
        <v>2</v>
      </c>
      <c r="I128" s="128">
        <v>2</v>
      </c>
      <c r="J128" s="75">
        <f t="shared" si="121"/>
        <v>22724.03</v>
      </c>
      <c r="K128" s="75">
        <v>22724.03</v>
      </c>
      <c r="L128" s="59" t="s">
        <v>104</v>
      </c>
      <c r="M128" s="59" t="s">
        <v>104</v>
      </c>
      <c r="N128" s="71">
        <f t="shared" si="122"/>
        <v>45448.06</v>
      </c>
      <c r="O128" s="71">
        <f t="shared" si="125"/>
        <v>45448.06</v>
      </c>
      <c r="P128" s="59" t="s">
        <v>104</v>
      </c>
      <c r="Q128" s="59" t="s">
        <v>104</v>
      </c>
      <c r="R128" s="75">
        <f t="shared" si="123"/>
        <v>45448.06</v>
      </c>
      <c r="S128" s="75">
        <f t="shared" si="124"/>
        <v>45448.06</v>
      </c>
    </row>
    <row r="129" spans="1:19" ht="120" x14ac:dyDescent="0.25">
      <c r="A129" s="170"/>
      <c r="B129" s="172"/>
      <c r="C129" s="61" t="s">
        <v>105</v>
      </c>
      <c r="D129" s="64" t="s">
        <v>101</v>
      </c>
      <c r="E129" s="59"/>
      <c r="F129" s="128"/>
      <c r="G129" s="128"/>
      <c r="H129" s="128"/>
      <c r="I129" s="128"/>
      <c r="J129" s="75">
        <f>SUM(K129:M129)</f>
        <v>131999.99000000002</v>
      </c>
      <c r="K129" s="75">
        <f>116428.38+672.3</f>
        <v>117100.68000000001</v>
      </c>
      <c r="L129" s="72">
        <v>3857.41</v>
      </c>
      <c r="M129" s="72">
        <v>11041.9</v>
      </c>
      <c r="N129" s="71">
        <f>SUM(O129:Q129)</f>
        <v>0</v>
      </c>
      <c r="O129" s="71">
        <f>E129*K129</f>
        <v>0</v>
      </c>
      <c r="P129" s="71">
        <f>E129*L129</f>
        <v>0</v>
      </c>
      <c r="Q129" s="75">
        <f>E129*M129</f>
        <v>0</v>
      </c>
      <c r="R129" s="75">
        <f t="shared" si="102"/>
        <v>0</v>
      </c>
      <c r="S129" s="75">
        <f t="shared" si="103"/>
        <v>0</v>
      </c>
    </row>
    <row r="130" spans="1:19" x14ac:dyDescent="0.25">
      <c r="A130" s="170"/>
      <c r="B130" s="172"/>
      <c r="C130" s="66" t="s">
        <v>106</v>
      </c>
      <c r="D130" s="67"/>
      <c r="E130" s="59">
        <f>E124+E129</f>
        <v>230</v>
      </c>
      <c r="F130" s="128">
        <f>F124+F129</f>
        <v>0</v>
      </c>
      <c r="G130" s="128">
        <f>G124+G129</f>
        <v>0</v>
      </c>
      <c r="H130" s="128">
        <f>H124+H129</f>
        <v>230</v>
      </c>
      <c r="I130" s="128">
        <f>I124+I129</f>
        <v>230</v>
      </c>
      <c r="J130" s="71" t="s">
        <v>104</v>
      </c>
      <c r="K130" s="71" t="s">
        <v>104</v>
      </c>
      <c r="L130" s="71" t="s">
        <v>104</v>
      </c>
      <c r="M130" s="71" t="s">
        <v>104</v>
      </c>
      <c r="N130" s="71">
        <f t="shared" ref="N130:Q130" si="126">SUM(N124:N129)</f>
        <v>9820737.040000001</v>
      </c>
      <c r="O130" s="71">
        <f t="shared" si="126"/>
        <v>6393895.7399999993</v>
      </c>
      <c r="P130" s="71">
        <f>SUM(P124:P129)</f>
        <v>887204.29999999993</v>
      </c>
      <c r="Q130" s="71">
        <f t="shared" si="126"/>
        <v>2539637</v>
      </c>
      <c r="R130" s="75">
        <f>SUM(R124:R129)</f>
        <v>9820737.0400000028</v>
      </c>
      <c r="S130" s="75">
        <f>SUM(S124:S129)</f>
        <v>9820737.0400000028</v>
      </c>
    </row>
    <row r="131" spans="1:19" ht="90" x14ac:dyDescent="0.25">
      <c r="A131" s="170"/>
      <c r="B131" s="172" t="s">
        <v>107</v>
      </c>
      <c r="C131" s="61" t="s">
        <v>100</v>
      </c>
      <c r="D131" s="62" t="s">
        <v>101</v>
      </c>
      <c r="E131" s="59">
        <v>237</v>
      </c>
      <c r="F131" s="128"/>
      <c r="G131" s="128"/>
      <c r="H131" s="128">
        <v>237</v>
      </c>
      <c r="I131" s="128">
        <v>237</v>
      </c>
      <c r="J131" s="109">
        <f>SUM(K131:M131)</f>
        <v>48867.43</v>
      </c>
      <c r="K131" s="109">
        <f>33147.58+820.54</f>
        <v>33968.120000000003</v>
      </c>
      <c r="L131" s="70">
        <v>3857.41</v>
      </c>
      <c r="M131" s="72">
        <v>11041.9</v>
      </c>
      <c r="N131" s="71">
        <f>SUM(O131:Q131)</f>
        <v>11581580.91</v>
      </c>
      <c r="O131" s="71">
        <f>E131*K131</f>
        <v>8050444.4400000004</v>
      </c>
      <c r="P131" s="71">
        <f>E131*L131</f>
        <v>914206.16999999993</v>
      </c>
      <c r="Q131" s="71">
        <f>E131*M131</f>
        <v>2616930.2999999998</v>
      </c>
      <c r="R131" s="75">
        <f t="shared" si="102"/>
        <v>11581580.91</v>
      </c>
      <c r="S131" s="75">
        <f t="shared" si="103"/>
        <v>11581580.91</v>
      </c>
    </row>
    <row r="132" spans="1:19" ht="120" x14ac:dyDescent="0.25">
      <c r="A132" s="170"/>
      <c r="B132" s="172"/>
      <c r="C132" s="63" t="s">
        <v>102</v>
      </c>
      <c r="D132" s="64" t="s">
        <v>101</v>
      </c>
      <c r="E132" s="59" t="s">
        <v>104</v>
      </c>
      <c r="F132" s="128" t="s">
        <v>104</v>
      </c>
      <c r="G132" s="128" t="s">
        <v>104</v>
      </c>
      <c r="H132" s="128" t="s">
        <v>104</v>
      </c>
      <c r="I132" s="128" t="s">
        <v>104</v>
      </c>
      <c r="J132" s="59" t="s">
        <v>104</v>
      </c>
      <c r="K132" s="59" t="s">
        <v>104</v>
      </c>
      <c r="L132" s="59" t="s">
        <v>104</v>
      </c>
      <c r="M132" s="59" t="s">
        <v>104</v>
      </c>
      <c r="N132" s="71"/>
      <c r="O132" s="71"/>
      <c r="P132" s="59" t="s">
        <v>104</v>
      </c>
      <c r="Q132" s="59" t="s">
        <v>104</v>
      </c>
      <c r="R132" s="75"/>
      <c r="S132" s="75"/>
    </row>
    <row r="133" spans="1:19" x14ac:dyDescent="0.25">
      <c r="A133" s="170"/>
      <c r="B133" s="172"/>
      <c r="C133" s="63" t="s">
        <v>168</v>
      </c>
      <c r="D133" s="64" t="s">
        <v>101</v>
      </c>
      <c r="E133" s="127">
        <v>1</v>
      </c>
      <c r="F133" s="127"/>
      <c r="G133" s="128"/>
      <c r="H133" s="127">
        <v>1</v>
      </c>
      <c r="I133" s="127">
        <v>1</v>
      </c>
      <c r="J133" s="75">
        <f t="shared" ref="J133:J135" si="127">K133</f>
        <v>256522.21</v>
      </c>
      <c r="K133" s="75">
        <v>256522.21</v>
      </c>
      <c r="L133" s="59" t="s">
        <v>104</v>
      </c>
      <c r="M133" s="59" t="s">
        <v>104</v>
      </c>
      <c r="N133" s="71">
        <f t="shared" ref="N133:N135" si="128">O133</f>
        <v>256522.21</v>
      </c>
      <c r="O133" s="71">
        <f>E133*K133</f>
        <v>256522.21</v>
      </c>
      <c r="P133" s="59" t="s">
        <v>104</v>
      </c>
      <c r="Q133" s="59" t="s">
        <v>104</v>
      </c>
      <c r="R133" s="75">
        <f t="shared" ref="R133:R135" si="129">H133*K133</f>
        <v>256522.21</v>
      </c>
      <c r="S133" s="75">
        <f t="shared" ref="S133:S135" si="130">I133*K133</f>
        <v>256522.21</v>
      </c>
    </row>
    <row r="134" spans="1:19" x14ac:dyDescent="0.25">
      <c r="A134" s="170"/>
      <c r="B134" s="172"/>
      <c r="C134" s="63" t="s">
        <v>172</v>
      </c>
      <c r="D134" s="64" t="s">
        <v>101</v>
      </c>
      <c r="E134" s="127">
        <v>1</v>
      </c>
      <c r="F134" s="127"/>
      <c r="G134" s="128"/>
      <c r="H134" s="127">
        <v>1</v>
      </c>
      <c r="I134" s="127">
        <v>1</v>
      </c>
      <c r="J134" s="75">
        <f t="shared" si="127"/>
        <v>31601.01</v>
      </c>
      <c r="K134" s="75">
        <v>31601.01</v>
      </c>
      <c r="L134" s="59" t="s">
        <v>104</v>
      </c>
      <c r="M134" s="59" t="s">
        <v>104</v>
      </c>
      <c r="N134" s="71">
        <f t="shared" si="128"/>
        <v>31601.01</v>
      </c>
      <c r="O134" s="71">
        <f t="shared" ref="O134:O135" si="131">E134*K134</f>
        <v>31601.01</v>
      </c>
      <c r="P134" s="59" t="s">
        <v>104</v>
      </c>
      <c r="Q134" s="59" t="s">
        <v>104</v>
      </c>
      <c r="R134" s="75">
        <f t="shared" si="129"/>
        <v>31601.01</v>
      </c>
      <c r="S134" s="75">
        <f t="shared" si="130"/>
        <v>31601.01</v>
      </c>
    </row>
    <row r="135" spans="1:19" x14ac:dyDescent="0.25">
      <c r="A135" s="170"/>
      <c r="B135" s="172"/>
      <c r="C135" s="63" t="s">
        <v>169</v>
      </c>
      <c r="D135" s="64" t="s">
        <v>101</v>
      </c>
      <c r="E135" s="127">
        <v>10</v>
      </c>
      <c r="F135" s="127"/>
      <c r="G135" s="128"/>
      <c r="H135" s="127">
        <v>10</v>
      </c>
      <c r="I135" s="127">
        <v>10</v>
      </c>
      <c r="J135" s="75">
        <f t="shared" si="127"/>
        <v>22724.03</v>
      </c>
      <c r="K135" s="75">
        <v>22724.03</v>
      </c>
      <c r="L135" s="59" t="s">
        <v>104</v>
      </c>
      <c r="M135" s="59" t="s">
        <v>104</v>
      </c>
      <c r="N135" s="71">
        <f t="shared" si="128"/>
        <v>227240.3</v>
      </c>
      <c r="O135" s="71">
        <f t="shared" si="131"/>
        <v>227240.3</v>
      </c>
      <c r="P135" s="59" t="s">
        <v>104</v>
      </c>
      <c r="Q135" s="59" t="s">
        <v>104</v>
      </c>
      <c r="R135" s="75">
        <f t="shared" si="129"/>
        <v>227240.3</v>
      </c>
      <c r="S135" s="75">
        <f t="shared" si="130"/>
        <v>227240.3</v>
      </c>
    </row>
    <row r="136" spans="1:19" ht="120" x14ac:dyDescent="0.25">
      <c r="A136" s="170"/>
      <c r="B136" s="172"/>
      <c r="C136" s="61" t="s">
        <v>105</v>
      </c>
      <c r="D136" s="64" t="s">
        <v>101</v>
      </c>
      <c r="E136" s="60">
        <v>2</v>
      </c>
      <c r="F136" s="127"/>
      <c r="G136" s="127"/>
      <c r="H136" s="127">
        <v>2</v>
      </c>
      <c r="I136" s="127">
        <v>2</v>
      </c>
      <c r="J136" s="75">
        <f>SUM(K136:M136)</f>
        <v>160896.81</v>
      </c>
      <c r="K136" s="75">
        <f>145176.96+820.54</f>
        <v>145997.5</v>
      </c>
      <c r="L136" s="72">
        <v>3857.41</v>
      </c>
      <c r="M136" s="70">
        <v>11041.9</v>
      </c>
      <c r="N136" s="71">
        <f>SUM(O136:Q136)</f>
        <v>321793.62</v>
      </c>
      <c r="O136" s="71">
        <f>E136*K136</f>
        <v>291995</v>
      </c>
      <c r="P136" s="73">
        <f>E136*L136</f>
        <v>7714.82</v>
      </c>
      <c r="Q136" s="73">
        <f>E136*M136</f>
        <v>22083.8</v>
      </c>
      <c r="R136" s="75">
        <f t="shared" si="102"/>
        <v>321793.62</v>
      </c>
      <c r="S136" s="75">
        <f t="shared" si="103"/>
        <v>321793.62</v>
      </c>
    </row>
    <row r="137" spans="1:19" x14ac:dyDescent="0.25">
      <c r="A137" s="170"/>
      <c r="B137" s="112"/>
      <c r="C137" s="66" t="s">
        <v>106</v>
      </c>
      <c r="D137" s="64"/>
      <c r="E137" s="60">
        <f>E131+E136</f>
        <v>239</v>
      </c>
      <c r="F137" s="127">
        <f>F131+F136</f>
        <v>0</v>
      </c>
      <c r="G137" s="127">
        <f>G131+G136</f>
        <v>0</v>
      </c>
      <c r="H137" s="127">
        <f>H131+H136</f>
        <v>239</v>
      </c>
      <c r="I137" s="127">
        <f>I131+I136</f>
        <v>239</v>
      </c>
      <c r="J137" s="130" t="s">
        <v>104</v>
      </c>
      <c r="K137" s="73" t="s">
        <v>104</v>
      </c>
      <c r="L137" s="74" t="s">
        <v>104</v>
      </c>
      <c r="M137" s="74" t="s">
        <v>104</v>
      </c>
      <c r="N137" s="74">
        <f t="shared" ref="N137:S137" si="132">SUM(N131:N136)</f>
        <v>12418738.050000001</v>
      </c>
      <c r="O137" s="74">
        <f t="shared" si="132"/>
        <v>8857802.9600000009</v>
      </c>
      <c r="P137" s="74">
        <f t="shared" si="132"/>
        <v>921920.98999999987</v>
      </c>
      <c r="Q137" s="74">
        <f t="shared" si="132"/>
        <v>2639014.0999999996</v>
      </c>
      <c r="R137" s="75">
        <f t="shared" si="132"/>
        <v>12418738.050000001</v>
      </c>
      <c r="S137" s="75">
        <f t="shared" si="132"/>
        <v>12418738.050000001</v>
      </c>
    </row>
    <row r="138" spans="1:19" ht="90" x14ac:dyDescent="0.25">
      <c r="A138" s="170"/>
      <c r="B138" s="172" t="s">
        <v>108</v>
      </c>
      <c r="C138" s="61" t="s">
        <v>100</v>
      </c>
      <c r="D138" s="62" t="s">
        <v>101</v>
      </c>
      <c r="E138" s="60">
        <v>43</v>
      </c>
      <c r="F138" s="127"/>
      <c r="G138" s="127"/>
      <c r="H138" s="127">
        <v>43</v>
      </c>
      <c r="I138" s="127">
        <v>43</v>
      </c>
      <c r="J138" s="129">
        <f>SUM(K138:M138)</f>
        <v>55554.37</v>
      </c>
      <c r="K138" s="109">
        <f>39660.87+994.19</f>
        <v>40655.060000000005</v>
      </c>
      <c r="L138" s="70">
        <v>3857.41</v>
      </c>
      <c r="M138" s="70">
        <v>11041.9</v>
      </c>
      <c r="N138" s="73">
        <f>SUM(O138:Q138)</f>
        <v>2388837.9100000006</v>
      </c>
      <c r="O138" s="73">
        <f>E138*K138</f>
        <v>1748167.5800000003</v>
      </c>
      <c r="P138" s="73">
        <f>E138*L138</f>
        <v>165868.63</v>
      </c>
      <c r="Q138" s="73">
        <f>E138*M138</f>
        <v>474801.7</v>
      </c>
      <c r="R138" s="75">
        <f t="shared" si="102"/>
        <v>2388837.91</v>
      </c>
      <c r="S138" s="75">
        <f t="shared" si="103"/>
        <v>2388837.91</v>
      </c>
    </row>
    <row r="139" spans="1:19" ht="120" x14ac:dyDescent="0.25">
      <c r="A139" s="170"/>
      <c r="B139" s="172"/>
      <c r="C139" s="63" t="s">
        <v>102</v>
      </c>
      <c r="D139" s="64" t="s">
        <v>101</v>
      </c>
      <c r="E139" s="59" t="s">
        <v>104</v>
      </c>
      <c r="F139" s="59" t="s">
        <v>104</v>
      </c>
      <c r="G139" s="59" t="s">
        <v>104</v>
      </c>
      <c r="H139" s="59" t="s">
        <v>104</v>
      </c>
      <c r="I139" s="59" t="s">
        <v>104</v>
      </c>
      <c r="J139" s="59" t="s">
        <v>104</v>
      </c>
      <c r="K139" s="59" t="s">
        <v>104</v>
      </c>
      <c r="L139" s="59" t="s">
        <v>104</v>
      </c>
      <c r="M139" s="59" t="s">
        <v>104</v>
      </c>
      <c r="N139" s="71"/>
      <c r="O139" s="71"/>
      <c r="P139" s="59" t="s">
        <v>104</v>
      </c>
      <c r="Q139" s="59" t="s">
        <v>104</v>
      </c>
      <c r="R139" s="75"/>
      <c r="S139" s="75"/>
    </row>
    <row r="140" spans="1:19" x14ac:dyDescent="0.25">
      <c r="A140" s="170"/>
      <c r="B140" s="172"/>
      <c r="C140" s="63" t="s">
        <v>169</v>
      </c>
      <c r="D140" s="64" t="s">
        <v>101</v>
      </c>
      <c r="E140" s="60">
        <v>2</v>
      </c>
      <c r="F140" s="60"/>
      <c r="G140" s="60"/>
      <c r="H140" s="60">
        <v>2</v>
      </c>
      <c r="I140" s="60">
        <v>2</v>
      </c>
      <c r="J140" s="75">
        <f>K140</f>
        <v>22724.03</v>
      </c>
      <c r="K140" s="75">
        <v>22724.03</v>
      </c>
      <c r="L140" s="59" t="s">
        <v>104</v>
      </c>
      <c r="M140" s="59" t="s">
        <v>104</v>
      </c>
      <c r="N140" s="71">
        <f>O140</f>
        <v>45448.06</v>
      </c>
      <c r="O140" s="71">
        <f>E140*K140</f>
        <v>45448.06</v>
      </c>
      <c r="P140" s="59" t="s">
        <v>104</v>
      </c>
      <c r="Q140" s="59" t="s">
        <v>104</v>
      </c>
      <c r="R140" s="75">
        <f>H140*K140</f>
        <v>45448.06</v>
      </c>
      <c r="S140" s="75">
        <f>I140*K140</f>
        <v>45448.06</v>
      </c>
    </row>
    <row r="141" spans="1:19" ht="120" x14ac:dyDescent="0.25">
      <c r="A141" s="170"/>
      <c r="B141" s="172"/>
      <c r="C141" s="61" t="s">
        <v>105</v>
      </c>
      <c r="D141" s="64" t="s">
        <v>101</v>
      </c>
      <c r="E141" s="60">
        <v>0</v>
      </c>
      <c r="F141" s="127"/>
      <c r="G141" s="127"/>
      <c r="H141" s="127">
        <v>0</v>
      </c>
      <c r="I141" s="127">
        <v>0</v>
      </c>
      <c r="J141" s="130">
        <f>K141</f>
        <v>174919.72</v>
      </c>
      <c r="K141" s="73">
        <f>173925.53+994.19</f>
        <v>174919.72</v>
      </c>
      <c r="L141" s="70">
        <v>3857.41</v>
      </c>
      <c r="M141" s="70">
        <v>11041.9</v>
      </c>
      <c r="N141" s="71">
        <f>SUM(O141:Q141)</f>
        <v>0</v>
      </c>
      <c r="O141" s="73">
        <f>E141*K141</f>
        <v>0</v>
      </c>
      <c r="P141" s="73">
        <f>E141*L141</f>
        <v>0</v>
      </c>
      <c r="Q141" s="73">
        <f>E141*M141</f>
        <v>0</v>
      </c>
      <c r="R141" s="75">
        <f>H141*K141</f>
        <v>0</v>
      </c>
      <c r="S141" s="75">
        <f>I141*K141</f>
        <v>0</v>
      </c>
    </row>
    <row r="142" spans="1:19" x14ac:dyDescent="0.25">
      <c r="A142" s="170"/>
      <c r="B142" s="112"/>
      <c r="C142" s="66" t="s">
        <v>106</v>
      </c>
      <c r="D142" s="64"/>
      <c r="E142" s="60">
        <f>E138+E141</f>
        <v>43</v>
      </c>
      <c r="F142" s="60">
        <f>F138+F141</f>
        <v>0</v>
      </c>
      <c r="G142" s="60">
        <f>G138+G141</f>
        <v>0</v>
      </c>
      <c r="H142" s="60">
        <f>H138+H141</f>
        <v>43</v>
      </c>
      <c r="I142" s="60">
        <f>I138+I141</f>
        <v>43</v>
      </c>
      <c r="J142" s="73" t="s">
        <v>104</v>
      </c>
      <c r="K142" s="73" t="s">
        <v>104</v>
      </c>
      <c r="L142" s="74" t="s">
        <v>104</v>
      </c>
      <c r="M142" s="74" t="s">
        <v>104</v>
      </c>
      <c r="N142" s="74">
        <f t="shared" ref="N142:Q142" si="133">SUM(N138:N141)</f>
        <v>2434285.9700000007</v>
      </c>
      <c r="O142" s="74">
        <f t="shared" si="133"/>
        <v>1793615.6400000004</v>
      </c>
      <c r="P142" s="74">
        <f t="shared" si="133"/>
        <v>165868.63</v>
      </c>
      <c r="Q142" s="74">
        <f t="shared" si="133"/>
        <v>474801.7</v>
      </c>
      <c r="R142" s="75">
        <f>SUM(R138:R141)</f>
        <v>2434285.9700000002</v>
      </c>
      <c r="S142" s="75">
        <f>SUM(S138:S141)</f>
        <v>2434285.9700000002</v>
      </c>
    </row>
    <row r="143" spans="1:19" ht="165" x14ac:dyDescent="0.25">
      <c r="A143" s="170"/>
      <c r="B143" s="171" t="s">
        <v>109</v>
      </c>
      <c r="C143" s="61" t="s">
        <v>110</v>
      </c>
      <c r="D143" s="64" t="s">
        <v>101</v>
      </c>
      <c r="E143" s="60">
        <v>343</v>
      </c>
      <c r="F143" s="127"/>
      <c r="G143" s="127"/>
      <c r="H143" s="127">
        <v>343</v>
      </c>
      <c r="I143" s="127">
        <v>343</v>
      </c>
      <c r="J143" s="75">
        <f>K143</f>
        <v>3829.24</v>
      </c>
      <c r="K143" s="75">
        <v>3829.24</v>
      </c>
      <c r="L143" s="72" t="s">
        <v>104</v>
      </c>
      <c r="M143" s="72" t="s">
        <v>104</v>
      </c>
      <c r="N143" s="73">
        <f>SUM(O143:Q143)</f>
        <v>1313429.3199999998</v>
      </c>
      <c r="O143" s="73">
        <f>K143*E143</f>
        <v>1313429.3199999998</v>
      </c>
      <c r="P143" s="73" t="s">
        <v>104</v>
      </c>
      <c r="Q143" s="73" t="s">
        <v>104</v>
      </c>
      <c r="R143" s="75">
        <f t="shared" si="102"/>
        <v>1313429.3199999998</v>
      </c>
      <c r="S143" s="75">
        <f t="shared" si="103"/>
        <v>1313429.3199999998</v>
      </c>
    </row>
    <row r="144" spans="1:19" ht="180" x14ac:dyDescent="0.25">
      <c r="A144" s="170"/>
      <c r="B144" s="171"/>
      <c r="C144" s="61" t="s">
        <v>173</v>
      </c>
      <c r="D144" s="64" t="s">
        <v>101</v>
      </c>
      <c r="E144" s="60"/>
      <c r="F144" s="127"/>
      <c r="G144" s="127"/>
      <c r="H144" s="127"/>
      <c r="I144" s="127"/>
      <c r="J144" s="75"/>
      <c r="K144" s="75">
        <f>J144</f>
        <v>0</v>
      </c>
      <c r="L144" s="72" t="s">
        <v>104</v>
      </c>
      <c r="M144" s="72" t="s">
        <v>104</v>
      </c>
      <c r="N144" s="73">
        <f>SUM(O144:Q144)</f>
        <v>0</v>
      </c>
      <c r="O144" s="73">
        <f>K144*E144</f>
        <v>0</v>
      </c>
      <c r="P144" s="73" t="s">
        <v>104</v>
      </c>
      <c r="Q144" s="73" t="s">
        <v>104</v>
      </c>
      <c r="R144" s="75">
        <f t="shared" si="102"/>
        <v>0</v>
      </c>
      <c r="S144" s="75">
        <f t="shared" si="103"/>
        <v>0</v>
      </c>
    </row>
    <row r="145" spans="1:19" x14ac:dyDescent="0.25">
      <c r="A145" s="170"/>
      <c r="B145" s="69"/>
      <c r="C145" s="66" t="s">
        <v>106</v>
      </c>
      <c r="D145" s="69"/>
      <c r="E145" s="60">
        <f>SUM(E143:E144)</f>
        <v>343</v>
      </c>
      <c r="F145" s="60">
        <f>SUM(F143:F144)</f>
        <v>0</v>
      </c>
      <c r="G145" s="60">
        <f t="shared" ref="G145:I145" si="134">SUM(G143:G144)</f>
        <v>0</v>
      </c>
      <c r="H145" s="60">
        <f t="shared" si="134"/>
        <v>343</v>
      </c>
      <c r="I145" s="60">
        <f t="shared" si="134"/>
        <v>343</v>
      </c>
      <c r="J145" s="73" t="s">
        <v>104</v>
      </c>
      <c r="K145" s="73" t="s">
        <v>104</v>
      </c>
      <c r="L145" s="74" t="s">
        <v>104</v>
      </c>
      <c r="M145" s="74">
        <f t="shared" ref="M145:Q145" si="135">SUM(M143:M144)</f>
        <v>0</v>
      </c>
      <c r="N145" s="74">
        <f t="shared" si="135"/>
        <v>1313429.3199999998</v>
      </c>
      <c r="O145" s="74">
        <f t="shared" si="135"/>
        <v>1313429.3199999998</v>
      </c>
      <c r="P145" s="74">
        <f t="shared" si="135"/>
        <v>0</v>
      </c>
      <c r="Q145" s="74">
        <f t="shared" si="135"/>
        <v>0</v>
      </c>
      <c r="R145" s="75">
        <f>SUM(R143:R144)</f>
        <v>1313429.3199999998</v>
      </c>
      <c r="S145" s="75">
        <f>SUM(S143:S144)</f>
        <v>1313429.3199999998</v>
      </c>
    </row>
    <row r="146" spans="1:19" x14ac:dyDescent="0.25">
      <c r="A146" s="170"/>
      <c r="B146" s="102" t="s">
        <v>112</v>
      </c>
      <c r="C146" s="102"/>
      <c r="D146" s="69"/>
      <c r="E146" s="103"/>
      <c r="F146" s="103"/>
      <c r="G146" s="103"/>
      <c r="H146" s="103"/>
      <c r="I146" s="103"/>
      <c r="J146" s="105"/>
      <c r="K146" s="105"/>
      <c r="L146" s="104"/>
      <c r="M146" s="104"/>
      <c r="N146" s="104">
        <f>SUM(O146:Q146)</f>
        <v>25987190.379999999</v>
      </c>
      <c r="O146" s="104">
        <f>O130+O137+O142+O145</f>
        <v>18358743.66</v>
      </c>
      <c r="P146" s="104">
        <f>P130+P137+P142+P145</f>
        <v>1974993.9199999999</v>
      </c>
      <c r="Q146" s="104">
        <f>Q130+Q137+Q142+Q145</f>
        <v>5653452.7999999998</v>
      </c>
      <c r="R146" s="104">
        <f>R130+R137+R142+R145</f>
        <v>25987190.380000003</v>
      </c>
      <c r="S146" s="104">
        <f>S130+S137+S142+S145</f>
        <v>25987190.380000003</v>
      </c>
    </row>
    <row r="147" spans="1:19" ht="90" x14ac:dyDescent="0.25">
      <c r="A147" s="170" t="s">
        <v>114</v>
      </c>
      <c r="B147" s="172" t="s">
        <v>99</v>
      </c>
      <c r="C147" s="61" t="s">
        <v>100</v>
      </c>
      <c r="D147" s="62" t="s">
        <v>101</v>
      </c>
      <c r="E147" s="59">
        <v>213</v>
      </c>
      <c r="F147" s="59"/>
      <c r="G147" s="60"/>
      <c r="H147" s="59">
        <v>213</v>
      </c>
      <c r="I147" s="59">
        <v>213</v>
      </c>
      <c r="J147" s="109">
        <f>SUM(K147:M147)</f>
        <v>37900.54</v>
      </c>
      <c r="K147" s="109">
        <f>22328.93+672.3</f>
        <v>23001.23</v>
      </c>
      <c r="L147" s="70">
        <v>3857.41</v>
      </c>
      <c r="M147" s="70">
        <v>11041.9</v>
      </c>
      <c r="N147" s="71">
        <f>SUM(O147:Q147)</f>
        <v>8072815.0199999996</v>
      </c>
      <c r="O147" s="71">
        <f>E147*K147</f>
        <v>4899261.99</v>
      </c>
      <c r="P147" s="71">
        <f>E147*L147</f>
        <v>821628.33</v>
      </c>
      <c r="Q147" s="75">
        <f>E147*M147</f>
        <v>2351924.6999999997</v>
      </c>
      <c r="R147" s="75">
        <f t="shared" si="102"/>
        <v>8072815.0200000005</v>
      </c>
      <c r="S147" s="75">
        <f t="shared" si="103"/>
        <v>8072815.0200000005</v>
      </c>
    </row>
    <row r="148" spans="1:19" ht="135" x14ac:dyDescent="0.25">
      <c r="A148" s="170"/>
      <c r="B148" s="172"/>
      <c r="C148" s="63" t="s">
        <v>164</v>
      </c>
      <c r="D148" s="64" t="s">
        <v>101</v>
      </c>
      <c r="E148" s="59" t="s">
        <v>104</v>
      </c>
      <c r="F148" s="59" t="s">
        <v>104</v>
      </c>
      <c r="G148" s="59" t="s">
        <v>104</v>
      </c>
      <c r="H148" s="59" t="s">
        <v>104</v>
      </c>
      <c r="I148" s="59" t="s">
        <v>104</v>
      </c>
      <c r="J148" s="59" t="s">
        <v>104</v>
      </c>
      <c r="K148" s="59" t="s">
        <v>104</v>
      </c>
      <c r="L148" s="59" t="s">
        <v>104</v>
      </c>
      <c r="M148" s="59" t="s">
        <v>104</v>
      </c>
      <c r="N148" s="71"/>
      <c r="O148" s="71"/>
      <c r="P148" s="59" t="s">
        <v>104</v>
      </c>
      <c r="Q148" s="59" t="s">
        <v>104</v>
      </c>
      <c r="R148" s="75"/>
      <c r="S148" s="75"/>
    </row>
    <row r="149" spans="1:19" x14ac:dyDescent="0.25">
      <c r="A149" s="170"/>
      <c r="B149" s="172"/>
      <c r="C149" s="63" t="s">
        <v>174</v>
      </c>
      <c r="D149" s="64" t="s">
        <v>101</v>
      </c>
      <c r="E149" s="59">
        <v>1</v>
      </c>
      <c r="F149" s="59"/>
      <c r="G149" s="119"/>
      <c r="H149" s="59">
        <v>1</v>
      </c>
      <c r="I149" s="59">
        <v>1</v>
      </c>
      <c r="J149" s="75">
        <f t="shared" ref="J149:J153" si="136">K149</f>
        <v>66860.39</v>
      </c>
      <c r="K149" s="75">
        <v>66860.39</v>
      </c>
      <c r="L149" s="59" t="s">
        <v>104</v>
      </c>
      <c r="M149" s="59" t="s">
        <v>104</v>
      </c>
      <c r="N149" s="71">
        <f>O149</f>
        <v>66860.39</v>
      </c>
      <c r="O149" s="71">
        <f>E149*K149</f>
        <v>66860.39</v>
      </c>
      <c r="P149" s="59" t="s">
        <v>104</v>
      </c>
      <c r="Q149" s="59" t="s">
        <v>104</v>
      </c>
      <c r="R149" s="75">
        <f>H149*K149</f>
        <v>66860.39</v>
      </c>
      <c r="S149" s="75">
        <f>I149*K149</f>
        <v>66860.39</v>
      </c>
    </row>
    <row r="150" spans="1:19" x14ac:dyDescent="0.25">
      <c r="A150" s="170"/>
      <c r="B150" s="172"/>
      <c r="C150" s="63" t="s">
        <v>165</v>
      </c>
      <c r="D150" s="64" t="s">
        <v>101</v>
      </c>
      <c r="E150" s="59">
        <v>1</v>
      </c>
      <c r="F150" s="59"/>
      <c r="G150" s="119"/>
      <c r="H150" s="59">
        <v>1</v>
      </c>
      <c r="I150" s="59">
        <v>1</v>
      </c>
      <c r="J150" s="75">
        <f t="shared" si="136"/>
        <v>24684.9</v>
      </c>
      <c r="K150" s="75">
        <v>24684.9</v>
      </c>
      <c r="L150" s="59" t="s">
        <v>104</v>
      </c>
      <c r="M150" s="59" t="s">
        <v>104</v>
      </c>
      <c r="N150" s="71">
        <f>O150</f>
        <v>24684.9</v>
      </c>
      <c r="O150" s="71">
        <f t="shared" ref="O150:O153" si="137">E150*K150</f>
        <v>24684.9</v>
      </c>
      <c r="P150" s="59" t="s">
        <v>104</v>
      </c>
      <c r="Q150" s="59" t="s">
        <v>104</v>
      </c>
      <c r="R150" s="75">
        <f>H150*K150</f>
        <v>24684.9</v>
      </c>
      <c r="S150" s="75">
        <f>I150*K150</f>
        <v>24684.9</v>
      </c>
    </row>
    <row r="151" spans="1:19" x14ac:dyDescent="0.25">
      <c r="A151" s="170"/>
      <c r="B151" s="172"/>
      <c r="C151" s="63" t="s">
        <v>171</v>
      </c>
      <c r="D151" s="64" t="s">
        <v>101</v>
      </c>
      <c r="E151" s="59">
        <v>3</v>
      </c>
      <c r="F151" s="59"/>
      <c r="G151" s="119"/>
      <c r="H151" s="59">
        <v>3</v>
      </c>
      <c r="I151" s="59">
        <v>3</v>
      </c>
      <c r="J151" s="75">
        <f t="shared" si="136"/>
        <v>66860.39</v>
      </c>
      <c r="K151" s="75">
        <v>66860.39</v>
      </c>
      <c r="L151" s="59" t="s">
        <v>104</v>
      </c>
      <c r="M151" s="59" t="s">
        <v>104</v>
      </c>
      <c r="N151" s="71">
        <f t="shared" ref="N151:N153" si="138">O151</f>
        <v>200581.16999999998</v>
      </c>
      <c r="O151" s="71">
        <f t="shared" si="137"/>
        <v>200581.16999999998</v>
      </c>
      <c r="P151" s="59" t="s">
        <v>104</v>
      </c>
      <c r="Q151" s="59" t="s">
        <v>104</v>
      </c>
      <c r="R151" s="75">
        <f t="shared" ref="R151:R153" si="139">H151*K151</f>
        <v>200581.16999999998</v>
      </c>
      <c r="S151" s="75">
        <f t="shared" ref="S151:S153" si="140">I151*K151</f>
        <v>200581.16999999998</v>
      </c>
    </row>
    <row r="152" spans="1:19" x14ac:dyDescent="0.25">
      <c r="A152" s="170"/>
      <c r="B152" s="172"/>
      <c r="C152" s="63" t="s">
        <v>167</v>
      </c>
      <c r="D152" s="64" t="s">
        <v>101</v>
      </c>
      <c r="E152" s="59">
        <v>2</v>
      </c>
      <c r="F152" s="59"/>
      <c r="G152" s="119"/>
      <c r="H152" s="59">
        <v>2</v>
      </c>
      <c r="I152" s="59">
        <v>2</v>
      </c>
      <c r="J152" s="75">
        <f t="shared" si="136"/>
        <v>63972.15</v>
      </c>
      <c r="K152" s="75">
        <v>63972.15</v>
      </c>
      <c r="L152" s="59" t="s">
        <v>104</v>
      </c>
      <c r="M152" s="59" t="s">
        <v>104</v>
      </c>
      <c r="N152" s="71">
        <f t="shared" si="138"/>
        <v>127944.3</v>
      </c>
      <c r="O152" s="71">
        <f t="shared" si="137"/>
        <v>127944.3</v>
      </c>
      <c r="P152" s="59" t="s">
        <v>104</v>
      </c>
      <c r="Q152" s="59" t="s">
        <v>104</v>
      </c>
      <c r="R152" s="75">
        <f t="shared" si="139"/>
        <v>127944.3</v>
      </c>
      <c r="S152" s="75">
        <f t="shared" si="140"/>
        <v>127944.3</v>
      </c>
    </row>
    <row r="153" spans="1:19" x14ac:dyDescent="0.25">
      <c r="A153" s="170"/>
      <c r="B153" s="172"/>
      <c r="C153" s="63" t="s">
        <v>169</v>
      </c>
      <c r="D153" s="64" t="s">
        <v>101</v>
      </c>
      <c r="E153" s="59">
        <v>1</v>
      </c>
      <c r="F153" s="59"/>
      <c r="G153" s="119"/>
      <c r="H153" s="59">
        <v>1</v>
      </c>
      <c r="I153" s="59">
        <v>1</v>
      </c>
      <c r="J153" s="75">
        <f t="shared" si="136"/>
        <v>22724.03</v>
      </c>
      <c r="K153" s="75">
        <v>22724.03</v>
      </c>
      <c r="L153" s="59" t="s">
        <v>104</v>
      </c>
      <c r="M153" s="59" t="s">
        <v>104</v>
      </c>
      <c r="N153" s="71">
        <f t="shared" si="138"/>
        <v>22724.03</v>
      </c>
      <c r="O153" s="71">
        <f t="shared" si="137"/>
        <v>22724.03</v>
      </c>
      <c r="P153" s="59" t="s">
        <v>104</v>
      </c>
      <c r="Q153" s="59" t="s">
        <v>104</v>
      </c>
      <c r="R153" s="75">
        <f t="shared" si="139"/>
        <v>22724.03</v>
      </c>
      <c r="S153" s="75">
        <f t="shared" si="140"/>
        <v>22724.03</v>
      </c>
    </row>
    <row r="154" spans="1:19" ht="120" x14ac:dyDescent="0.25">
      <c r="A154" s="170"/>
      <c r="B154" s="172"/>
      <c r="C154" s="61" t="s">
        <v>105</v>
      </c>
      <c r="D154" s="64" t="s">
        <v>101</v>
      </c>
      <c r="E154" s="59">
        <v>1</v>
      </c>
      <c r="F154" s="59"/>
      <c r="G154" s="101"/>
      <c r="H154" s="59">
        <v>1</v>
      </c>
      <c r="I154" s="59">
        <v>1</v>
      </c>
      <c r="J154" s="75">
        <f>SUM(K154:M154)</f>
        <v>131999.99000000002</v>
      </c>
      <c r="K154" s="75">
        <f>116428.38+672.3</f>
        <v>117100.68000000001</v>
      </c>
      <c r="L154" s="72">
        <v>3857.41</v>
      </c>
      <c r="M154" s="70">
        <v>11041.9</v>
      </c>
      <c r="N154" s="71">
        <f>SUM(O154:Q154)</f>
        <v>131999.99000000002</v>
      </c>
      <c r="O154" s="71">
        <f>E154*K154</f>
        <v>117100.68000000001</v>
      </c>
      <c r="P154" s="71">
        <f>E154*L154</f>
        <v>3857.41</v>
      </c>
      <c r="Q154" s="75">
        <f>E154*M154</f>
        <v>11041.9</v>
      </c>
      <c r="R154" s="75">
        <f t="shared" si="102"/>
        <v>131999.99000000002</v>
      </c>
      <c r="S154" s="75">
        <f t="shared" si="103"/>
        <v>131999.99000000002</v>
      </c>
    </row>
    <row r="155" spans="1:19" x14ac:dyDescent="0.25">
      <c r="A155" s="170"/>
      <c r="B155" s="172"/>
      <c r="C155" s="66" t="s">
        <v>106</v>
      </c>
      <c r="D155" s="67"/>
      <c r="E155" s="59">
        <f>E147+E154</f>
        <v>214</v>
      </c>
      <c r="F155" s="59">
        <f t="shared" ref="F155:I155" si="141">F147+F154</f>
        <v>0</v>
      </c>
      <c r="G155" s="59">
        <f>G147+G154</f>
        <v>0</v>
      </c>
      <c r="H155" s="59">
        <f t="shared" si="141"/>
        <v>214</v>
      </c>
      <c r="I155" s="59">
        <f t="shared" si="141"/>
        <v>214</v>
      </c>
      <c r="J155" s="71" t="s">
        <v>104</v>
      </c>
      <c r="K155" s="71" t="s">
        <v>104</v>
      </c>
      <c r="L155" s="71" t="s">
        <v>104</v>
      </c>
      <c r="M155" s="71" t="s">
        <v>104</v>
      </c>
      <c r="N155" s="71">
        <f t="shared" ref="N155:S155" si="142">SUM(N147:N154)</f>
        <v>8647609.7999999989</v>
      </c>
      <c r="O155" s="71">
        <f t="shared" si="142"/>
        <v>5459157.46</v>
      </c>
      <c r="P155" s="71">
        <f t="shared" si="142"/>
        <v>825485.74</v>
      </c>
      <c r="Q155" s="71">
        <f t="shared" si="142"/>
        <v>2362966.5999999996</v>
      </c>
      <c r="R155" s="71">
        <f t="shared" si="142"/>
        <v>8647609.8000000007</v>
      </c>
      <c r="S155" s="71">
        <f t="shared" si="142"/>
        <v>8647609.8000000007</v>
      </c>
    </row>
    <row r="156" spans="1:19" ht="90" x14ac:dyDescent="0.25">
      <c r="A156" s="170"/>
      <c r="B156" s="172" t="s">
        <v>107</v>
      </c>
      <c r="C156" s="61" t="s">
        <v>100</v>
      </c>
      <c r="D156" s="62" t="s">
        <v>101</v>
      </c>
      <c r="E156" s="59">
        <v>233</v>
      </c>
      <c r="F156" s="59"/>
      <c r="G156" s="60"/>
      <c r="H156" s="59">
        <v>233</v>
      </c>
      <c r="I156" s="59">
        <v>233</v>
      </c>
      <c r="J156" s="109">
        <f>SUM(K156:M156)</f>
        <v>48867.43</v>
      </c>
      <c r="K156" s="109">
        <f>33147.58+820.54</f>
        <v>33968.120000000003</v>
      </c>
      <c r="L156" s="70">
        <v>3857.41</v>
      </c>
      <c r="M156" s="70">
        <v>11041.9</v>
      </c>
      <c r="N156" s="71">
        <f>SUM(O156:Q156)</f>
        <v>11386111.189999999</v>
      </c>
      <c r="O156" s="71">
        <f>E156*K156</f>
        <v>7914571.9600000009</v>
      </c>
      <c r="P156" s="71">
        <f>E156*L156</f>
        <v>898776.52999999991</v>
      </c>
      <c r="Q156" s="71">
        <f>E156*M156</f>
        <v>2572762.6999999997</v>
      </c>
      <c r="R156" s="75">
        <f t="shared" si="102"/>
        <v>11386111.189999999</v>
      </c>
      <c r="S156" s="75">
        <f t="shared" si="103"/>
        <v>11386111.189999999</v>
      </c>
    </row>
    <row r="157" spans="1:19" ht="135" x14ac:dyDescent="0.25">
      <c r="A157" s="170"/>
      <c r="B157" s="172"/>
      <c r="C157" s="63" t="s">
        <v>164</v>
      </c>
      <c r="D157" s="64" t="s">
        <v>101</v>
      </c>
      <c r="E157" s="59" t="s">
        <v>104</v>
      </c>
      <c r="F157" s="59" t="s">
        <v>104</v>
      </c>
      <c r="G157" s="59" t="s">
        <v>104</v>
      </c>
      <c r="H157" s="59" t="s">
        <v>104</v>
      </c>
      <c r="I157" s="59" t="s">
        <v>104</v>
      </c>
      <c r="J157" s="59" t="s">
        <v>104</v>
      </c>
      <c r="K157" s="59" t="s">
        <v>104</v>
      </c>
      <c r="L157" s="59" t="s">
        <v>104</v>
      </c>
      <c r="M157" s="59" t="s">
        <v>104</v>
      </c>
      <c r="N157" s="71"/>
      <c r="O157" s="71"/>
      <c r="P157" s="59" t="s">
        <v>104</v>
      </c>
      <c r="Q157" s="59" t="s">
        <v>104</v>
      </c>
      <c r="R157" s="75"/>
      <c r="S157" s="75"/>
    </row>
    <row r="158" spans="1:19" x14ac:dyDescent="0.25">
      <c r="A158" s="170"/>
      <c r="B158" s="172"/>
      <c r="C158" s="63" t="s">
        <v>174</v>
      </c>
      <c r="D158" s="64" t="s">
        <v>101</v>
      </c>
      <c r="E158" s="60">
        <v>1</v>
      </c>
      <c r="F158" s="60"/>
      <c r="G158" s="60"/>
      <c r="H158" s="60">
        <v>1</v>
      </c>
      <c r="I158" s="60">
        <v>1</v>
      </c>
      <c r="J158" s="75">
        <f t="shared" ref="J158:J159" si="143">K158</f>
        <v>66860.39</v>
      </c>
      <c r="K158" s="75">
        <v>66860.39</v>
      </c>
      <c r="L158" s="59" t="s">
        <v>104</v>
      </c>
      <c r="M158" s="59" t="s">
        <v>104</v>
      </c>
      <c r="N158" s="71">
        <f t="shared" ref="N158:N159" si="144">O158</f>
        <v>66860.39</v>
      </c>
      <c r="O158" s="71">
        <f>E158*K158</f>
        <v>66860.39</v>
      </c>
      <c r="P158" s="59" t="s">
        <v>104</v>
      </c>
      <c r="Q158" s="59" t="s">
        <v>104</v>
      </c>
      <c r="R158" s="75">
        <f>H158*K158</f>
        <v>66860.39</v>
      </c>
      <c r="S158" s="75">
        <f>I158*K158</f>
        <v>66860.39</v>
      </c>
    </row>
    <row r="159" spans="1:19" x14ac:dyDescent="0.25">
      <c r="A159" s="170"/>
      <c r="B159" s="172"/>
      <c r="C159" s="63" t="s">
        <v>166</v>
      </c>
      <c r="D159" s="64" t="s">
        <v>101</v>
      </c>
      <c r="E159" s="60">
        <v>1</v>
      </c>
      <c r="F159" s="60"/>
      <c r="G159" s="60"/>
      <c r="H159" s="60">
        <v>1</v>
      </c>
      <c r="I159" s="60">
        <v>1</v>
      </c>
      <c r="J159" s="75">
        <f t="shared" si="143"/>
        <v>89075.19</v>
      </c>
      <c r="K159" s="75">
        <v>89075.19</v>
      </c>
      <c r="L159" s="59" t="s">
        <v>104</v>
      </c>
      <c r="M159" s="59" t="s">
        <v>104</v>
      </c>
      <c r="N159" s="71">
        <f t="shared" si="144"/>
        <v>89075.19</v>
      </c>
      <c r="O159" s="71">
        <f t="shared" ref="O159:O160" si="145">E159*K159</f>
        <v>89075.19</v>
      </c>
      <c r="P159" s="59" t="s">
        <v>104</v>
      </c>
      <c r="Q159" s="59" t="s">
        <v>104</v>
      </c>
      <c r="R159" s="75">
        <f t="shared" ref="R159:R160" si="146">H159*K159</f>
        <v>89075.19</v>
      </c>
      <c r="S159" s="75">
        <f t="shared" ref="S159:S160" si="147">I159*K159</f>
        <v>89075.19</v>
      </c>
    </row>
    <row r="160" spans="1:19" x14ac:dyDescent="0.25">
      <c r="A160" s="170"/>
      <c r="B160" s="172"/>
      <c r="C160" s="63" t="s">
        <v>169</v>
      </c>
      <c r="D160" s="64" t="s">
        <v>101</v>
      </c>
      <c r="E160" s="60">
        <v>5</v>
      </c>
      <c r="F160" s="60"/>
      <c r="G160" s="60"/>
      <c r="H160" s="60">
        <v>5</v>
      </c>
      <c r="I160" s="60">
        <v>5</v>
      </c>
      <c r="J160" s="75">
        <f>K160</f>
        <v>22724.03</v>
      </c>
      <c r="K160" s="75">
        <v>22724.03</v>
      </c>
      <c r="L160" s="59" t="s">
        <v>104</v>
      </c>
      <c r="M160" s="59" t="s">
        <v>104</v>
      </c>
      <c r="N160" s="71">
        <f>O160</f>
        <v>113620.15</v>
      </c>
      <c r="O160" s="71">
        <f t="shared" si="145"/>
        <v>113620.15</v>
      </c>
      <c r="P160" s="59" t="s">
        <v>104</v>
      </c>
      <c r="Q160" s="59" t="s">
        <v>104</v>
      </c>
      <c r="R160" s="75">
        <f t="shared" si="146"/>
        <v>113620.15</v>
      </c>
      <c r="S160" s="75">
        <f t="shared" si="147"/>
        <v>113620.15</v>
      </c>
    </row>
    <row r="161" spans="1:19" ht="120" x14ac:dyDescent="0.25">
      <c r="A161" s="170"/>
      <c r="B161" s="172"/>
      <c r="C161" s="61" t="s">
        <v>105</v>
      </c>
      <c r="D161" s="64" t="s">
        <v>101</v>
      </c>
      <c r="E161" s="60">
        <v>3</v>
      </c>
      <c r="F161" s="60"/>
      <c r="G161" s="60"/>
      <c r="H161" s="60">
        <v>3</v>
      </c>
      <c r="I161" s="60">
        <v>3</v>
      </c>
      <c r="J161" s="75">
        <f>SUM(K161:M161)</f>
        <v>160896.81</v>
      </c>
      <c r="K161" s="75">
        <f>145176.96+820.54</f>
        <v>145997.5</v>
      </c>
      <c r="L161" s="72">
        <v>3857.41</v>
      </c>
      <c r="M161" s="70">
        <v>11041.9</v>
      </c>
      <c r="N161" s="73">
        <f>SUM(O161:Q161)</f>
        <v>482690.43</v>
      </c>
      <c r="O161" s="73">
        <f>E161*K161</f>
        <v>437992.5</v>
      </c>
      <c r="P161" s="73">
        <f>E161*L161</f>
        <v>11572.23</v>
      </c>
      <c r="Q161" s="73">
        <f>E161*M161</f>
        <v>33125.699999999997</v>
      </c>
      <c r="R161" s="75">
        <f t="shared" si="102"/>
        <v>482690.43</v>
      </c>
      <c r="S161" s="75">
        <f t="shared" si="103"/>
        <v>482690.43</v>
      </c>
    </row>
    <row r="162" spans="1:19" x14ac:dyDescent="0.25">
      <c r="A162" s="170"/>
      <c r="B162" s="112"/>
      <c r="C162" s="66" t="s">
        <v>106</v>
      </c>
      <c r="D162" s="64"/>
      <c r="E162" s="60">
        <f>E156+E161</f>
        <v>236</v>
      </c>
      <c r="F162" s="60">
        <f t="shared" ref="F162:I162" si="148">F156+F161</f>
        <v>0</v>
      </c>
      <c r="G162" s="60">
        <f t="shared" si="148"/>
        <v>0</v>
      </c>
      <c r="H162" s="60">
        <f t="shared" si="148"/>
        <v>236</v>
      </c>
      <c r="I162" s="60">
        <f t="shared" si="148"/>
        <v>236</v>
      </c>
      <c r="J162" s="73" t="s">
        <v>104</v>
      </c>
      <c r="K162" s="73" t="s">
        <v>104</v>
      </c>
      <c r="L162" s="74" t="s">
        <v>104</v>
      </c>
      <c r="M162" s="74" t="s">
        <v>104</v>
      </c>
      <c r="N162" s="74">
        <f t="shared" ref="N162:S162" si="149">SUM(N156:N161)</f>
        <v>12138357.35</v>
      </c>
      <c r="O162" s="74">
        <f t="shared" si="149"/>
        <v>8622120.1900000013</v>
      </c>
      <c r="P162" s="74">
        <f t="shared" si="149"/>
        <v>910348.75999999989</v>
      </c>
      <c r="Q162" s="74">
        <f t="shared" si="149"/>
        <v>2605888.4</v>
      </c>
      <c r="R162" s="74">
        <f t="shared" si="149"/>
        <v>12138357.35</v>
      </c>
      <c r="S162" s="74">
        <f t="shared" si="149"/>
        <v>12138357.35</v>
      </c>
    </row>
    <row r="163" spans="1:19" ht="90" x14ac:dyDescent="0.25">
      <c r="A163" s="170"/>
      <c r="B163" s="172" t="s">
        <v>108</v>
      </c>
      <c r="C163" s="61" t="s">
        <v>100</v>
      </c>
      <c r="D163" s="62" t="s">
        <v>101</v>
      </c>
      <c r="E163" s="60">
        <v>55</v>
      </c>
      <c r="F163" s="60"/>
      <c r="G163" s="60"/>
      <c r="H163" s="60">
        <v>55</v>
      </c>
      <c r="I163" s="60">
        <v>55</v>
      </c>
      <c r="J163" s="109">
        <f>SUM(K163:M163)</f>
        <v>55554.37</v>
      </c>
      <c r="K163" s="109">
        <f>39660.87+994.19</f>
        <v>40655.060000000005</v>
      </c>
      <c r="L163" s="70">
        <v>3857.41</v>
      </c>
      <c r="M163" s="70">
        <v>11041.9</v>
      </c>
      <c r="N163" s="73">
        <f>SUM(O163:Q163)</f>
        <v>3055490.35</v>
      </c>
      <c r="O163" s="73">
        <f>E163*K163</f>
        <v>2236028.3000000003</v>
      </c>
      <c r="P163" s="73">
        <f>E163*L163</f>
        <v>212157.55</v>
      </c>
      <c r="Q163" s="73">
        <f>E163*M163</f>
        <v>607304.5</v>
      </c>
      <c r="R163" s="75">
        <f t="shared" si="102"/>
        <v>3055490.35</v>
      </c>
      <c r="S163" s="75">
        <f t="shared" si="103"/>
        <v>3055490.35</v>
      </c>
    </row>
    <row r="164" spans="1:19" ht="135" x14ac:dyDescent="0.25">
      <c r="A164" s="170"/>
      <c r="B164" s="172"/>
      <c r="C164" s="63" t="s">
        <v>164</v>
      </c>
      <c r="D164" s="64" t="s">
        <v>101</v>
      </c>
      <c r="E164" s="59" t="s">
        <v>104</v>
      </c>
      <c r="F164" s="59" t="s">
        <v>104</v>
      </c>
      <c r="G164" s="59" t="s">
        <v>104</v>
      </c>
      <c r="H164" s="59" t="s">
        <v>104</v>
      </c>
      <c r="I164" s="59" t="s">
        <v>104</v>
      </c>
      <c r="J164" s="59" t="s">
        <v>104</v>
      </c>
      <c r="K164" s="59" t="s">
        <v>104</v>
      </c>
      <c r="L164" s="59" t="s">
        <v>104</v>
      </c>
      <c r="M164" s="59" t="s">
        <v>104</v>
      </c>
      <c r="N164" s="71"/>
      <c r="O164" s="71"/>
      <c r="P164" s="59" t="s">
        <v>104</v>
      </c>
      <c r="Q164" s="59" t="s">
        <v>104</v>
      </c>
      <c r="R164" s="75"/>
      <c r="S164" s="75"/>
    </row>
    <row r="165" spans="1:19" x14ac:dyDescent="0.25">
      <c r="A165" s="170"/>
      <c r="B165" s="172"/>
      <c r="C165" s="63" t="s">
        <v>166</v>
      </c>
      <c r="D165" s="64" t="s">
        <v>101</v>
      </c>
      <c r="E165" s="60">
        <v>0</v>
      </c>
      <c r="F165" s="60"/>
      <c r="G165" s="60"/>
      <c r="H165" s="60">
        <v>0</v>
      </c>
      <c r="I165" s="60">
        <v>0</v>
      </c>
      <c r="J165" s="75">
        <f>K165</f>
        <v>89075.19</v>
      </c>
      <c r="K165" s="75">
        <v>89075.19</v>
      </c>
      <c r="L165" s="59" t="s">
        <v>104</v>
      </c>
      <c r="M165" s="59" t="s">
        <v>104</v>
      </c>
      <c r="N165" s="71">
        <f>O165</f>
        <v>0</v>
      </c>
      <c r="O165" s="71">
        <f>E165*K165</f>
        <v>0</v>
      </c>
      <c r="P165" s="59" t="s">
        <v>104</v>
      </c>
      <c r="Q165" s="59" t="s">
        <v>104</v>
      </c>
      <c r="R165" s="75">
        <f>H165*K165</f>
        <v>0</v>
      </c>
      <c r="S165" s="75">
        <f>I165*K165</f>
        <v>0</v>
      </c>
    </row>
    <row r="166" spans="1:19" x14ac:dyDescent="0.25">
      <c r="A166" s="170"/>
      <c r="B166" s="172"/>
      <c r="C166" s="63" t="s">
        <v>169</v>
      </c>
      <c r="D166" s="64" t="s">
        <v>101</v>
      </c>
      <c r="E166" s="60">
        <v>1</v>
      </c>
      <c r="F166" s="60"/>
      <c r="G166" s="60"/>
      <c r="H166" s="60">
        <v>1</v>
      </c>
      <c r="I166" s="60">
        <v>1</v>
      </c>
      <c r="J166" s="75">
        <f>K166</f>
        <v>22724.03</v>
      </c>
      <c r="K166" s="75">
        <v>22724.03</v>
      </c>
      <c r="L166" s="59" t="s">
        <v>104</v>
      </c>
      <c r="M166" s="59" t="s">
        <v>104</v>
      </c>
      <c r="N166" s="71">
        <f>O166</f>
        <v>22724.03</v>
      </c>
      <c r="O166" s="71">
        <f>E166*K166</f>
        <v>22724.03</v>
      </c>
      <c r="P166" s="59" t="s">
        <v>104</v>
      </c>
      <c r="Q166" s="59" t="s">
        <v>104</v>
      </c>
      <c r="R166" s="75">
        <f>H166*K166</f>
        <v>22724.03</v>
      </c>
      <c r="S166" s="75">
        <f>I166*K166</f>
        <v>22724.03</v>
      </c>
    </row>
    <row r="167" spans="1:19" ht="120" x14ac:dyDescent="0.25">
      <c r="A167" s="170"/>
      <c r="B167" s="172"/>
      <c r="C167" s="61" t="s">
        <v>105</v>
      </c>
      <c r="D167" s="64" t="s">
        <v>101</v>
      </c>
      <c r="E167" s="60"/>
      <c r="F167" s="60"/>
      <c r="G167" s="60"/>
      <c r="H167" s="60"/>
      <c r="I167" s="60"/>
      <c r="J167" s="75">
        <f>SUM(K167:M167)</f>
        <v>189819.03</v>
      </c>
      <c r="K167" s="75">
        <f>173925.53+994.19</f>
        <v>174919.72</v>
      </c>
      <c r="L167" s="72">
        <v>3857.41</v>
      </c>
      <c r="M167" s="70">
        <v>11041.9</v>
      </c>
      <c r="N167" s="73"/>
      <c r="O167" s="71">
        <f t="shared" ref="O167" si="150">E167*K167</f>
        <v>0</v>
      </c>
      <c r="P167" s="73"/>
      <c r="Q167" s="73"/>
      <c r="R167" s="75">
        <f t="shared" si="102"/>
        <v>0</v>
      </c>
      <c r="S167" s="75">
        <f t="shared" si="103"/>
        <v>0</v>
      </c>
    </row>
    <row r="168" spans="1:19" x14ac:dyDescent="0.25">
      <c r="A168" s="170"/>
      <c r="B168" s="112"/>
      <c r="C168" s="66" t="s">
        <v>106</v>
      </c>
      <c r="D168" s="64"/>
      <c r="E168" s="60">
        <f>E163+E167</f>
        <v>55</v>
      </c>
      <c r="F168" s="60">
        <f t="shared" ref="F168:I168" si="151">F163+F167</f>
        <v>0</v>
      </c>
      <c r="G168" s="60">
        <f t="shared" si="151"/>
        <v>0</v>
      </c>
      <c r="H168" s="60">
        <f t="shared" si="151"/>
        <v>55</v>
      </c>
      <c r="I168" s="60">
        <f t="shared" si="151"/>
        <v>55</v>
      </c>
      <c r="J168" s="73" t="s">
        <v>104</v>
      </c>
      <c r="K168" s="73" t="s">
        <v>104</v>
      </c>
      <c r="L168" s="74" t="s">
        <v>104</v>
      </c>
      <c r="M168" s="74" t="s">
        <v>104</v>
      </c>
      <c r="N168" s="74">
        <f t="shared" ref="N168:S168" si="152">SUM(N163:N167)</f>
        <v>3078214.38</v>
      </c>
      <c r="O168" s="74">
        <f t="shared" si="152"/>
        <v>2258752.33</v>
      </c>
      <c r="P168" s="74">
        <f t="shared" si="152"/>
        <v>212157.55</v>
      </c>
      <c r="Q168" s="74">
        <f t="shared" si="152"/>
        <v>607304.5</v>
      </c>
      <c r="R168" s="74">
        <f t="shared" si="152"/>
        <v>3078214.38</v>
      </c>
      <c r="S168" s="74">
        <f t="shared" si="152"/>
        <v>3078214.38</v>
      </c>
    </row>
    <row r="169" spans="1:19" ht="165" x14ac:dyDescent="0.25">
      <c r="A169" s="170"/>
      <c r="B169" s="171" t="s">
        <v>109</v>
      </c>
      <c r="C169" s="61" t="s">
        <v>110</v>
      </c>
      <c r="D169" s="64" t="s">
        <v>101</v>
      </c>
      <c r="E169" s="60">
        <v>371</v>
      </c>
      <c r="F169" s="60"/>
      <c r="G169" s="60"/>
      <c r="H169" s="60">
        <v>371</v>
      </c>
      <c r="I169" s="60">
        <v>371</v>
      </c>
      <c r="J169" s="75">
        <f>K169</f>
        <v>3829.24</v>
      </c>
      <c r="K169" s="75">
        <v>3829.24</v>
      </c>
      <c r="L169" s="72" t="s">
        <v>104</v>
      </c>
      <c r="M169" s="72" t="s">
        <v>104</v>
      </c>
      <c r="N169" s="73">
        <f>SUM(O169:Q169)</f>
        <v>1420648.0399999998</v>
      </c>
      <c r="O169" s="73">
        <f>K169*E169</f>
        <v>1420648.0399999998</v>
      </c>
      <c r="P169" s="73" t="s">
        <v>104</v>
      </c>
      <c r="Q169" s="73" t="s">
        <v>104</v>
      </c>
      <c r="R169" s="75">
        <f t="shared" si="102"/>
        <v>1420648.0399999998</v>
      </c>
      <c r="S169" s="75">
        <f t="shared" si="103"/>
        <v>1420648.0399999998</v>
      </c>
    </row>
    <row r="170" spans="1:19" ht="180" x14ac:dyDescent="0.25">
      <c r="A170" s="170"/>
      <c r="B170" s="171"/>
      <c r="C170" s="61" t="s">
        <v>170</v>
      </c>
      <c r="D170" s="64" t="s">
        <v>101</v>
      </c>
      <c r="E170" s="60"/>
      <c r="F170" s="60"/>
      <c r="G170" s="60"/>
      <c r="H170" s="60"/>
      <c r="I170" s="60"/>
      <c r="J170" s="75"/>
      <c r="K170" s="75"/>
      <c r="L170" s="72" t="s">
        <v>104</v>
      </c>
      <c r="M170" s="72" t="s">
        <v>104</v>
      </c>
      <c r="N170" s="73">
        <f>SUM(O170:Q170)</f>
        <v>0</v>
      </c>
      <c r="O170" s="73">
        <f>K170*E170</f>
        <v>0</v>
      </c>
      <c r="P170" s="73" t="s">
        <v>104</v>
      </c>
      <c r="Q170" s="73" t="s">
        <v>104</v>
      </c>
      <c r="R170" s="75">
        <f t="shared" si="102"/>
        <v>0</v>
      </c>
      <c r="S170" s="75">
        <f t="shared" si="103"/>
        <v>0</v>
      </c>
    </row>
    <row r="171" spans="1:19" x14ac:dyDescent="0.25">
      <c r="A171" s="170"/>
      <c r="B171" s="69"/>
      <c r="C171" s="66" t="s">
        <v>106</v>
      </c>
      <c r="D171" s="69"/>
      <c r="E171" s="60">
        <f>SUM(E169:E170)</f>
        <v>371</v>
      </c>
      <c r="F171" s="60">
        <f t="shared" ref="F171:I171" si="153">SUM(F169:F170)</f>
        <v>0</v>
      </c>
      <c r="G171" s="60">
        <f t="shared" si="153"/>
        <v>0</v>
      </c>
      <c r="H171" s="60">
        <f t="shared" si="153"/>
        <v>371</v>
      </c>
      <c r="I171" s="60">
        <f t="shared" si="153"/>
        <v>371</v>
      </c>
      <c r="J171" s="73" t="s">
        <v>104</v>
      </c>
      <c r="K171" s="73" t="s">
        <v>104</v>
      </c>
      <c r="L171" s="74" t="s">
        <v>104</v>
      </c>
      <c r="M171" s="74">
        <f t="shared" ref="M171:Q171" si="154">SUM(M169:M170)</f>
        <v>0</v>
      </c>
      <c r="N171" s="74">
        <f t="shared" si="154"/>
        <v>1420648.0399999998</v>
      </c>
      <c r="O171" s="74">
        <f t="shared" si="154"/>
        <v>1420648.0399999998</v>
      </c>
      <c r="P171" s="74">
        <f t="shared" si="154"/>
        <v>0</v>
      </c>
      <c r="Q171" s="74">
        <f t="shared" si="154"/>
        <v>0</v>
      </c>
      <c r="R171" s="75">
        <f>SUM(R169:R170)</f>
        <v>1420648.0399999998</v>
      </c>
      <c r="S171" s="75">
        <f>SUM(S169:S170)</f>
        <v>1420648.0399999998</v>
      </c>
    </row>
    <row r="172" spans="1:19" x14ac:dyDescent="0.25">
      <c r="A172" s="170"/>
      <c r="B172" s="102" t="s">
        <v>112</v>
      </c>
      <c r="C172" s="102"/>
      <c r="D172" s="69"/>
      <c r="E172" s="103"/>
      <c r="F172" s="103"/>
      <c r="G172" s="103"/>
      <c r="H172" s="103"/>
      <c r="I172" s="103"/>
      <c r="J172" s="105"/>
      <c r="K172" s="105"/>
      <c r="L172" s="104"/>
      <c r="M172" s="104"/>
      <c r="N172" s="104">
        <f>SUM(O172:Q172)</f>
        <v>25284829.570000004</v>
      </c>
      <c r="O172" s="104">
        <f t="shared" ref="O172:S172" si="155">O155+O162+O168+O171</f>
        <v>17760678.020000003</v>
      </c>
      <c r="P172" s="104">
        <f t="shared" si="155"/>
        <v>1947992.05</v>
      </c>
      <c r="Q172" s="104">
        <f t="shared" si="155"/>
        <v>5576159.5</v>
      </c>
      <c r="R172" s="104">
        <f t="shared" si="155"/>
        <v>25284829.569999997</v>
      </c>
      <c r="S172" s="104">
        <f t="shared" si="155"/>
        <v>25284829.569999997</v>
      </c>
    </row>
    <row r="173" spans="1:19" ht="90" x14ac:dyDescent="0.25">
      <c r="A173" s="170" t="s">
        <v>115</v>
      </c>
      <c r="B173" s="172" t="s">
        <v>99</v>
      </c>
      <c r="C173" s="61" t="s">
        <v>100</v>
      </c>
      <c r="D173" s="62" t="s">
        <v>101</v>
      </c>
      <c r="E173" s="59">
        <v>215</v>
      </c>
      <c r="F173" s="59"/>
      <c r="G173" s="60"/>
      <c r="H173" s="59">
        <v>215</v>
      </c>
      <c r="I173" s="59">
        <v>215</v>
      </c>
      <c r="J173" s="109">
        <f>SUM(K173:M173)</f>
        <v>37900.54</v>
      </c>
      <c r="K173" s="109">
        <f>22328.93+672.3</f>
        <v>23001.23</v>
      </c>
      <c r="L173" s="70">
        <v>3857.41</v>
      </c>
      <c r="M173" s="70">
        <v>11041.9</v>
      </c>
      <c r="N173" s="71">
        <f>SUM(O173:Q173)</f>
        <v>8148616.1000000006</v>
      </c>
      <c r="O173" s="71">
        <f>E173*K173</f>
        <v>4945264.45</v>
      </c>
      <c r="P173" s="71">
        <f>E173*L173</f>
        <v>829343.15</v>
      </c>
      <c r="Q173" s="75">
        <f>E173*M173</f>
        <v>2374008.5</v>
      </c>
      <c r="R173" s="75">
        <f t="shared" si="102"/>
        <v>8148616.1000000006</v>
      </c>
      <c r="S173" s="75">
        <f t="shared" si="103"/>
        <v>8148616.1000000006</v>
      </c>
    </row>
    <row r="174" spans="1:19" ht="135" x14ac:dyDescent="0.25">
      <c r="A174" s="170"/>
      <c r="B174" s="172"/>
      <c r="C174" s="63" t="s">
        <v>164</v>
      </c>
      <c r="D174" s="64" t="s">
        <v>101</v>
      </c>
      <c r="E174" s="59" t="s">
        <v>104</v>
      </c>
      <c r="F174" s="59" t="s">
        <v>104</v>
      </c>
      <c r="G174" s="59" t="s">
        <v>104</v>
      </c>
      <c r="H174" s="59" t="s">
        <v>104</v>
      </c>
      <c r="I174" s="59" t="s">
        <v>104</v>
      </c>
      <c r="J174" s="59" t="s">
        <v>104</v>
      </c>
      <c r="K174" s="59" t="s">
        <v>104</v>
      </c>
      <c r="L174" s="59" t="s">
        <v>104</v>
      </c>
      <c r="M174" s="59" t="s">
        <v>104</v>
      </c>
      <c r="N174" s="71"/>
      <c r="O174" s="71"/>
      <c r="P174" s="59" t="s">
        <v>104</v>
      </c>
      <c r="Q174" s="59" t="s">
        <v>104</v>
      </c>
      <c r="R174" s="75"/>
      <c r="S174" s="75"/>
    </row>
    <row r="175" spans="1:19" x14ac:dyDescent="0.25">
      <c r="A175" s="170"/>
      <c r="B175" s="172"/>
      <c r="C175" s="63" t="s">
        <v>165</v>
      </c>
      <c r="D175" s="64" t="s">
        <v>101</v>
      </c>
      <c r="E175" s="59">
        <v>2</v>
      </c>
      <c r="F175" s="59"/>
      <c r="G175" s="60"/>
      <c r="H175" s="59">
        <v>2</v>
      </c>
      <c r="I175" s="59">
        <v>2</v>
      </c>
      <c r="J175" s="75">
        <f>K175</f>
        <v>24684.9</v>
      </c>
      <c r="K175" s="71">
        <v>24684.9</v>
      </c>
      <c r="L175" s="59" t="s">
        <v>104</v>
      </c>
      <c r="M175" s="59" t="s">
        <v>104</v>
      </c>
      <c r="N175" s="71">
        <f t="shared" ref="N175:N176" si="156">O175</f>
        <v>49369.8</v>
      </c>
      <c r="O175" s="71">
        <f>E175*K175</f>
        <v>49369.8</v>
      </c>
      <c r="P175" s="59" t="s">
        <v>104</v>
      </c>
      <c r="Q175" s="59" t="s">
        <v>104</v>
      </c>
      <c r="R175" s="75">
        <f t="shared" ref="R175:R176" si="157">H175*K175</f>
        <v>49369.8</v>
      </c>
      <c r="S175" s="75">
        <f t="shared" ref="S175:S176" si="158">I175*K175</f>
        <v>49369.8</v>
      </c>
    </row>
    <row r="176" spans="1:19" x14ac:dyDescent="0.25">
      <c r="A176" s="170"/>
      <c r="B176" s="172"/>
      <c r="C176" s="63" t="s">
        <v>171</v>
      </c>
      <c r="D176" s="64" t="s">
        <v>101</v>
      </c>
      <c r="E176" s="59">
        <v>8</v>
      </c>
      <c r="F176" s="59"/>
      <c r="G176" s="60"/>
      <c r="H176" s="59">
        <v>8</v>
      </c>
      <c r="I176" s="59">
        <v>8</v>
      </c>
      <c r="J176" s="75">
        <f>K176</f>
        <v>66860.39</v>
      </c>
      <c r="K176" s="71">
        <v>66860.39</v>
      </c>
      <c r="L176" s="59" t="s">
        <v>104</v>
      </c>
      <c r="M176" s="59" t="s">
        <v>104</v>
      </c>
      <c r="N176" s="71">
        <f t="shared" si="156"/>
        <v>534883.12</v>
      </c>
      <c r="O176" s="71">
        <f t="shared" ref="O176:O179" si="159">E176*K176</f>
        <v>534883.12</v>
      </c>
      <c r="P176" s="59" t="s">
        <v>104</v>
      </c>
      <c r="Q176" s="59" t="s">
        <v>104</v>
      </c>
      <c r="R176" s="75">
        <f t="shared" si="157"/>
        <v>534883.12</v>
      </c>
      <c r="S176" s="75">
        <f t="shared" si="158"/>
        <v>534883.12</v>
      </c>
    </row>
    <row r="177" spans="1:19" x14ac:dyDescent="0.25">
      <c r="A177" s="170"/>
      <c r="B177" s="172"/>
      <c r="C177" s="63" t="s">
        <v>167</v>
      </c>
      <c r="D177" s="64" t="s">
        <v>101</v>
      </c>
      <c r="E177" s="59">
        <v>18</v>
      </c>
      <c r="F177" s="59"/>
      <c r="G177" s="60"/>
      <c r="H177" s="59">
        <v>18</v>
      </c>
      <c r="I177" s="59">
        <v>18</v>
      </c>
      <c r="J177" s="75">
        <f>K177</f>
        <v>63972.15</v>
      </c>
      <c r="K177" s="75">
        <v>63972.15</v>
      </c>
      <c r="L177" s="59" t="s">
        <v>104</v>
      </c>
      <c r="M177" s="59" t="s">
        <v>104</v>
      </c>
      <c r="N177" s="71">
        <f>O177</f>
        <v>1151498.7</v>
      </c>
      <c r="O177" s="71">
        <f t="shared" si="159"/>
        <v>1151498.7</v>
      </c>
      <c r="P177" s="59" t="s">
        <v>104</v>
      </c>
      <c r="Q177" s="59" t="s">
        <v>104</v>
      </c>
      <c r="R177" s="75">
        <f>H177*K177</f>
        <v>1151498.7</v>
      </c>
      <c r="S177" s="75">
        <f>I177*K177</f>
        <v>1151498.7</v>
      </c>
    </row>
    <row r="178" spans="1:19" x14ac:dyDescent="0.25">
      <c r="A178" s="170"/>
      <c r="B178" s="172"/>
      <c r="C178" s="63" t="s">
        <v>172</v>
      </c>
      <c r="D178" s="64" t="s">
        <v>101</v>
      </c>
      <c r="E178" s="59">
        <v>2</v>
      </c>
      <c r="F178" s="59"/>
      <c r="G178" s="60"/>
      <c r="H178" s="59">
        <v>2</v>
      </c>
      <c r="I178" s="59">
        <v>2</v>
      </c>
      <c r="J178" s="75">
        <f t="shared" ref="J178:J179" si="160">K178</f>
        <v>95991.28</v>
      </c>
      <c r="K178" s="75">
        <v>95991.28</v>
      </c>
      <c r="L178" s="59" t="s">
        <v>104</v>
      </c>
      <c r="M178" s="59" t="s">
        <v>104</v>
      </c>
      <c r="N178" s="71">
        <f t="shared" ref="N178:N179" si="161">O178</f>
        <v>191982.56</v>
      </c>
      <c r="O178" s="71">
        <f t="shared" si="159"/>
        <v>191982.56</v>
      </c>
      <c r="P178" s="59" t="s">
        <v>104</v>
      </c>
      <c r="Q178" s="59" t="s">
        <v>104</v>
      </c>
      <c r="R178" s="75">
        <f t="shared" ref="R178:R179" si="162">H178*K178</f>
        <v>191982.56</v>
      </c>
      <c r="S178" s="75">
        <f t="shared" ref="S178:S179" si="163">I178*K178</f>
        <v>191982.56</v>
      </c>
    </row>
    <row r="179" spans="1:19" x14ac:dyDescent="0.25">
      <c r="A179" s="170"/>
      <c r="B179" s="172"/>
      <c r="C179" s="63" t="s">
        <v>169</v>
      </c>
      <c r="D179" s="64" t="s">
        <v>101</v>
      </c>
      <c r="E179" s="59">
        <v>3</v>
      </c>
      <c r="F179" s="59"/>
      <c r="G179" s="60"/>
      <c r="H179" s="59">
        <v>3</v>
      </c>
      <c r="I179" s="59">
        <v>3</v>
      </c>
      <c r="J179" s="75">
        <f t="shared" si="160"/>
        <v>22724.03</v>
      </c>
      <c r="K179" s="75">
        <v>22724.03</v>
      </c>
      <c r="L179" s="59" t="s">
        <v>104</v>
      </c>
      <c r="M179" s="59" t="s">
        <v>104</v>
      </c>
      <c r="N179" s="71">
        <f t="shared" si="161"/>
        <v>68172.09</v>
      </c>
      <c r="O179" s="71">
        <f t="shared" si="159"/>
        <v>68172.09</v>
      </c>
      <c r="P179" s="59" t="s">
        <v>104</v>
      </c>
      <c r="Q179" s="59" t="s">
        <v>104</v>
      </c>
      <c r="R179" s="75">
        <f t="shared" si="162"/>
        <v>68172.09</v>
      </c>
      <c r="S179" s="75">
        <f t="shared" si="163"/>
        <v>68172.09</v>
      </c>
    </row>
    <row r="180" spans="1:19" ht="120" x14ac:dyDescent="0.25">
      <c r="A180" s="170"/>
      <c r="B180" s="172"/>
      <c r="C180" s="61" t="s">
        <v>105</v>
      </c>
      <c r="D180" s="64" t="s">
        <v>101</v>
      </c>
      <c r="E180" s="59">
        <v>4</v>
      </c>
      <c r="F180" s="59"/>
      <c r="G180" s="59"/>
      <c r="H180" s="59">
        <v>4</v>
      </c>
      <c r="I180" s="59">
        <v>4</v>
      </c>
      <c r="J180" s="75">
        <f>SUM(K180:M180)</f>
        <v>131999.99000000002</v>
      </c>
      <c r="K180" s="75">
        <f>116428.38+672.3</f>
        <v>117100.68000000001</v>
      </c>
      <c r="L180" s="72">
        <v>3857.41</v>
      </c>
      <c r="M180" s="70">
        <v>11041.9</v>
      </c>
      <c r="N180" s="71">
        <f>SUM(O180:Q180)</f>
        <v>527999.96000000008</v>
      </c>
      <c r="O180" s="71">
        <f>E180*K180</f>
        <v>468402.72000000003</v>
      </c>
      <c r="P180" s="71">
        <f>E180*L180</f>
        <v>15429.64</v>
      </c>
      <c r="Q180" s="75">
        <f>E180*M180</f>
        <v>44167.6</v>
      </c>
      <c r="R180" s="75">
        <f t="shared" si="102"/>
        <v>527999.96000000008</v>
      </c>
      <c r="S180" s="75">
        <f t="shared" si="103"/>
        <v>527999.96000000008</v>
      </c>
    </row>
    <row r="181" spans="1:19" x14ac:dyDescent="0.25">
      <c r="A181" s="170"/>
      <c r="B181" s="172"/>
      <c r="C181" s="66" t="s">
        <v>106</v>
      </c>
      <c r="D181" s="67"/>
      <c r="E181" s="59">
        <f>E173+E180</f>
        <v>219</v>
      </c>
      <c r="F181" s="59">
        <f t="shared" ref="F181:I181" si="164">F173+F180</f>
        <v>0</v>
      </c>
      <c r="G181" s="59">
        <f t="shared" si="164"/>
        <v>0</v>
      </c>
      <c r="H181" s="59">
        <f t="shared" si="164"/>
        <v>219</v>
      </c>
      <c r="I181" s="59">
        <f t="shared" si="164"/>
        <v>219</v>
      </c>
      <c r="J181" s="71" t="s">
        <v>104</v>
      </c>
      <c r="K181" s="71" t="s">
        <v>104</v>
      </c>
      <c r="L181" s="71" t="s">
        <v>104</v>
      </c>
      <c r="M181" s="71" t="s">
        <v>104</v>
      </c>
      <c r="N181" s="71">
        <f>SUM(N173:N180)</f>
        <v>10672522.33</v>
      </c>
      <c r="O181" s="71">
        <f>SUM(O173:O180)</f>
        <v>7409573.4399999995</v>
      </c>
      <c r="P181" s="71">
        <f>SUM(P173:P180)</f>
        <v>844772.79</v>
      </c>
      <c r="Q181" s="71">
        <f t="shared" ref="Q181:S181" si="165">SUM(Q173:Q180)</f>
        <v>2418176.1</v>
      </c>
      <c r="R181" s="71">
        <f t="shared" si="165"/>
        <v>10672522.33</v>
      </c>
      <c r="S181" s="71">
        <f t="shared" si="165"/>
        <v>10672522.33</v>
      </c>
    </row>
    <row r="182" spans="1:19" ht="90" x14ac:dyDescent="0.25">
      <c r="A182" s="170"/>
      <c r="B182" s="172" t="s">
        <v>107</v>
      </c>
      <c r="C182" s="61" t="s">
        <v>100</v>
      </c>
      <c r="D182" s="62" t="s">
        <v>101</v>
      </c>
      <c r="E182" s="59">
        <v>215</v>
      </c>
      <c r="F182" s="59"/>
      <c r="G182" s="59"/>
      <c r="H182" s="59">
        <v>215</v>
      </c>
      <c r="I182" s="59">
        <v>215</v>
      </c>
      <c r="J182" s="109">
        <f>SUM(K182:M182)</f>
        <v>48867.43</v>
      </c>
      <c r="K182" s="109">
        <f>33147.58+820.54</f>
        <v>33968.120000000003</v>
      </c>
      <c r="L182" s="70">
        <v>3857.41</v>
      </c>
      <c r="M182" s="70">
        <v>11041.9</v>
      </c>
      <c r="N182" s="71">
        <f>SUM(O182:Q182)</f>
        <v>10506497.450000001</v>
      </c>
      <c r="O182" s="71">
        <f>E182*K182</f>
        <v>7303145.8000000007</v>
      </c>
      <c r="P182" s="71">
        <f>E182*L182</f>
        <v>829343.15</v>
      </c>
      <c r="Q182" s="71">
        <f>E182*M182</f>
        <v>2374008.5</v>
      </c>
      <c r="R182" s="75">
        <f t="shared" si="102"/>
        <v>10506497.449999999</v>
      </c>
      <c r="S182" s="75">
        <f t="shared" si="103"/>
        <v>10506497.449999999</v>
      </c>
    </row>
    <row r="183" spans="1:19" ht="135" x14ac:dyDescent="0.25">
      <c r="A183" s="170"/>
      <c r="B183" s="172"/>
      <c r="C183" s="63" t="s">
        <v>164</v>
      </c>
      <c r="D183" s="64" t="s">
        <v>101</v>
      </c>
      <c r="E183" s="59" t="s">
        <v>104</v>
      </c>
      <c r="F183" s="59" t="s">
        <v>104</v>
      </c>
      <c r="G183" s="59" t="s">
        <v>104</v>
      </c>
      <c r="H183" s="59" t="s">
        <v>104</v>
      </c>
      <c r="I183" s="59" t="s">
        <v>104</v>
      </c>
      <c r="J183" s="59" t="s">
        <v>104</v>
      </c>
      <c r="K183" s="59" t="s">
        <v>104</v>
      </c>
      <c r="L183" s="59" t="s">
        <v>104</v>
      </c>
      <c r="M183" s="59" t="s">
        <v>104</v>
      </c>
      <c r="N183" s="71"/>
      <c r="O183" s="71"/>
      <c r="P183" s="59" t="s">
        <v>104</v>
      </c>
      <c r="Q183" s="59" t="s">
        <v>104</v>
      </c>
      <c r="R183" s="75"/>
      <c r="S183" s="75"/>
    </row>
    <row r="184" spans="1:19" x14ac:dyDescent="0.25">
      <c r="A184" s="170"/>
      <c r="B184" s="172"/>
      <c r="C184" s="63" t="s">
        <v>165</v>
      </c>
      <c r="D184" s="64" t="s">
        <v>101</v>
      </c>
      <c r="E184" s="60">
        <v>2</v>
      </c>
      <c r="F184" s="60"/>
      <c r="G184" s="59"/>
      <c r="H184" s="60">
        <v>2</v>
      </c>
      <c r="I184" s="60">
        <v>2</v>
      </c>
      <c r="J184" s="75">
        <f>K184</f>
        <v>24684.9</v>
      </c>
      <c r="K184" s="75">
        <v>24684.9</v>
      </c>
      <c r="L184" s="59" t="s">
        <v>104</v>
      </c>
      <c r="M184" s="59" t="s">
        <v>104</v>
      </c>
      <c r="N184" s="71">
        <f>O184</f>
        <v>49369.8</v>
      </c>
      <c r="O184" s="71">
        <f>E184*K184</f>
        <v>49369.8</v>
      </c>
      <c r="P184" s="59" t="s">
        <v>104</v>
      </c>
      <c r="Q184" s="59" t="s">
        <v>104</v>
      </c>
      <c r="R184" s="75">
        <f>H184*K184</f>
        <v>49369.8</v>
      </c>
      <c r="S184" s="75">
        <f t="shared" ref="S184:S186" si="166">I184*K184</f>
        <v>49369.8</v>
      </c>
    </row>
    <row r="185" spans="1:19" x14ac:dyDescent="0.25">
      <c r="A185" s="170"/>
      <c r="B185" s="172"/>
      <c r="C185" s="63" t="s">
        <v>166</v>
      </c>
      <c r="D185" s="64" t="s">
        <v>101</v>
      </c>
      <c r="E185" s="60">
        <v>1</v>
      </c>
      <c r="F185" s="60"/>
      <c r="G185" s="59"/>
      <c r="H185" s="60">
        <v>1</v>
      </c>
      <c r="I185" s="60">
        <v>1</v>
      </c>
      <c r="J185" s="75">
        <f t="shared" ref="J185:J186" si="167">K185</f>
        <v>89075.19</v>
      </c>
      <c r="K185" s="75">
        <v>89075.19</v>
      </c>
      <c r="L185" s="59" t="s">
        <v>104</v>
      </c>
      <c r="M185" s="59" t="s">
        <v>104</v>
      </c>
      <c r="N185" s="71">
        <f t="shared" ref="N185:N186" si="168">O185</f>
        <v>89075.19</v>
      </c>
      <c r="O185" s="71">
        <f t="shared" ref="O185:O186" si="169">E185*K185</f>
        <v>89075.19</v>
      </c>
      <c r="P185" s="59" t="s">
        <v>104</v>
      </c>
      <c r="Q185" s="59" t="s">
        <v>104</v>
      </c>
      <c r="R185" s="75">
        <f t="shared" ref="R185:R186" si="170">H185*K185</f>
        <v>89075.19</v>
      </c>
      <c r="S185" s="75">
        <f t="shared" si="166"/>
        <v>89075.19</v>
      </c>
    </row>
    <row r="186" spans="1:19" x14ac:dyDescent="0.25">
      <c r="A186" s="170"/>
      <c r="B186" s="172"/>
      <c r="C186" s="63" t="s">
        <v>169</v>
      </c>
      <c r="D186" s="64" t="s">
        <v>101</v>
      </c>
      <c r="E186" s="60">
        <v>8</v>
      </c>
      <c r="F186" s="60"/>
      <c r="G186" s="59"/>
      <c r="H186" s="60">
        <v>8</v>
      </c>
      <c r="I186" s="60">
        <v>8</v>
      </c>
      <c r="J186" s="75">
        <f t="shared" si="167"/>
        <v>22724.03</v>
      </c>
      <c r="K186" s="75">
        <v>22724.03</v>
      </c>
      <c r="L186" s="59" t="s">
        <v>104</v>
      </c>
      <c r="M186" s="59" t="s">
        <v>104</v>
      </c>
      <c r="N186" s="71">
        <f t="shared" si="168"/>
        <v>181792.24</v>
      </c>
      <c r="O186" s="71">
        <f t="shared" si="169"/>
        <v>181792.24</v>
      </c>
      <c r="P186" s="59" t="s">
        <v>104</v>
      </c>
      <c r="Q186" s="59" t="s">
        <v>104</v>
      </c>
      <c r="R186" s="75">
        <f t="shared" si="170"/>
        <v>181792.24</v>
      </c>
      <c r="S186" s="75">
        <f t="shared" si="166"/>
        <v>181792.24</v>
      </c>
    </row>
    <row r="187" spans="1:19" ht="120" x14ac:dyDescent="0.25">
      <c r="A187" s="170"/>
      <c r="B187" s="172"/>
      <c r="C187" s="61" t="s">
        <v>105</v>
      </c>
      <c r="D187" s="64" t="s">
        <v>101</v>
      </c>
      <c r="E187" s="60">
        <v>4</v>
      </c>
      <c r="F187" s="60"/>
      <c r="G187" s="59"/>
      <c r="H187" s="60">
        <v>4</v>
      </c>
      <c r="I187" s="60">
        <v>4</v>
      </c>
      <c r="J187" s="75">
        <f>SUM(K187:M187)</f>
        <v>160896.81</v>
      </c>
      <c r="K187" s="75">
        <f>145176.96+820.54</f>
        <v>145997.5</v>
      </c>
      <c r="L187" s="72">
        <v>3857.41</v>
      </c>
      <c r="M187" s="70">
        <v>11041.9</v>
      </c>
      <c r="N187" s="73">
        <f>SUM(O187:Q187)</f>
        <v>643587.24</v>
      </c>
      <c r="O187" s="73">
        <f>E187*K187</f>
        <v>583990</v>
      </c>
      <c r="P187" s="73">
        <f>E187*L187</f>
        <v>15429.64</v>
      </c>
      <c r="Q187" s="73">
        <f>E187*M187</f>
        <v>44167.6</v>
      </c>
      <c r="R187" s="75">
        <f t="shared" si="102"/>
        <v>643587.24</v>
      </c>
      <c r="S187" s="75">
        <f t="shared" si="103"/>
        <v>643587.24</v>
      </c>
    </row>
    <row r="188" spans="1:19" x14ac:dyDescent="0.25">
      <c r="A188" s="170"/>
      <c r="B188" s="112"/>
      <c r="C188" s="66" t="s">
        <v>106</v>
      </c>
      <c r="D188" s="64"/>
      <c r="E188" s="60">
        <f>E182+E187</f>
        <v>219</v>
      </c>
      <c r="F188" s="60">
        <f t="shared" ref="F188:I188" si="171">F182+F187</f>
        <v>0</v>
      </c>
      <c r="G188" s="60">
        <f t="shared" si="171"/>
        <v>0</v>
      </c>
      <c r="H188" s="60">
        <f t="shared" si="171"/>
        <v>219</v>
      </c>
      <c r="I188" s="60">
        <f t="shared" si="171"/>
        <v>219</v>
      </c>
      <c r="J188" s="73" t="s">
        <v>104</v>
      </c>
      <c r="K188" s="73" t="s">
        <v>104</v>
      </c>
      <c r="L188" s="73" t="s">
        <v>104</v>
      </c>
      <c r="M188" s="73" t="s">
        <v>104</v>
      </c>
      <c r="N188" s="74">
        <f>SUM(N182:N187)</f>
        <v>11470321.920000002</v>
      </c>
      <c r="O188" s="74">
        <f>SUM(O182:O187)</f>
        <v>8207373.0300000012</v>
      </c>
      <c r="P188" s="74">
        <f>SUM(P182:P187)</f>
        <v>844772.79</v>
      </c>
      <c r="Q188" s="74">
        <f t="shared" ref="Q188:S188" si="172">SUM(Q182:Q187)</f>
        <v>2418176.1</v>
      </c>
      <c r="R188" s="74">
        <f t="shared" si="172"/>
        <v>11470321.92</v>
      </c>
      <c r="S188" s="74">
        <f t="shared" si="172"/>
        <v>11470321.92</v>
      </c>
    </row>
    <row r="189" spans="1:19" ht="90" x14ac:dyDescent="0.25">
      <c r="A189" s="170"/>
      <c r="B189" s="172" t="s">
        <v>108</v>
      </c>
      <c r="C189" s="61" t="s">
        <v>100</v>
      </c>
      <c r="D189" s="62" t="s">
        <v>101</v>
      </c>
      <c r="E189" s="60">
        <v>34</v>
      </c>
      <c r="F189" s="60"/>
      <c r="G189" s="59"/>
      <c r="H189" s="60">
        <v>34</v>
      </c>
      <c r="I189" s="60">
        <v>34</v>
      </c>
      <c r="J189" s="109">
        <f>SUM(K189:M189)</f>
        <v>55554.37</v>
      </c>
      <c r="K189" s="109">
        <f>39660.87+994.19</f>
        <v>40655.060000000005</v>
      </c>
      <c r="L189" s="70">
        <v>3857.41</v>
      </c>
      <c r="M189" s="70">
        <v>11041.9</v>
      </c>
      <c r="N189" s="73">
        <f>SUM(O189:Q189)</f>
        <v>1888848.58</v>
      </c>
      <c r="O189" s="73">
        <f>E189*K189</f>
        <v>1382272.0400000003</v>
      </c>
      <c r="P189" s="73">
        <f>E189*L189</f>
        <v>131151.94</v>
      </c>
      <c r="Q189" s="73">
        <f>E189*M189</f>
        <v>375424.6</v>
      </c>
      <c r="R189" s="75">
        <f t="shared" si="102"/>
        <v>1888848.58</v>
      </c>
      <c r="S189" s="75">
        <f t="shared" si="103"/>
        <v>1888848.58</v>
      </c>
    </row>
    <row r="190" spans="1:19" ht="135" x14ac:dyDescent="0.25">
      <c r="A190" s="170"/>
      <c r="B190" s="172"/>
      <c r="C190" s="63" t="s">
        <v>164</v>
      </c>
      <c r="D190" s="64" t="s">
        <v>101</v>
      </c>
      <c r="E190" s="59" t="s">
        <v>104</v>
      </c>
      <c r="F190" s="59" t="s">
        <v>104</v>
      </c>
      <c r="G190" s="59" t="s">
        <v>104</v>
      </c>
      <c r="H190" s="59" t="s">
        <v>104</v>
      </c>
      <c r="I190" s="59" t="s">
        <v>104</v>
      </c>
      <c r="J190" s="59" t="s">
        <v>104</v>
      </c>
      <c r="K190" s="59" t="s">
        <v>104</v>
      </c>
      <c r="L190" s="59" t="s">
        <v>104</v>
      </c>
      <c r="M190" s="59" t="s">
        <v>104</v>
      </c>
      <c r="N190" s="71"/>
      <c r="O190" s="71"/>
      <c r="P190" s="59" t="s">
        <v>104</v>
      </c>
      <c r="Q190" s="59" t="s">
        <v>104</v>
      </c>
      <c r="R190" s="75"/>
      <c r="S190" s="75"/>
    </row>
    <row r="191" spans="1:19" x14ac:dyDescent="0.25">
      <c r="A191" s="170"/>
      <c r="B191" s="172"/>
      <c r="C191" s="63" t="s">
        <v>166</v>
      </c>
      <c r="D191" s="64" t="s">
        <v>101</v>
      </c>
      <c r="E191" s="60">
        <v>0</v>
      </c>
      <c r="F191" s="60"/>
      <c r="G191" s="59"/>
      <c r="H191" s="60">
        <v>0</v>
      </c>
      <c r="I191" s="60">
        <v>0</v>
      </c>
      <c r="J191" s="75">
        <f>K191</f>
        <v>89075.19</v>
      </c>
      <c r="K191" s="75">
        <v>89075.19</v>
      </c>
      <c r="L191" s="59" t="s">
        <v>104</v>
      </c>
      <c r="M191" s="59" t="s">
        <v>104</v>
      </c>
      <c r="N191" s="71">
        <f>O191</f>
        <v>0</v>
      </c>
      <c r="O191" s="71">
        <f>E191*K191</f>
        <v>0</v>
      </c>
      <c r="P191" s="59" t="s">
        <v>104</v>
      </c>
      <c r="Q191" s="59" t="s">
        <v>104</v>
      </c>
      <c r="R191" s="75">
        <f>H191*K191</f>
        <v>0</v>
      </c>
      <c r="S191" s="75">
        <f>I191*K191</f>
        <v>0</v>
      </c>
    </row>
    <row r="192" spans="1:19" ht="120" x14ac:dyDescent="0.25">
      <c r="A192" s="170"/>
      <c r="B192" s="172"/>
      <c r="C192" s="61" t="s">
        <v>105</v>
      </c>
      <c r="D192" s="64" t="s">
        <v>101</v>
      </c>
      <c r="E192" s="60"/>
      <c r="F192" s="60">
        <v>0</v>
      </c>
      <c r="G192" s="101">
        <f t="shared" ref="G192" si="173">((E192*8)+(F192*4))/12</f>
        <v>0</v>
      </c>
      <c r="H192" s="60">
        <v>0</v>
      </c>
      <c r="I192" s="60">
        <v>0</v>
      </c>
      <c r="J192" s="75">
        <f>SUM(K192:M192)</f>
        <v>189819.03</v>
      </c>
      <c r="K192" s="75">
        <f>173925.53+994.19</f>
        <v>174919.72</v>
      </c>
      <c r="L192" s="72">
        <v>3857.41</v>
      </c>
      <c r="M192" s="70">
        <v>11041.9</v>
      </c>
      <c r="N192" s="73"/>
      <c r="O192" s="73">
        <f>K192*E192</f>
        <v>0</v>
      </c>
      <c r="P192" s="73">
        <f>L192*E192</f>
        <v>0</v>
      </c>
      <c r="Q192" s="73"/>
      <c r="R192" s="75">
        <f t="shared" si="102"/>
        <v>0</v>
      </c>
      <c r="S192" s="75">
        <f t="shared" si="103"/>
        <v>0</v>
      </c>
    </row>
    <row r="193" spans="1:19" x14ac:dyDescent="0.25">
      <c r="A193" s="170"/>
      <c r="B193" s="112"/>
      <c r="C193" s="66" t="s">
        <v>106</v>
      </c>
      <c r="D193" s="64"/>
      <c r="E193" s="60">
        <f>E189+E192</f>
        <v>34</v>
      </c>
      <c r="F193" s="60">
        <f t="shared" ref="F193:I193" si="174">F189+F192</f>
        <v>0</v>
      </c>
      <c r="G193" s="60">
        <f t="shared" si="174"/>
        <v>0</v>
      </c>
      <c r="H193" s="60">
        <f t="shared" si="174"/>
        <v>34</v>
      </c>
      <c r="I193" s="60">
        <f t="shared" si="174"/>
        <v>34</v>
      </c>
      <c r="J193" s="73" t="s">
        <v>104</v>
      </c>
      <c r="K193" s="73" t="s">
        <v>104</v>
      </c>
      <c r="L193" s="73" t="s">
        <v>104</v>
      </c>
      <c r="M193" s="73" t="s">
        <v>104</v>
      </c>
      <c r="N193" s="74">
        <f>SUM(N189:N192)</f>
        <v>1888848.58</v>
      </c>
      <c r="O193" s="74">
        <f>SUM(O189:O192)</f>
        <v>1382272.0400000003</v>
      </c>
      <c r="P193" s="74">
        <f>SUM(P189:P192)</f>
        <v>131151.94</v>
      </c>
      <c r="Q193" s="74">
        <f t="shared" ref="Q193:S193" si="175">SUM(Q189:Q192)</f>
        <v>375424.6</v>
      </c>
      <c r="R193" s="74">
        <f t="shared" si="175"/>
        <v>1888848.58</v>
      </c>
      <c r="S193" s="74">
        <f t="shared" si="175"/>
        <v>1888848.58</v>
      </c>
    </row>
    <row r="194" spans="1:19" ht="165" x14ac:dyDescent="0.25">
      <c r="A194" s="170"/>
      <c r="B194" s="171" t="s">
        <v>109</v>
      </c>
      <c r="C194" s="61" t="s">
        <v>110</v>
      </c>
      <c r="D194" s="64" t="s">
        <v>101</v>
      </c>
      <c r="E194" s="60">
        <v>240</v>
      </c>
      <c r="F194" s="60"/>
      <c r="G194" s="59"/>
      <c r="H194" s="60">
        <v>240</v>
      </c>
      <c r="I194" s="60">
        <v>240</v>
      </c>
      <c r="J194" s="75">
        <f>K194</f>
        <v>3829.24</v>
      </c>
      <c r="K194" s="75">
        <v>3829.24</v>
      </c>
      <c r="L194" s="73" t="s">
        <v>104</v>
      </c>
      <c r="M194" s="73" t="s">
        <v>104</v>
      </c>
      <c r="N194" s="73">
        <f>SUM(O194:Q194)</f>
        <v>919017.6</v>
      </c>
      <c r="O194" s="73">
        <f>E194*K194</f>
        <v>919017.6</v>
      </c>
      <c r="P194" s="73" t="s">
        <v>104</v>
      </c>
      <c r="Q194" s="73" t="s">
        <v>104</v>
      </c>
      <c r="R194" s="75">
        <f t="shared" si="102"/>
        <v>919017.6</v>
      </c>
      <c r="S194" s="75">
        <f t="shared" si="103"/>
        <v>919017.6</v>
      </c>
    </row>
    <row r="195" spans="1:19" ht="180" x14ac:dyDescent="0.25">
      <c r="A195" s="170"/>
      <c r="B195" s="171"/>
      <c r="C195" s="61" t="s">
        <v>111</v>
      </c>
      <c r="D195" s="64" t="s">
        <v>101</v>
      </c>
      <c r="E195" s="60"/>
      <c r="F195" s="60"/>
      <c r="G195" s="59"/>
      <c r="H195" s="60"/>
      <c r="I195" s="60"/>
      <c r="J195" s="75">
        <f>K195</f>
        <v>0</v>
      </c>
      <c r="K195" s="75"/>
      <c r="L195" s="73" t="s">
        <v>104</v>
      </c>
      <c r="M195" s="73" t="s">
        <v>104</v>
      </c>
      <c r="N195" s="73">
        <f>SUM(O195:Q195)</f>
        <v>0</v>
      </c>
      <c r="O195" s="73">
        <f>G195*K195</f>
        <v>0</v>
      </c>
      <c r="P195" s="73" t="s">
        <v>104</v>
      </c>
      <c r="Q195" s="73" t="s">
        <v>104</v>
      </c>
      <c r="R195" s="75">
        <f t="shared" si="102"/>
        <v>0</v>
      </c>
      <c r="S195" s="75">
        <f t="shared" si="103"/>
        <v>0</v>
      </c>
    </row>
    <row r="196" spans="1:19" x14ac:dyDescent="0.25">
      <c r="A196" s="170"/>
      <c r="B196" s="69"/>
      <c r="C196" s="66" t="s">
        <v>106</v>
      </c>
      <c r="D196" s="69"/>
      <c r="E196" s="60">
        <f>SUM(E194:E195)</f>
        <v>240</v>
      </c>
      <c r="F196" s="60">
        <f t="shared" ref="F196:I196" si="176">SUM(F194:F195)</f>
        <v>0</v>
      </c>
      <c r="G196" s="60">
        <f t="shared" si="176"/>
        <v>0</v>
      </c>
      <c r="H196" s="60">
        <f t="shared" si="176"/>
        <v>240</v>
      </c>
      <c r="I196" s="60">
        <f t="shared" si="176"/>
        <v>240</v>
      </c>
      <c r="J196" s="73" t="s">
        <v>104</v>
      </c>
      <c r="K196" s="73" t="s">
        <v>104</v>
      </c>
      <c r="L196" s="73" t="s">
        <v>104</v>
      </c>
      <c r="M196" s="74">
        <f t="shared" ref="M196:Q196" si="177">SUM(M194:M195)</f>
        <v>0</v>
      </c>
      <c r="N196" s="74">
        <f>SUM(N194:N195)</f>
        <v>919017.6</v>
      </c>
      <c r="O196" s="74">
        <f t="shared" si="177"/>
        <v>919017.6</v>
      </c>
      <c r="P196" s="74">
        <f t="shared" si="177"/>
        <v>0</v>
      </c>
      <c r="Q196" s="74">
        <f t="shared" si="177"/>
        <v>0</v>
      </c>
      <c r="R196" s="75">
        <f>SUM(R194:R195)</f>
        <v>919017.6</v>
      </c>
      <c r="S196" s="75">
        <f>SUM(S194:S195)</f>
        <v>919017.6</v>
      </c>
    </row>
    <row r="197" spans="1:19" x14ac:dyDescent="0.25">
      <c r="A197" s="170"/>
      <c r="B197" s="102" t="s">
        <v>112</v>
      </c>
      <c r="C197" s="102"/>
      <c r="D197" s="69"/>
      <c r="E197" s="103"/>
      <c r="F197" s="103"/>
      <c r="G197" s="103"/>
      <c r="H197" s="103"/>
      <c r="I197" s="103"/>
      <c r="J197" s="105"/>
      <c r="K197" s="105"/>
      <c r="L197" s="104"/>
      <c r="M197" s="104"/>
      <c r="N197" s="104">
        <f>SUM(O197:Q197)</f>
        <v>24950710.430000003</v>
      </c>
      <c r="O197" s="153">
        <f>O181+O188+O193+O196</f>
        <v>17918236.110000003</v>
      </c>
      <c r="P197" s="104">
        <f t="shared" ref="P197:S197" si="178">P181+P188+P193+P196</f>
        <v>1820697.52</v>
      </c>
      <c r="Q197" s="104">
        <f t="shared" si="178"/>
        <v>5211776.8</v>
      </c>
      <c r="R197" s="104">
        <f t="shared" si="178"/>
        <v>24950710.43</v>
      </c>
      <c r="S197" s="104">
        <f t="shared" si="178"/>
        <v>24950710.43</v>
      </c>
    </row>
    <row r="198" spans="1:19" ht="90" x14ac:dyDescent="0.25">
      <c r="A198" s="170" t="s">
        <v>116</v>
      </c>
      <c r="B198" s="173" t="s">
        <v>99</v>
      </c>
      <c r="C198" s="61" t="s">
        <v>100</v>
      </c>
      <c r="D198" s="62" t="s">
        <v>101</v>
      </c>
      <c r="E198" s="59">
        <v>328</v>
      </c>
      <c r="F198" s="59"/>
      <c r="G198" s="59"/>
      <c r="H198" s="59">
        <v>328</v>
      </c>
      <c r="I198" s="59">
        <v>328</v>
      </c>
      <c r="J198" s="109">
        <f>SUM(K198:M198)</f>
        <v>37900.54</v>
      </c>
      <c r="K198" s="109">
        <f>22328.93+672.3</f>
        <v>23001.23</v>
      </c>
      <c r="L198" s="70">
        <v>3857.41</v>
      </c>
      <c r="M198" s="70">
        <v>11041.9</v>
      </c>
      <c r="N198" s="71">
        <f>SUM(O198:Q198)</f>
        <v>12431377.119999999</v>
      </c>
      <c r="O198" s="71">
        <f>E198*K198</f>
        <v>7544403.4399999995</v>
      </c>
      <c r="P198" s="71">
        <f>E198*L198</f>
        <v>1265230.48</v>
      </c>
      <c r="Q198" s="75">
        <f>E198*M198</f>
        <v>3621743.1999999997</v>
      </c>
      <c r="R198" s="75">
        <f t="shared" si="102"/>
        <v>12431377.120000001</v>
      </c>
      <c r="S198" s="75">
        <f t="shared" si="103"/>
        <v>12431377.120000001</v>
      </c>
    </row>
    <row r="199" spans="1:19" ht="135" x14ac:dyDescent="0.25">
      <c r="A199" s="170"/>
      <c r="B199" s="174"/>
      <c r="C199" s="63" t="s">
        <v>164</v>
      </c>
      <c r="D199" s="64" t="s">
        <v>101</v>
      </c>
      <c r="E199" s="59" t="s">
        <v>104</v>
      </c>
      <c r="F199" s="59" t="s">
        <v>104</v>
      </c>
      <c r="G199" s="59" t="s">
        <v>104</v>
      </c>
      <c r="H199" s="59" t="s">
        <v>104</v>
      </c>
      <c r="I199" s="59" t="s">
        <v>104</v>
      </c>
      <c r="J199" s="59" t="s">
        <v>104</v>
      </c>
      <c r="K199" s="59" t="s">
        <v>104</v>
      </c>
      <c r="L199" s="59" t="s">
        <v>104</v>
      </c>
      <c r="M199" s="59" t="s">
        <v>104</v>
      </c>
      <c r="N199" s="71"/>
      <c r="O199" s="71"/>
      <c r="P199" s="59" t="s">
        <v>104</v>
      </c>
      <c r="Q199" s="59" t="s">
        <v>104</v>
      </c>
      <c r="R199" s="75"/>
      <c r="S199" s="75"/>
    </row>
    <row r="200" spans="1:19" x14ac:dyDescent="0.25">
      <c r="A200" s="170"/>
      <c r="B200" s="174"/>
      <c r="C200" s="63" t="s">
        <v>171</v>
      </c>
      <c r="D200" s="64" t="s">
        <v>101</v>
      </c>
      <c r="E200" s="59">
        <v>3</v>
      </c>
      <c r="F200" s="59"/>
      <c r="G200" s="59"/>
      <c r="H200" s="59">
        <v>3</v>
      </c>
      <c r="I200" s="59">
        <v>3</v>
      </c>
      <c r="J200" s="75">
        <f t="shared" ref="J200:J204" si="179">K200</f>
        <v>66860.39</v>
      </c>
      <c r="K200" s="71">
        <v>66860.39</v>
      </c>
      <c r="L200" s="59" t="s">
        <v>104</v>
      </c>
      <c r="M200" s="59" t="s">
        <v>104</v>
      </c>
      <c r="N200" s="71">
        <f t="shared" ref="N200" si="180">O200</f>
        <v>200581.16999999998</v>
      </c>
      <c r="O200" s="71">
        <f>E200*K200</f>
        <v>200581.16999999998</v>
      </c>
      <c r="P200" s="59" t="s">
        <v>104</v>
      </c>
      <c r="Q200" s="59" t="s">
        <v>104</v>
      </c>
      <c r="R200" s="75">
        <f t="shared" ref="R200:R204" si="181">H200*K200</f>
        <v>200581.16999999998</v>
      </c>
      <c r="S200" s="75">
        <f t="shared" ref="S200" si="182">I200*K200</f>
        <v>200581.16999999998</v>
      </c>
    </row>
    <row r="201" spans="1:19" x14ac:dyDescent="0.25">
      <c r="A201" s="170"/>
      <c r="B201" s="174"/>
      <c r="C201" s="63" t="s">
        <v>167</v>
      </c>
      <c r="D201" s="64" t="s">
        <v>101</v>
      </c>
      <c r="E201" s="59">
        <v>1</v>
      </c>
      <c r="F201" s="59"/>
      <c r="G201" s="59"/>
      <c r="H201" s="59">
        <v>1</v>
      </c>
      <c r="I201" s="59">
        <v>1</v>
      </c>
      <c r="J201" s="75">
        <f t="shared" si="179"/>
        <v>63972.15</v>
      </c>
      <c r="K201" s="75">
        <v>63972.15</v>
      </c>
      <c r="L201" s="59" t="s">
        <v>104</v>
      </c>
      <c r="M201" s="59" t="s">
        <v>104</v>
      </c>
      <c r="N201" s="71">
        <f>O201</f>
        <v>63972.15</v>
      </c>
      <c r="O201" s="71">
        <f t="shared" ref="O201:O204" si="183">E201*K201</f>
        <v>63972.15</v>
      </c>
      <c r="P201" s="59" t="s">
        <v>104</v>
      </c>
      <c r="Q201" s="59" t="s">
        <v>104</v>
      </c>
      <c r="R201" s="75">
        <f t="shared" si="181"/>
        <v>63972.15</v>
      </c>
      <c r="S201" s="75">
        <f>I201*K201</f>
        <v>63972.15</v>
      </c>
    </row>
    <row r="202" spans="1:19" x14ac:dyDescent="0.25">
      <c r="A202" s="170"/>
      <c r="B202" s="174"/>
      <c r="C202" s="63" t="s">
        <v>168</v>
      </c>
      <c r="D202" s="64" t="s">
        <v>101</v>
      </c>
      <c r="E202" s="59">
        <v>0</v>
      </c>
      <c r="F202" s="59"/>
      <c r="G202" s="59"/>
      <c r="H202" s="59">
        <v>0</v>
      </c>
      <c r="I202" s="59">
        <v>0</v>
      </c>
      <c r="J202" s="75">
        <f t="shared" si="179"/>
        <v>168582.97</v>
      </c>
      <c r="K202" s="75">
        <v>168582.97</v>
      </c>
      <c r="L202" s="59" t="s">
        <v>104</v>
      </c>
      <c r="M202" s="59" t="s">
        <v>104</v>
      </c>
      <c r="N202" s="71">
        <f>O202</f>
        <v>0</v>
      </c>
      <c r="O202" s="71">
        <f t="shared" si="183"/>
        <v>0</v>
      </c>
      <c r="P202" s="59" t="s">
        <v>104</v>
      </c>
      <c r="Q202" s="59" t="s">
        <v>104</v>
      </c>
      <c r="R202" s="75">
        <f t="shared" si="181"/>
        <v>0</v>
      </c>
      <c r="S202" s="75">
        <f>I202*K202</f>
        <v>0</v>
      </c>
    </row>
    <row r="203" spans="1:19" x14ac:dyDescent="0.25">
      <c r="A203" s="170"/>
      <c r="B203" s="174"/>
      <c r="C203" s="63" t="s">
        <v>172</v>
      </c>
      <c r="D203" s="64" t="s">
        <v>101</v>
      </c>
      <c r="E203" s="59">
        <v>1</v>
      </c>
      <c r="F203" s="59"/>
      <c r="G203" s="59"/>
      <c r="H203" s="59">
        <v>1</v>
      </c>
      <c r="I203" s="59">
        <v>1</v>
      </c>
      <c r="J203" s="75">
        <f t="shared" si="179"/>
        <v>95991.28</v>
      </c>
      <c r="K203" s="75">
        <v>95991.28</v>
      </c>
      <c r="L203" s="59" t="s">
        <v>104</v>
      </c>
      <c r="M203" s="59" t="s">
        <v>104</v>
      </c>
      <c r="N203" s="71">
        <f>O203</f>
        <v>95991.28</v>
      </c>
      <c r="O203" s="71">
        <f t="shared" si="183"/>
        <v>95991.28</v>
      </c>
      <c r="P203" s="59" t="s">
        <v>104</v>
      </c>
      <c r="Q203" s="59" t="s">
        <v>104</v>
      </c>
      <c r="R203" s="75">
        <f t="shared" si="181"/>
        <v>95991.28</v>
      </c>
      <c r="S203" s="75">
        <f>I203*K203</f>
        <v>95991.28</v>
      </c>
    </row>
    <row r="204" spans="1:19" x14ac:dyDescent="0.25">
      <c r="A204" s="170"/>
      <c r="B204" s="174"/>
      <c r="C204" s="63" t="s">
        <v>169</v>
      </c>
      <c r="D204" s="64" t="s">
        <v>101</v>
      </c>
      <c r="E204" s="59">
        <v>5</v>
      </c>
      <c r="F204" s="59"/>
      <c r="G204" s="59"/>
      <c r="H204" s="59">
        <v>5</v>
      </c>
      <c r="I204" s="59">
        <v>5</v>
      </c>
      <c r="J204" s="75">
        <f t="shared" si="179"/>
        <v>22724.03</v>
      </c>
      <c r="K204" s="75">
        <v>22724.03</v>
      </c>
      <c r="L204" s="59" t="s">
        <v>104</v>
      </c>
      <c r="M204" s="59" t="s">
        <v>104</v>
      </c>
      <c r="N204" s="71">
        <f>O204</f>
        <v>113620.15</v>
      </c>
      <c r="O204" s="71">
        <f t="shared" si="183"/>
        <v>113620.15</v>
      </c>
      <c r="P204" s="59" t="s">
        <v>104</v>
      </c>
      <c r="Q204" s="59" t="s">
        <v>104</v>
      </c>
      <c r="R204" s="75">
        <f t="shared" si="181"/>
        <v>113620.15</v>
      </c>
      <c r="S204" s="75">
        <f>I204*K204</f>
        <v>113620.15</v>
      </c>
    </row>
    <row r="205" spans="1:19" ht="120" x14ac:dyDescent="0.25">
      <c r="A205" s="170"/>
      <c r="B205" s="174"/>
      <c r="C205" s="61" t="s">
        <v>105</v>
      </c>
      <c r="D205" s="64" t="s">
        <v>101</v>
      </c>
      <c r="E205" s="59">
        <v>2</v>
      </c>
      <c r="F205" s="59"/>
      <c r="G205" s="59"/>
      <c r="H205" s="59">
        <v>2</v>
      </c>
      <c r="I205" s="59">
        <v>2</v>
      </c>
      <c r="J205" s="75">
        <f>SUM(K205:M205)</f>
        <v>131999.99000000002</v>
      </c>
      <c r="K205" s="75">
        <f>116428.38+672.3</f>
        <v>117100.68000000001</v>
      </c>
      <c r="L205" s="72">
        <v>3857.41</v>
      </c>
      <c r="M205" s="70">
        <v>11041.9</v>
      </c>
      <c r="N205" s="71">
        <f>SUM(O205:Q205)</f>
        <v>263999.98000000004</v>
      </c>
      <c r="O205" s="71">
        <f>E205*K205</f>
        <v>234201.36000000002</v>
      </c>
      <c r="P205" s="71">
        <f>E205*L205</f>
        <v>7714.82</v>
      </c>
      <c r="Q205" s="75">
        <f>E205*M205</f>
        <v>22083.8</v>
      </c>
      <c r="R205" s="75">
        <f t="shared" ref="R205:R224" si="184">H205*J205</f>
        <v>263999.98000000004</v>
      </c>
      <c r="S205" s="75">
        <f t="shared" ref="S205:S224" si="185">I205*J205</f>
        <v>263999.98000000004</v>
      </c>
    </row>
    <row r="206" spans="1:19" ht="105" x14ac:dyDescent="0.25">
      <c r="A206" s="170"/>
      <c r="B206" s="174"/>
      <c r="C206" s="61" t="s">
        <v>117</v>
      </c>
      <c r="D206" s="64" t="s">
        <v>101</v>
      </c>
      <c r="E206" s="59">
        <v>0</v>
      </c>
      <c r="F206" s="59">
        <v>0</v>
      </c>
      <c r="G206" s="59">
        <f t="shared" ref="G206" si="186">((E206*8)+(F206*4))/12</f>
        <v>0</v>
      </c>
      <c r="H206" s="59">
        <v>0</v>
      </c>
      <c r="I206" s="59">
        <v>0</v>
      </c>
      <c r="J206" s="75">
        <f>K206</f>
        <v>20712.060000000001</v>
      </c>
      <c r="K206" s="75">
        <v>20712.060000000001</v>
      </c>
      <c r="L206" s="72" t="s">
        <v>104</v>
      </c>
      <c r="M206" s="72" t="s">
        <v>104</v>
      </c>
      <c r="N206" s="71">
        <f>SUM(O206:Q206)</f>
        <v>0</v>
      </c>
      <c r="O206" s="71">
        <f>E206*K206</f>
        <v>0</v>
      </c>
      <c r="P206" s="71"/>
      <c r="Q206" s="71"/>
      <c r="R206" s="75">
        <f t="shared" si="184"/>
        <v>0</v>
      </c>
      <c r="S206" s="75">
        <f t="shared" si="185"/>
        <v>0</v>
      </c>
    </row>
    <row r="207" spans="1:19" x14ac:dyDescent="0.25">
      <c r="A207" s="170"/>
      <c r="B207" s="175"/>
      <c r="C207" s="66" t="s">
        <v>106</v>
      </c>
      <c r="D207" s="67"/>
      <c r="E207" s="59">
        <f>E198+E205</f>
        <v>330</v>
      </c>
      <c r="F207" s="59">
        <f>F198+F205</f>
        <v>0</v>
      </c>
      <c r="G207" s="59">
        <f>G198+G205</f>
        <v>0</v>
      </c>
      <c r="H207" s="59">
        <f>H198+H205</f>
        <v>330</v>
      </c>
      <c r="I207" s="59">
        <f>I198+I205</f>
        <v>330</v>
      </c>
      <c r="J207" s="71" t="s">
        <v>104</v>
      </c>
      <c r="K207" s="71" t="s">
        <v>104</v>
      </c>
      <c r="L207" s="71" t="s">
        <v>104</v>
      </c>
      <c r="M207" s="71" t="s">
        <v>104</v>
      </c>
      <c r="N207" s="71">
        <f>SUM(N198:N206)</f>
        <v>13169541.85</v>
      </c>
      <c r="O207" s="71">
        <f t="shared" ref="O207:S207" si="187">SUM(O198:O206)</f>
        <v>8252769.5500000007</v>
      </c>
      <c r="P207" s="71">
        <f t="shared" si="187"/>
        <v>1272945.3</v>
      </c>
      <c r="Q207" s="71">
        <f t="shared" si="187"/>
        <v>3643826.9999999995</v>
      </c>
      <c r="R207" s="71">
        <f t="shared" si="187"/>
        <v>13169541.850000001</v>
      </c>
      <c r="S207" s="71">
        <f t="shared" si="187"/>
        <v>13169541.850000001</v>
      </c>
    </row>
    <row r="208" spans="1:19" ht="90" x14ac:dyDescent="0.25">
      <c r="A208" s="170"/>
      <c r="B208" s="173" t="s">
        <v>107</v>
      </c>
      <c r="C208" s="61" t="s">
        <v>100</v>
      </c>
      <c r="D208" s="62" t="s">
        <v>101</v>
      </c>
      <c r="E208" s="59">
        <v>91</v>
      </c>
      <c r="F208" s="59"/>
      <c r="G208" s="59"/>
      <c r="H208" s="59">
        <v>91</v>
      </c>
      <c r="I208" s="59">
        <v>91</v>
      </c>
      <c r="J208" s="109">
        <f>SUM(K208:M208)</f>
        <v>48867.43</v>
      </c>
      <c r="K208" s="109">
        <f>33147.58+820.54</f>
        <v>33968.120000000003</v>
      </c>
      <c r="L208" s="70">
        <v>3857.41</v>
      </c>
      <c r="M208" s="70">
        <v>11041.9</v>
      </c>
      <c r="N208" s="71">
        <f>SUM(O208:Q208)</f>
        <v>4446936.1300000008</v>
      </c>
      <c r="O208" s="71">
        <f>E208*K208</f>
        <v>3091098.9200000004</v>
      </c>
      <c r="P208" s="71">
        <f>E208*L208</f>
        <v>351024.31</v>
      </c>
      <c r="Q208" s="71">
        <f>E208*M208</f>
        <v>1004812.9</v>
      </c>
      <c r="R208" s="75">
        <f t="shared" si="184"/>
        <v>4446936.13</v>
      </c>
      <c r="S208" s="75">
        <f t="shared" si="185"/>
        <v>4446936.13</v>
      </c>
    </row>
    <row r="209" spans="1:19" ht="120" x14ac:dyDescent="0.25">
      <c r="A209" s="170"/>
      <c r="B209" s="174"/>
      <c r="C209" s="61" t="s">
        <v>118</v>
      </c>
      <c r="D209" s="62" t="s">
        <v>101</v>
      </c>
      <c r="E209" s="59">
        <v>299</v>
      </c>
      <c r="F209" s="59"/>
      <c r="G209" s="59"/>
      <c r="H209" s="59">
        <v>299</v>
      </c>
      <c r="I209" s="59">
        <v>299</v>
      </c>
      <c r="J209" s="109">
        <f>SUM(K209:M209)</f>
        <v>52179.27</v>
      </c>
      <c r="K209" s="109">
        <f>36459.42+820.54</f>
        <v>37279.96</v>
      </c>
      <c r="L209" s="70">
        <v>3857.41</v>
      </c>
      <c r="M209" s="70">
        <v>11041.9</v>
      </c>
      <c r="N209" s="71">
        <f>SUM(O209:Q209)</f>
        <v>15601601.729999999</v>
      </c>
      <c r="O209" s="71">
        <f>E209*K209</f>
        <v>11146708.039999999</v>
      </c>
      <c r="P209" s="71">
        <f>E209*L209</f>
        <v>1153365.5899999999</v>
      </c>
      <c r="Q209" s="71">
        <f>E209*M209</f>
        <v>3301528.1</v>
      </c>
      <c r="R209" s="75">
        <f t="shared" si="184"/>
        <v>15601601.729999999</v>
      </c>
      <c r="S209" s="75">
        <f t="shared" si="185"/>
        <v>15601601.729999999</v>
      </c>
    </row>
    <row r="210" spans="1:19" ht="120" x14ac:dyDescent="0.25">
      <c r="A210" s="170"/>
      <c r="B210" s="174"/>
      <c r="C210" s="63" t="s">
        <v>102</v>
      </c>
      <c r="D210" s="64" t="s">
        <v>101</v>
      </c>
      <c r="E210" s="59" t="s">
        <v>104</v>
      </c>
      <c r="F210" s="59" t="s">
        <v>104</v>
      </c>
      <c r="G210" s="59" t="s">
        <v>104</v>
      </c>
      <c r="H210" s="59" t="s">
        <v>104</v>
      </c>
      <c r="I210" s="59" t="s">
        <v>104</v>
      </c>
      <c r="J210" s="59" t="s">
        <v>104</v>
      </c>
      <c r="K210" s="59" t="s">
        <v>104</v>
      </c>
      <c r="L210" s="59" t="s">
        <v>104</v>
      </c>
      <c r="M210" s="59" t="s">
        <v>104</v>
      </c>
      <c r="N210" s="71"/>
      <c r="O210" s="71"/>
      <c r="P210" s="59" t="s">
        <v>104</v>
      </c>
      <c r="Q210" s="59" t="s">
        <v>104</v>
      </c>
      <c r="R210" s="75"/>
      <c r="S210" s="75"/>
    </row>
    <row r="211" spans="1:19" x14ac:dyDescent="0.25">
      <c r="A211" s="170"/>
      <c r="B211" s="174"/>
      <c r="C211" s="63" t="s">
        <v>174</v>
      </c>
      <c r="D211" s="64" t="s">
        <v>101</v>
      </c>
      <c r="E211" s="60">
        <v>1</v>
      </c>
      <c r="F211" s="60"/>
      <c r="G211" s="59"/>
      <c r="H211" s="60">
        <v>1</v>
      </c>
      <c r="I211" s="60">
        <v>1</v>
      </c>
      <c r="J211" s="75">
        <f>K211</f>
        <v>66860.39</v>
      </c>
      <c r="K211" s="75">
        <v>66860.39</v>
      </c>
      <c r="L211" s="59" t="s">
        <v>104</v>
      </c>
      <c r="M211" s="59" t="s">
        <v>104</v>
      </c>
      <c r="N211" s="71">
        <f>O211</f>
        <v>66860.39</v>
      </c>
      <c r="O211" s="71">
        <f>E211*K211</f>
        <v>66860.39</v>
      </c>
      <c r="P211" s="59" t="s">
        <v>104</v>
      </c>
      <c r="Q211" s="59" t="s">
        <v>104</v>
      </c>
      <c r="R211" s="75">
        <f>H211*K211</f>
        <v>66860.39</v>
      </c>
      <c r="S211" s="75">
        <f>I211*K211</f>
        <v>66860.39</v>
      </c>
    </row>
    <row r="212" spans="1:19" x14ac:dyDescent="0.25">
      <c r="A212" s="170"/>
      <c r="B212" s="174"/>
      <c r="C212" s="63" t="s">
        <v>165</v>
      </c>
      <c r="D212" s="64" t="s">
        <v>101</v>
      </c>
      <c r="E212" s="60">
        <v>1</v>
      </c>
      <c r="F212" s="60"/>
      <c r="G212" s="59"/>
      <c r="H212" s="60">
        <v>1</v>
      </c>
      <c r="I212" s="60">
        <v>1</v>
      </c>
      <c r="J212" s="75">
        <f>K212</f>
        <v>24684.9</v>
      </c>
      <c r="K212" s="75">
        <v>24684.9</v>
      </c>
      <c r="L212" s="59" t="s">
        <v>104</v>
      </c>
      <c r="M212" s="59" t="s">
        <v>104</v>
      </c>
      <c r="N212" s="71">
        <f>O212</f>
        <v>24684.9</v>
      </c>
      <c r="O212" s="71">
        <f t="shared" ref="O212:O213" si="188">E212*K212</f>
        <v>24684.9</v>
      </c>
      <c r="P212" s="59" t="s">
        <v>104</v>
      </c>
      <c r="Q212" s="59" t="s">
        <v>104</v>
      </c>
      <c r="R212" s="75">
        <f>H212*K212</f>
        <v>24684.9</v>
      </c>
      <c r="S212" s="75">
        <f>I212*K212</f>
        <v>24684.9</v>
      </c>
    </row>
    <row r="213" spans="1:19" x14ac:dyDescent="0.25">
      <c r="A213" s="170"/>
      <c r="B213" s="174"/>
      <c r="C213" s="63" t="s">
        <v>169</v>
      </c>
      <c r="D213" s="64" t="s">
        <v>101</v>
      </c>
      <c r="E213" s="60">
        <v>6</v>
      </c>
      <c r="F213" s="60"/>
      <c r="G213" s="59"/>
      <c r="H213" s="60">
        <v>6</v>
      </c>
      <c r="I213" s="60">
        <v>6</v>
      </c>
      <c r="J213" s="75">
        <f>K213</f>
        <v>22724.03</v>
      </c>
      <c r="K213" s="75">
        <v>22724.03</v>
      </c>
      <c r="L213" s="59" t="s">
        <v>104</v>
      </c>
      <c r="M213" s="59" t="s">
        <v>104</v>
      </c>
      <c r="N213" s="71">
        <f>O213</f>
        <v>136344.18</v>
      </c>
      <c r="O213" s="71">
        <f t="shared" si="188"/>
        <v>136344.18</v>
      </c>
      <c r="P213" s="59" t="s">
        <v>104</v>
      </c>
      <c r="Q213" s="59" t="s">
        <v>104</v>
      </c>
      <c r="R213" s="75">
        <f>H213*K213</f>
        <v>136344.18</v>
      </c>
      <c r="S213" s="75">
        <f>I213*K213</f>
        <v>136344.18</v>
      </c>
    </row>
    <row r="214" spans="1:19" ht="120" x14ac:dyDescent="0.25">
      <c r="A214" s="170"/>
      <c r="B214" s="174"/>
      <c r="C214" s="61" t="s">
        <v>105</v>
      </c>
      <c r="D214" s="64" t="s">
        <v>101</v>
      </c>
      <c r="E214" s="60"/>
      <c r="F214" s="60"/>
      <c r="G214" s="60"/>
      <c r="H214" s="60"/>
      <c r="I214" s="60"/>
      <c r="J214" s="75">
        <f>SUM(K214:M214)</f>
        <v>160896.81</v>
      </c>
      <c r="K214" s="75">
        <f>145176.96+820.54</f>
        <v>145997.5</v>
      </c>
      <c r="L214" s="72">
        <v>3857.41</v>
      </c>
      <c r="M214" s="70">
        <v>11041.9</v>
      </c>
      <c r="N214" s="73">
        <f>SUM(O214:Q214)</f>
        <v>0</v>
      </c>
      <c r="O214" s="73">
        <f>E214*K214</f>
        <v>0</v>
      </c>
      <c r="P214" s="73">
        <f>E214*L214</f>
        <v>0</v>
      </c>
      <c r="Q214" s="73">
        <f>E214*M214</f>
        <v>0</v>
      </c>
      <c r="R214" s="75">
        <f t="shared" si="184"/>
        <v>0</v>
      </c>
      <c r="S214" s="75">
        <f t="shared" si="185"/>
        <v>0</v>
      </c>
    </row>
    <row r="215" spans="1:19" ht="105" x14ac:dyDescent="0.25">
      <c r="A215" s="170"/>
      <c r="B215" s="174"/>
      <c r="C215" s="61" t="s">
        <v>117</v>
      </c>
      <c r="D215" s="64" t="s">
        <v>101</v>
      </c>
      <c r="E215" s="60">
        <v>0</v>
      </c>
      <c r="F215" s="60">
        <v>0</v>
      </c>
      <c r="G215" s="101">
        <v>0</v>
      </c>
      <c r="H215" s="60">
        <v>0</v>
      </c>
      <c r="I215" s="60">
        <v>0</v>
      </c>
      <c r="J215" s="75">
        <f>K215</f>
        <v>32794.07</v>
      </c>
      <c r="K215" s="75">
        <f>32794.07</f>
        <v>32794.07</v>
      </c>
      <c r="L215" s="72" t="s">
        <v>104</v>
      </c>
      <c r="M215" s="72" t="s">
        <v>104</v>
      </c>
      <c r="N215" s="73">
        <f>SUM(O215:Q215)</f>
        <v>0</v>
      </c>
      <c r="O215" s="73">
        <f>G215*K215</f>
        <v>0</v>
      </c>
      <c r="P215" s="73"/>
      <c r="Q215" s="73"/>
      <c r="R215" s="75">
        <f t="shared" si="184"/>
        <v>0</v>
      </c>
      <c r="S215" s="75">
        <f t="shared" si="185"/>
        <v>0</v>
      </c>
    </row>
    <row r="216" spans="1:19" x14ac:dyDescent="0.25">
      <c r="A216" s="170"/>
      <c r="B216" s="175"/>
      <c r="C216" s="66" t="s">
        <v>106</v>
      </c>
      <c r="D216" s="64"/>
      <c r="E216" s="60">
        <f>E208++E209+E214</f>
        <v>390</v>
      </c>
      <c r="F216" s="60">
        <f>F208++F209+F214</f>
        <v>0</v>
      </c>
      <c r="G216" s="60">
        <f>G208++G209+G214</f>
        <v>0</v>
      </c>
      <c r="H216" s="60">
        <f>H208++H209+H214</f>
        <v>390</v>
      </c>
      <c r="I216" s="60">
        <f>I208++I209+I214</f>
        <v>390</v>
      </c>
      <c r="J216" s="73" t="s">
        <v>104</v>
      </c>
      <c r="K216" s="73" t="s">
        <v>104</v>
      </c>
      <c r="L216" s="74" t="s">
        <v>104</v>
      </c>
      <c r="M216" s="74" t="s">
        <v>104</v>
      </c>
      <c r="N216" s="74">
        <f>SUM(N208:N215)</f>
        <v>20276427.329999998</v>
      </c>
      <c r="O216" s="74">
        <f t="shared" ref="O216:S216" si="189">SUM(O208:O215)</f>
        <v>14465696.43</v>
      </c>
      <c r="P216" s="74">
        <f t="shared" si="189"/>
        <v>1504389.9</v>
      </c>
      <c r="Q216" s="74">
        <f t="shared" si="189"/>
        <v>4306341</v>
      </c>
      <c r="R216" s="74">
        <f t="shared" si="189"/>
        <v>20276427.329999998</v>
      </c>
      <c r="S216" s="74">
        <f t="shared" si="189"/>
        <v>20276427.329999998</v>
      </c>
    </row>
    <row r="217" spans="1:19" ht="90" x14ac:dyDescent="0.25">
      <c r="A217" s="170"/>
      <c r="B217" s="173" t="s">
        <v>108</v>
      </c>
      <c r="C217" s="61" t="s">
        <v>100</v>
      </c>
      <c r="D217" s="62" t="s">
        <v>101</v>
      </c>
      <c r="E217" s="60">
        <v>62</v>
      </c>
      <c r="F217" s="60"/>
      <c r="G217" s="59"/>
      <c r="H217" s="60">
        <v>62</v>
      </c>
      <c r="I217" s="60">
        <v>62</v>
      </c>
      <c r="J217" s="109">
        <f>SUM(K217:M217)</f>
        <v>55554.37</v>
      </c>
      <c r="K217" s="109">
        <f>39660.87+994.19</f>
        <v>40655.060000000005</v>
      </c>
      <c r="L217" s="70">
        <v>3857.41</v>
      </c>
      <c r="M217" s="70">
        <v>11041.9</v>
      </c>
      <c r="N217" s="73">
        <f>SUM(O217:Q217)</f>
        <v>3444370.94</v>
      </c>
      <c r="O217" s="73">
        <f>E217*K217</f>
        <v>2520613.7200000002</v>
      </c>
      <c r="P217" s="73">
        <f>E217*L217</f>
        <v>239159.41999999998</v>
      </c>
      <c r="Q217" s="73">
        <f>E217*M217</f>
        <v>684597.79999999993</v>
      </c>
      <c r="R217" s="75">
        <f t="shared" si="184"/>
        <v>3444370.94</v>
      </c>
      <c r="S217" s="75">
        <f t="shared" si="185"/>
        <v>3444370.94</v>
      </c>
    </row>
    <row r="218" spans="1:19" ht="119.25" x14ac:dyDescent="0.25">
      <c r="A218" s="170"/>
      <c r="B218" s="174"/>
      <c r="C218" s="61" t="s">
        <v>175</v>
      </c>
      <c r="D218" s="62" t="s">
        <v>101</v>
      </c>
      <c r="E218" s="60">
        <v>50</v>
      </c>
      <c r="F218" s="60"/>
      <c r="G218" s="59"/>
      <c r="H218" s="60">
        <v>50</v>
      </c>
      <c r="I218" s="60">
        <v>50</v>
      </c>
      <c r="J218" s="109">
        <f>SUM(K218:M218)</f>
        <v>96473.98</v>
      </c>
      <c r="K218" s="109">
        <f>80580.48+994.19</f>
        <v>81574.67</v>
      </c>
      <c r="L218" s="70">
        <v>3857.41</v>
      </c>
      <c r="M218" s="70">
        <v>11041.9</v>
      </c>
      <c r="N218" s="73">
        <f>SUM(O218:Q218)</f>
        <v>4823699</v>
      </c>
      <c r="O218" s="73">
        <f>E218*K218</f>
        <v>4078733.5</v>
      </c>
      <c r="P218" s="73">
        <f>E218*L218</f>
        <v>192870.5</v>
      </c>
      <c r="Q218" s="73">
        <f>E218*M218</f>
        <v>552095</v>
      </c>
      <c r="R218" s="75">
        <f t="shared" si="184"/>
        <v>4823699</v>
      </c>
      <c r="S218" s="75">
        <f t="shared" si="185"/>
        <v>4823699</v>
      </c>
    </row>
    <row r="219" spans="1:19" ht="120" x14ac:dyDescent="0.25">
      <c r="A219" s="170"/>
      <c r="B219" s="174"/>
      <c r="C219" s="63" t="s">
        <v>102</v>
      </c>
      <c r="D219" s="64" t="s">
        <v>101</v>
      </c>
      <c r="E219" s="59" t="s">
        <v>104</v>
      </c>
      <c r="F219" s="59" t="s">
        <v>104</v>
      </c>
      <c r="G219" s="59" t="s">
        <v>104</v>
      </c>
      <c r="H219" s="59" t="s">
        <v>104</v>
      </c>
      <c r="I219" s="59" t="s">
        <v>104</v>
      </c>
      <c r="J219" s="59" t="s">
        <v>104</v>
      </c>
      <c r="K219" s="59" t="s">
        <v>104</v>
      </c>
      <c r="L219" s="59" t="s">
        <v>104</v>
      </c>
      <c r="M219" s="59" t="s">
        <v>104</v>
      </c>
      <c r="N219" s="71"/>
      <c r="O219" s="71"/>
      <c r="P219" s="59" t="s">
        <v>104</v>
      </c>
      <c r="Q219" s="59" t="s">
        <v>104</v>
      </c>
      <c r="R219" s="75"/>
      <c r="S219" s="75"/>
    </row>
    <row r="220" spans="1:19" x14ac:dyDescent="0.25">
      <c r="A220" s="170"/>
      <c r="B220" s="174"/>
      <c r="C220" s="63" t="s">
        <v>169</v>
      </c>
      <c r="D220" s="64" t="s">
        <v>101</v>
      </c>
      <c r="E220" s="60">
        <v>1</v>
      </c>
      <c r="F220" s="60"/>
      <c r="G220" s="59"/>
      <c r="H220" s="60">
        <v>1</v>
      </c>
      <c r="I220" s="60">
        <v>1</v>
      </c>
      <c r="J220" s="75">
        <f>K220</f>
        <v>22724.03</v>
      </c>
      <c r="K220" s="75">
        <v>22724.03</v>
      </c>
      <c r="L220" s="59" t="s">
        <v>104</v>
      </c>
      <c r="M220" s="59" t="s">
        <v>104</v>
      </c>
      <c r="N220" s="71">
        <f>O220</f>
        <v>22724.03</v>
      </c>
      <c r="O220" s="71">
        <f>E220*K220</f>
        <v>22724.03</v>
      </c>
      <c r="P220" s="59" t="s">
        <v>104</v>
      </c>
      <c r="Q220" s="59" t="s">
        <v>104</v>
      </c>
      <c r="R220" s="75">
        <f>H220*K220</f>
        <v>22724.03</v>
      </c>
      <c r="S220" s="75">
        <f>I220*K220</f>
        <v>22724.03</v>
      </c>
    </row>
    <row r="221" spans="1:19" ht="120" x14ac:dyDescent="0.25">
      <c r="A221" s="170"/>
      <c r="B221" s="174"/>
      <c r="C221" s="61" t="s">
        <v>105</v>
      </c>
      <c r="D221" s="64" t="s">
        <v>101</v>
      </c>
      <c r="E221" s="60"/>
      <c r="F221" s="60"/>
      <c r="G221" s="60"/>
      <c r="H221" s="60"/>
      <c r="I221" s="60"/>
      <c r="J221" s="75">
        <f>SUM(K221:M221)</f>
        <v>189819.03</v>
      </c>
      <c r="K221" s="75">
        <f>173925.53+994.19</f>
        <v>174919.72</v>
      </c>
      <c r="L221" s="72">
        <v>3857.41</v>
      </c>
      <c r="M221" s="70">
        <v>11041.9</v>
      </c>
      <c r="N221" s="73"/>
      <c r="O221" s="73"/>
      <c r="P221" s="73"/>
      <c r="Q221" s="73"/>
      <c r="R221" s="75">
        <f t="shared" si="184"/>
        <v>0</v>
      </c>
      <c r="S221" s="75">
        <f t="shared" si="185"/>
        <v>0</v>
      </c>
    </row>
    <row r="222" spans="1:19" x14ac:dyDescent="0.25">
      <c r="A222" s="170"/>
      <c r="B222" s="175"/>
      <c r="C222" s="66" t="s">
        <v>106</v>
      </c>
      <c r="D222" s="64"/>
      <c r="E222" s="60">
        <f>E217+E221</f>
        <v>62</v>
      </c>
      <c r="F222" s="60">
        <f t="shared" ref="F222:I222" si="190">F217+F221</f>
        <v>0</v>
      </c>
      <c r="G222" s="60">
        <f t="shared" si="190"/>
        <v>0</v>
      </c>
      <c r="H222" s="60">
        <f t="shared" si="190"/>
        <v>62</v>
      </c>
      <c r="I222" s="60">
        <f t="shared" si="190"/>
        <v>62</v>
      </c>
      <c r="J222" s="73" t="s">
        <v>104</v>
      </c>
      <c r="K222" s="73" t="s">
        <v>104</v>
      </c>
      <c r="L222" s="74" t="s">
        <v>104</v>
      </c>
      <c r="M222" s="74" t="s">
        <v>104</v>
      </c>
      <c r="N222" s="74">
        <f>SUM(N217:N221)</f>
        <v>8290793.9699999997</v>
      </c>
      <c r="O222" s="74">
        <f t="shared" ref="O222:S222" si="191">SUM(O217:O221)</f>
        <v>6622071.2500000009</v>
      </c>
      <c r="P222" s="74">
        <f t="shared" si="191"/>
        <v>432029.92</v>
      </c>
      <c r="Q222" s="74">
        <f t="shared" si="191"/>
        <v>1236692.7999999998</v>
      </c>
      <c r="R222" s="74">
        <f t="shared" si="191"/>
        <v>8290793.9699999997</v>
      </c>
      <c r="S222" s="74">
        <f t="shared" si="191"/>
        <v>8290793.9699999997</v>
      </c>
    </row>
    <row r="223" spans="1:19" ht="165" x14ac:dyDescent="0.25">
      <c r="A223" s="170"/>
      <c r="B223" s="171" t="s">
        <v>109</v>
      </c>
      <c r="C223" s="61" t="s">
        <v>110</v>
      </c>
      <c r="D223" s="64" t="s">
        <v>101</v>
      </c>
      <c r="E223" s="60">
        <v>693</v>
      </c>
      <c r="F223" s="60"/>
      <c r="G223" s="59"/>
      <c r="H223" s="60">
        <v>693</v>
      </c>
      <c r="I223" s="60">
        <v>693</v>
      </c>
      <c r="J223" s="75">
        <f>K223</f>
        <v>3829.24</v>
      </c>
      <c r="K223" s="75">
        <v>3829.24</v>
      </c>
      <c r="L223" s="72" t="s">
        <v>104</v>
      </c>
      <c r="M223" s="72" t="s">
        <v>104</v>
      </c>
      <c r="N223" s="73">
        <f>SUM(O223:Q223)</f>
        <v>2653663.3199999998</v>
      </c>
      <c r="O223" s="73">
        <f>E223*K223</f>
        <v>2653663.3199999998</v>
      </c>
      <c r="P223" s="73" t="s">
        <v>104</v>
      </c>
      <c r="Q223" s="73" t="s">
        <v>104</v>
      </c>
      <c r="R223" s="75">
        <f t="shared" si="184"/>
        <v>2653663.3199999998</v>
      </c>
      <c r="S223" s="75">
        <f t="shared" si="185"/>
        <v>2653663.3199999998</v>
      </c>
    </row>
    <row r="224" spans="1:19" ht="180" x14ac:dyDescent="0.25">
      <c r="A224" s="170"/>
      <c r="B224" s="171"/>
      <c r="C224" s="61" t="s">
        <v>173</v>
      </c>
      <c r="D224" s="64" t="s">
        <v>101</v>
      </c>
      <c r="E224" s="60"/>
      <c r="F224" s="60"/>
      <c r="G224" s="59"/>
      <c r="H224" s="60"/>
      <c r="I224" s="60"/>
      <c r="J224" s="75"/>
      <c r="K224" s="75"/>
      <c r="L224" s="72" t="s">
        <v>104</v>
      </c>
      <c r="M224" s="72" t="s">
        <v>104</v>
      </c>
      <c r="N224" s="73">
        <f>SUM(O224:Q224)</f>
        <v>0</v>
      </c>
      <c r="O224" s="73">
        <f>G224*K224</f>
        <v>0</v>
      </c>
      <c r="P224" s="105" t="s">
        <v>104</v>
      </c>
      <c r="Q224" s="104" t="s">
        <v>104</v>
      </c>
      <c r="R224" s="75">
        <f t="shared" si="184"/>
        <v>0</v>
      </c>
      <c r="S224" s="75">
        <f t="shared" si="185"/>
        <v>0</v>
      </c>
    </row>
    <row r="225" spans="1:22" x14ac:dyDescent="0.25">
      <c r="A225" s="170"/>
      <c r="B225" s="69"/>
      <c r="C225" s="66" t="s">
        <v>106</v>
      </c>
      <c r="D225" s="69"/>
      <c r="E225" s="60">
        <f>SUM(E223:E224)</f>
        <v>693</v>
      </c>
      <c r="F225" s="60">
        <f t="shared" ref="F225:I225" si="192">SUM(F223:F224)</f>
        <v>0</v>
      </c>
      <c r="G225" s="60">
        <f t="shared" si="192"/>
        <v>0</v>
      </c>
      <c r="H225" s="60">
        <f t="shared" si="192"/>
        <v>693</v>
      </c>
      <c r="I225" s="60">
        <f t="shared" si="192"/>
        <v>693</v>
      </c>
      <c r="J225" s="73" t="s">
        <v>104</v>
      </c>
      <c r="K225" s="73" t="s">
        <v>104</v>
      </c>
      <c r="L225" s="74" t="s">
        <v>104</v>
      </c>
      <c r="M225" s="74">
        <f t="shared" ref="M225:Q225" si="193">SUM(M223:M224)</f>
        <v>0</v>
      </c>
      <c r="N225" s="74">
        <f t="shared" si="193"/>
        <v>2653663.3199999998</v>
      </c>
      <c r="O225" s="74">
        <f t="shared" si="193"/>
        <v>2653663.3199999998</v>
      </c>
      <c r="P225" s="74">
        <f t="shared" si="193"/>
        <v>0</v>
      </c>
      <c r="Q225" s="74">
        <f t="shared" si="193"/>
        <v>0</v>
      </c>
      <c r="R225" s="75">
        <f>SUM(R223:R224)</f>
        <v>2653663.3199999998</v>
      </c>
      <c r="S225" s="75">
        <f>SUM(S223:S224)</f>
        <v>2653663.3199999998</v>
      </c>
    </row>
    <row r="226" spans="1:22" x14ac:dyDescent="0.25">
      <c r="A226" s="170"/>
      <c r="B226" s="102" t="s">
        <v>112</v>
      </c>
      <c r="C226" s="102"/>
      <c r="D226" s="69"/>
      <c r="E226" s="103"/>
      <c r="F226" s="103"/>
      <c r="G226" s="103"/>
      <c r="H226" s="103"/>
      <c r="I226" s="103"/>
      <c r="J226" s="105"/>
      <c r="K226" s="105"/>
      <c r="L226" s="104"/>
      <c r="M226" s="104"/>
      <c r="N226" s="104">
        <f t="shared" ref="N226:S226" si="194">N207+N216+N222+N225</f>
        <v>44390426.469999999</v>
      </c>
      <c r="O226" s="104">
        <f t="shared" si="194"/>
        <v>31994200.550000001</v>
      </c>
      <c r="P226" s="104">
        <f t="shared" si="194"/>
        <v>3209365.12</v>
      </c>
      <c r="Q226" s="104">
        <f t="shared" si="194"/>
        <v>9186860.8000000007</v>
      </c>
      <c r="R226" s="104">
        <f t="shared" si="194"/>
        <v>44390426.469999999</v>
      </c>
      <c r="S226" s="104">
        <f t="shared" si="194"/>
        <v>44390426.469999999</v>
      </c>
    </row>
    <row r="227" spans="1:22" ht="187.15" customHeight="1" x14ac:dyDescent="0.25">
      <c r="A227" s="170" t="s">
        <v>119</v>
      </c>
      <c r="B227" s="172" t="s">
        <v>99</v>
      </c>
      <c r="C227" s="61" t="s">
        <v>120</v>
      </c>
      <c r="D227" s="62" t="s">
        <v>121</v>
      </c>
      <c r="E227" s="125" t="s">
        <v>136</v>
      </c>
      <c r="F227" s="125"/>
      <c r="G227" s="125"/>
      <c r="H227" s="125" t="s">
        <v>136</v>
      </c>
      <c r="I227" s="125" t="s">
        <v>136</v>
      </c>
      <c r="J227" s="109" t="s">
        <v>124</v>
      </c>
      <c r="K227" s="109" t="s">
        <v>201</v>
      </c>
      <c r="L227" s="70" t="s">
        <v>126</v>
      </c>
      <c r="M227" s="70" t="s">
        <v>208</v>
      </c>
      <c r="N227" s="71">
        <f t="shared" ref="N227:N233" si="195">SUM(O227:Q227)</f>
        <v>2955652.41</v>
      </c>
      <c r="O227" s="71">
        <f>(642642.05*3)+(672.3*66)</f>
        <v>1972297.9500000002</v>
      </c>
      <c r="P227" s="71">
        <f>3857.41*66</f>
        <v>254589.06</v>
      </c>
      <c r="Q227" s="75">
        <f>11041.9*66</f>
        <v>728765.4</v>
      </c>
      <c r="R227" s="75">
        <f>642642.05*3+15571.61*66</f>
        <v>2955652.41</v>
      </c>
      <c r="S227" s="75">
        <f>R227</f>
        <v>2955652.41</v>
      </c>
      <c r="T227" s="80">
        <f>((46*3857.41)/12*8)+((66*3857.41)/12*4)</f>
        <v>203156.92666666667</v>
      </c>
    </row>
    <row r="228" spans="1:22" ht="202.15" customHeight="1" x14ac:dyDescent="0.25">
      <c r="A228" s="170"/>
      <c r="B228" s="172"/>
      <c r="C228" s="61" t="s">
        <v>128</v>
      </c>
      <c r="D228" s="62" t="s">
        <v>121</v>
      </c>
      <c r="E228" s="125" t="s">
        <v>183</v>
      </c>
      <c r="F228" s="125"/>
      <c r="G228" s="125"/>
      <c r="H228" s="125" t="s">
        <v>183</v>
      </c>
      <c r="I228" s="125" t="s">
        <v>183</v>
      </c>
      <c r="J228" s="109" t="s">
        <v>131</v>
      </c>
      <c r="K228" s="109" t="s">
        <v>202</v>
      </c>
      <c r="L228" s="70" t="s">
        <v>126</v>
      </c>
      <c r="M228" s="70" t="s">
        <v>208</v>
      </c>
      <c r="N228" s="71">
        <f t="shared" si="195"/>
        <v>1675439.68</v>
      </c>
      <c r="O228" s="71">
        <f>(604145.69*2)+(672.3*30)</f>
        <v>1228460.3799999999</v>
      </c>
      <c r="P228" s="71">
        <f>3857.41*30</f>
        <v>115722.29999999999</v>
      </c>
      <c r="Q228" s="75">
        <f>11041.9*30</f>
        <v>331257</v>
      </c>
      <c r="R228" s="75">
        <f>604145.69*2+15571.61*30</f>
        <v>1675439.68</v>
      </c>
      <c r="S228" s="75">
        <f>R228</f>
        <v>1675439.68</v>
      </c>
    </row>
    <row r="229" spans="1:22" ht="120" x14ac:dyDescent="0.25">
      <c r="A229" s="170"/>
      <c r="B229" s="172"/>
      <c r="C229" s="63" t="s">
        <v>102</v>
      </c>
      <c r="D229" s="64" t="s">
        <v>101</v>
      </c>
      <c r="E229" s="65"/>
      <c r="F229" s="65"/>
      <c r="G229" s="65"/>
      <c r="H229" s="65"/>
      <c r="I229" s="65"/>
      <c r="J229" s="75">
        <f>K229</f>
        <v>27251.919999999998</v>
      </c>
      <c r="K229" s="75">
        <v>27251.919999999998</v>
      </c>
      <c r="L229" s="72" t="s">
        <v>103</v>
      </c>
      <c r="M229" s="72" t="s">
        <v>103</v>
      </c>
      <c r="N229" s="71">
        <f t="shared" si="195"/>
        <v>0</v>
      </c>
      <c r="O229" s="71">
        <f>E229*K229</f>
        <v>0</v>
      </c>
      <c r="P229" s="71" t="s">
        <v>104</v>
      </c>
      <c r="Q229" s="121" t="s">
        <v>104</v>
      </c>
      <c r="R229" s="75">
        <f t="shared" ref="R229:R243" si="196">H229*J229</f>
        <v>0</v>
      </c>
      <c r="S229" s="75">
        <f t="shared" ref="S229:S243" si="197">I229*J229</f>
        <v>0</v>
      </c>
    </row>
    <row r="230" spans="1:22" ht="105" x14ac:dyDescent="0.25">
      <c r="A230" s="170"/>
      <c r="B230" s="172"/>
      <c r="C230" s="61" t="s">
        <v>177</v>
      </c>
      <c r="D230" s="64" t="s">
        <v>101</v>
      </c>
      <c r="E230" s="59">
        <v>1</v>
      </c>
      <c r="F230" s="59"/>
      <c r="G230" s="59"/>
      <c r="H230" s="59">
        <v>1</v>
      </c>
      <c r="I230" s="59">
        <v>1</v>
      </c>
      <c r="J230" s="75">
        <f>K230</f>
        <v>24958.99</v>
      </c>
      <c r="K230" s="75">
        <v>24958.99</v>
      </c>
      <c r="L230" s="71" t="s">
        <v>104</v>
      </c>
      <c r="M230" s="71" t="s">
        <v>104</v>
      </c>
      <c r="N230" s="71">
        <f>O230</f>
        <v>24958.99</v>
      </c>
      <c r="O230" s="71">
        <f>E230*K230</f>
        <v>24958.99</v>
      </c>
      <c r="P230" s="71" t="s">
        <v>104</v>
      </c>
      <c r="Q230" s="121" t="s">
        <v>104</v>
      </c>
      <c r="R230" s="75">
        <f>H230*K230</f>
        <v>24958.99</v>
      </c>
      <c r="S230" s="75">
        <f>I230*K230</f>
        <v>24958.99</v>
      </c>
    </row>
    <row r="231" spans="1:22" x14ac:dyDescent="0.25">
      <c r="A231" s="170"/>
      <c r="B231" s="172"/>
      <c r="C231" s="66" t="s">
        <v>106</v>
      </c>
      <c r="D231" s="67"/>
      <c r="E231" s="125" t="s">
        <v>187</v>
      </c>
      <c r="F231" s="125"/>
      <c r="G231" s="125"/>
      <c r="H231" s="125" t="s">
        <v>187</v>
      </c>
      <c r="I231" s="125" t="s">
        <v>187</v>
      </c>
      <c r="J231" s="71" t="s">
        <v>104</v>
      </c>
      <c r="K231" s="71" t="s">
        <v>104</v>
      </c>
      <c r="L231" s="71" t="s">
        <v>104</v>
      </c>
      <c r="M231" s="71" t="s">
        <v>104</v>
      </c>
      <c r="N231" s="71">
        <f>SUM(O231:Q231)</f>
        <v>4656051.08</v>
      </c>
      <c r="O231" s="71">
        <f>SUM(O227:O230)</f>
        <v>3225717.3200000003</v>
      </c>
      <c r="P231" s="71">
        <f>SUM(P227:P230)</f>
        <v>370311.36</v>
      </c>
      <c r="Q231" s="71">
        <f t="shared" ref="Q231:S231" si="198">SUM(Q227:Q230)</f>
        <v>1060022.3999999999</v>
      </c>
      <c r="R231" s="71">
        <f t="shared" si="198"/>
        <v>4656051.08</v>
      </c>
      <c r="S231" s="71">
        <f t="shared" si="198"/>
        <v>4656051.08</v>
      </c>
    </row>
    <row r="232" spans="1:22" ht="225" x14ac:dyDescent="0.25">
      <c r="A232" s="170"/>
      <c r="B232" s="172" t="s">
        <v>107</v>
      </c>
      <c r="C232" s="61" t="s">
        <v>120</v>
      </c>
      <c r="D232" s="62" t="s">
        <v>121</v>
      </c>
      <c r="E232" s="125" t="s">
        <v>186</v>
      </c>
      <c r="F232" s="125"/>
      <c r="G232" s="125"/>
      <c r="H232" s="125" t="s">
        <v>186</v>
      </c>
      <c r="I232" s="125" t="s">
        <v>186</v>
      </c>
      <c r="J232" s="109" t="s">
        <v>138</v>
      </c>
      <c r="K232" s="109" t="s">
        <v>203</v>
      </c>
      <c r="L232" s="70" t="s">
        <v>126</v>
      </c>
      <c r="M232" s="70" t="s">
        <v>208</v>
      </c>
      <c r="N232" s="71">
        <f t="shared" si="195"/>
        <v>3887129.19</v>
      </c>
      <c r="O232" s="71">
        <f>(955112.98*3)+(820.54*65)</f>
        <v>2918674.04</v>
      </c>
      <c r="P232" s="71">
        <f>3857.41*65</f>
        <v>250731.65</v>
      </c>
      <c r="Q232" s="71">
        <f>11041.9*65</f>
        <v>717723.5</v>
      </c>
      <c r="R232" s="75">
        <f>3*955112.98+65*15719.85</f>
        <v>3887129.19</v>
      </c>
      <c r="S232" s="75">
        <f>R232</f>
        <v>3887129.19</v>
      </c>
      <c r="T232" s="131"/>
    </row>
    <row r="233" spans="1:22" ht="240" x14ac:dyDescent="0.25">
      <c r="A233" s="170"/>
      <c r="B233" s="172"/>
      <c r="C233" s="61" t="s">
        <v>128</v>
      </c>
      <c r="D233" s="62" t="s">
        <v>121</v>
      </c>
      <c r="E233" s="79" t="s">
        <v>184</v>
      </c>
      <c r="F233" s="79"/>
      <c r="G233" s="79"/>
      <c r="H233" s="79" t="s">
        <v>184</v>
      </c>
      <c r="I233" s="79" t="s">
        <v>184</v>
      </c>
      <c r="J233" s="109" t="s">
        <v>142</v>
      </c>
      <c r="K233" s="109" t="s">
        <v>204</v>
      </c>
      <c r="L233" s="70" t="s">
        <v>126</v>
      </c>
      <c r="M233" s="70" t="s">
        <v>208</v>
      </c>
      <c r="N233" s="71">
        <f t="shared" si="195"/>
        <v>3875251.3000000003</v>
      </c>
      <c r="O233" s="71">
        <f>(756594.85*4)+(820.54*54)</f>
        <v>3070688.56</v>
      </c>
      <c r="P233" s="71">
        <f>3857.41*54</f>
        <v>208300.13999999998</v>
      </c>
      <c r="Q233" s="71">
        <f>11041.9*54</f>
        <v>596262.6</v>
      </c>
      <c r="R233" s="75">
        <f>4*756594.85+15719.85*54</f>
        <v>3875251.3</v>
      </c>
      <c r="S233" s="75">
        <f>R233</f>
        <v>3875251.3</v>
      </c>
    </row>
    <row r="234" spans="1:22" ht="135" x14ac:dyDescent="0.25">
      <c r="A234" s="170"/>
      <c r="B234" s="172"/>
      <c r="C234" s="63" t="s">
        <v>164</v>
      </c>
      <c r="D234" s="64" t="s">
        <v>101</v>
      </c>
      <c r="E234" s="59" t="s">
        <v>104</v>
      </c>
      <c r="F234" s="59" t="s">
        <v>104</v>
      </c>
      <c r="G234" s="59" t="s">
        <v>104</v>
      </c>
      <c r="H234" s="59" t="s">
        <v>104</v>
      </c>
      <c r="I234" s="59" t="s">
        <v>104</v>
      </c>
      <c r="J234" s="59" t="s">
        <v>104</v>
      </c>
      <c r="K234" s="59" t="s">
        <v>104</v>
      </c>
      <c r="L234" s="59" t="s">
        <v>104</v>
      </c>
      <c r="M234" s="59" t="s">
        <v>104</v>
      </c>
      <c r="N234" s="71"/>
      <c r="O234" s="71"/>
      <c r="P234" s="59" t="s">
        <v>104</v>
      </c>
      <c r="Q234" s="59" t="s">
        <v>104</v>
      </c>
      <c r="R234" s="75"/>
      <c r="S234" s="75"/>
    </row>
    <row r="235" spans="1:22" x14ac:dyDescent="0.25">
      <c r="A235" s="170"/>
      <c r="B235" s="112"/>
      <c r="C235" s="63" t="s">
        <v>166</v>
      </c>
      <c r="D235" s="64"/>
      <c r="E235" s="60">
        <v>2</v>
      </c>
      <c r="F235" s="60"/>
      <c r="G235" s="59"/>
      <c r="H235" s="60">
        <v>2</v>
      </c>
      <c r="I235" s="60">
        <v>2</v>
      </c>
      <c r="J235" s="75">
        <f>K235</f>
        <v>107600.45</v>
      </c>
      <c r="K235" s="75">
        <v>107600.45</v>
      </c>
      <c r="L235" s="59" t="s">
        <v>104</v>
      </c>
      <c r="M235" s="59" t="s">
        <v>104</v>
      </c>
      <c r="N235" s="71">
        <f>O235</f>
        <v>215200.9</v>
      </c>
      <c r="O235" s="73">
        <f>E235*K235</f>
        <v>215200.9</v>
      </c>
      <c r="P235" s="59" t="s">
        <v>104</v>
      </c>
      <c r="Q235" s="59" t="s">
        <v>104</v>
      </c>
      <c r="R235" s="75">
        <f>H235*K235</f>
        <v>215200.9</v>
      </c>
      <c r="S235" s="75">
        <f>I235*K235</f>
        <v>215200.9</v>
      </c>
    </row>
    <row r="236" spans="1:22" x14ac:dyDescent="0.25">
      <c r="A236" s="170"/>
      <c r="B236" s="112"/>
      <c r="C236" s="63" t="s">
        <v>169</v>
      </c>
      <c r="D236" s="64"/>
      <c r="E236" s="60">
        <v>2</v>
      </c>
      <c r="F236" s="60"/>
      <c r="G236" s="59"/>
      <c r="H236" s="60">
        <v>2</v>
      </c>
      <c r="I236" s="60">
        <v>2</v>
      </c>
      <c r="J236" s="75">
        <f>K236</f>
        <v>27251.919999999998</v>
      </c>
      <c r="K236" s="75">
        <v>27251.919999999998</v>
      </c>
      <c r="L236" s="106" t="s">
        <v>104</v>
      </c>
      <c r="M236" s="59" t="s">
        <v>104</v>
      </c>
      <c r="N236" s="71">
        <f>O236</f>
        <v>54503.839999999997</v>
      </c>
      <c r="O236" s="73">
        <f>E236*K236</f>
        <v>54503.839999999997</v>
      </c>
      <c r="P236" s="59" t="s">
        <v>104</v>
      </c>
      <c r="Q236" s="59" t="s">
        <v>104</v>
      </c>
      <c r="R236" s="75">
        <f>H236*K236</f>
        <v>54503.839999999997</v>
      </c>
      <c r="S236" s="75">
        <f>I236*K236</f>
        <v>54503.839999999997</v>
      </c>
    </row>
    <row r="237" spans="1:22" ht="120" x14ac:dyDescent="0.25">
      <c r="A237" s="170"/>
      <c r="B237" s="112"/>
      <c r="C237" s="76" t="s">
        <v>176</v>
      </c>
      <c r="D237" s="64" t="s">
        <v>101</v>
      </c>
      <c r="E237" s="79">
        <v>1</v>
      </c>
      <c r="F237" s="79"/>
      <c r="G237" s="59"/>
      <c r="H237" s="79">
        <v>1</v>
      </c>
      <c r="I237" s="79">
        <v>1</v>
      </c>
      <c r="J237" s="75">
        <f>SUM(K237:M237)</f>
        <v>218522.34</v>
      </c>
      <c r="K237" s="75">
        <f>217701.8+820.54</f>
        <v>218522.34</v>
      </c>
      <c r="L237" s="70" t="s">
        <v>126</v>
      </c>
      <c r="M237" s="70" t="s">
        <v>208</v>
      </c>
      <c r="N237" s="73">
        <f>SUM(O237:Q237)</f>
        <v>233421.65</v>
      </c>
      <c r="O237" s="73">
        <f>E237*K237</f>
        <v>218522.34</v>
      </c>
      <c r="P237" s="73">
        <f>E237*3857.41</f>
        <v>3857.41</v>
      </c>
      <c r="Q237" s="73">
        <f>E237*11041.9</f>
        <v>11041.9</v>
      </c>
      <c r="R237" s="75">
        <f>N237</f>
        <v>233421.65</v>
      </c>
      <c r="S237" s="75">
        <f>R237</f>
        <v>233421.65</v>
      </c>
    </row>
    <row r="238" spans="1:22" ht="105" x14ac:dyDescent="0.25">
      <c r="A238" s="170"/>
      <c r="B238" s="112"/>
      <c r="C238" s="61" t="s">
        <v>177</v>
      </c>
      <c r="D238" s="64" t="s">
        <v>101</v>
      </c>
      <c r="E238" s="79">
        <v>5</v>
      </c>
      <c r="F238" s="79"/>
      <c r="G238" s="59"/>
      <c r="H238" s="79">
        <v>5</v>
      </c>
      <c r="I238" s="79">
        <v>5</v>
      </c>
      <c r="J238" s="75">
        <f>K238</f>
        <v>39518.410000000003</v>
      </c>
      <c r="K238" s="75">
        <v>39518.410000000003</v>
      </c>
      <c r="L238" s="74"/>
      <c r="M238" s="74"/>
      <c r="N238" s="73">
        <f>O238</f>
        <v>197592.05000000002</v>
      </c>
      <c r="O238" s="73">
        <f>E238*K238</f>
        <v>197592.05000000002</v>
      </c>
      <c r="P238" s="73"/>
      <c r="Q238" s="73"/>
      <c r="R238" s="75">
        <f>H238*K238</f>
        <v>197592.05000000002</v>
      </c>
      <c r="S238" s="75">
        <f>I238*K238</f>
        <v>197592.05000000002</v>
      </c>
    </row>
    <row r="239" spans="1:22" x14ac:dyDescent="0.25">
      <c r="A239" s="170"/>
      <c r="B239" s="112"/>
      <c r="C239" s="66" t="s">
        <v>106</v>
      </c>
      <c r="D239" s="64"/>
      <c r="E239" s="77" t="s">
        <v>188</v>
      </c>
      <c r="F239" s="77"/>
      <c r="G239" s="77"/>
      <c r="H239" s="77" t="s">
        <v>188</v>
      </c>
      <c r="I239" s="77" t="s">
        <v>188</v>
      </c>
      <c r="J239" s="73" t="s">
        <v>104</v>
      </c>
      <c r="K239" s="73" t="s">
        <v>104</v>
      </c>
      <c r="L239" s="74" t="s">
        <v>104</v>
      </c>
      <c r="M239" s="74" t="s">
        <v>104</v>
      </c>
      <c r="N239" s="74">
        <f>SUM(O239:Q239)</f>
        <v>8463098.9299999997</v>
      </c>
      <c r="O239" s="74">
        <f>SUM(O232:O238)</f>
        <v>6675181.7299999995</v>
      </c>
      <c r="P239" s="74">
        <f>SUM(P232:P238)</f>
        <v>462889.19999999995</v>
      </c>
      <c r="Q239" s="74">
        <f t="shared" ref="Q239:S239" si="199">SUM(Q232:Q238)</f>
        <v>1325028</v>
      </c>
      <c r="R239" s="74">
        <f t="shared" si="199"/>
        <v>8463098.9300000016</v>
      </c>
      <c r="S239" s="74">
        <f t="shared" si="199"/>
        <v>8463098.9300000016</v>
      </c>
    </row>
    <row r="240" spans="1:22" ht="240" x14ac:dyDescent="0.25">
      <c r="A240" s="170"/>
      <c r="B240" s="112" t="s">
        <v>108</v>
      </c>
      <c r="C240" s="61" t="s">
        <v>128</v>
      </c>
      <c r="D240" s="62" t="s">
        <v>121</v>
      </c>
      <c r="E240" s="125" t="s">
        <v>185</v>
      </c>
      <c r="F240" s="125"/>
      <c r="G240" s="125"/>
      <c r="H240" s="125" t="s">
        <v>185</v>
      </c>
      <c r="I240" s="125" t="s">
        <v>185</v>
      </c>
      <c r="J240" s="109" t="s">
        <v>150</v>
      </c>
      <c r="K240" s="109" t="s">
        <v>205</v>
      </c>
      <c r="L240" s="70" t="s">
        <v>126</v>
      </c>
      <c r="M240" s="70" t="s">
        <v>208</v>
      </c>
      <c r="N240" s="73">
        <f>SUM(O240:Q240)</f>
        <v>1918791.7400000002</v>
      </c>
      <c r="O240" s="71">
        <f>(808407.62*2)+(994.19*19)</f>
        <v>1635704.85</v>
      </c>
      <c r="P240" s="73">
        <f>19*3857.41</f>
        <v>73290.789999999994</v>
      </c>
      <c r="Q240" s="46">
        <f>19*11041.9</f>
        <v>209796.1</v>
      </c>
      <c r="R240" s="75">
        <f>808407.62*2+19*15893.5</f>
        <v>1918791.74</v>
      </c>
      <c r="S240" s="75">
        <f>R240</f>
        <v>1918791.74</v>
      </c>
      <c r="T240" s="80">
        <f>(12*8+19*4)/12</f>
        <v>14.333333333333334</v>
      </c>
      <c r="V240" s="80">
        <f>(7*8+12*4)/12</f>
        <v>8.6666666666666661</v>
      </c>
    </row>
    <row r="241" spans="1:19" x14ac:dyDescent="0.25">
      <c r="A241" s="170"/>
      <c r="B241" s="112"/>
      <c r="C241" s="66" t="s">
        <v>106</v>
      </c>
      <c r="D241" s="64"/>
      <c r="E241" s="125" t="str">
        <f>E240</f>
        <v>2\19</v>
      </c>
      <c r="F241" s="125">
        <f>F240</f>
        <v>0</v>
      </c>
      <c r="G241" s="125">
        <f>G240</f>
        <v>0</v>
      </c>
      <c r="H241" s="125" t="str">
        <f>H240</f>
        <v>2\19</v>
      </c>
      <c r="I241" s="125" t="str">
        <f>I240</f>
        <v>2\19</v>
      </c>
      <c r="J241" s="73" t="s">
        <v>104</v>
      </c>
      <c r="K241" s="73" t="s">
        <v>104</v>
      </c>
      <c r="L241" s="74" t="s">
        <v>104</v>
      </c>
      <c r="M241" s="74" t="s">
        <v>104</v>
      </c>
      <c r="N241" s="74">
        <f>SUM(N240:N240)</f>
        <v>1918791.7400000002</v>
      </c>
      <c r="O241" s="74">
        <f>SUM(O240:O240)</f>
        <v>1635704.85</v>
      </c>
      <c r="P241" s="74">
        <f>SUM(P240:P240)</f>
        <v>73290.789999999994</v>
      </c>
      <c r="Q241" s="74">
        <f>SUM(Q240:Q240)</f>
        <v>209796.1</v>
      </c>
      <c r="R241" s="75">
        <f>SUM(R240)</f>
        <v>1918791.74</v>
      </c>
      <c r="S241" s="75">
        <f>SUM(S240)</f>
        <v>1918791.74</v>
      </c>
    </row>
    <row r="242" spans="1:19" ht="165" x14ac:dyDescent="0.25">
      <c r="A242" s="170"/>
      <c r="B242" s="171" t="s">
        <v>109</v>
      </c>
      <c r="C242" s="61" t="s">
        <v>110</v>
      </c>
      <c r="D242" s="64" t="s">
        <v>101</v>
      </c>
      <c r="E242" s="60">
        <v>178</v>
      </c>
      <c r="F242" s="60"/>
      <c r="G242" s="59"/>
      <c r="H242" s="60">
        <v>178</v>
      </c>
      <c r="I242" s="60">
        <v>178</v>
      </c>
      <c r="J242" s="75">
        <f>K242</f>
        <v>3829.24</v>
      </c>
      <c r="K242" s="75">
        <v>3829.24</v>
      </c>
      <c r="L242" s="72" t="s">
        <v>104</v>
      </c>
      <c r="M242" s="72" t="s">
        <v>104</v>
      </c>
      <c r="N242" s="73">
        <f>SUM(O242:Q242)</f>
        <v>681604.72</v>
      </c>
      <c r="O242" s="73">
        <f>K242*E242</f>
        <v>681604.72</v>
      </c>
      <c r="P242" s="73" t="s">
        <v>104</v>
      </c>
      <c r="Q242" s="73" t="s">
        <v>104</v>
      </c>
      <c r="R242" s="75">
        <f t="shared" si="196"/>
        <v>681604.72</v>
      </c>
      <c r="S242" s="75">
        <f t="shared" si="197"/>
        <v>681604.72</v>
      </c>
    </row>
    <row r="243" spans="1:19" ht="180" x14ac:dyDescent="0.25">
      <c r="A243" s="170"/>
      <c r="B243" s="171"/>
      <c r="C243" s="61" t="s">
        <v>170</v>
      </c>
      <c r="D243" s="64" t="s">
        <v>101</v>
      </c>
      <c r="E243" s="60"/>
      <c r="F243" s="60"/>
      <c r="G243" s="59"/>
      <c r="H243" s="60"/>
      <c r="I243" s="60"/>
      <c r="J243" s="75">
        <f>K243</f>
        <v>0</v>
      </c>
      <c r="K243" s="75"/>
      <c r="L243" s="72" t="s">
        <v>104</v>
      </c>
      <c r="M243" s="72" t="s">
        <v>104</v>
      </c>
      <c r="N243" s="73">
        <f>SUM(O243:Q243)</f>
        <v>0</v>
      </c>
      <c r="O243" s="73">
        <f>K243*G243</f>
        <v>0</v>
      </c>
      <c r="P243" s="73" t="s">
        <v>104</v>
      </c>
      <c r="Q243" s="74" t="s">
        <v>104</v>
      </c>
      <c r="R243" s="75">
        <f t="shared" si="196"/>
        <v>0</v>
      </c>
      <c r="S243" s="75">
        <f t="shared" si="197"/>
        <v>0</v>
      </c>
    </row>
    <row r="244" spans="1:19" x14ac:dyDescent="0.25">
      <c r="A244" s="170"/>
      <c r="B244" s="69"/>
      <c r="C244" s="66" t="s">
        <v>106</v>
      </c>
      <c r="D244" s="69"/>
      <c r="E244" s="60">
        <f>SUM(E242:E243)</f>
        <v>178</v>
      </c>
      <c r="F244" s="60">
        <f t="shared" ref="F244:I244" si="200">SUM(F242:F243)</f>
        <v>0</v>
      </c>
      <c r="G244" s="60">
        <f t="shared" si="200"/>
        <v>0</v>
      </c>
      <c r="H244" s="60">
        <f t="shared" si="200"/>
        <v>178</v>
      </c>
      <c r="I244" s="60">
        <f t="shared" si="200"/>
        <v>178</v>
      </c>
      <c r="J244" s="74" t="s">
        <v>104</v>
      </c>
      <c r="K244" s="74" t="s">
        <v>104</v>
      </c>
      <c r="L244" s="74" t="s">
        <v>104</v>
      </c>
      <c r="M244" s="74">
        <f t="shared" ref="M244:S244" si="201">SUM(M242:M243)</f>
        <v>0</v>
      </c>
      <c r="N244" s="74">
        <f>SUM(N242:N243)</f>
        <v>681604.72</v>
      </c>
      <c r="O244" s="74">
        <f>SUM(O242:O243)</f>
        <v>681604.72</v>
      </c>
      <c r="P244" s="74">
        <f t="shared" si="201"/>
        <v>0</v>
      </c>
      <c r="Q244" s="74">
        <f t="shared" si="201"/>
        <v>0</v>
      </c>
      <c r="R244" s="74">
        <f t="shared" si="201"/>
        <v>681604.72</v>
      </c>
      <c r="S244" s="74">
        <f t="shared" si="201"/>
        <v>681604.72</v>
      </c>
    </row>
    <row r="245" spans="1:19" x14ac:dyDescent="0.25">
      <c r="A245" s="170"/>
      <c r="B245" s="102" t="s">
        <v>112</v>
      </c>
      <c r="C245" s="102"/>
      <c r="D245" s="69"/>
      <c r="E245" s="104"/>
      <c r="F245" s="104"/>
      <c r="G245" s="104"/>
      <c r="H245" s="104"/>
      <c r="I245" s="104"/>
      <c r="J245" s="104"/>
      <c r="K245" s="104"/>
      <c r="L245" s="104"/>
      <c r="M245" s="104"/>
      <c r="N245" s="104">
        <f>N231+N239+N241+N244</f>
        <v>15719546.470000001</v>
      </c>
      <c r="O245" s="104">
        <f t="shared" ref="O245:S245" si="202">O231+O239+O241+O244</f>
        <v>12218208.620000001</v>
      </c>
      <c r="P245" s="104">
        <f t="shared" si="202"/>
        <v>906491.35</v>
      </c>
      <c r="Q245" s="104">
        <f t="shared" si="202"/>
        <v>2594846.5</v>
      </c>
      <c r="R245" s="104">
        <f t="shared" si="202"/>
        <v>15719546.470000003</v>
      </c>
      <c r="S245" s="104">
        <f t="shared" si="202"/>
        <v>15719546.470000003</v>
      </c>
    </row>
    <row r="246" spans="1:19" x14ac:dyDescent="0.25">
      <c r="A246" s="96" t="s">
        <v>156</v>
      </c>
    </row>
    <row r="247" spans="1:19" ht="30" x14ac:dyDescent="0.25">
      <c r="A247" s="111" t="s">
        <v>3</v>
      </c>
      <c r="B247" s="111" t="s">
        <v>81</v>
      </c>
      <c r="C247" s="111" t="s">
        <v>4</v>
      </c>
      <c r="D247" s="168" t="s">
        <v>5</v>
      </c>
      <c r="E247" s="168"/>
      <c r="F247" s="168"/>
      <c r="G247" s="168"/>
      <c r="H247" s="168"/>
      <c r="I247" s="169" t="s">
        <v>6</v>
      </c>
      <c r="J247" s="169" t="s">
        <v>7</v>
      </c>
      <c r="K247" s="169"/>
      <c r="L247" s="169"/>
    </row>
    <row r="248" spans="1:19" ht="30" x14ac:dyDescent="0.25">
      <c r="A248" s="82"/>
      <c r="B248" s="82"/>
      <c r="C248" s="82"/>
      <c r="D248" s="141" t="s">
        <v>10</v>
      </c>
      <c r="E248" s="146" t="s">
        <v>179</v>
      </c>
      <c r="F248" s="140" t="s">
        <v>197</v>
      </c>
      <c r="G248" s="141" t="s">
        <v>179</v>
      </c>
      <c r="H248" s="141" t="s">
        <v>206</v>
      </c>
      <c r="I248" s="169"/>
      <c r="J248" s="124" t="s">
        <v>9</v>
      </c>
      <c r="K248" s="149" t="s">
        <v>10</v>
      </c>
      <c r="L248" s="124" t="s">
        <v>179</v>
      </c>
    </row>
    <row r="249" spans="1:19" ht="94.5" customHeight="1" x14ac:dyDescent="0.25">
      <c r="A249" s="83" t="s">
        <v>13</v>
      </c>
      <c r="B249" s="83" t="s">
        <v>14</v>
      </c>
      <c r="C249" s="111" t="s">
        <v>15</v>
      </c>
      <c r="D249" s="83" t="s">
        <v>16</v>
      </c>
      <c r="E249" s="83" t="s">
        <v>16</v>
      </c>
      <c r="F249" s="83" t="s">
        <v>16</v>
      </c>
      <c r="G249" s="83" t="s">
        <v>16</v>
      </c>
      <c r="H249" s="83" t="s">
        <v>16</v>
      </c>
      <c r="I249" s="111" t="s">
        <v>17</v>
      </c>
      <c r="J249" s="111" t="s">
        <v>17</v>
      </c>
      <c r="K249" s="148" t="s">
        <v>17</v>
      </c>
      <c r="L249" s="111" t="s">
        <v>17</v>
      </c>
    </row>
    <row r="250" spans="1:19" ht="105" x14ac:dyDescent="0.25">
      <c r="A250" s="107" t="s">
        <v>157</v>
      </c>
      <c r="B250" s="111" t="s">
        <v>158</v>
      </c>
      <c r="C250" s="82" t="s">
        <v>180</v>
      </c>
      <c r="D250" s="108">
        <v>208080</v>
      </c>
      <c r="E250" s="108">
        <v>208080</v>
      </c>
      <c r="F250" s="108"/>
      <c r="G250" s="108">
        <v>208080</v>
      </c>
      <c r="H250" s="108">
        <v>208080</v>
      </c>
      <c r="I250" s="75">
        <v>116.85</v>
      </c>
      <c r="J250" s="75">
        <f>I250*D250</f>
        <v>24314148</v>
      </c>
      <c r="K250" s="75">
        <f>I250*G250</f>
        <v>24314148</v>
      </c>
      <c r="L250" s="75">
        <f>K250</f>
        <v>24314148</v>
      </c>
      <c r="M250" s="85"/>
    </row>
    <row r="251" spans="1:19" ht="105" x14ac:dyDescent="0.25">
      <c r="A251" s="114" t="s">
        <v>160</v>
      </c>
      <c r="B251" s="111" t="s">
        <v>158</v>
      </c>
      <c r="C251" s="82" t="s">
        <v>180</v>
      </c>
      <c r="D251" s="108">
        <v>41976</v>
      </c>
      <c r="E251" s="108">
        <v>41976</v>
      </c>
      <c r="F251" s="108"/>
      <c r="G251" s="108">
        <v>41976</v>
      </c>
      <c r="H251" s="108">
        <v>41976</v>
      </c>
      <c r="I251" s="75">
        <v>116.85</v>
      </c>
      <c r="J251" s="75">
        <f>I251*D251</f>
        <v>4904895.5999999996</v>
      </c>
      <c r="K251" s="75">
        <f>I251*G251</f>
        <v>4904895.5999999996</v>
      </c>
      <c r="L251" s="75">
        <f t="shared" ref="L251" si="203">K251</f>
        <v>4904895.5999999996</v>
      </c>
      <c r="M251" s="85"/>
    </row>
    <row r="254" spans="1:19" x14ac:dyDescent="0.25">
      <c r="A254" s="80" t="s">
        <v>189</v>
      </c>
    </row>
  </sheetData>
  <mergeCells count="47">
    <mergeCell ref="N94:S94"/>
    <mergeCell ref="A3:S3"/>
    <mergeCell ref="J6:M6"/>
    <mergeCell ref="N6:S6"/>
    <mergeCell ref="N8:Q8"/>
    <mergeCell ref="A93:C93"/>
    <mergeCell ref="E7:G7"/>
    <mergeCell ref="A94:A95"/>
    <mergeCell ref="B94:B95"/>
    <mergeCell ref="D94:D95"/>
    <mergeCell ref="E94:I94"/>
    <mergeCell ref="J94:M94"/>
    <mergeCell ref="N7:Q7"/>
    <mergeCell ref="C58:C60"/>
    <mergeCell ref="D58:D60"/>
    <mergeCell ref="A124:A146"/>
    <mergeCell ref="B124:B130"/>
    <mergeCell ref="B131:B136"/>
    <mergeCell ref="B138:B141"/>
    <mergeCell ref="B143:B144"/>
    <mergeCell ref="A97:A123"/>
    <mergeCell ref="B97:B107"/>
    <mergeCell ref="B108:B113"/>
    <mergeCell ref="B115:B118"/>
    <mergeCell ref="B120:B121"/>
    <mergeCell ref="A173:A197"/>
    <mergeCell ref="B173:B181"/>
    <mergeCell ref="B182:B187"/>
    <mergeCell ref="B189:B192"/>
    <mergeCell ref="B194:B195"/>
    <mergeCell ref="A147:A172"/>
    <mergeCell ref="B147:B155"/>
    <mergeCell ref="B156:B161"/>
    <mergeCell ref="B163:B167"/>
    <mergeCell ref="B169:B170"/>
    <mergeCell ref="D247:H247"/>
    <mergeCell ref="I247:I248"/>
    <mergeCell ref="J247:L247"/>
    <mergeCell ref="A198:A226"/>
    <mergeCell ref="B223:B224"/>
    <mergeCell ref="A227:A245"/>
    <mergeCell ref="B227:B231"/>
    <mergeCell ref="B232:B234"/>
    <mergeCell ref="B242:B243"/>
    <mergeCell ref="B217:B222"/>
    <mergeCell ref="B208:B216"/>
    <mergeCell ref="B198:B207"/>
  </mergeCells>
  <pageMargins left="0.51181102362204722" right="0.51181102362204722" top="0.35433070866141736" bottom="0.35433070866141736" header="0.31496062992125984" footer="0.31496062992125984"/>
  <pageSetup paperSize="9" scale="4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01.01.2016</vt:lpstr>
      <vt:lpstr>04.01.2018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Отдел</cp:lastModifiedBy>
  <cp:lastPrinted>2018-01-15T03:17:08Z</cp:lastPrinted>
  <dcterms:modified xsi:type="dcterms:W3CDTF">2018-01-15T03:17:43Z</dcterms:modified>
</cp:coreProperties>
</file>